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T:\DANEL\נכס בודד 2024\30.09.2024\Test\"/>
    </mc:Choice>
  </mc:AlternateContent>
  <bookViews>
    <workbookView xWindow="-120" yWindow="-120" windowWidth="29040" windowHeight="1584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  <externalReference r:id="rId37"/>
  </externalReferences>
  <definedNames>
    <definedName name="_xlnm._FilterDatabase" localSheetId="5" hidden="1">'איגרות חוב'!$A$1:$AK$2114</definedName>
    <definedName name="_xlnm._FilterDatabase" localSheetId="3" hidden="1">'איגרות חוב ממשלתיות'!$A$1:$AA$545</definedName>
    <definedName name="_xlnm._FilterDatabase" localSheetId="31" hidden="1">'אפשרויות בחירה'!$A$1:$E$1040</definedName>
    <definedName name="_xlnm._FilterDatabase" localSheetId="23" hidden="1">הלוואות!$A$1:$BB$62</definedName>
    <definedName name="_xlnm._FilterDatabase" localSheetId="11" hidden="1">'חוזים עתידיים'!$A$1:$U$158</definedName>
    <definedName name="_xlnm._FilterDatabase" localSheetId="30" hidden="1">'יתרות התחייבות להשקעה'!$A$1:$R$435</definedName>
    <definedName name="_xlnm._FilterDatabase" localSheetId="9" hidden="1">'כתבי אופציה'!$A$1:$Z$55</definedName>
    <definedName name="_xlnm._FilterDatabase" localSheetId="17" hidden="1">'לא סחיר איגרות חוב'!$A$1:$AM$120</definedName>
    <definedName name="_xlnm._FilterDatabase" localSheetId="18" hidden="1">'לא סחיר מניות מבכ ויהש'!$A$1:$AA$137</definedName>
    <definedName name="_xlnm._FilterDatabase" localSheetId="22" hidden="1">'לא סחיר נגזרים אחרים'!$A$1:$AO$144</definedName>
    <definedName name="_xlnm._FilterDatabase" localSheetId="2" hidden="1">'מזומנים ושווי מזומנים'!$A$1:$Q$219</definedName>
    <definedName name="_xlnm._FilterDatabase" localSheetId="32" hidden="1">'מיפוי סעיפים'!$A$1:$D$795</definedName>
    <definedName name="_xlnm._FilterDatabase" localSheetId="6" hidden="1">'מניות מבכ ויהש'!$A$1:$Y$1359</definedName>
    <definedName name="_xlnm._FilterDatabase" localSheetId="25" hidden="1">'פיקדונות מעל 3 חודשים'!$A$1:$W$43</definedName>
    <definedName name="_xlnm._FilterDatabase" localSheetId="19" hidden="1">'קרנות השקעה'!$A$1:$AA$435</definedName>
    <definedName name="_xlnm._FilterDatabase" localSheetId="8" hidden="1">'קרנות נאמנות'!$A$1:$X$147</definedName>
    <definedName name="_xlnm._FilterDatabase" localSheetId="7" hidden="1">'קרנות סל'!$A$1:$X$544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4" i="23" l="1"/>
  <c r="AT24" i="23"/>
  <c r="AQ24" i="23"/>
  <c r="AR24" i="23" l="1"/>
  <c r="AD24" i="23"/>
  <c r="O406" i="47"/>
  <c r="O353" i="47"/>
  <c r="O301" i="47"/>
  <c r="N301" i="47" s="1"/>
  <c r="O248" i="47"/>
  <c r="O193" i="47"/>
  <c r="O136" i="47"/>
  <c r="O88" i="47"/>
  <c r="AD3" i="23" l="1"/>
  <c r="AD4" i="23"/>
  <c r="AD5" i="23"/>
  <c r="AD6" i="23"/>
  <c r="AD7" i="23"/>
  <c r="AD8" i="23"/>
  <c r="AD9" i="23"/>
  <c r="AD10" i="23"/>
  <c r="AD11" i="23"/>
  <c r="AD12" i="23"/>
  <c r="AD13" i="23"/>
  <c r="AD14" i="23"/>
  <c r="AD15" i="23"/>
  <c r="AD16" i="23"/>
  <c r="AD17" i="23"/>
  <c r="AD18" i="23"/>
  <c r="AD19" i="23"/>
  <c r="AD20" i="23"/>
  <c r="AD21" i="23"/>
  <c r="AD22" i="23"/>
  <c r="AD23" i="23"/>
  <c r="AD25" i="23"/>
  <c r="AD26" i="23"/>
  <c r="AD27" i="23"/>
  <c r="AD28" i="23"/>
  <c r="AD29" i="23"/>
  <c r="AD30" i="23"/>
  <c r="AD31" i="23"/>
  <c r="AD32" i="23"/>
  <c r="AD33" i="23"/>
  <c r="AD34" i="23"/>
  <c r="AD35" i="23"/>
  <c r="AD36" i="23"/>
  <c r="AD37" i="23"/>
  <c r="AD38" i="23"/>
  <c r="AD39" i="23"/>
  <c r="AD40" i="23"/>
  <c r="AD41" i="23"/>
  <c r="AD42" i="23"/>
  <c r="AD43" i="23"/>
  <c r="AD44" i="23"/>
  <c r="AD45" i="23"/>
  <c r="AD46" i="23"/>
  <c r="AD47" i="23"/>
  <c r="AD48" i="23"/>
  <c r="AD49" i="23"/>
  <c r="AD50" i="23"/>
  <c r="AD2" i="23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558" i="7"/>
  <c r="W559" i="7"/>
  <c r="W708" i="7"/>
  <c r="W1280" i="7"/>
  <c r="W1281" i="7"/>
  <c r="W1282" i="7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1629" i="6"/>
  <c r="AI1630" i="6"/>
  <c r="AI1631" i="6"/>
  <c r="AI1632" i="6"/>
  <c r="AI1633" i="6"/>
  <c r="AI1634" i="6"/>
  <c r="AI1635" i="6"/>
  <c r="AI1636" i="6"/>
  <c r="AI1637" i="6"/>
  <c r="AI1638" i="6"/>
  <c r="AI1639" i="6"/>
  <c r="AI1640" i="6"/>
  <c r="AI1641" i="6"/>
  <c r="AI1642" i="6"/>
  <c r="AI1643" i="6"/>
  <c r="AI1644" i="6"/>
  <c r="AI1645" i="6"/>
  <c r="AI1646" i="6"/>
  <c r="AI1647" i="6"/>
  <c r="AI1648" i="6"/>
  <c r="AI1649" i="6"/>
  <c r="AI1650" i="6"/>
  <c r="AI1651" i="6"/>
  <c r="AI1652" i="6"/>
  <c r="AI1653" i="6"/>
  <c r="AI1654" i="6"/>
  <c r="AI1655" i="6"/>
  <c r="AI1656" i="6"/>
  <c r="AI1657" i="6"/>
  <c r="AI1658" i="6"/>
  <c r="AI1659" i="6"/>
  <c r="AI1660" i="6"/>
  <c r="AI1661" i="6"/>
  <c r="AI1662" i="6"/>
  <c r="AI1663" i="6"/>
  <c r="AI1664" i="6"/>
  <c r="AI1665" i="6"/>
  <c r="AI1666" i="6"/>
  <c r="AI1667" i="6"/>
  <c r="AI1668" i="6"/>
  <c r="AI1669" i="6"/>
  <c r="AI1670" i="6"/>
  <c r="AI1671" i="6"/>
  <c r="AI1672" i="6"/>
  <c r="AI1673" i="6"/>
  <c r="AI1674" i="6"/>
  <c r="AI1675" i="6"/>
  <c r="AI1676" i="6"/>
  <c r="AI1677" i="6"/>
  <c r="AI1678" i="6"/>
  <c r="AI1679" i="6"/>
  <c r="AI1680" i="6"/>
  <c r="AI1681" i="6"/>
  <c r="AI1682" i="6"/>
  <c r="AI1683" i="6"/>
  <c r="AI1684" i="6"/>
  <c r="AI1685" i="6"/>
  <c r="AI1686" i="6"/>
  <c r="AI1687" i="6"/>
  <c r="AI1688" i="6"/>
  <c r="AI1689" i="6"/>
  <c r="AI1690" i="6"/>
  <c r="AI1691" i="6"/>
  <c r="AI1692" i="6"/>
  <c r="AI1693" i="6"/>
  <c r="AI1694" i="6"/>
  <c r="AI1695" i="6"/>
  <c r="AI1696" i="6"/>
  <c r="AI1697" i="6"/>
  <c r="AI1698" i="6"/>
  <c r="AI1699" i="6"/>
  <c r="AI1700" i="6"/>
  <c r="AI1701" i="6"/>
  <c r="AI1702" i="6"/>
  <c r="AI1703" i="6"/>
  <c r="AI1704" i="6"/>
  <c r="AI1705" i="6"/>
  <c r="AI1706" i="6"/>
  <c r="AI1707" i="6"/>
  <c r="AI1708" i="6"/>
  <c r="AI1709" i="6"/>
  <c r="AI1710" i="6"/>
  <c r="AI1711" i="6"/>
  <c r="AI1712" i="6"/>
  <c r="AI1713" i="6"/>
  <c r="AI1714" i="6"/>
  <c r="AI1715" i="6"/>
  <c r="AI1716" i="6"/>
  <c r="AI1717" i="6"/>
  <c r="AI1718" i="6"/>
  <c r="AI1719" i="6"/>
  <c r="AI1720" i="6"/>
  <c r="AI1721" i="6"/>
  <c r="AI1722" i="6"/>
  <c r="AI1723" i="6"/>
  <c r="AI1724" i="6"/>
  <c r="AI1725" i="6"/>
  <c r="AI1726" i="6"/>
  <c r="AI1727" i="6"/>
  <c r="AI1728" i="6"/>
  <c r="AI1729" i="6"/>
  <c r="AI1730" i="6"/>
  <c r="AI1731" i="6"/>
  <c r="AI1732" i="6"/>
  <c r="AI1733" i="6"/>
  <c r="AI1734" i="6"/>
  <c r="AI1735" i="6"/>
  <c r="AI1736" i="6"/>
  <c r="AI1737" i="6"/>
  <c r="AI1738" i="6"/>
  <c r="AI1739" i="6"/>
  <c r="AI1740" i="6"/>
  <c r="AI1741" i="6"/>
  <c r="AI1742" i="6"/>
  <c r="AI1743" i="6"/>
  <c r="AI1744" i="6"/>
  <c r="AI1745" i="6"/>
  <c r="AI1746" i="6"/>
  <c r="AI1747" i="6"/>
  <c r="AI1748" i="6"/>
  <c r="AI1749" i="6"/>
  <c r="AI1750" i="6"/>
  <c r="AI1751" i="6"/>
  <c r="AI1752" i="6"/>
  <c r="AI1753" i="6"/>
  <c r="AI1754" i="6"/>
  <c r="AI1755" i="6"/>
  <c r="AI1756" i="6"/>
  <c r="AI1757" i="6"/>
  <c r="AI1758" i="6"/>
  <c r="AI1759" i="6"/>
  <c r="AI1760" i="6"/>
  <c r="AI1761" i="6"/>
  <c r="AI1762" i="6"/>
  <c r="AI1763" i="6"/>
  <c r="AI1764" i="6"/>
  <c r="AI1765" i="6"/>
  <c r="AI1766" i="6"/>
  <c r="AI1767" i="6"/>
  <c r="AI1768" i="6"/>
  <c r="AI1769" i="6"/>
  <c r="AI1770" i="6"/>
  <c r="AI1771" i="6"/>
  <c r="AI1772" i="6"/>
  <c r="AI1773" i="6"/>
  <c r="AI1774" i="6"/>
  <c r="AI1775" i="6"/>
  <c r="AI1776" i="6"/>
  <c r="AI1777" i="6"/>
  <c r="AI1778" i="6"/>
  <c r="AI1779" i="6"/>
  <c r="AI1780" i="6"/>
  <c r="AI1781" i="6"/>
  <c r="AI1782" i="6"/>
  <c r="AI1783" i="6"/>
  <c r="AI1784" i="6"/>
  <c r="AI1785" i="6"/>
  <c r="AI1786" i="6"/>
  <c r="AI1787" i="6"/>
  <c r="AI1788" i="6"/>
  <c r="AI1789" i="6"/>
  <c r="AI1790" i="6"/>
  <c r="AI1791" i="6"/>
  <c r="AI1792" i="6"/>
  <c r="AI1793" i="6"/>
  <c r="AI1794" i="6"/>
  <c r="AI1795" i="6"/>
  <c r="AI1796" i="6"/>
  <c r="AI1797" i="6"/>
  <c r="AI1798" i="6"/>
  <c r="AI1799" i="6"/>
  <c r="AI1800" i="6"/>
  <c r="AI1801" i="6"/>
  <c r="AI1802" i="6"/>
  <c r="AI1803" i="6"/>
  <c r="AI1804" i="6"/>
  <c r="AI1805" i="6"/>
  <c r="AI1806" i="6"/>
  <c r="AI1807" i="6"/>
  <c r="AI1808" i="6"/>
  <c r="AI1809" i="6"/>
  <c r="AI1810" i="6"/>
  <c r="AI1811" i="6"/>
  <c r="AI1812" i="6"/>
  <c r="AI1813" i="6"/>
  <c r="AI1814" i="6"/>
  <c r="AI1815" i="6"/>
  <c r="AI1816" i="6"/>
  <c r="AI1817" i="6"/>
  <c r="AI1818" i="6"/>
  <c r="AI1819" i="6"/>
  <c r="AI1820" i="6"/>
  <c r="AI1821" i="6"/>
  <c r="AI1822" i="6"/>
  <c r="AI1823" i="6"/>
  <c r="AI1824" i="6"/>
  <c r="AI1825" i="6"/>
  <c r="AI1826" i="6"/>
  <c r="AI1827" i="6"/>
  <c r="AI1828" i="6"/>
  <c r="AI1829" i="6"/>
  <c r="AI1830" i="6"/>
  <c r="AI1831" i="6"/>
  <c r="AI1832" i="6"/>
  <c r="AI1833" i="6"/>
  <c r="AI1834" i="6"/>
  <c r="AI1835" i="6"/>
  <c r="AI1836" i="6"/>
  <c r="AI1837" i="6"/>
  <c r="AI1838" i="6"/>
  <c r="AI1839" i="6"/>
  <c r="AI1840" i="6"/>
  <c r="AI1841" i="6"/>
  <c r="AI1842" i="6"/>
  <c r="AI1843" i="6"/>
  <c r="AI1844" i="6"/>
  <c r="AI1845" i="6"/>
  <c r="AI1846" i="6"/>
  <c r="AI1847" i="6"/>
  <c r="AI1848" i="6"/>
  <c r="AI1849" i="6"/>
  <c r="AI1850" i="6"/>
  <c r="AI1851" i="6"/>
  <c r="AI1852" i="6"/>
  <c r="AI1853" i="6"/>
  <c r="AI1854" i="6"/>
  <c r="AI1855" i="6"/>
  <c r="AI1856" i="6"/>
  <c r="AI1857" i="6"/>
  <c r="AI1858" i="6"/>
  <c r="AI1859" i="6"/>
  <c r="AI1860" i="6"/>
  <c r="AI1861" i="6"/>
  <c r="AI1862" i="6"/>
  <c r="AI1863" i="6"/>
  <c r="AI1864" i="6"/>
  <c r="AI1865" i="6"/>
  <c r="AI1866" i="6"/>
  <c r="AI1867" i="6"/>
  <c r="AI1868" i="6"/>
  <c r="AI1869" i="6"/>
  <c r="AI1870" i="6"/>
  <c r="AI1871" i="6"/>
  <c r="AI1872" i="6"/>
  <c r="AI1873" i="6"/>
  <c r="AI1874" i="6"/>
  <c r="AI1875" i="6"/>
  <c r="AI1876" i="6"/>
  <c r="AI1877" i="6"/>
  <c r="AI1878" i="6"/>
  <c r="AI1879" i="6"/>
  <c r="AI1880" i="6"/>
  <c r="AI1881" i="6"/>
  <c r="AI1882" i="6"/>
  <c r="AI1883" i="6"/>
  <c r="AI1884" i="6"/>
  <c r="AI1885" i="6"/>
  <c r="AI1886" i="6"/>
  <c r="AI1887" i="6"/>
  <c r="AI1888" i="6"/>
  <c r="AI1889" i="6"/>
  <c r="AI1890" i="6"/>
  <c r="AI1891" i="6"/>
  <c r="AI1892" i="6"/>
  <c r="AI1893" i="6"/>
  <c r="AI1894" i="6"/>
  <c r="AI1895" i="6"/>
  <c r="AI1896" i="6"/>
  <c r="AI1897" i="6"/>
  <c r="AI1898" i="6"/>
  <c r="AI1899" i="6"/>
  <c r="AI1900" i="6"/>
  <c r="AI1901" i="6"/>
  <c r="AI1902" i="6"/>
  <c r="AI1903" i="6"/>
  <c r="AI1904" i="6"/>
  <c r="AI1905" i="6"/>
  <c r="AI1906" i="6"/>
  <c r="AI1907" i="6"/>
  <c r="AI1908" i="6"/>
  <c r="AI1909" i="6"/>
  <c r="AI1910" i="6"/>
  <c r="AI1911" i="6"/>
  <c r="AI1912" i="6"/>
  <c r="AI1913" i="6"/>
  <c r="AI1914" i="6"/>
  <c r="AI1915" i="6"/>
  <c r="AI1916" i="6"/>
  <c r="AI1917" i="6"/>
  <c r="AI1918" i="6"/>
  <c r="AI1919" i="6"/>
  <c r="AI1920" i="6"/>
  <c r="AI1921" i="6"/>
  <c r="AI1922" i="6"/>
  <c r="AI1923" i="6"/>
  <c r="AI1924" i="6"/>
  <c r="AI1925" i="6"/>
  <c r="AI1926" i="6"/>
  <c r="AI1927" i="6"/>
  <c r="AI1928" i="6"/>
  <c r="AI1929" i="6"/>
  <c r="AI1930" i="6"/>
  <c r="AI1931" i="6"/>
  <c r="AI1932" i="6"/>
  <c r="AI1933" i="6"/>
  <c r="AI1934" i="6"/>
  <c r="AI1935" i="6"/>
  <c r="AI1936" i="6"/>
  <c r="AI1937" i="6"/>
  <c r="AI1938" i="6"/>
  <c r="AI1939" i="6"/>
  <c r="AI1940" i="6"/>
  <c r="AI1941" i="6"/>
  <c r="AI1942" i="6"/>
  <c r="AI1943" i="6"/>
  <c r="AI1944" i="6"/>
  <c r="AI1945" i="6"/>
  <c r="AI1946" i="6"/>
  <c r="AI1947" i="6"/>
  <c r="AI1948" i="6"/>
  <c r="AI1949" i="6"/>
  <c r="AI1950" i="6"/>
  <c r="AI1951" i="6"/>
  <c r="AI1952" i="6"/>
  <c r="AI1953" i="6"/>
  <c r="AI1954" i="6"/>
  <c r="AI1955" i="6"/>
  <c r="AI1956" i="6"/>
  <c r="AI1957" i="6"/>
  <c r="AI1958" i="6"/>
  <c r="AI1959" i="6"/>
  <c r="AI1960" i="6"/>
  <c r="AI1961" i="6"/>
  <c r="AI1962" i="6"/>
  <c r="AI1963" i="6"/>
  <c r="AI1964" i="6"/>
  <c r="AI1965" i="6"/>
  <c r="AI1966" i="6"/>
  <c r="AI1967" i="6"/>
  <c r="AI1968" i="6"/>
  <c r="AI1969" i="6"/>
  <c r="AI1970" i="6"/>
  <c r="AI1971" i="6"/>
  <c r="AI1972" i="6"/>
  <c r="AI1973" i="6"/>
  <c r="AI1974" i="6"/>
  <c r="AI1975" i="6"/>
  <c r="AI1976" i="6"/>
  <c r="AI1977" i="6"/>
  <c r="AI1978" i="6"/>
  <c r="AI1979" i="6"/>
  <c r="AI1980" i="6"/>
  <c r="AI1981" i="6"/>
  <c r="AI1982" i="6"/>
  <c r="AI1983" i="6"/>
  <c r="AI1984" i="6"/>
  <c r="AI1985" i="6"/>
  <c r="AI1986" i="6"/>
  <c r="AI1987" i="6"/>
  <c r="AI1988" i="6"/>
  <c r="AI1989" i="6"/>
  <c r="AI1990" i="6"/>
  <c r="AI1991" i="6"/>
  <c r="AI1992" i="6"/>
  <c r="AI1993" i="6"/>
  <c r="AI1994" i="6"/>
  <c r="AI1995" i="6"/>
  <c r="AI1996" i="6"/>
  <c r="AI1997" i="6"/>
  <c r="AI1998" i="6"/>
  <c r="AI1999" i="6"/>
  <c r="AI2000" i="6"/>
  <c r="AI2001" i="6"/>
  <c r="AI2002" i="6"/>
  <c r="AI2003" i="6"/>
  <c r="AI2004" i="6"/>
  <c r="AI2005" i="6"/>
  <c r="AI2006" i="6"/>
  <c r="AI2007" i="6"/>
  <c r="AI2008" i="6"/>
  <c r="AI2009" i="6"/>
  <c r="AI2010" i="6"/>
  <c r="AI2011" i="6"/>
  <c r="AI2012" i="6"/>
  <c r="AI2013" i="6"/>
  <c r="AI2014" i="6"/>
  <c r="AI2015" i="6"/>
  <c r="AI2016" i="6"/>
  <c r="AI2017" i="6"/>
  <c r="AI2018" i="6"/>
  <c r="AI2019" i="6"/>
  <c r="AI2020" i="6"/>
  <c r="AI2021" i="6"/>
  <c r="AI2022" i="6"/>
  <c r="AI2023" i="6"/>
  <c r="AI2024" i="6"/>
  <c r="AI2025" i="6"/>
  <c r="AI2026" i="6"/>
  <c r="AI2027" i="6"/>
  <c r="AI2028" i="6"/>
  <c r="AI2029" i="6"/>
  <c r="AI2030" i="6"/>
  <c r="AI2031" i="6"/>
  <c r="AI2032" i="6"/>
  <c r="AI2033" i="6"/>
  <c r="AI2034" i="6"/>
  <c r="AI2035" i="6"/>
  <c r="AI2036" i="6"/>
  <c r="AI2037" i="6"/>
  <c r="AI2038" i="6"/>
  <c r="AI2039" i="6"/>
  <c r="AI2040" i="6"/>
  <c r="AI2041" i="6"/>
  <c r="AI2042" i="6"/>
  <c r="AI2043" i="6"/>
  <c r="AI2044" i="6"/>
  <c r="AI2045" i="6"/>
  <c r="AI2046" i="6"/>
  <c r="AI2047" i="6"/>
  <c r="AI2048" i="6"/>
  <c r="AI2049" i="6"/>
  <c r="AI2050" i="6"/>
  <c r="AI2051" i="6"/>
  <c r="AI2052" i="6"/>
  <c r="AI2053" i="6"/>
  <c r="AI2054" i="6"/>
  <c r="AI2055" i="6"/>
  <c r="AI2056" i="6"/>
  <c r="AI2057" i="6"/>
  <c r="AI2058" i="6"/>
  <c r="AI2059" i="6"/>
  <c r="AI2060" i="6"/>
  <c r="AI2061" i="6"/>
  <c r="AI2062" i="6"/>
  <c r="AI2063" i="6"/>
  <c r="AI2064" i="6"/>
  <c r="AI2065" i="6"/>
  <c r="AI2066" i="6"/>
  <c r="AI2067" i="6"/>
  <c r="AI2068" i="6"/>
  <c r="AI2069" i="6"/>
  <c r="AI2070" i="6"/>
  <c r="AI2071" i="6"/>
  <c r="AI2072" i="6"/>
  <c r="AI2073" i="6"/>
  <c r="AI2074" i="6"/>
  <c r="AI2075" i="6"/>
  <c r="AI2076" i="6"/>
  <c r="AI2077" i="6"/>
  <c r="AI2078" i="6"/>
  <c r="AI2079" i="6"/>
  <c r="AI2080" i="6"/>
  <c r="AI2081" i="6"/>
  <c r="AI2082" i="6"/>
  <c r="AI2083" i="6"/>
  <c r="AI2084" i="6"/>
  <c r="AI2085" i="6"/>
  <c r="AI2086" i="6"/>
  <c r="AI2087" i="6"/>
  <c r="AI2088" i="6"/>
  <c r="AI2089" i="6"/>
  <c r="AI2090" i="6"/>
  <c r="AI2091" i="6"/>
  <c r="AI2092" i="6"/>
  <c r="AI2093" i="6"/>
  <c r="AI2094" i="6"/>
  <c r="AI2095" i="6"/>
  <c r="AI2096" i="6"/>
  <c r="AI2097" i="6"/>
  <c r="AI2098" i="6"/>
  <c r="AI2099" i="6"/>
  <c r="AI2100" i="6"/>
  <c r="AI2101" i="6"/>
  <c r="AI2102" i="6"/>
  <c r="AI2103" i="6"/>
  <c r="AI2104" i="6"/>
  <c r="AI2105" i="6"/>
  <c r="AI2106" i="6"/>
  <c r="AI2107" i="6"/>
  <c r="AI2108" i="6"/>
  <c r="AI2109" i="6"/>
  <c r="P59" i="3" l="1"/>
  <c r="P60" i="3"/>
  <c r="P61" i="3"/>
  <c r="P62" i="3"/>
  <c r="P63" i="3"/>
  <c r="P64" i="3"/>
  <c r="P65" i="3"/>
  <c r="P66" i="3"/>
  <c r="P67" i="3"/>
  <c r="P68" i="3"/>
  <c r="P69" i="3"/>
  <c r="B32" i="2"/>
  <c r="AB1625" i="6" l="1"/>
  <c r="AB1602" i="6"/>
  <c r="AB1596" i="6"/>
  <c r="AB1593" i="6"/>
  <c r="AB1592" i="6"/>
  <c r="AB1591" i="6"/>
  <c r="AB1590" i="6"/>
  <c r="AB1589" i="6"/>
  <c r="AB1587" i="6"/>
  <c r="AB1585" i="6"/>
  <c r="AB1584" i="6"/>
  <c r="AB1582" i="6"/>
  <c r="AB1581" i="6"/>
  <c r="AB1580" i="6"/>
  <c r="AB1579" i="6"/>
  <c r="AB1354" i="6"/>
  <c r="AB1353" i="6"/>
  <c r="AB1118" i="6"/>
  <c r="AB1109" i="6"/>
  <c r="AB870" i="6"/>
  <c r="AB751" i="6"/>
  <c r="AB562" i="6"/>
  <c r="AB561" i="6"/>
  <c r="AB559" i="6"/>
  <c r="AB557" i="6"/>
  <c r="AB556" i="6"/>
  <c r="AB555" i="6"/>
  <c r="AB554" i="6"/>
  <c r="AB553" i="6"/>
  <c r="AB531" i="6"/>
  <c r="AB527" i="6"/>
  <c r="AB525" i="6"/>
  <c r="AB220" i="6"/>
  <c r="AB217" i="6"/>
  <c r="AB216" i="6"/>
  <c r="AB212" i="6"/>
  <c r="AB211" i="6"/>
  <c r="T438" i="4"/>
  <c r="T437" i="4"/>
  <c r="T436" i="4"/>
  <c r="T434" i="4"/>
  <c r="T433" i="4"/>
  <c r="T432" i="4"/>
  <c r="T430" i="4"/>
  <c r="T429" i="4"/>
  <c r="T428" i="4"/>
  <c r="T427" i="4"/>
  <c r="T426" i="4"/>
  <c r="T425" i="4"/>
  <c r="T424" i="4"/>
  <c r="T421" i="4"/>
  <c r="T418" i="4"/>
  <c r="T417" i="4"/>
  <c r="T416" i="4"/>
  <c r="T414" i="4"/>
  <c r="T413" i="4"/>
  <c r="T412" i="4"/>
  <c r="T411" i="4"/>
  <c r="T409" i="4"/>
  <c r="T401" i="4"/>
  <c r="T319" i="4"/>
  <c r="T157" i="4"/>
  <c r="T133" i="4"/>
  <c r="T21" i="4"/>
  <c r="M147" i="47" l="1"/>
  <c r="P147" i="47" s="1"/>
  <c r="N419" i="47" l="1"/>
  <c r="N415" i="47"/>
  <c r="N411" i="47"/>
  <c r="N403" i="47"/>
  <c r="N366" i="47"/>
  <c r="N362" i="47"/>
  <c r="N358" i="47"/>
  <c r="N350" i="47"/>
  <c r="N314" i="47"/>
  <c r="N310" i="47"/>
  <c r="N306" i="47"/>
  <c r="N298" i="47"/>
  <c r="N261" i="47"/>
  <c r="N257" i="47"/>
  <c r="N253" i="47"/>
  <c r="N245" i="47"/>
  <c r="N206" i="47"/>
  <c r="N202" i="47"/>
  <c r="N198" i="47"/>
  <c r="N190" i="47"/>
  <c r="N144" i="47"/>
  <c r="N140" i="47"/>
  <c r="N133" i="47"/>
  <c r="N116" i="47"/>
  <c r="N100" i="47"/>
  <c r="N96" i="47"/>
  <c r="N92" i="47"/>
  <c r="N85" i="47"/>
  <c r="N22" i="47"/>
  <c r="N13" i="47"/>
  <c r="N418" i="47"/>
  <c r="N406" i="47"/>
  <c r="N365" i="47"/>
  <c r="N353" i="47"/>
  <c r="N313" i="47"/>
  <c r="N260" i="47"/>
  <c r="N248" i="47"/>
  <c r="N205" i="47"/>
  <c r="N193" i="47"/>
  <c r="N147" i="47"/>
  <c r="N136" i="47"/>
  <c r="N99" i="47"/>
  <c r="N88" i="47"/>
  <c r="N420" i="47"/>
  <c r="N417" i="47"/>
  <c r="N414" i="47"/>
  <c r="N410" i="47"/>
  <c r="N409" i="47"/>
  <c r="N399" i="47"/>
  <c r="N398" i="47"/>
  <c r="N396" i="47"/>
  <c r="N393" i="47"/>
  <c r="N384" i="47"/>
  <c r="N382" i="47"/>
  <c r="N379" i="47"/>
  <c r="N369" i="47"/>
  <c r="N367" i="47"/>
  <c r="N364" i="47"/>
  <c r="N361" i="47"/>
  <c r="N357" i="47"/>
  <c r="N356" i="47"/>
  <c r="N346" i="47"/>
  <c r="N345" i="47"/>
  <c r="N343" i="47"/>
  <c r="N340" i="47"/>
  <c r="N331" i="47"/>
  <c r="N329" i="47"/>
  <c r="N326" i="47"/>
  <c r="N315" i="47"/>
  <c r="N312" i="47"/>
  <c r="N309" i="47"/>
  <c r="N305" i="47"/>
  <c r="N304" i="47"/>
  <c r="N294" i="47"/>
  <c r="N293" i="47"/>
  <c r="N291" i="47"/>
  <c r="N288" i="47"/>
  <c r="N279" i="47"/>
  <c r="N277" i="47"/>
  <c r="N274" i="47"/>
  <c r="N264" i="47"/>
  <c r="N262" i="47"/>
  <c r="N259" i="47"/>
  <c r="N256" i="47"/>
  <c r="N252" i="47"/>
  <c r="N251" i="47"/>
  <c r="N241" i="47"/>
  <c r="N240" i="47"/>
  <c r="N238" i="47"/>
  <c r="N235" i="47"/>
  <c r="N226" i="47"/>
  <c r="N224" i="47"/>
  <c r="N221" i="47"/>
  <c r="N211" i="47"/>
  <c r="N207" i="47"/>
  <c r="N204" i="47"/>
  <c r="N201" i="47"/>
  <c r="N197" i="47"/>
  <c r="N196" i="47"/>
  <c r="N186" i="47"/>
  <c r="N185" i="47"/>
  <c r="N183" i="47"/>
  <c r="N180" i="47"/>
  <c r="N171" i="47"/>
  <c r="N169" i="47"/>
  <c r="N166" i="47"/>
  <c r="N156" i="47"/>
  <c r="N153" i="47"/>
  <c r="N152" i="47"/>
  <c r="N148" i="47"/>
  <c r="N146" i="47"/>
  <c r="N143" i="47"/>
  <c r="N139" i="47"/>
  <c r="N130" i="47"/>
  <c r="N129" i="47"/>
  <c r="N128" i="47"/>
  <c r="N126" i="47"/>
  <c r="N119" i="47"/>
  <c r="N108" i="47"/>
  <c r="N103" i="47"/>
  <c r="N101" i="47"/>
  <c r="N98" i="47"/>
  <c r="N95" i="47"/>
  <c r="N91" i="47"/>
  <c r="N81" i="47"/>
  <c r="N80" i="47"/>
  <c r="N78" i="47"/>
  <c r="N75" i="47"/>
  <c r="N66" i="47"/>
  <c r="N64" i="47"/>
  <c r="N61" i="47"/>
  <c r="N51" i="47"/>
  <c r="N48" i="47"/>
  <c r="N47" i="47"/>
  <c r="N38" i="47"/>
  <c r="N35" i="47"/>
  <c r="N26" i="47"/>
  <c r="N25" i="47"/>
  <c r="N23" i="47"/>
  <c r="N20" i="47"/>
  <c r="N7" i="47"/>
  <c r="N6" i="47"/>
  <c r="N4" i="47"/>
  <c r="N3" i="47"/>
  <c r="N413" i="47"/>
  <c r="N407" i="47"/>
  <c r="N405" i="47"/>
  <c r="N404" i="47"/>
  <c r="N400" i="47"/>
  <c r="N397" i="47"/>
  <c r="N391" i="47"/>
  <c r="N378" i="47"/>
  <c r="N373" i="47"/>
  <c r="N360" i="47"/>
  <c r="N354" i="47"/>
  <c r="N352" i="47"/>
  <c r="N351" i="47"/>
  <c r="N347" i="47"/>
  <c r="N344" i="47"/>
  <c r="N338" i="47"/>
  <c r="N325" i="47"/>
  <c r="N320" i="47"/>
  <c r="N308" i="47"/>
  <c r="N302" i="47"/>
  <c r="N300" i="47"/>
  <c r="N299" i="47"/>
  <c r="N295" i="47"/>
  <c r="N292" i="47"/>
  <c r="N286" i="47"/>
  <c r="N273" i="47"/>
  <c r="N268" i="47"/>
  <c r="N255" i="47"/>
  <c r="N249" i="47"/>
  <c r="N247" i="47"/>
  <c r="N246" i="47"/>
  <c r="N242" i="47"/>
  <c r="N239" i="47"/>
  <c r="N233" i="47"/>
  <c r="N220" i="47"/>
  <c r="N215" i="47"/>
  <c r="N209" i="47"/>
  <c r="N208" i="47"/>
  <c r="N200" i="47"/>
  <c r="N194" i="47"/>
  <c r="N192" i="47"/>
  <c r="N191" i="47"/>
  <c r="N187" i="47"/>
  <c r="N184" i="47"/>
  <c r="N178" i="47"/>
  <c r="N165" i="47"/>
  <c r="N160" i="47"/>
  <c r="N155" i="47"/>
  <c r="N154" i="47"/>
  <c r="N142" i="47"/>
  <c r="N137" i="47"/>
  <c r="N135" i="47"/>
  <c r="N134" i="47"/>
  <c r="N124" i="47"/>
  <c r="N117" i="47"/>
  <c r="N114" i="47"/>
  <c r="N113" i="47"/>
  <c r="N111" i="47"/>
  <c r="N110" i="47"/>
  <c r="N106" i="47"/>
  <c r="N94" i="47"/>
  <c r="N89" i="47"/>
  <c r="N87" i="47"/>
  <c r="N86" i="47"/>
  <c r="N82" i="47"/>
  <c r="N79" i="47"/>
  <c r="N73" i="47"/>
  <c r="N60" i="47"/>
  <c r="N55" i="47"/>
  <c r="N50" i="47"/>
  <c r="N49" i="47"/>
  <c r="N34" i="47"/>
  <c r="N12" i="47"/>
  <c r="N8" i="47"/>
  <c r="N5" i="47"/>
  <c r="N2" i="47"/>
  <c r="M413" i="47" l="1"/>
  <c r="P413" i="47" s="1"/>
  <c r="M418" i="47"/>
  <c r="P418" i="47" s="1"/>
  <c r="M416" i="47"/>
  <c r="M408" i="47"/>
  <c r="M406" i="47"/>
  <c r="P406" i="47" s="1"/>
  <c r="M392" i="47"/>
  <c r="M365" i="47"/>
  <c r="P365" i="47" s="1"/>
  <c r="M363" i="47"/>
  <c r="M355" i="47"/>
  <c r="M353" i="47"/>
  <c r="P353" i="47" s="1"/>
  <c r="M339" i="47"/>
  <c r="M313" i="47"/>
  <c r="P313" i="47" s="1"/>
  <c r="M311" i="47"/>
  <c r="M303" i="47"/>
  <c r="M301" i="47"/>
  <c r="P301" i="47" s="1"/>
  <c r="M287" i="47"/>
  <c r="M260" i="47"/>
  <c r="P260" i="47" s="1"/>
  <c r="M258" i="47"/>
  <c r="M250" i="47"/>
  <c r="M248" i="47"/>
  <c r="P248" i="47" s="1"/>
  <c r="M234" i="47"/>
  <c r="M205" i="47"/>
  <c r="P205" i="47" s="1"/>
  <c r="M203" i="47"/>
  <c r="M195" i="47"/>
  <c r="M193" i="47"/>
  <c r="P193" i="47" s="1"/>
  <c r="M179" i="47"/>
  <c r="M145" i="47"/>
  <c r="M138" i="47"/>
  <c r="M136" i="47"/>
  <c r="P136" i="47" s="1"/>
  <c r="M125" i="47"/>
  <c r="M115" i="47"/>
  <c r="M107" i="47"/>
  <c r="M99" i="47"/>
  <c r="P99" i="47" s="1"/>
  <c r="M97" i="47"/>
  <c r="M90" i="47"/>
  <c r="M88" i="47"/>
  <c r="P88" i="47" s="1"/>
  <c r="M74" i="47"/>
  <c r="M10" i="47"/>
  <c r="M419" i="47"/>
  <c r="P419" i="47" s="1"/>
  <c r="M415" i="47"/>
  <c r="P415" i="47" s="1"/>
  <c r="M411" i="47"/>
  <c r="P411" i="47" s="1"/>
  <c r="M403" i="47"/>
  <c r="P403" i="47" s="1"/>
  <c r="M366" i="47"/>
  <c r="P366" i="47" s="1"/>
  <c r="M362" i="47"/>
  <c r="P362" i="47" s="1"/>
  <c r="M358" i="47"/>
  <c r="P358" i="47" s="1"/>
  <c r="M350" i="47"/>
  <c r="P350" i="47" s="1"/>
  <c r="M314" i="47"/>
  <c r="P314" i="47" s="1"/>
  <c r="M310" i="47"/>
  <c r="P310" i="47" s="1"/>
  <c r="M306" i="47"/>
  <c r="P306" i="47" s="1"/>
  <c r="M298" i="47"/>
  <c r="P298" i="47" s="1"/>
  <c r="M261" i="47"/>
  <c r="P261" i="47" s="1"/>
  <c r="M257" i="47"/>
  <c r="P257" i="47" s="1"/>
  <c r="M253" i="47"/>
  <c r="P253" i="47" s="1"/>
  <c r="M245" i="47"/>
  <c r="P245" i="47" s="1"/>
  <c r="M206" i="47"/>
  <c r="P206" i="47" s="1"/>
  <c r="M202" i="47"/>
  <c r="P202" i="47" s="1"/>
  <c r="M198" i="47"/>
  <c r="P198" i="47" s="1"/>
  <c r="M190" i="47"/>
  <c r="P190" i="47" s="1"/>
  <c r="M144" i="47"/>
  <c r="P144" i="47" s="1"/>
  <c r="M140" i="47"/>
  <c r="P140" i="47" s="1"/>
  <c r="M133" i="47"/>
  <c r="P133" i="47" s="1"/>
  <c r="M116" i="47"/>
  <c r="P116" i="47" s="1"/>
  <c r="M100" i="47"/>
  <c r="P100" i="47" s="1"/>
  <c r="M96" i="47"/>
  <c r="P96" i="47" s="1"/>
  <c r="M92" i="47"/>
  <c r="P92" i="47" s="1"/>
  <c r="M85" i="47"/>
  <c r="P85" i="47" s="1"/>
  <c r="M22" i="47"/>
  <c r="P22" i="47" s="1"/>
  <c r="M13" i="47"/>
  <c r="P13" i="47" s="1"/>
  <c r="M420" i="47"/>
  <c r="P420" i="47" s="1"/>
  <c r="M417" i="47"/>
  <c r="P417" i="47" s="1"/>
  <c r="M414" i="47"/>
  <c r="P414" i="47" s="1"/>
  <c r="M410" i="47"/>
  <c r="P410" i="47" s="1"/>
  <c r="M409" i="47"/>
  <c r="P409" i="47" s="1"/>
  <c r="M402" i="47"/>
  <c r="M399" i="47"/>
  <c r="P399" i="47" s="1"/>
  <c r="M398" i="47"/>
  <c r="P398" i="47" s="1"/>
  <c r="M396" i="47"/>
  <c r="P396" i="47" s="1"/>
  <c r="M395" i="47"/>
  <c r="M394" i="47"/>
  <c r="M393" i="47"/>
  <c r="P393" i="47" s="1"/>
  <c r="M390" i="47"/>
  <c r="M388" i="47"/>
  <c r="M387" i="47"/>
  <c r="M386" i="47"/>
  <c r="M384" i="47"/>
  <c r="P384" i="47" s="1"/>
  <c r="M383" i="47"/>
  <c r="M382" i="47"/>
  <c r="P382" i="47" s="1"/>
  <c r="M381" i="47"/>
  <c r="M380" i="47"/>
  <c r="M379" i="47"/>
  <c r="P379" i="47" s="1"/>
  <c r="M376" i="47"/>
  <c r="M375" i="47"/>
  <c r="M374" i="47"/>
  <c r="M372" i="47"/>
  <c r="M369" i="47"/>
  <c r="P369" i="47" s="1"/>
  <c r="M367" i="47"/>
  <c r="P367" i="47" s="1"/>
  <c r="M364" i="47"/>
  <c r="P364" i="47" s="1"/>
  <c r="M361" i="47"/>
  <c r="P361" i="47" s="1"/>
  <c r="M357" i="47"/>
  <c r="P357" i="47" s="1"/>
  <c r="M356" i="47"/>
  <c r="P356" i="47" s="1"/>
  <c r="M349" i="47"/>
  <c r="M346" i="47"/>
  <c r="P346" i="47" s="1"/>
  <c r="M345" i="47"/>
  <c r="P345" i="47" s="1"/>
  <c r="M343" i="47"/>
  <c r="P343" i="47" s="1"/>
  <c r="M342" i="47"/>
  <c r="M341" i="47"/>
  <c r="M340" i="47"/>
  <c r="P340" i="47" s="1"/>
  <c r="M337" i="47"/>
  <c r="M335" i="47"/>
  <c r="M334" i="47"/>
  <c r="M333" i="47"/>
  <c r="M331" i="47"/>
  <c r="P331" i="47" s="1"/>
  <c r="M330" i="47"/>
  <c r="M329" i="47"/>
  <c r="P329" i="47" s="1"/>
  <c r="M328" i="47"/>
  <c r="M327" i="47"/>
  <c r="M326" i="47"/>
  <c r="P326" i="47" s="1"/>
  <c r="M323" i="47"/>
  <c r="M322" i="47"/>
  <c r="M321" i="47"/>
  <c r="M319" i="47"/>
  <c r="M315" i="47"/>
  <c r="P315" i="47" s="1"/>
  <c r="M312" i="47"/>
  <c r="P312" i="47" s="1"/>
  <c r="M309" i="47"/>
  <c r="P309" i="47" s="1"/>
  <c r="M305" i="47"/>
  <c r="P305" i="47" s="1"/>
  <c r="M304" i="47"/>
  <c r="P304" i="47" s="1"/>
  <c r="M297" i="47"/>
  <c r="M294" i="47"/>
  <c r="P294" i="47" s="1"/>
  <c r="M293" i="47"/>
  <c r="P293" i="47" s="1"/>
  <c r="M291" i="47"/>
  <c r="P291" i="47" s="1"/>
  <c r="M290" i="47"/>
  <c r="M289" i="47"/>
  <c r="M288" i="47"/>
  <c r="P288" i="47" s="1"/>
  <c r="M285" i="47"/>
  <c r="M283" i="47"/>
  <c r="M282" i="47"/>
  <c r="M281" i="47"/>
  <c r="M279" i="47"/>
  <c r="P279" i="47" s="1"/>
  <c r="M278" i="47"/>
  <c r="M277" i="47"/>
  <c r="P277" i="47" s="1"/>
  <c r="M276" i="47"/>
  <c r="M275" i="47"/>
  <c r="M274" i="47"/>
  <c r="P274" i="47" s="1"/>
  <c r="M271" i="47"/>
  <c r="M270" i="47"/>
  <c r="M269" i="47"/>
  <c r="M267" i="47"/>
  <c r="M264" i="47"/>
  <c r="P264" i="47" s="1"/>
  <c r="M262" i="47"/>
  <c r="P262" i="47" s="1"/>
  <c r="M259" i="47"/>
  <c r="P259" i="47" s="1"/>
  <c r="M256" i="47"/>
  <c r="P256" i="47" s="1"/>
  <c r="M252" i="47"/>
  <c r="P252" i="47" s="1"/>
  <c r="M251" i="47"/>
  <c r="P251" i="47" s="1"/>
  <c r="M244" i="47"/>
  <c r="M241" i="47"/>
  <c r="P241" i="47" s="1"/>
  <c r="M240" i="47"/>
  <c r="P240" i="47" s="1"/>
  <c r="M238" i="47"/>
  <c r="P238" i="47" s="1"/>
  <c r="M237" i="47"/>
  <c r="M236" i="47"/>
  <c r="M235" i="47"/>
  <c r="P235" i="47" s="1"/>
  <c r="M232" i="47"/>
  <c r="M230" i="47"/>
  <c r="M229" i="47"/>
  <c r="M228" i="47"/>
  <c r="M226" i="47"/>
  <c r="P226" i="47" s="1"/>
  <c r="M225" i="47"/>
  <c r="M224" i="47"/>
  <c r="P224" i="47" s="1"/>
  <c r="M223" i="47"/>
  <c r="M222" i="47"/>
  <c r="M221" i="47"/>
  <c r="P221" i="47" s="1"/>
  <c r="M218" i="47"/>
  <c r="M217" i="47"/>
  <c r="M216" i="47"/>
  <c r="M214" i="47"/>
  <c r="M211" i="47"/>
  <c r="P211" i="47" s="1"/>
  <c r="M207" i="47"/>
  <c r="P207" i="47" s="1"/>
  <c r="M204" i="47"/>
  <c r="P204" i="47" s="1"/>
  <c r="M201" i="47"/>
  <c r="P201" i="47" s="1"/>
  <c r="M197" i="47"/>
  <c r="P197" i="47" s="1"/>
  <c r="M196" i="47"/>
  <c r="P196" i="47" s="1"/>
  <c r="M189" i="47"/>
  <c r="M186" i="47"/>
  <c r="P186" i="47" s="1"/>
  <c r="M185" i="47"/>
  <c r="P185" i="47" s="1"/>
  <c r="M183" i="47"/>
  <c r="P183" i="47" s="1"/>
  <c r="M182" i="47"/>
  <c r="M181" i="47"/>
  <c r="M180" i="47"/>
  <c r="P180" i="47" s="1"/>
  <c r="M177" i="47"/>
  <c r="M175" i="47"/>
  <c r="M174" i="47"/>
  <c r="M173" i="47"/>
  <c r="M171" i="47"/>
  <c r="P171" i="47" s="1"/>
  <c r="M170" i="47"/>
  <c r="M169" i="47"/>
  <c r="P169" i="47" s="1"/>
  <c r="M168" i="47"/>
  <c r="M167" i="47"/>
  <c r="M166" i="47"/>
  <c r="P166" i="47" s="1"/>
  <c r="M163" i="47"/>
  <c r="M162" i="47"/>
  <c r="M161" i="47"/>
  <c r="M159" i="47"/>
  <c r="M156" i="47"/>
  <c r="P156" i="47" s="1"/>
  <c r="M153" i="47"/>
  <c r="P153" i="47" s="1"/>
  <c r="M152" i="47"/>
  <c r="P152" i="47" s="1"/>
  <c r="M148" i="47"/>
  <c r="P148" i="47" s="1"/>
  <c r="M146" i="47"/>
  <c r="P146" i="47" s="1"/>
  <c r="M143" i="47"/>
  <c r="P143" i="47" s="1"/>
  <c r="M139" i="47"/>
  <c r="P139" i="47" s="1"/>
  <c r="M132" i="47"/>
  <c r="M130" i="47"/>
  <c r="P130" i="47" s="1"/>
  <c r="M129" i="47"/>
  <c r="P129" i="47" s="1"/>
  <c r="M128" i="47"/>
  <c r="P128" i="47" s="1"/>
  <c r="M127" i="47"/>
  <c r="M126" i="47"/>
  <c r="P126" i="47" s="1"/>
  <c r="M122" i="47"/>
  <c r="M121" i="47"/>
  <c r="M119" i="47"/>
  <c r="P119" i="47" s="1"/>
  <c r="M109" i="47"/>
  <c r="M108" i="47"/>
  <c r="P108" i="47" s="1"/>
  <c r="M105" i="47"/>
  <c r="M103" i="47"/>
  <c r="P103" i="47" s="1"/>
  <c r="M102" i="47"/>
  <c r="M101" i="47"/>
  <c r="P101" i="47" s="1"/>
  <c r="M98" i="47"/>
  <c r="P98" i="47" s="1"/>
  <c r="M95" i="47"/>
  <c r="P95" i="47" s="1"/>
  <c r="M91" i="47"/>
  <c r="P91" i="47" s="1"/>
  <c r="M84" i="47"/>
  <c r="M81" i="47"/>
  <c r="P81" i="47" s="1"/>
  <c r="M80" i="47"/>
  <c r="P80" i="47" s="1"/>
  <c r="M78" i="47"/>
  <c r="P78" i="47" s="1"/>
  <c r="M77" i="47"/>
  <c r="M76" i="47"/>
  <c r="M75" i="47"/>
  <c r="P75" i="47" s="1"/>
  <c r="M72" i="47"/>
  <c r="M70" i="47"/>
  <c r="M69" i="47"/>
  <c r="M68" i="47"/>
  <c r="M66" i="47"/>
  <c r="P66" i="47" s="1"/>
  <c r="M65" i="47"/>
  <c r="M64" i="47"/>
  <c r="P64" i="47" s="1"/>
  <c r="M63" i="47"/>
  <c r="M62" i="47"/>
  <c r="M61" i="47"/>
  <c r="P61" i="47" s="1"/>
  <c r="M58" i="47"/>
  <c r="M57" i="47"/>
  <c r="M56" i="47"/>
  <c r="M54" i="47"/>
  <c r="M51" i="47"/>
  <c r="P51" i="47" s="1"/>
  <c r="M48" i="47"/>
  <c r="P48" i="47" s="1"/>
  <c r="M47" i="47"/>
  <c r="P47" i="47" s="1"/>
  <c r="M44" i="47"/>
  <c r="M43" i="47"/>
  <c r="M41" i="47"/>
  <c r="M39" i="47"/>
  <c r="M38" i="47"/>
  <c r="P38" i="47" s="1"/>
  <c r="M37" i="47"/>
  <c r="M36" i="47"/>
  <c r="M35" i="47"/>
  <c r="P35" i="47" s="1"/>
  <c r="M32" i="47"/>
  <c r="M31" i="47"/>
  <c r="M30" i="47"/>
  <c r="M29" i="47"/>
  <c r="M26" i="47"/>
  <c r="P26" i="47" s="1"/>
  <c r="M25" i="47"/>
  <c r="P25" i="47" s="1"/>
  <c r="M24" i="47"/>
  <c r="M23" i="47"/>
  <c r="P23" i="47" s="1"/>
  <c r="M20" i="47"/>
  <c r="P20" i="47" s="1"/>
  <c r="M19" i="47"/>
  <c r="M18" i="47"/>
  <c r="M17" i="47"/>
  <c r="M16" i="47"/>
  <c r="M15" i="47"/>
  <c r="M14" i="47"/>
  <c r="M11" i="47"/>
  <c r="M9" i="47"/>
  <c r="M7" i="47"/>
  <c r="P7" i="47" s="1"/>
  <c r="M6" i="47"/>
  <c r="P6" i="47" s="1"/>
  <c r="M4" i="47"/>
  <c r="P4" i="47" s="1"/>
  <c r="M3" i="47"/>
  <c r="P3" i="47" s="1"/>
  <c r="M412" i="47"/>
  <c r="M407" i="47"/>
  <c r="P407" i="47" s="1"/>
  <c r="M405" i="47"/>
  <c r="P405" i="47" s="1"/>
  <c r="M404" i="47"/>
  <c r="P404" i="47" s="1"/>
  <c r="M401" i="47"/>
  <c r="M400" i="47"/>
  <c r="P400" i="47" s="1"/>
  <c r="M397" i="47"/>
  <c r="P397" i="47" s="1"/>
  <c r="M391" i="47"/>
  <c r="P391" i="47" s="1"/>
  <c r="M389" i="47"/>
  <c r="M385" i="47"/>
  <c r="M378" i="47"/>
  <c r="P378" i="47" s="1"/>
  <c r="M377" i="47"/>
  <c r="M373" i="47"/>
  <c r="P373" i="47" s="1"/>
  <c r="M371" i="47"/>
  <c r="M370" i="47"/>
  <c r="M368" i="47"/>
  <c r="M360" i="47"/>
  <c r="P360" i="47" s="1"/>
  <c r="M359" i="47"/>
  <c r="M354" i="47"/>
  <c r="P354" i="47" s="1"/>
  <c r="M352" i="47"/>
  <c r="P352" i="47" s="1"/>
  <c r="M351" i="47"/>
  <c r="P351" i="47" s="1"/>
  <c r="M348" i="47"/>
  <c r="M347" i="47"/>
  <c r="P347" i="47" s="1"/>
  <c r="M344" i="47"/>
  <c r="P344" i="47" s="1"/>
  <c r="M338" i="47"/>
  <c r="P338" i="47" s="1"/>
  <c r="M336" i="47"/>
  <c r="M332" i="47"/>
  <c r="M325" i="47"/>
  <c r="P325" i="47" s="1"/>
  <c r="M324" i="47"/>
  <c r="M320" i="47"/>
  <c r="P320" i="47" s="1"/>
  <c r="M318" i="47"/>
  <c r="M317" i="47"/>
  <c r="M316" i="47"/>
  <c r="M308" i="47"/>
  <c r="P308" i="47" s="1"/>
  <c r="M307" i="47"/>
  <c r="M302" i="47"/>
  <c r="P302" i="47" s="1"/>
  <c r="M300" i="47"/>
  <c r="P300" i="47" s="1"/>
  <c r="M299" i="47"/>
  <c r="P299" i="47" s="1"/>
  <c r="M296" i="47"/>
  <c r="M295" i="47"/>
  <c r="P295" i="47" s="1"/>
  <c r="M292" i="47"/>
  <c r="P292" i="47" s="1"/>
  <c r="M286" i="47"/>
  <c r="P286" i="47" s="1"/>
  <c r="M284" i="47"/>
  <c r="M280" i="47"/>
  <c r="M273" i="47"/>
  <c r="P273" i="47" s="1"/>
  <c r="M272" i="47"/>
  <c r="M268" i="47"/>
  <c r="P268" i="47" s="1"/>
  <c r="M266" i="47"/>
  <c r="M265" i="47"/>
  <c r="M263" i="47"/>
  <c r="M255" i="47"/>
  <c r="P255" i="47" s="1"/>
  <c r="M254" i="47"/>
  <c r="M249" i="47"/>
  <c r="P249" i="47" s="1"/>
  <c r="M247" i="47"/>
  <c r="P247" i="47" s="1"/>
  <c r="M246" i="47"/>
  <c r="P246" i="47" s="1"/>
  <c r="M243" i="47"/>
  <c r="M242" i="47"/>
  <c r="P242" i="47" s="1"/>
  <c r="M239" i="47"/>
  <c r="P239" i="47" s="1"/>
  <c r="M233" i="47"/>
  <c r="P233" i="47" s="1"/>
  <c r="M231" i="47"/>
  <c r="M227" i="47"/>
  <c r="M220" i="47"/>
  <c r="P220" i="47" s="1"/>
  <c r="M219" i="47"/>
  <c r="M215" i="47"/>
  <c r="P215" i="47" s="1"/>
  <c r="M213" i="47"/>
  <c r="M212" i="47"/>
  <c r="M210" i="47"/>
  <c r="M209" i="47"/>
  <c r="P209" i="47" s="1"/>
  <c r="M208" i="47"/>
  <c r="P208" i="47" s="1"/>
  <c r="M200" i="47"/>
  <c r="P200" i="47" s="1"/>
  <c r="M199" i="47"/>
  <c r="M194" i="47"/>
  <c r="P194" i="47" s="1"/>
  <c r="M192" i="47"/>
  <c r="P192" i="47" s="1"/>
  <c r="M191" i="47"/>
  <c r="P191" i="47" s="1"/>
  <c r="M188" i="47"/>
  <c r="M187" i="47"/>
  <c r="P187" i="47" s="1"/>
  <c r="M184" i="47"/>
  <c r="P184" i="47" s="1"/>
  <c r="M178" i="47"/>
  <c r="P178" i="47" s="1"/>
  <c r="M176" i="47"/>
  <c r="M172" i="47"/>
  <c r="M165" i="47"/>
  <c r="P165" i="47" s="1"/>
  <c r="M164" i="47"/>
  <c r="M160" i="47"/>
  <c r="P160" i="47" s="1"/>
  <c r="M158" i="47"/>
  <c r="M157" i="47"/>
  <c r="M155" i="47"/>
  <c r="P155" i="47" s="1"/>
  <c r="M154" i="47"/>
  <c r="P154" i="47" s="1"/>
  <c r="M151" i="47"/>
  <c r="M150" i="47"/>
  <c r="M149" i="47"/>
  <c r="M142" i="47"/>
  <c r="P142" i="47" s="1"/>
  <c r="M141" i="47"/>
  <c r="M137" i="47"/>
  <c r="P137" i="47" s="1"/>
  <c r="M135" i="47"/>
  <c r="P135" i="47" s="1"/>
  <c r="M134" i="47"/>
  <c r="P134" i="47" s="1"/>
  <c r="M131" i="47"/>
  <c r="M124" i="47"/>
  <c r="P124" i="47" s="1"/>
  <c r="M123" i="47"/>
  <c r="M120" i="47"/>
  <c r="M118" i="47"/>
  <c r="M117" i="47"/>
  <c r="P117" i="47" s="1"/>
  <c r="M114" i="47"/>
  <c r="P114" i="47" s="1"/>
  <c r="M113" i="47"/>
  <c r="P113" i="47" s="1"/>
  <c r="M112" i="47"/>
  <c r="M111" i="47"/>
  <c r="P111" i="47" s="1"/>
  <c r="M110" i="47"/>
  <c r="P110" i="47" s="1"/>
  <c r="M106" i="47"/>
  <c r="P106" i="47" s="1"/>
  <c r="M104" i="47"/>
  <c r="M94" i="47"/>
  <c r="P94" i="47" s="1"/>
  <c r="M93" i="47"/>
  <c r="M89" i="47"/>
  <c r="P89" i="47" s="1"/>
  <c r="M87" i="47"/>
  <c r="P87" i="47" s="1"/>
  <c r="M86" i="47"/>
  <c r="P86" i="47" s="1"/>
  <c r="M83" i="47"/>
  <c r="M82" i="47"/>
  <c r="P82" i="47" s="1"/>
  <c r="M79" i="47"/>
  <c r="P79" i="47" s="1"/>
  <c r="M73" i="47"/>
  <c r="P73" i="47" s="1"/>
  <c r="M71" i="47"/>
  <c r="M67" i="47"/>
  <c r="M60" i="47"/>
  <c r="P60" i="47" s="1"/>
  <c r="M59" i="47"/>
  <c r="M55" i="47"/>
  <c r="P55" i="47" s="1"/>
  <c r="M53" i="47"/>
  <c r="M52" i="47"/>
  <c r="M50" i="47"/>
  <c r="P50" i="47" s="1"/>
  <c r="M49" i="47"/>
  <c r="P49" i="47" s="1"/>
  <c r="M46" i="47"/>
  <c r="M45" i="47"/>
  <c r="M42" i="47"/>
  <c r="M40" i="47"/>
  <c r="M34" i="47"/>
  <c r="P34" i="47" s="1"/>
  <c r="M33" i="47"/>
  <c r="M28" i="47"/>
  <c r="M27" i="47"/>
  <c r="M21" i="47"/>
  <c r="M12" i="47"/>
  <c r="P12" i="47" s="1"/>
  <c r="M8" i="47"/>
  <c r="P8" i="47" s="1"/>
  <c r="M5" i="47"/>
  <c r="P5" i="47" s="1"/>
  <c r="M2" i="47"/>
  <c r="P2" i="47" s="1"/>
  <c r="AR46" i="23" l="1"/>
  <c r="AR28" i="23"/>
  <c r="AR26" i="23"/>
  <c r="AR20" i="23"/>
  <c r="AR5" i="23"/>
  <c r="AR3" i="23"/>
  <c r="X2" i="20"/>
  <c r="X3" i="20"/>
  <c r="X4" i="20"/>
  <c r="X5" i="20"/>
  <c r="X6" i="20"/>
  <c r="X7" i="20"/>
  <c r="X8" i="20"/>
  <c r="X9" i="20"/>
  <c r="X10" i="20"/>
  <c r="X11" i="20"/>
  <c r="X12" i="20"/>
  <c r="X13" i="20"/>
  <c r="X14" i="20"/>
  <c r="X15" i="20"/>
  <c r="W3" i="18" l="1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2" i="18"/>
  <c r="AF104" i="17" l="1"/>
  <c r="AF97" i="17"/>
  <c r="AF87" i="17"/>
  <c r="AF56" i="17"/>
  <c r="AF45" i="17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" i="15"/>
  <c r="AD237" i="6"/>
  <c r="AD51" i="6"/>
  <c r="AB237" i="6" l="1"/>
  <c r="AB51" i="6"/>
  <c r="U1262" i="7"/>
  <c r="U1261" i="7"/>
  <c r="U78" i="7"/>
  <c r="S1262" i="7" l="1"/>
  <c r="S78" i="7"/>
  <c r="T154" i="7"/>
  <c r="T79" i="7"/>
  <c r="U154" i="7"/>
  <c r="U79" i="7"/>
  <c r="T347" i="7"/>
  <c r="U347" i="7"/>
  <c r="T408" i="7"/>
  <c r="U408" i="7"/>
  <c r="T696" i="7"/>
  <c r="U696" i="7"/>
  <c r="T480" i="7"/>
  <c r="U480" i="7"/>
  <c r="T545" i="7"/>
  <c r="U545" i="7"/>
  <c r="T1341" i="7"/>
  <c r="T1164" i="7"/>
  <c r="T1095" i="7"/>
  <c r="T1026" i="7"/>
  <c r="U1341" i="7"/>
  <c r="U1164" i="7"/>
  <c r="U1095" i="7"/>
  <c r="U1026" i="7"/>
  <c r="T148" i="7"/>
  <c r="T67" i="7"/>
  <c r="U148" i="7"/>
  <c r="U67" i="7"/>
  <c r="T74" i="7"/>
  <c r="U74" i="7"/>
  <c r="T1232" i="7"/>
  <c r="U1232" i="7"/>
  <c r="T410" i="7"/>
  <c r="T349" i="7"/>
  <c r="U410" i="7"/>
  <c r="U349" i="7"/>
  <c r="T960" i="7"/>
  <c r="T831" i="7"/>
  <c r="U960" i="7"/>
  <c r="U831" i="7"/>
  <c r="T551" i="7"/>
  <c r="T486" i="7"/>
  <c r="U486" i="7"/>
  <c r="U551" i="7"/>
  <c r="T1343" i="7"/>
  <c r="T1167" i="7"/>
  <c r="T1099" i="7"/>
  <c r="T1032" i="7"/>
  <c r="T699" i="7"/>
  <c r="T634" i="7"/>
  <c r="U1343" i="7"/>
  <c r="U1167" i="7"/>
  <c r="U1099" i="7"/>
  <c r="U1032" i="7"/>
  <c r="U699" i="7"/>
  <c r="U634" i="7"/>
  <c r="T133" i="7"/>
  <c r="T53" i="7"/>
  <c r="U133" i="7"/>
  <c r="U53" i="7"/>
  <c r="T1325" i="7"/>
  <c r="T1157" i="7"/>
  <c r="T1089" i="7"/>
  <c r="U1325" i="7"/>
  <c r="U1157" i="7"/>
  <c r="U1089" i="7"/>
  <c r="T1022" i="7"/>
  <c r="T897" i="7"/>
  <c r="T759" i="7"/>
  <c r="U1022" i="7"/>
  <c r="U897" i="7"/>
  <c r="U759" i="7"/>
  <c r="T690" i="7"/>
  <c r="T624" i="7"/>
  <c r="U690" i="7"/>
  <c r="U624" i="7"/>
  <c r="T476" i="7"/>
  <c r="U476" i="7"/>
  <c r="T541" i="7"/>
  <c r="U541" i="7"/>
  <c r="W486" i="7" l="1"/>
  <c r="W1099" i="7"/>
  <c r="W634" i="7"/>
  <c r="W1167" i="7"/>
  <c r="W551" i="7"/>
  <c r="W1026" i="7"/>
  <c r="W545" i="7"/>
  <c r="W696" i="7"/>
  <c r="W1286" i="7"/>
  <c r="W1290" i="7"/>
  <c r="W1294" i="7"/>
  <c r="W1298" i="7"/>
  <c r="W1302" i="7"/>
  <c r="W1306" i="7"/>
  <c r="W1310" i="7"/>
  <c r="W1314" i="7"/>
  <c r="W1318" i="7"/>
  <c r="W1322" i="7"/>
  <c r="W1326" i="7"/>
  <c r="W1330" i="7"/>
  <c r="W1334" i="7"/>
  <c r="W1338" i="7"/>
  <c r="W1342" i="7"/>
  <c r="W1346" i="7"/>
  <c r="W1350" i="7"/>
  <c r="W1283" i="7"/>
  <c r="W1287" i="7"/>
  <c r="W1291" i="7"/>
  <c r="W1295" i="7"/>
  <c r="W1299" i="7"/>
  <c r="W1303" i="7"/>
  <c r="W1307" i="7"/>
  <c r="W1311" i="7"/>
  <c r="W1315" i="7"/>
  <c r="W1319" i="7"/>
  <c r="W1323" i="7"/>
  <c r="W1327" i="7"/>
  <c r="W1331" i="7"/>
  <c r="W1335" i="7"/>
  <c r="W1339" i="7"/>
  <c r="W1347" i="7"/>
  <c r="W1284" i="7"/>
  <c r="W1288" i="7"/>
  <c r="W1292" i="7"/>
  <c r="W1296" i="7"/>
  <c r="W1300" i="7"/>
  <c r="W1304" i="7"/>
  <c r="W1308" i="7"/>
  <c r="W1312" i="7"/>
  <c r="W1316" i="7"/>
  <c r="W1320" i="7"/>
  <c r="W1324" i="7"/>
  <c r="W1328" i="7"/>
  <c r="W1332" i="7"/>
  <c r="W1336" i="7"/>
  <c r="W1340" i="7"/>
  <c r="W1344" i="7"/>
  <c r="W1348" i="7"/>
  <c r="W1285" i="7"/>
  <c r="W1289" i="7"/>
  <c r="W1293" i="7"/>
  <c r="W1297" i="7"/>
  <c r="W1301" i="7"/>
  <c r="W1305" i="7"/>
  <c r="W1309" i="7"/>
  <c r="W1313" i="7"/>
  <c r="W1317" i="7"/>
  <c r="W1321" i="7"/>
  <c r="W1325" i="7"/>
  <c r="W1329" i="7"/>
  <c r="W1333" i="7"/>
  <c r="W1337" i="7"/>
  <c r="W1345" i="7"/>
  <c r="W1349" i="7"/>
  <c r="W699" i="7"/>
  <c r="W1095" i="7"/>
  <c r="W493" i="7"/>
  <c r="W497" i="7"/>
  <c r="W501" i="7"/>
  <c r="W505" i="7"/>
  <c r="W509" i="7"/>
  <c r="W513" i="7"/>
  <c r="W517" i="7"/>
  <c r="W521" i="7"/>
  <c r="W525" i="7"/>
  <c r="W529" i="7"/>
  <c r="W533" i="7"/>
  <c r="W537" i="7"/>
  <c r="W541" i="7"/>
  <c r="W549" i="7"/>
  <c r="W553" i="7"/>
  <c r="W557" i="7"/>
  <c r="W492" i="7"/>
  <c r="W496" i="7"/>
  <c r="W500" i="7"/>
  <c r="W504" i="7"/>
  <c r="W508" i="7"/>
  <c r="W512" i="7"/>
  <c r="W516" i="7"/>
  <c r="W520" i="7"/>
  <c r="W524" i="7"/>
  <c r="W528" i="7"/>
  <c r="W532" i="7"/>
  <c r="W536" i="7"/>
  <c r="W540" i="7"/>
  <c r="W544" i="7"/>
  <c r="W548" i="7"/>
  <c r="W552" i="7"/>
  <c r="W556" i="7"/>
  <c r="W494" i="7"/>
  <c r="W502" i="7"/>
  <c r="W510" i="7"/>
  <c r="W518" i="7"/>
  <c r="W526" i="7"/>
  <c r="W534" i="7"/>
  <c r="W542" i="7"/>
  <c r="W550" i="7"/>
  <c r="W495" i="7"/>
  <c r="W503" i="7"/>
  <c r="W511" i="7"/>
  <c r="W519" i="7"/>
  <c r="W527" i="7"/>
  <c r="W535" i="7"/>
  <c r="W543" i="7"/>
  <c r="W498" i="7"/>
  <c r="W506" i="7"/>
  <c r="W514" i="7"/>
  <c r="W522" i="7"/>
  <c r="W530" i="7"/>
  <c r="W538" i="7"/>
  <c r="W546" i="7"/>
  <c r="W554" i="7"/>
  <c r="W491" i="7"/>
  <c r="W499" i="7"/>
  <c r="W507" i="7"/>
  <c r="W515" i="7"/>
  <c r="W523" i="7"/>
  <c r="W531" i="7"/>
  <c r="W539" i="7"/>
  <c r="W547" i="7"/>
  <c r="W555" i="7"/>
  <c r="W561" i="7"/>
  <c r="W565" i="7"/>
  <c r="W569" i="7"/>
  <c r="W573" i="7"/>
  <c r="W577" i="7"/>
  <c r="W581" i="7"/>
  <c r="W585" i="7"/>
  <c r="W589" i="7"/>
  <c r="W593" i="7"/>
  <c r="W597" i="7"/>
  <c r="W601" i="7"/>
  <c r="W605" i="7"/>
  <c r="W609" i="7"/>
  <c r="W613" i="7"/>
  <c r="W617" i="7"/>
  <c r="W621" i="7"/>
  <c r="W625" i="7"/>
  <c r="W629" i="7"/>
  <c r="W633" i="7"/>
  <c r="W637" i="7"/>
  <c r="W560" i="7"/>
  <c r="W564" i="7"/>
  <c r="W568" i="7"/>
  <c r="W572" i="7"/>
  <c r="W576" i="7"/>
  <c r="W580" i="7"/>
  <c r="W584" i="7"/>
  <c r="W588" i="7"/>
  <c r="W592" i="7"/>
  <c r="W596" i="7"/>
  <c r="W600" i="7"/>
  <c r="W604" i="7"/>
  <c r="W608" i="7"/>
  <c r="W612" i="7"/>
  <c r="W616" i="7"/>
  <c r="W620" i="7"/>
  <c r="W624" i="7"/>
  <c r="W628" i="7"/>
  <c r="W632" i="7"/>
  <c r="W636" i="7"/>
  <c r="W640" i="7"/>
  <c r="W566" i="7"/>
  <c r="W574" i="7"/>
  <c r="W582" i="7"/>
  <c r="W590" i="7"/>
  <c r="W598" i="7"/>
  <c r="W606" i="7"/>
  <c r="W614" i="7"/>
  <c r="W622" i="7"/>
  <c r="W630" i="7"/>
  <c r="W638" i="7"/>
  <c r="W567" i="7"/>
  <c r="W575" i="7"/>
  <c r="W583" i="7"/>
  <c r="W591" i="7"/>
  <c r="W599" i="7"/>
  <c r="W607" i="7"/>
  <c r="W615" i="7"/>
  <c r="W623" i="7"/>
  <c r="W631" i="7"/>
  <c r="W639" i="7"/>
  <c r="W562" i="7"/>
  <c r="W570" i="7"/>
  <c r="W578" i="7"/>
  <c r="W586" i="7"/>
  <c r="W594" i="7"/>
  <c r="W602" i="7"/>
  <c r="W610" i="7"/>
  <c r="W618" i="7"/>
  <c r="W626" i="7"/>
  <c r="W563" i="7"/>
  <c r="W571" i="7"/>
  <c r="W579" i="7"/>
  <c r="W587" i="7"/>
  <c r="W595" i="7"/>
  <c r="W603" i="7"/>
  <c r="W611" i="7"/>
  <c r="W619" i="7"/>
  <c r="W627" i="7"/>
  <c r="W635" i="7"/>
  <c r="W1343" i="7"/>
  <c r="W431" i="7"/>
  <c r="W435" i="7"/>
  <c r="W439" i="7"/>
  <c r="W443" i="7"/>
  <c r="W447" i="7"/>
  <c r="W451" i="7"/>
  <c r="W455" i="7"/>
  <c r="W459" i="7"/>
  <c r="W463" i="7"/>
  <c r="W467" i="7"/>
  <c r="W471" i="7"/>
  <c r="W475" i="7"/>
  <c r="W479" i="7"/>
  <c r="W483" i="7"/>
  <c r="W432" i="7"/>
  <c r="W437" i="7"/>
  <c r="W442" i="7"/>
  <c r="W448" i="7"/>
  <c r="W453" i="7"/>
  <c r="W458" i="7"/>
  <c r="W464" i="7"/>
  <c r="W469" i="7"/>
  <c r="W474" i="7"/>
  <c r="W485" i="7"/>
  <c r="W489" i="7"/>
  <c r="W430" i="7"/>
  <c r="W436" i="7"/>
  <c r="W441" i="7"/>
  <c r="W446" i="7"/>
  <c r="W452" i="7"/>
  <c r="W457" i="7"/>
  <c r="W462" i="7"/>
  <c r="W468" i="7"/>
  <c r="W473" i="7"/>
  <c r="W478" i="7"/>
  <c r="W484" i="7"/>
  <c r="W488" i="7"/>
  <c r="W433" i="7"/>
  <c r="W444" i="7"/>
  <c r="W454" i="7"/>
  <c r="W465" i="7"/>
  <c r="W476" i="7"/>
  <c r="W434" i="7"/>
  <c r="W445" i="7"/>
  <c r="W456" i="7"/>
  <c r="W466" i="7"/>
  <c r="W477" i="7"/>
  <c r="W487" i="7"/>
  <c r="W428" i="7"/>
  <c r="W438" i="7"/>
  <c r="W449" i="7"/>
  <c r="W460" i="7"/>
  <c r="W470" i="7"/>
  <c r="W481" i="7"/>
  <c r="W490" i="7"/>
  <c r="W429" i="7"/>
  <c r="W440" i="7"/>
  <c r="W450" i="7"/>
  <c r="W461" i="7"/>
  <c r="W472" i="7"/>
  <c r="W482" i="7"/>
  <c r="W971" i="7"/>
  <c r="W975" i="7"/>
  <c r="W979" i="7"/>
  <c r="W983" i="7"/>
  <c r="W987" i="7"/>
  <c r="W991" i="7"/>
  <c r="W995" i="7"/>
  <c r="W999" i="7"/>
  <c r="W1003" i="7"/>
  <c r="W1007" i="7"/>
  <c r="W1011" i="7"/>
  <c r="W1015" i="7"/>
  <c r="W1019" i="7"/>
  <c r="W1023" i="7"/>
  <c r="W1027" i="7"/>
  <c r="W974" i="7"/>
  <c r="W978" i="7"/>
  <c r="W982" i="7"/>
  <c r="W986" i="7"/>
  <c r="W976" i="7"/>
  <c r="W984" i="7"/>
  <c r="W990" i="7"/>
  <c r="W996" i="7"/>
  <c r="W1001" i="7"/>
  <c r="W1006" i="7"/>
  <c r="W1012" i="7"/>
  <c r="W1017" i="7"/>
  <c r="W1022" i="7"/>
  <c r="W1028" i="7"/>
  <c r="W1036" i="7"/>
  <c r="W977" i="7"/>
  <c r="W985" i="7"/>
  <c r="W992" i="7"/>
  <c r="W997" i="7"/>
  <c r="W1002" i="7"/>
  <c r="W1008" i="7"/>
  <c r="W1013" i="7"/>
  <c r="W1018" i="7"/>
  <c r="W1024" i="7"/>
  <c r="W1029" i="7"/>
  <c r="W1033" i="7"/>
  <c r="W1037" i="7"/>
  <c r="W972" i="7"/>
  <c r="W980" i="7"/>
  <c r="W988" i="7"/>
  <c r="W993" i="7"/>
  <c r="W998" i="7"/>
  <c r="W1004" i="7"/>
  <c r="W1009" i="7"/>
  <c r="W1014" i="7"/>
  <c r="W1020" i="7"/>
  <c r="W1025" i="7"/>
  <c r="W1030" i="7"/>
  <c r="W1034" i="7"/>
  <c r="W1038" i="7"/>
  <c r="W994" i="7"/>
  <c r="W1016" i="7"/>
  <c r="W1035" i="7"/>
  <c r="W973" i="7"/>
  <c r="W1000" i="7"/>
  <c r="W1021" i="7"/>
  <c r="W981" i="7"/>
  <c r="W1005" i="7"/>
  <c r="W989" i="7"/>
  <c r="W1010" i="7"/>
  <c r="W1031" i="7"/>
  <c r="W1040" i="7"/>
  <c r="W1044" i="7"/>
  <c r="W1048" i="7"/>
  <c r="W1052" i="7"/>
  <c r="W1056" i="7"/>
  <c r="W1060" i="7"/>
  <c r="W1064" i="7"/>
  <c r="W1068" i="7"/>
  <c r="W1072" i="7"/>
  <c r="W1076" i="7"/>
  <c r="W1080" i="7"/>
  <c r="W1084" i="7"/>
  <c r="W1088" i="7"/>
  <c r="W1092" i="7"/>
  <c r="W1096" i="7"/>
  <c r="W1100" i="7"/>
  <c r="W1104" i="7"/>
  <c r="W1041" i="7"/>
  <c r="W1045" i="7"/>
  <c r="W1049" i="7"/>
  <c r="W1053" i="7"/>
  <c r="W1057" i="7"/>
  <c r="W1061" i="7"/>
  <c r="W1065" i="7"/>
  <c r="W1069" i="7"/>
  <c r="W1073" i="7"/>
  <c r="W1077" i="7"/>
  <c r="W1081" i="7"/>
  <c r="W1085" i="7"/>
  <c r="W1089" i="7"/>
  <c r="W1093" i="7"/>
  <c r="W1097" i="7"/>
  <c r="W1101" i="7"/>
  <c r="W1105" i="7"/>
  <c r="W1042" i="7"/>
  <c r="W1046" i="7"/>
  <c r="W1050" i="7"/>
  <c r="W1054" i="7"/>
  <c r="W1058" i="7"/>
  <c r="W1062" i="7"/>
  <c r="W1066" i="7"/>
  <c r="W1070" i="7"/>
  <c r="W1074" i="7"/>
  <c r="W1078" i="7"/>
  <c r="W1082" i="7"/>
  <c r="W1086" i="7"/>
  <c r="W1090" i="7"/>
  <c r="W1094" i="7"/>
  <c r="W1098" i="7"/>
  <c r="W1102" i="7"/>
  <c r="W1106" i="7"/>
  <c r="W1051" i="7"/>
  <c r="W1067" i="7"/>
  <c r="W1083" i="7"/>
  <c r="W1039" i="7"/>
  <c r="W1055" i="7"/>
  <c r="W1071" i="7"/>
  <c r="W1087" i="7"/>
  <c r="W1103" i="7"/>
  <c r="W1043" i="7"/>
  <c r="W1059" i="7"/>
  <c r="W1075" i="7"/>
  <c r="W1091" i="7"/>
  <c r="W1047" i="7"/>
  <c r="W1063" i="7"/>
  <c r="W1079" i="7"/>
  <c r="W1032" i="7"/>
  <c r="W1164" i="7"/>
  <c r="W480" i="7"/>
  <c r="W641" i="7"/>
  <c r="W645" i="7"/>
  <c r="W649" i="7"/>
  <c r="W653" i="7"/>
  <c r="W657" i="7"/>
  <c r="W661" i="7"/>
  <c r="W665" i="7"/>
  <c r="W669" i="7"/>
  <c r="W673" i="7"/>
  <c r="W677" i="7"/>
  <c r="W681" i="7"/>
  <c r="W685" i="7"/>
  <c r="W689" i="7"/>
  <c r="W693" i="7"/>
  <c r="W697" i="7"/>
  <c r="W701" i="7"/>
  <c r="W644" i="7"/>
  <c r="W648" i="7"/>
  <c r="W652" i="7"/>
  <c r="W656" i="7"/>
  <c r="W660" i="7"/>
  <c r="W664" i="7"/>
  <c r="W668" i="7"/>
  <c r="W672" i="7"/>
  <c r="W676" i="7"/>
  <c r="W680" i="7"/>
  <c r="W684" i="7"/>
  <c r="W688" i="7"/>
  <c r="W646" i="7"/>
  <c r="W654" i="7"/>
  <c r="W662" i="7"/>
  <c r="W670" i="7"/>
  <c r="W678" i="7"/>
  <c r="W686" i="7"/>
  <c r="W692" i="7"/>
  <c r="W698" i="7"/>
  <c r="W703" i="7"/>
  <c r="W707" i="7"/>
  <c r="W647" i="7"/>
  <c r="W655" i="7"/>
  <c r="W663" i="7"/>
  <c r="W671" i="7"/>
  <c r="W679" i="7"/>
  <c r="W687" i="7"/>
  <c r="W694" i="7"/>
  <c r="W704" i="7"/>
  <c r="W642" i="7"/>
  <c r="W650" i="7"/>
  <c r="W658" i="7"/>
  <c r="W666" i="7"/>
  <c r="W674" i="7"/>
  <c r="W682" i="7"/>
  <c r="W690" i="7"/>
  <c r="W695" i="7"/>
  <c r="W700" i="7"/>
  <c r="W705" i="7"/>
  <c r="W643" i="7"/>
  <c r="W651" i="7"/>
  <c r="W659" i="7"/>
  <c r="W667" i="7"/>
  <c r="W675" i="7"/>
  <c r="W683" i="7"/>
  <c r="W691" i="7"/>
  <c r="W702" i="7"/>
  <c r="W706" i="7"/>
  <c r="W1108" i="7"/>
  <c r="W1112" i="7"/>
  <c r="W1116" i="7"/>
  <c r="W1120" i="7"/>
  <c r="W1124" i="7"/>
  <c r="W1128" i="7"/>
  <c r="W1132" i="7"/>
  <c r="W1136" i="7"/>
  <c r="W1140" i="7"/>
  <c r="W1144" i="7"/>
  <c r="W1148" i="7"/>
  <c r="W1152" i="7"/>
  <c r="W1156" i="7"/>
  <c r="W1160" i="7"/>
  <c r="W1168" i="7"/>
  <c r="W1172" i="7"/>
  <c r="W1109" i="7"/>
  <c r="W1113" i="7"/>
  <c r="W1117" i="7"/>
  <c r="W1121" i="7"/>
  <c r="W1125" i="7"/>
  <c r="W1129" i="7"/>
  <c r="W1133" i="7"/>
  <c r="W1137" i="7"/>
  <c r="W1141" i="7"/>
  <c r="W1145" i="7"/>
  <c r="W1149" i="7"/>
  <c r="W1153" i="7"/>
  <c r="W1157" i="7"/>
  <c r="W1161" i="7"/>
  <c r="W1165" i="7"/>
  <c r="W1169" i="7"/>
  <c r="W1173" i="7"/>
  <c r="W1110" i="7"/>
  <c r="W1114" i="7"/>
  <c r="W1118" i="7"/>
  <c r="W1122" i="7"/>
  <c r="W1126" i="7"/>
  <c r="W1130" i="7"/>
  <c r="W1134" i="7"/>
  <c r="W1138" i="7"/>
  <c r="W1142" i="7"/>
  <c r="W1146" i="7"/>
  <c r="W1150" i="7"/>
  <c r="W1154" i="7"/>
  <c r="W1158" i="7"/>
  <c r="W1162" i="7"/>
  <c r="W1166" i="7"/>
  <c r="W1170" i="7"/>
  <c r="W1174" i="7"/>
  <c r="W1115" i="7"/>
  <c r="W1131" i="7"/>
  <c r="W1147" i="7"/>
  <c r="W1163" i="7"/>
  <c r="W1119" i="7"/>
  <c r="W1135" i="7"/>
  <c r="W1151" i="7"/>
  <c r="W1107" i="7"/>
  <c r="W1123" i="7"/>
  <c r="W1139" i="7"/>
  <c r="W1155" i="7"/>
  <c r="W1171" i="7"/>
  <c r="W1111" i="7"/>
  <c r="W1127" i="7"/>
  <c r="W1143" i="7"/>
  <c r="W1159" i="7"/>
  <c r="W1341" i="7"/>
  <c r="U422" i="7"/>
  <c r="T422" i="7"/>
  <c r="U364" i="7"/>
  <c r="T364" i="7"/>
  <c r="S498" i="8"/>
  <c r="T498" i="8"/>
  <c r="S528" i="8"/>
  <c r="T528" i="8"/>
  <c r="S493" i="8"/>
  <c r="T493" i="8"/>
  <c r="S477" i="8"/>
  <c r="T477" i="8"/>
  <c r="S435" i="8"/>
  <c r="T435" i="8"/>
  <c r="S409" i="8"/>
  <c r="T409" i="8"/>
  <c r="S378" i="8"/>
  <c r="T378" i="8"/>
  <c r="S316" i="8"/>
  <c r="T316" i="8"/>
  <c r="S287" i="8"/>
  <c r="T287" i="8"/>
  <c r="S269" i="8"/>
  <c r="T269" i="8"/>
  <c r="S254" i="8"/>
  <c r="T254" i="8"/>
  <c r="S235" i="8"/>
  <c r="T235" i="8"/>
  <c r="S212" i="8"/>
  <c r="T212" i="8"/>
  <c r="S203" i="8"/>
  <c r="T203" i="8"/>
  <c r="S187" i="8"/>
  <c r="T187" i="8"/>
  <c r="S137" i="8"/>
  <c r="T137" i="8"/>
  <c r="S66" i="8"/>
  <c r="T66" i="8"/>
  <c r="S5" i="8"/>
  <c r="T5" i="8"/>
  <c r="S527" i="8"/>
  <c r="T527" i="8"/>
  <c r="S501" i="8"/>
  <c r="T501" i="8"/>
  <c r="S434" i="8"/>
  <c r="T434" i="8"/>
  <c r="S410" i="8"/>
  <c r="T410" i="8"/>
  <c r="S377" i="8"/>
  <c r="T377" i="8"/>
  <c r="S357" i="8"/>
  <c r="T357" i="8"/>
  <c r="S340" i="8"/>
  <c r="T340" i="8"/>
  <c r="S286" i="8"/>
  <c r="T286" i="8"/>
  <c r="S319" i="8"/>
  <c r="T319" i="8"/>
  <c r="S255" i="8"/>
  <c r="T255" i="8"/>
  <c r="S234" i="8"/>
  <c r="T234" i="8"/>
  <c r="S206" i="8"/>
  <c r="T206" i="8"/>
  <c r="S188" i="8"/>
  <c r="T188" i="8"/>
  <c r="S168" i="8"/>
  <c r="T168" i="8"/>
  <c r="S158" i="8"/>
  <c r="T158" i="8"/>
  <c r="S139" i="8"/>
  <c r="T139" i="8"/>
  <c r="S69" i="8"/>
  <c r="T69" i="8"/>
  <c r="S6" i="8"/>
  <c r="T6" i="8"/>
  <c r="S3" i="8"/>
  <c r="T3" i="8"/>
  <c r="A255" i="8"/>
  <c r="W364" i="7" l="1"/>
  <c r="W422" i="7"/>
  <c r="W408" i="7"/>
  <c r="W417" i="7"/>
  <c r="W374" i="7"/>
  <c r="W392" i="7"/>
  <c r="W401" i="7"/>
  <c r="W425" i="7"/>
  <c r="W404" i="7"/>
  <c r="W382" i="7"/>
  <c r="W421" i="7"/>
  <c r="W394" i="7"/>
  <c r="W373" i="7"/>
  <c r="W419" i="7"/>
  <c r="W403" i="7"/>
  <c r="W387" i="7"/>
  <c r="W371" i="7"/>
  <c r="W365" i="7"/>
  <c r="W317" i="7"/>
  <c r="W312" i="7"/>
  <c r="W306" i="7"/>
  <c r="W322" i="7"/>
  <c r="W350" i="7"/>
  <c r="W329" i="7"/>
  <c r="W308" i="7"/>
  <c r="W310" i="7"/>
  <c r="W352" i="7"/>
  <c r="W330" i="7"/>
  <c r="W309" i="7"/>
  <c r="W351" i="7"/>
  <c r="W335" i="7"/>
  <c r="W319" i="7"/>
  <c r="W397" i="7"/>
  <c r="W406" i="7"/>
  <c r="W424" i="7"/>
  <c r="W381" i="7"/>
  <c r="W390" i="7"/>
  <c r="W420" i="7"/>
  <c r="W398" i="7"/>
  <c r="W377" i="7"/>
  <c r="W416" i="7"/>
  <c r="W389" i="7"/>
  <c r="W368" i="7"/>
  <c r="W415" i="7"/>
  <c r="W399" i="7"/>
  <c r="W383" i="7"/>
  <c r="W367" i="7"/>
  <c r="W354" i="7"/>
  <c r="W353" i="7"/>
  <c r="W360" i="7"/>
  <c r="W358" i="7"/>
  <c r="W366" i="7"/>
  <c r="W345" i="7"/>
  <c r="W324" i="7"/>
  <c r="W326" i="7"/>
  <c r="W305" i="7"/>
  <c r="W346" i="7"/>
  <c r="W325" i="7"/>
  <c r="W363" i="7"/>
  <c r="W347" i="7"/>
  <c r="W331" i="7"/>
  <c r="W315" i="7"/>
  <c r="W349" i="7"/>
  <c r="W386" i="7"/>
  <c r="W396" i="7"/>
  <c r="W413" i="7"/>
  <c r="W370" i="7"/>
  <c r="W380" i="7"/>
  <c r="W414" i="7"/>
  <c r="W393" i="7"/>
  <c r="W372" i="7"/>
  <c r="W405" i="7"/>
  <c r="W384" i="7"/>
  <c r="W427" i="7"/>
  <c r="W411" i="7"/>
  <c r="W395" i="7"/>
  <c r="W379" i="7"/>
  <c r="W344" i="7"/>
  <c r="W342" i="7"/>
  <c r="W338" i="7"/>
  <c r="W348" i="7"/>
  <c r="W361" i="7"/>
  <c r="W340" i="7"/>
  <c r="W318" i="7"/>
  <c r="W321" i="7"/>
  <c r="W362" i="7"/>
  <c r="W341" i="7"/>
  <c r="W320" i="7"/>
  <c r="W359" i="7"/>
  <c r="W343" i="7"/>
  <c r="W327" i="7"/>
  <c r="W311" i="7"/>
  <c r="W418" i="7"/>
  <c r="W376" i="7"/>
  <c r="W385" i="7"/>
  <c r="W402" i="7"/>
  <c r="W412" i="7"/>
  <c r="W369" i="7"/>
  <c r="W409" i="7"/>
  <c r="W388" i="7"/>
  <c r="W426" i="7"/>
  <c r="W400" i="7"/>
  <c r="W378" i="7"/>
  <c r="W423" i="7"/>
  <c r="W407" i="7"/>
  <c r="W391" i="7"/>
  <c r="W375" i="7"/>
  <c r="W410" i="7"/>
  <c r="W333" i="7"/>
  <c r="W332" i="7"/>
  <c r="W328" i="7"/>
  <c r="W337" i="7"/>
  <c r="W356" i="7"/>
  <c r="W334" i="7"/>
  <c r="W313" i="7"/>
  <c r="W316" i="7"/>
  <c r="W357" i="7"/>
  <c r="W336" i="7"/>
  <c r="W314" i="7"/>
  <c r="W355" i="7"/>
  <c r="W339" i="7"/>
  <c r="W323" i="7"/>
  <c r="W307" i="7"/>
  <c r="B8" i="2"/>
  <c r="AD209" i="6" l="1"/>
  <c r="AD119" i="6"/>
  <c r="AD109" i="6"/>
  <c r="AD117" i="6"/>
  <c r="AD208" i="6"/>
  <c r="AD140" i="6"/>
  <c r="AD210" i="6"/>
  <c r="AD106" i="6"/>
  <c r="AD150" i="6"/>
  <c r="AD133" i="6"/>
  <c r="AD207" i="6"/>
  <c r="AD116" i="6"/>
  <c r="U28" i="7"/>
  <c r="U65" i="7"/>
  <c r="W65" i="7" l="1"/>
  <c r="W2" i="7"/>
  <c r="W3" i="7"/>
  <c r="W7" i="7"/>
  <c r="W11" i="7"/>
  <c r="W15" i="7"/>
  <c r="W19" i="7"/>
  <c r="W23" i="7"/>
  <c r="W27" i="7"/>
  <c r="W31" i="7"/>
  <c r="W35" i="7"/>
  <c r="W39" i="7"/>
  <c r="W43" i="7"/>
  <c r="W47" i="7"/>
  <c r="W51" i="7"/>
  <c r="W55" i="7"/>
  <c r="W59" i="7"/>
  <c r="W63" i="7"/>
  <c r="W71" i="7"/>
  <c r="W75" i="7"/>
  <c r="W4" i="7"/>
  <c r="W8" i="7"/>
  <c r="W12" i="7"/>
  <c r="W16" i="7"/>
  <c r="W20" i="7"/>
  <c r="W24" i="7"/>
  <c r="W28" i="7"/>
  <c r="W32" i="7"/>
  <c r="W36" i="7"/>
  <c r="W40" i="7"/>
  <c r="W44" i="7"/>
  <c r="W48" i="7"/>
  <c r="W52" i="7"/>
  <c r="W56" i="7"/>
  <c r="W60" i="7"/>
  <c r="W64" i="7"/>
  <c r="W68" i="7"/>
  <c r="W72" i="7"/>
  <c r="W76" i="7"/>
  <c r="W80" i="7"/>
  <c r="W5" i="7"/>
  <c r="W9" i="7"/>
  <c r="W13" i="7"/>
  <c r="W17" i="7"/>
  <c r="W21" i="7"/>
  <c r="W25" i="7"/>
  <c r="W29" i="7"/>
  <c r="W33" i="7"/>
  <c r="W37" i="7"/>
  <c r="W41" i="7"/>
  <c r="W45" i="7"/>
  <c r="W49" i="7"/>
  <c r="W57" i="7"/>
  <c r="W61" i="7"/>
  <c r="W69" i="7"/>
  <c r="W73" i="7"/>
  <c r="W77" i="7"/>
  <c r="W6" i="7"/>
  <c r="W10" i="7"/>
  <c r="W14" i="7"/>
  <c r="W18" i="7"/>
  <c r="W22" i="7"/>
  <c r="W26" i="7"/>
  <c r="W30" i="7"/>
  <c r="W34" i="7"/>
  <c r="W38" i="7"/>
  <c r="W42" i="7"/>
  <c r="W46" i="7"/>
  <c r="W50" i="7"/>
  <c r="W54" i="7"/>
  <c r="W58" i="7"/>
  <c r="W62" i="7"/>
  <c r="W66" i="7"/>
  <c r="W70" i="7"/>
  <c r="W78" i="7"/>
  <c r="W67" i="7"/>
  <c r="W79" i="7"/>
  <c r="W53" i="7"/>
  <c r="W74" i="7"/>
  <c r="AI133" i="6"/>
  <c r="AI207" i="6"/>
  <c r="AI150" i="6"/>
  <c r="AI116" i="6"/>
  <c r="AI91" i="6"/>
  <c r="AI95" i="6"/>
  <c r="AI99" i="6"/>
  <c r="AI103" i="6"/>
  <c r="AI107" i="6"/>
  <c r="AI111" i="6"/>
  <c r="AI115" i="6"/>
  <c r="AI123" i="6"/>
  <c r="AI127" i="6"/>
  <c r="AI131" i="6"/>
  <c r="AI135" i="6"/>
  <c r="AI139" i="6"/>
  <c r="AI143" i="6"/>
  <c r="AI147" i="6"/>
  <c r="AI151" i="6"/>
  <c r="AI155" i="6"/>
  <c r="AI159" i="6"/>
  <c r="AI163" i="6"/>
  <c r="AI167" i="6"/>
  <c r="AI171" i="6"/>
  <c r="AI175" i="6"/>
  <c r="AI179" i="6"/>
  <c r="AI183" i="6"/>
  <c r="AI187" i="6"/>
  <c r="AI191" i="6"/>
  <c r="AI195" i="6"/>
  <c r="AI199" i="6"/>
  <c r="AI203" i="6"/>
  <c r="AI211" i="6"/>
  <c r="AI215" i="6"/>
  <c r="AI219" i="6"/>
  <c r="AI92" i="6"/>
  <c r="AI96" i="6"/>
  <c r="AI100" i="6"/>
  <c r="AI104" i="6"/>
  <c r="AI108" i="6"/>
  <c r="AI112" i="6"/>
  <c r="AI120" i="6"/>
  <c r="AI124" i="6"/>
  <c r="AI128" i="6"/>
  <c r="AI132" i="6"/>
  <c r="AI136" i="6"/>
  <c r="AI144" i="6"/>
  <c r="AI148" i="6"/>
  <c r="AI152" i="6"/>
  <c r="AI156" i="6"/>
  <c r="AI160" i="6"/>
  <c r="AI164" i="6"/>
  <c r="AI168" i="6"/>
  <c r="AI172" i="6"/>
  <c r="AI176" i="6"/>
  <c r="AI180" i="6"/>
  <c r="AI184" i="6"/>
  <c r="AI188" i="6"/>
  <c r="AI192" i="6"/>
  <c r="AI196" i="6"/>
  <c r="AI200" i="6"/>
  <c r="AI204" i="6"/>
  <c r="AI212" i="6"/>
  <c r="AI216" i="6"/>
  <c r="AI220" i="6"/>
  <c r="AI93" i="6"/>
  <c r="AI97" i="6"/>
  <c r="AI101" i="6"/>
  <c r="AI105" i="6"/>
  <c r="AI113" i="6"/>
  <c r="AI121" i="6"/>
  <c r="AI125" i="6"/>
  <c r="AI129" i="6"/>
  <c r="AI137" i="6"/>
  <c r="AI141" i="6"/>
  <c r="AI145" i="6"/>
  <c r="AI149" i="6"/>
  <c r="AI153" i="6"/>
  <c r="AI157" i="6"/>
  <c r="AI161" i="6"/>
  <c r="AI165" i="6"/>
  <c r="AI169" i="6"/>
  <c r="AI173" i="6"/>
  <c r="AI177" i="6"/>
  <c r="AI181" i="6"/>
  <c r="AI185" i="6"/>
  <c r="AI189" i="6"/>
  <c r="AI193" i="6"/>
  <c r="AI197" i="6"/>
  <c r="AI201" i="6"/>
  <c r="AI205" i="6"/>
  <c r="AI213" i="6"/>
  <c r="AI217" i="6"/>
  <c r="AI221" i="6"/>
  <c r="AI94" i="6"/>
  <c r="AI98" i="6"/>
  <c r="AI102" i="6"/>
  <c r="AI106" i="6"/>
  <c r="AI110" i="6"/>
  <c r="AI114" i="6"/>
  <c r="AI118" i="6"/>
  <c r="AI122" i="6"/>
  <c r="AI126" i="6"/>
  <c r="AI130" i="6"/>
  <c r="AI134" i="6"/>
  <c r="AI138" i="6"/>
  <c r="AI142" i="6"/>
  <c r="AI146" i="6"/>
  <c r="AI154" i="6"/>
  <c r="AI158" i="6"/>
  <c r="AI162" i="6"/>
  <c r="AI166" i="6"/>
  <c r="AI170" i="6"/>
  <c r="AI174" i="6"/>
  <c r="AI178" i="6"/>
  <c r="AI182" i="6"/>
  <c r="AI186" i="6"/>
  <c r="AI190" i="6"/>
  <c r="AI194" i="6"/>
  <c r="AI198" i="6"/>
  <c r="AI202" i="6"/>
  <c r="AI206" i="6"/>
  <c r="AI214" i="6"/>
  <c r="AI218" i="6"/>
  <c r="AI222" i="6"/>
  <c r="AI117" i="6"/>
  <c r="AI210" i="6"/>
  <c r="AI109" i="6"/>
  <c r="AI140" i="6"/>
  <c r="AI119" i="6"/>
  <c r="AI208" i="6"/>
  <c r="AI209" i="6"/>
  <c r="S65" i="7"/>
  <c r="AB116" i="6"/>
  <c r="AB106" i="6"/>
  <c r="AB210" i="6"/>
  <c r="AB133" i="6"/>
  <c r="AB140" i="6"/>
  <c r="AB119" i="6"/>
  <c r="AB117" i="6"/>
  <c r="AB207" i="6"/>
  <c r="AB109" i="6"/>
  <c r="AB150" i="6"/>
  <c r="AB208" i="6"/>
  <c r="AB209" i="6"/>
  <c r="S28" i="7"/>
  <c r="AD14" i="6" l="1"/>
  <c r="AD84" i="6"/>
  <c r="AD22" i="6"/>
  <c r="AD21" i="6"/>
  <c r="AD36" i="6"/>
  <c r="AD83" i="6"/>
  <c r="AD85" i="6"/>
  <c r="AD26" i="6"/>
  <c r="AD48" i="6"/>
  <c r="AD23" i="6"/>
  <c r="AD82" i="6"/>
  <c r="AI23" i="6" l="1"/>
  <c r="AI84" i="6"/>
  <c r="AI83" i="6"/>
  <c r="AI48" i="6"/>
  <c r="AI36" i="6"/>
  <c r="AI2" i="6"/>
  <c r="AI3" i="6"/>
  <c r="AI7" i="6"/>
  <c r="AI11" i="6"/>
  <c r="AI15" i="6"/>
  <c r="AI19" i="6"/>
  <c r="AI27" i="6"/>
  <c r="AI31" i="6"/>
  <c r="AI35" i="6"/>
  <c r="AI39" i="6"/>
  <c r="AI43" i="6"/>
  <c r="AI47" i="6"/>
  <c r="AI55" i="6"/>
  <c r="AI59" i="6"/>
  <c r="AI63" i="6"/>
  <c r="AI67" i="6"/>
  <c r="AI71" i="6"/>
  <c r="AI75" i="6"/>
  <c r="AI79" i="6"/>
  <c r="AI87" i="6"/>
  <c r="AI4" i="6"/>
  <c r="AI8" i="6"/>
  <c r="AI12" i="6"/>
  <c r="AI16" i="6"/>
  <c r="AI20" i="6"/>
  <c r="AI24" i="6"/>
  <c r="AI28" i="6"/>
  <c r="AI32" i="6"/>
  <c r="AI40" i="6"/>
  <c r="AI44" i="6"/>
  <c r="AI52" i="6"/>
  <c r="AI56" i="6"/>
  <c r="AI60" i="6"/>
  <c r="AI64" i="6"/>
  <c r="AI68" i="6"/>
  <c r="AI72" i="6"/>
  <c r="AI76" i="6"/>
  <c r="AI80" i="6"/>
  <c r="AI88" i="6"/>
  <c r="AI5" i="6"/>
  <c r="AI9" i="6"/>
  <c r="AI13" i="6"/>
  <c r="AI17" i="6"/>
  <c r="AI25" i="6"/>
  <c r="AI29" i="6"/>
  <c r="AI33" i="6"/>
  <c r="AI37" i="6"/>
  <c r="AI41" i="6"/>
  <c r="AI45" i="6"/>
  <c r="AI49" i="6"/>
  <c r="AI53" i="6"/>
  <c r="AI57" i="6"/>
  <c r="AI61" i="6"/>
  <c r="AI65" i="6"/>
  <c r="AI69" i="6"/>
  <c r="AI73" i="6"/>
  <c r="AI77" i="6"/>
  <c r="AI81" i="6"/>
  <c r="AI89" i="6"/>
  <c r="AI6" i="6"/>
  <c r="AI10" i="6"/>
  <c r="AI14" i="6"/>
  <c r="AI18" i="6"/>
  <c r="AI30" i="6"/>
  <c r="AI34" i="6"/>
  <c r="AI38" i="6"/>
  <c r="AI42" i="6"/>
  <c r="AI46" i="6"/>
  <c r="AI50" i="6"/>
  <c r="AI54" i="6"/>
  <c r="AI58" i="6"/>
  <c r="AI62" i="6"/>
  <c r="AI66" i="6"/>
  <c r="AI70" i="6"/>
  <c r="AI74" i="6"/>
  <c r="AI78" i="6"/>
  <c r="AI86" i="6"/>
  <c r="AI90" i="6"/>
  <c r="AI51" i="6"/>
  <c r="AI26" i="6"/>
  <c r="AI21" i="6"/>
  <c r="AI82" i="6"/>
  <c r="AI85" i="6"/>
  <c r="AI22" i="6"/>
  <c r="AB82" i="6"/>
  <c r="AB85" i="6"/>
  <c r="AB84" i="6"/>
  <c r="AB48" i="6"/>
  <c r="AB36" i="6"/>
  <c r="AB14" i="6"/>
  <c r="AB22" i="6"/>
  <c r="AB23" i="6"/>
  <c r="AB83" i="6"/>
  <c r="AB26" i="6"/>
  <c r="AB21" i="6"/>
  <c r="U957" i="7"/>
  <c r="U880" i="7"/>
  <c r="AD1444" i="6"/>
  <c r="AD1577" i="6"/>
  <c r="AD1402" i="6"/>
  <c r="AD1578" i="6"/>
  <c r="AD1448" i="6"/>
  <c r="AD1576" i="6"/>
  <c r="AD1416" i="6"/>
  <c r="AD1575" i="6"/>
  <c r="AD1459" i="6"/>
  <c r="AD1183" i="6"/>
  <c r="AD1311" i="6"/>
  <c r="AD1206" i="6"/>
  <c r="AD1255" i="6"/>
  <c r="AD1312" i="6"/>
  <c r="AD1313" i="6"/>
  <c r="AD1139" i="6"/>
  <c r="AD1145" i="6"/>
  <c r="U826" i="7"/>
  <c r="U749" i="7"/>
  <c r="AD946" i="6"/>
  <c r="AD1074" i="6"/>
  <c r="AD940" i="6"/>
  <c r="AD1075" i="6"/>
  <c r="AD976" i="6"/>
  <c r="AD1073" i="6"/>
  <c r="AD922" i="6"/>
  <c r="AD1020" i="6"/>
  <c r="U1274" i="7"/>
  <c r="U1254" i="7"/>
  <c r="U1219" i="7"/>
  <c r="U1188" i="7"/>
  <c r="W957" i="7" l="1"/>
  <c r="W1274" i="7"/>
  <c r="W826" i="7"/>
  <c r="W1176" i="7"/>
  <c r="W1180" i="7"/>
  <c r="W1184" i="7"/>
  <c r="W1188" i="7"/>
  <c r="W1192" i="7"/>
  <c r="W1196" i="7"/>
  <c r="W1200" i="7"/>
  <c r="W1204" i="7"/>
  <c r="W1208" i="7"/>
  <c r="W1212" i="7"/>
  <c r="W1216" i="7"/>
  <c r="W1220" i="7"/>
  <c r="W1224" i="7"/>
  <c r="W1228" i="7"/>
  <c r="W1236" i="7"/>
  <c r="W1240" i="7"/>
  <c r="W1177" i="7"/>
  <c r="W1181" i="7"/>
  <c r="W1185" i="7"/>
  <c r="W1189" i="7"/>
  <c r="W1193" i="7"/>
  <c r="W1197" i="7"/>
  <c r="W1201" i="7"/>
  <c r="W1205" i="7"/>
  <c r="W1209" i="7"/>
  <c r="W1213" i="7"/>
  <c r="W1217" i="7"/>
  <c r="W1221" i="7"/>
  <c r="W1225" i="7"/>
  <c r="W1229" i="7"/>
  <c r="W1233" i="7"/>
  <c r="W1237" i="7"/>
  <c r="W1241" i="7"/>
  <c r="W1178" i="7"/>
  <c r="W1182" i="7"/>
  <c r="W1186" i="7"/>
  <c r="W1190" i="7"/>
  <c r="W1194" i="7"/>
  <c r="W1198" i="7"/>
  <c r="W1202" i="7"/>
  <c r="W1206" i="7"/>
  <c r="W1210" i="7"/>
  <c r="W1214" i="7"/>
  <c r="W1218" i="7"/>
  <c r="W1222" i="7"/>
  <c r="W1226" i="7"/>
  <c r="W1230" i="7"/>
  <c r="W1179" i="7"/>
  <c r="W1195" i="7"/>
  <c r="W1211" i="7"/>
  <c r="W1227" i="7"/>
  <c r="W1238" i="7"/>
  <c r="W1183" i="7"/>
  <c r="W1199" i="7"/>
  <c r="W1215" i="7"/>
  <c r="W1231" i="7"/>
  <c r="W1239" i="7"/>
  <c r="W1187" i="7"/>
  <c r="W1203" i="7"/>
  <c r="W1234" i="7"/>
  <c r="W1175" i="7"/>
  <c r="W1191" i="7"/>
  <c r="W1207" i="7"/>
  <c r="W1223" i="7"/>
  <c r="W1235" i="7"/>
  <c r="W1232" i="7"/>
  <c r="W711" i="7"/>
  <c r="W715" i="7"/>
  <c r="W719" i="7"/>
  <c r="W723" i="7"/>
  <c r="W727" i="7"/>
  <c r="W731" i="7"/>
  <c r="W735" i="7"/>
  <c r="W739" i="7"/>
  <c r="W743" i="7"/>
  <c r="W747" i="7"/>
  <c r="W751" i="7"/>
  <c r="W755" i="7"/>
  <c r="W763" i="7"/>
  <c r="W767" i="7"/>
  <c r="W771" i="7"/>
  <c r="W775" i="7"/>
  <c r="W779" i="7"/>
  <c r="W783" i="7"/>
  <c r="W787" i="7"/>
  <c r="W791" i="7"/>
  <c r="W795" i="7"/>
  <c r="W799" i="7"/>
  <c r="W803" i="7"/>
  <c r="W807" i="7"/>
  <c r="W811" i="7"/>
  <c r="W815" i="7"/>
  <c r="W819" i="7"/>
  <c r="W823" i="7"/>
  <c r="W827" i="7"/>
  <c r="W835" i="7"/>
  <c r="W839" i="7"/>
  <c r="W712" i="7"/>
  <c r="W716" i="7"/>
  <c r="W720" i="7"/>
  <c r="W724" i="7"/>
  <c r="W728" i="7"/>
  <c r="W732" i="7"/>
  <c r="W736" i="7"/>
  <c r="W740" i="7"/>
  <c r="W744" i="7"/>
  <c r="W748" i="7"/>
  <c r="W752" i="7"/>
  <c r="W756" i="7"/>
  <c r="W760" i="7"/>
  <c r="W764" i="7"/>
  <c r="W768" i="7"/>
  <c r="W772" i="7"/>
  <c r="W776" i="7"/>
  <c r="W780" i="7"/>
  <c r="W784" i="7"/>
  <c r="W788" i="7"/>
  <c r="W792" i="7"/>
  <c r="W796" i="7"/>
  <c r="W800" i="7"/>
  <c r="W804" i="7"/>
  <c r="W808" i="7"/>
  <c r="W812" i="7"/>
  <c r="W816" i="7"/>
  <c r="W820" i="7"/>
  <c r="W824" i="7"/>
  <c r="W828" i="7"/>
  <c r="W832" i="7"/>
  <c r="W836" i="7"/>
  <c r="W709" i="7"/>
  <c r="W713" i="7"/>
  <c r="W717" i="7"/>
  <c r="W721" i="7"/>
  <c r="W725" i="7"/>
  <c r="W729" i="7"/>
  <c r="W733" i="7"/>
  <c r="W737" i="7"/>
  <c r="W741" i="7"/>
  <c r="W745" i="7"/>
  <c r="W749" i="7"/>
  <c r="W753" i="7"/>
  <c r="W757" i="7"/>
  <c r="W761" i="7"/>
  <c r="W765" i="7"/>
  <c r="W769" i="7"/>
  <c r="W773" i="7"/>
  <c r="W777" i="7"/>
  <c r="W781" i="7"/>
  <c r="W785" i="7"/>
  <c r="W789" i="7"/>
  <c r="W793" i="7"/>
  <c r="W797" i="7"/>
  <c r="W801" i="7"/>
  <c r="W805" i="7"/>
  <c r="W809" i="7"/>
  <c r="W813" i="7"/>
  <c r="W817" i="7"/>
  <c r="W821" i="7"/>
  <c r="W825" i="7"/>
  <c r="W829" i="7"/>
  <c r="W833" i="7"/>
  <c r="W837" i="7"/>
  <c r="W710" i="7"/>
  <c r="W714" i="7"/>
  <c r="W718" i="7"/>
  <c r="W722" i="7"/>
  <c r="W726" i="7"/>
  <c r="W730" i="7"/>
  <c r="W734" i="7"/>
  <c r="W738" i="7"/>
  <c r="W742" i="7"/>
  <c r="W746" i="7"/>
  <c r="W750" i="7"/>
  <c r="W754" i="7"/>
  <c r="W758" i="7"/>
  <c r="W762" i="7"/>
  <c r="W766" i="7"/>
  <c r="W770" i="7"/>
  <c r="W774" i="7"/>
  <c r="W778" i="7"/>
  <c r="W782" i="7"/>
  <c r="W786" i="7"/>
  <c r="W790" i="7"/>
  <c r="W794" i="7"/>
  <c r="W798" i="7"/>
  <c r="W802" i="7"/>
  <c r="W806" i="7"/>
  <c r="W810" i="7"/>
  <c r="W814" i="7"/>
  <c r="W818" i="7"/>
  <c r="W822" i="7"/>
  <c r="W830" i="7"/>
  <c r="W834" i="7"/>
  <c r="W838" i="7"/>
  <c r="W759" i="7"/>
  <c r="W831" i="7"/>
  <c r="W1219" i="7"/>
  <c r="W1244" i="7"/>
  <c r="W1248" i="7"/>
  <c r="W1252" i="7"/>
  <c r="W1256" i="7"/>
  <c r="W1260" i="7"/>
  <c r="W1264" i="7"/>
  <c r="W1268" i="7"/>
  <c r="W1272" i="7"/>
  <c r="W1276" i="7"/>
  <c r="W1245" i="7"/>
  <c r="W1249" i="7"/>
  <c r="W1253" i="7"/>
  <c r="W1257" i="7"/>
  <c r="W1265" i="7"/>
  <c r="W1269" i="7"/>
  <c r="W1273" i="7"/>
  <c r="W1277" i="7"/>
  <c r="W1246" i="7"/>
  <c r="W1254" i="7"/>
  <c r="W1270" i="7"/>
  <c r="W1278" i="7"/>
  <c r="W1247" i="7"/>
  <c r="W1255" i="7"/>
  <c r="W1263" i="7"/>
  <c r="W1271" i="7"/>
  <c r="W1279" i="7"/>
  <c r="W1242" i="7"/>
  <c r="W1250" i="7"/>
  <c r="W1258" i="7"/>
  <c r="W1266" i="7"/>
  <c r="W1243" i="7"/>
  <c r="W1251" i="7"/>
  <c r="W1259" i="7"/>
  <c r="W1267" i="7"/>
  <c r="W1275" i="7"/>
  <c r="W1262" i="7"/>
  <c r="W1261" i="7"/>
  <c r="W843" i="7"/>
  <c r="W847" i="7"/>
  <c r="W851" i="7"/>
  <c r="W855" i="7"/>
  <c r="W859" i="7"/>
  <c r="W863" i="7"/>
  <c r="W867" i="7"/>
  <c r="W871" i="7"/>
  <c r="W875" i="7"/>
  <c r="W879" i="7"/>
  <c r="W883" i="7"/>
  <c r="W887" i="7"/>
  <c r="W891" i="7"/>
  <c r="W895" i="7"/>
  <c r="W899" i="7"/>
  <c r="W903" i="7"/>
  <c r="W907" i="7"/>
  <c r="W911" i="7"/>
  <c r="W915" i="7"/>
  <c r="W919" i="7"/>
  <c r="W923" i="7"/>
  <c r="W927" i="7"/>
  <c r="W931" i="7"/>
  <c r="W935" i="7"/>
  <c r="W939" i="7"/>
  <c r="W943" i="7"/>
  <c r="W947" i="7"/>
  <c r="W951" i="7"/>
  <c r="W955" i="7"/>
  <c r="W959" i="7"/>
  <c r="W963" i="7"/>
  <c r="W967" i="7"/>
  <c r="W840" i="7"/>
  <c r="W844" i="7"/>
  <c r="W848" i="7"/>
  <c r="W852" i="7"/>
  <c r="W856" i="7"/>
  <c r="W860" i="7"/>
  <c r="W864" i="7"/>
  <c r="W868" i="7"/>
  <c r="W841" i="7"/>
  <c r="W845" i="7"/>
  <c r="W849" i="7"/>
  <c r="W853" i="7"/>
  <c r="W857" i="7"/>
  <c r="W861" i="7"/>
  <c r="W865" i="7"/>
  <c r="W842" i="7"/>
  <c r="W846" i="7"/>
  <c r="W850" i="7"/>
  <c r="W854" i="7"/>
  <c r="W858" i="7"/>
  <c r="W862" i="7"/>
  <c r="W866" i="7"/>
  <c r="W870" i="7"/>
  <c r="W874" i="7"/>
  <c r="W878" i="7"/>
  <c r="W882" i="7"/>
  <c r="W886" i="7"/>
  <c r="W890" i="7"/>
  <c r="W894" i="7"/>
  <c r="W898" i="7"/>
  <c r="W902" i="7"/>
  <c r="W906" i="7"/>
  <c r="W910" i="7"/>
  <c r="W914" i="7"/>
  <c r="W918" i="7"/>
  <c r="W922" i="7"/>
  <c r="W926" i="7"/>
  <c r="W930" i="7"/>
  <c r="W934" i="7"/>
  <c r="W938" i="7"/>
  <c r="W942" i="7"/>
  <c r="W946" i="7"/>
  <c r="W950" i="7"/>
  <c r="W954" i="7"/>
  <c r="W958" i="7"/>
  <c r="W962" i="7"/>
  <c r="W966" i="7"/>
  <c r="W970" i="7"/>
  <c r="W872" i="7"/>
  <c r="W880" i="7"/>
  <c r="W888" i="7"/>
  <c r="W896" i="7"/>
  <c r="W904" i="7"/>
  <c r="W912" i="7"/>
  <c r="W920" i="7"/>
  <c r="W928" i="7"/>
  <c r="W936" i="7"/>
  <c r="W944" i="7"/>
  <c r="W952" i="7"/>
  <c r="W968" i="7"/>
  <c r="W873" i="7"/>
  <c r="W881" i="7"/>
  <c r="W889" i="7"/>
  <c r="W905" i="7"/>
  <c r="W913" i="7"/>
  <c r="W921" i="7"/>
  <c r="W929" i="7"/>
  <c r="W937" i="7"/>
  <c r="W945" i="7"/>
  <c r="W953" i="7"/>
  <c r="W961" i="7"/>
  <c r="W969" i="7"/>
  <c r="W876" i="7"/>
  <c r="W884" i="7"/>
  <c r="W892" i="7"/>
  <c r="W900" i="7"/>
  <c r="W908" i="7"/>
  <c r="W916" i="7"/>
  <c r="W924" i="7"/>
  <c r="W932" i="7"/>
  <c r="W940" i="7"/>
  <c r="W948" i="7"/>
  <c r="W956" i="7"/>
  <c r="W964" i="7"/>
  <c r="W869" i="7"/>
  <c r="W901" i="7"/>
  <c r="W933" i="7"/>
  <c r="W965" i="7"/>
  <c r="W877" i="7"/>
  <c r="W909" i="7"/>
  <c r="W941" i="7"/>
  <c r="W885" i="7"/>
  <c r="W917" i="7"/>
  <c r="W949" i="7"/>
  <c r="W893" i="7"/>
  <c r="W925" i="7"/>
  <c r="W960" i="7"/>
  <c r="W897" i="7"/>
  <c r="AI1073" i="6"/>
  <c r="AI1459" i="6"/>
  <c r="AI1444" i="6"/>
  <c r="AI1074" i="6"/>
  <c r="AI1145" i="6"/>
  <c r="AI1448" i="6"/>
  <c r="AI1255" i="6"/>
  <c r="AI976" i="6"/>
  <c r="AI946" i="6"/>
  <c r="AI1127" i="6"/>
  <c r="AI1131" i="6"/>
  <c r="AI1135" i="6"/>
  <c r="AI1139" i="6"/>
  <c r="AI1143" i="6"/>
  <c r="AI1147" i="6"/>
  <c r="AI1151" i="6"/>
  <c r="AI1155" i="6"/>
  <c r="AI1159" i="6"/>
  <c r="AI1163" i="6"/>
  <c r="AI1167" i="6"/>
  <c r="AI1171" i="6"/>
  <c r="AI1175" i="6"/>
  <c r="AI1179" i="6"/>
  <c r="AI1187" i="6"/>
  <c r="AI1191" i="6"/>
  <c r="AI1195" i="6"/>
  <c r="AI1199" i="6"/>
  <c r="AI1203" i="6"/>
  <c r="AI1207" i="6"/>
  <c r="AI1211" i="6"/>
  <c r="AI1215" i="6"/>
  <c r="AI1219" i="6"/>
  <c r="AI1223" i="6"/>
  <c r="AI1227" i="6"/>
  <c r="AI1231" i="6"/>
  <c r="AI1235" i="6"/>
  <c r="AI1128" i="6"/>
  <c r="AI1133" i="6"/>
  <c r="AI1138" i="6"/>
  <c r="AI1144" i="6"/>
  <c r="AI1149" i="6"/>
  <c r="AI1154" i="6"/>
  <c r="AI1160" i="6"/>
  <c r="AI1165" i="6"/>
  <c r="AI1170" i="6"/>
  <c r="AI1176" i="6"/>
  <c r="AI1181" i="6"/>
  <c r="AI1186" i="6"/>
  <c r="AI1192" i="6"/>
  <c r="AI1197" i="6"/>
  <c r="AI1202" i="6"/>
  <c r="AI1208" i="6"/>
  <c r="AI1213" i="6"/>
  <c r="AI1218" i="6"/>
  <c r="AI1224" i="6"/>
  <c r="AI1229" i="6"/>
  <c r="AI1234" i="6"/>
  <c r="AI1239" i="6"/>
  <c r="AI1243" i="6"/>
  <c r="AI1247" i="6"/>
  <c r="AI1251" i="6"/>
  <c r="AI1259" i="6"/>
  <c r="AI1263" i="6"/>
  <c r="AI1267" i="6"/>
  <c r="AI1271" i="6"/>
  <c r="AI1275" i="6"/>
  <c r="AI1279" i="6"/>
  <c r="AI1283" i="6"/>
  <c r="AI1287" i="6"/>
  <c r="AI1291" i="6"/>
  <c r="AI1295" i="6"/>
  <c r="AI1299" i="6"/>
  <c r="AI1129" i="6"/>
  <c r="AI1134" i="6"/>
  <c r="AI1140" i="6"/>
  <c r="AI1150" i="6"/>
  <c r="AI1156" i="6"/>
  <c r="AI1161" i="6"/>
  <c r="AI1166" i="6"/>
  <c r="AI1172" i="6"/>
  <c r="AI1177" i="6"/>
  <c r="AI1182" i="6"/>
  <c r="AI1188" i="6"/>
  <c r="AI1193" i="6"/>
  <c r="AI1198" i="6"/>
  <c r="AI1204" i="6"/>
  <c r="AI1209" i="6"/>
  <c r="AI1214" i="6"/>
  <c r="AI1220" i="6"/>
  <c r="AI1225" i="6"/>
  <c r="AI1230" i="6"/>
  <c r="AI1236" i="6"/>
  <c r="AI1240" i="6"/>
  <c r="AI1244" i="6"/>
  <c r="AI1248" i="6"/>
  <c r="AI1252" i="6"/>
  <c r="AI1256" i="6"/>
  <c r="AI1260" i="6"/>
  <c r="AI1264" i="6"/>
  <c r="AI1268" i="6"/>
  <c r="AI1272" i="6"/>
  <c r="AI1276" i="6"/>
  <c r="AI1280" i="6"/>
  <c r="AI1284" i="6"/>
  <c r="AI1288" i="6"/>
  <c r="AI1292" i="6"/>
  <c r="AI1296" i="6"/>
  <c r="AI1300" i="6"/>
  <c r="AI1304" i="6"/>
  <c r="AI1308" i="6"/>
  <c r="AI1316" i="6"/>
  <c r="AI1320" i="6"/>
  <c r="AI1324" i="6"/>
  <c r="AI1328" i="6"/>
  <c r="AI1332" i="6"/>
  <c r="AI1336" i="6"/>
  <c r="AI1340" i="6"/>
  <c r="AI1344" i="6"/>
  <c r="AI1348" i="6"/>
  <c r="AI1352" i="6"/>
  <c r="AI1356" i="6"/>
  <c r="AI1360" i="6"/>
  <c r="AI1125" i="6"/>
  <c r="AI1130" i="6"/>
  <c r="AI1136" i="6"/>
  <c r="AI1141" i="6"/>
  <c r="AI1146" i="6"/>
  <c r="AI1152" i="6"/>
  <c r="AI1157" i="6"/>
  <c r="AI1162" i="6"/>
  <c r="AI1168" i="6"/>
  <c r="AI1173" i="6"/>
  <c r="AI1178" i="6"/>
  <c r="AI1184" i="6"/>
  <c r="AI1189" i="6"/>
  <c r="AI1194" i="6"/>
  <c r="AI1200" i="6"/>
  <c r="AI1205" i="6"/>
  <c r="AI1210" i="6"/>
  <c r="AI1216" i="6"/>
  <c r="AI1221" i="6"/>
  <c r="AI1226" i="6"/>
  <c r="AI1232" i="6"/>
  <c r="AI1237" i="6"/>
  <c r="AI1241" i="6"/>
  <c r="AI1245" i="6"/>
  <c r="AI1249" i="6"/>
  <c r="AI1253" i="6"/>
  <c r="AI1257" i="6"/>
  <c r="AI1261" i="6"/>
  <c r="AI1265" i="6"/>
  <c r="AI1269" i="6"/>
  <c r="AI1273" i="6"/>
  <c r="AI1277" i="6"/>
  <c r="AI1281" i="6"/>
  <c r="AI1285" i="6"/>
  <c r="AI1289" i="6"/>
  <c r="AI1126" i="6"/>
  <c r="AI1132" i="6"/>
  <c r="AI1137" i="6"/>
  <c r="AI1142" i="6"/>
  <c r="AI1148" i="6"/>
  <c r="AI1153" i="6"/>
  <c r="AI1158" i="6"/>
  <c r="AI1164" i="6"/>
  <c r="AI1169" i="6"/>
  <c r="AI1174" i="6"/>
  <c r="AI1180" i="6"/>
  <c r="AI1185" i="6"/>
  <c r="AI1190" i="6"/>
  <c r="AI1196" i="6"/>
  <c r="AI1201" i="6"/>
  <c r="AI1212" i="6"/>
  <c r="AI1217" i="6"/>
  <c r="AI1222" i="6"/>
  <c r="AI1228" i="6"/>
  <c r="AI1233" i="6"/>
  <c r="AI1238" i="6"/>
  <c r="AI1242" i="6"/>
  <c r="AI1246" i="6"/>
  <c r="AI1250" i="6"/>
  <c r="AI1254" i="6"/>
  <c r="AI1258" i="6"/>
  <c r="AI1262" i="6"/>
  <c r="AI1266" i="6"/>
  <c r="AI1270" i="6"/>
  <c r="AI1274" i="6"/>
  <c r="AI1278" i="6"/>
  <c r="AI1282" i="6"/>
  <c r="AI1286" i="6"/>
  <c r="AI1290" i="6"/>
  <c r="AI1294" i="6"/>
  <c r="AI1298" i="6"/>
  <c r="AI1302" i="6"/>
  <c r="AI1306" i="6"/>
  <c r="AI1310" i="6"/>
  <c r="AI1314" i="6"/>
  <c r="AI1318" i="6"/>
  <c r="AI1322" i="6"/>
  <c r="AI1326" i="6"/>
  <c r="AI1330" i="6"/>
  <c r="AI1334" i="6"/>
  <c r="AI1338" i="6"/>
  <c r="AI1342" i="6"/>
  <c r="AI1346" i="6"/>
  <c r="AI1350" i="6"/>
  <c r="AI1354" i="6"/>
  <c r="AI1358" i="6"/>
  <c r="AI1297" i="6"/>
  <c r="AI1307" i="6"/>
  <c r="AI1315" i="6"/>
  <c r="AI1323" i="6"/>
  <c r="AI1331" i="6"/>
  <c r="AI1339" i="6"/>
  <c r="AI1347" i="6"/>
  <c r="AI1355" i="6"/>
  <c r="AI1301" i="6"/>
  <c r="AI1309" i="6"/>
  <c r="AI1317" i="6"/>
  <c r="AI1325" i="6"/>
  <c r="AI1333" i="6"/>
  <c r="AI1341" i="6"/>
  <c r="AI1349" i="6"/>
  <c r="AI1357" i="6"/>
  <c r="AI1303" i="6"/>
  <c r="AI1319" i="6"/>
  <c r="AI1327" i="6"/>
  <c r="AI1335" i="6"/>
  <c r="AI1343" i="6"/>
  <c r="AI1351" i="6"/>
  <c r="AI1359" i="6"/>
  <c r="AI1293" i="6"/>
  <c r="AI1305" i="6"/>
  <c r="AI1321" i="6"/>
  <c r="AI1329" i="6"/>
  <c r="AI1337" i="6"/>
  <c r="AI1345" i="6"/>
  <c r="AI1353" i="6"/>
  <c r="AI1206" i="6"/>
  <c r="AI1575" i="6"/>
  <c r="AI1578" i="6"/>
  <c r="AI1020" i="6"/>
  <c r="AI1075" i="6"/>
  <c r="AI1313" i="6"/>
  <c r="AI1311" i="6"/>
  <c r="AI1416" i="6"/>
  <c r="AI1364" i="6"/>
  <c r="AI1368" i="6"/>
  <c r="AI1372" i="6"/>
  <c r="AI1376" i="6"/>
  <c r="AI1380" i="6"/>
  <c r="AI1384" i="6"/>
  <c r="AI1388" i="6"/>
  <c r="AI1392" i="6"/>
  <c r="AI1362" i="6"/>
  <c r="AI1366" i="6"/>
  <c r="AI1370" i="6"/>
  <c r="AI1374" i="6"/>
  <c r="AI1378" i="6"/>
  <c r="AI1382" i="6"/>
  <c r="AI1386" i="6"/>
  <c r="AI1363" i="6"/>
  <c r="AI1371" i="6"/>
  <c r="AI1379" i="6"/>
  <c r="AI1387" i="6"/>
  <c r="AI1393" i="6"/>
  <c r="AI1397" i="6"/>
  <c r="AI1401" i="6"/>
  <c r="AI1405" i="6"/>
  <c r="AI1409" i="6"/>
  <c r="AI1413" i="6"/>
  <c r="AI1417" i="6"/>
  <c r="AI1421" i="6"/>
  <c r="AI1425" i="6"/>
  <c r="AI1429" i="6"/>
  <c r="AI1433" i="6"/>
  <c r="AI1437" i="6"/>
  <c r="AI1441" i="6"/>
  <c r="AI1445" i="6"/>
  <c r="AI1449" i="6"/>
  <c r="AI1453" i="6"/>
  <c r="AI1457" i="6"/>
  <c r="AI1461" i="6"/>
  <c r="AI1465" i="6"/>
  <c r="AI1469" i="6"/>
  <c r="AI1473" i="6"/>
  <c r="AI1477" i="6"/>
  <c r="AI1481" i="6"/>
  <c r="AI1485" i="6"/>
  <c r="AI1489" i="6"/>
  <c r="AI1493" i="6"/>
  <c r="AI1497" i="6"/>
  <c r="AI1501" i="6"/>
  <c r="AI1505" i="6"/>
  <c r="AI1509" i="6"/>
  <c r="AI1513" i="6"/>
  <c r="AI1517" i="6"/>
  <c r="AI1521" i="6"/>
  <c r="AI1525" i="6"/>
  <c r="AI1529" i="6"/>
  <c r="AI1533" i="6"/>
  <c r="AI1537" i="6"/>
  <c r="AI1541" i="6"/>
  <c r="AI1545" i="6"/>
  <c r="AI1549" i="6"/>
  <c r="AI1553" i="6"/>
  <c r="AI1557" i="6"/>
  <c r="AI1561" i="6"/>
  <c r="AI1565" i="6"/>
  <c r="AI1569" i="6"/>
  <c r="AI1573" i="6"/>
  <c r="AI1581" i="6"/>
  <c r="AI1585" i="6"/>
  <c r="AI1589" i="6"/>
  <c r="AI1593" i="6"/>
  <c r="AI1597" i="6"/>
  <c r="AI1601" i="6"/>
  <c r="AI1605" i="6"/>
  <c r="AI1609" i="6"/>
  <c r="AI1613" i="6"/>
  <c r="AI1617" i="6"/>
  <c r="AI1621" i="6"/>
  <c r="AI1625" i="6"/>
  <c r="AI1365" i="6"/>
  <c r="AI1373" i="6"/>
  <c r="AI1381" i="6"/>
  <c r="AI1389" i="6"/>
  <c r="AI1394" i="6"/>
  <c r="AI1398" i="6"/>
  <c r="AI1402" i="6"/>
  <c r="AI1406" i="6"/>
  <c r="AI1410" i="6"/>
  <c r="AI1414" i="6"/>
  <c r="AI1418" i="6"/>
  <c r="AI1422" i="6"/>
  <c r="AI1426" i="6"/>
  <c r="AI1430" i="6"/>
  <c r="AI1434" i="6"/>
  <c r="AI1438" i="6"/>
  <c r="AI1442" i="6"/>
  <c r="AI1446" i="6"/>
  <c r="AI1450" i="6"/>
  <c r="AI1454" i="6"/>
  <c r="AI1458" i="6"/>
  <c r="AI1462" i="6"/>
  <c r="AI1466" i="6"/>
  <c r="AI1470" i="6"/>
  <c r="AI1474" i="6"/>
  <c r="AI1478" i="6"/>
  <c r="AI1482" i="6"/>
  <c r="AI1486" i="6"/>
  <c r="AI1490" i="6"/>
  <c r="AI1494" i="6"/>
  <c r="AI1498" i="6"/>
  <c r="AI1502" i="6"/>
  <c r="AI1506" i="6"/>
  <c r="AI1510" i="6"/>
  <c r="AI1514" i="6"/>
  <c r="AI1518" i="6"/>
  <c r="AI1522" i="6"/>
  <c r="AI1526" i="6"/>
  <c r="AI1530" i="6"/>
  <c r="AI1534" i="6"/>
  <c r="AI1538" i="6"/>
  <c r="AI1542" i="6"/>
  <c r="AI1546" i="6"/>
  <c r="AI1550" i="6"/>
  <c r="AI1554" i="6"/>
  <c r="AI1558" i="6"/>
  <c r="AI1562" i="6"/>
  <c r="AI1566" i="6"/>
  <c r="AI1570" i="6"/>
  <c r="AI1574" i="6"/>
  <c r="AI1582" i="6"/>
  <c r="AI1586" i="6"/>
  <c r="AI1590" i="6"/>
  <c r="AI1594" i="6"/>
  <c r="AI1598" i="6"/>
  <c r="AI1602" i="6"/>
  <c r="AI1606" i="6"/>
  <c r="AI1610" i="6"/>
  <c r="AI1614" i="6"/>
  <c r="AI1618" i="6"/>
  <c r="AI1622" i="6"/>
  <c r="AI1626" i="6"/>
  <c r="AI1367" i="6"/>
  <c r="AI1375" i="6"/>
  <c r="AI1383" i="6"/>
  <c r="AI1390" i="6"/>
  <c r="AI1395" i="6"/>
  <c r="AI1399" i="6"/>
  <c r="AI1403" i="6"/>
  <c r="AI1407" i="6"/>
  <c r="AI1411" i="6"/>
  <c r="AI1415" i="6"/>
  <c r="AI1419" i="6"/>
  <c r="AI1423" i="6"/>
  <c r="AI1427" i="6"/>
  <c r="AI1431" i="6"/>
  <c r="AI1435" i="6"/>
  <c r="AI1439" i="6"/>
  <c r="AI1443" i="6"/>
  <c r="AI1447" i="6"/>
  <c r="AI1451" i="6"/>
  <c r="AI1455" i="6"/>
  <c r="AI1463" i="6"/>
  <c r="AI1467" i="6"/>
  <c r="AI1471" i="6"/>
  <c r="AI1475" i="6"/>
  <c r="AI1479" i="6"/>
  <c r="AI1483" i="6"/>
  <c r="AI1487" i="6"/>
  <c r="AI1491" i="6"/>
  <c r="AI1495" i="6"/>
  <c r="AI1499" i="6"/>
  <c r="AI1503" i="6"/>
  <c r="AI1507" i="6"/>
  <c r="AI1511" i="6"/>
  <c r="AI1515" i="6"/>
  <c r="AI1519" i="6"/>
  <c r="AI1523" i="6"/>
  <c r="AI1527" i="6"/>
  <c r="AI1531" i="6"/>
  <c r="AI1535" i="6"/>
  <c r="AI1539" i="6"/>
  <c r="AI1543" i="6"/>
  <c r="AI1547" i="6"/>
  <c r="AI1551" i="6"/>
  <c r="AI1555" i="6"/>
  <c r="AI1559" i="6"/>
  <c r="AI1563" i="6"/>
  <c r="AI1567" i="6"/>
  <c r="AI1571" i="6"/>
  <c r="AI1579" i="6"/>
  <c r="AI1583" i="6"/>
  <c r="AI1587" i="6"/>
  <c r="AI1591" i="6"/>
  <c r="AI1595" i="6"/>
  <c r="AI1599" i="6"/>
  <c r="AI1603" i="6"/>
  <c r="AI1607" i="6"/>
  <c r="AI1611" i="6"/>
  <c r="AI1615" i="6"/>
  <c r="AI1619" i="6"/>
  <c r="AI1623" i="6"/>
  <c r="AI1627" i="6"/>
  <c r="AI1361" i="6"/>
  <c r="AI1369" i="6"/>
  <c r="AI1377" i="6"/>
  <c r="AI1385" i="6"/>
  <c r="AI1391" i="6"/>
  <c r="AI1396" i="6"/>
  <c r="AI1400" i="6"/>
  <c r="AI1404" i="6"/>
  <c r="AI1408" i="6"/>
  <c r="AI1412" i="6"/>
  <c r="AI1420" i="6"/>
  <c r="AI1424" i="6"/>
  <c r="AI1428" i="6"/>
  <c r="AI1432" i="6"/>
  <c r="AI1436" i="6"/>
  <c r="AI1440" i="6"/>
  <c r="AI1452" i="6"/>
  <c r="AI1456" i="6"/>
  <c r="AI1460" i="6"/>
  <c r="AI1464" i="6"/>
  <c r="AI1468" i="6"/>
  <c r="AI1472" i="6"/>
  <c r="AI1476" i="6"/>
  <c r="AI1480" i="6"/>
  <c r="AI1484" i="6"/>
  <c r="AI1488" i="6"/>
  <c r="AI1492" i="6"/>
  <c r="AI1496" i="6"/>
  <c r="AI1500" i="6"/>
  <c r="AI1504" i="6"/>
  <c r="AI1508" i="6"/>
  <c r="AI1512" i="6"/>
  <c r="AI1516" i="6"/>
  <c r="AI1520" i="6"/>
  <c r="AI1524" i="6"/>
  <c r="AI1528" i="6"/>
  <c r="AI1532" i="6"/>
  <c r="AI1536" i="6"/>
  <c r="AI1540" i="6"/>
  <c r="AI1544" i="6"/>
  <c r="AI1548" i="6"/>
  <c r="AI1552" i="6"/>
  <c r="AI1556" i="6"/>
  <c r="AI1560" i="6"/>
  <c r="AI1564" i="6"/>
  <c r="AI1568" i="6"/>
  <c r="AI1572" i="6"/>
  <c r="AI1580" i="6"/>
  <c r="AI1584" i="6"/>
  <c r="AI1588" i="6"/>
  <c r="AI1592" i="6"/>
  <c r="AI1596" i="6"/>
  <c r="AI1600" i="6"/>
  <c r="AI1604" i="6"/>
  <c r="AI1608" i="6"/>
  <c r="AI1612" i="6"/>
  <c r="AI1616" i="6"/>
  <c r="AI1620" i="6"/>
  <c r="AI1624" i="6"/>
  <c r="AI1628" i="6"/>
  <c r="AI877" i="6"/>
  <c r="AI881" i="6"/>
  <c r="AI885" i="6"/>
  <c r="AI889" i="6"/>
  <c r="AI893" i="6"/>
  <c r="AI897" i="6"/>
  <c r="AI901" i="6"/>
  <c r="AI905" i="6"/>
  <c r="AI909" i="6"/>
  <c r="AI913" i="6"/>
  <c r="AI917" i="6"/>
  <c r="AI921" i="6"/>
  <c r="AI925" i="6"/>
  <c r="AI929" i="6"/>
  <c r="AI933" i="6"/>
  <c r="AI937" i="6"/>
  <c r="AI941" i="6"/>
  <c r="AI945" i="6"/>
  <c r="AI949" i="6"/>
  <c r="AI953" i="6"/>
  <c r="AI957" i="6"/>
  <c r="AI961" i="6"/>
  <c r="AI876" i="6"/>
  <c r="AI882" i="6"/>
  <c r="AI887" i="6"/>
  <c r="AI892" i="6"/>
  <c r="AI898" i="6"/>
  <c r="AI903" i="6"/>
  <c r="AI908" i="6"/>
  <c r="AI914" i="6"/>
  <c r="AI919" i="6"/>
  <c r="AI924" i="6"/>
  <c r="AI930" i="6"/>
  <c r="AI935" i="6"/>
  <c r="AI951" i="6"/>
  <c r="AI956" i="6"/>
  <c r="AI962" i="6"/>
  <c r="AI966" i="6"/>
  <c r="AI970" i="6"/>
  <c r="AI974" i="6"/>
  <c r="AI978" i="6"/>
  <c r="AI982" i="6"/>
  <c r="AI986" i="6"/>
  <c r="AI990" i="6"/>
  <c r="AI994" i="6"/>
  <c r="AI998" i="6"/>
  <c r="AI1002" i="6"/>
  <c r="AI1006" i="6"/>
  <c r="AI1010" i="6"/>
  <c r="AI1014" i="6"/>
  <c r="AI1018" i="6"/>
  <c r="AI878" i="6"/>
  <c r="AI883" i="6"/>
  <c r="AI888" i="6"/>
  <c r="AI894" i="6"/>
  <c r="AI899" i="6"/>
  <c r="AI904" i="6"/>
  <c r="AI910" i="6"/>
  <c r="AI915" i="6"/>
  <c r="AI920" i="6"/>
  <c r="AI926" i="6"/>
  <c r="AI931" i="6"/>
  <c r="AI936" i="6"/>
  <c r="AI942" i="6"/>
  <c r="AI947" i="6"/>
  <c r="AI952" i="6"/>
  <c r="AI958" i="6"/>
  <c r="AI963" i="6"/>
  <c r="AI967" i="6"/>
  <c r="AI971" i="6"/>
  <c r="AI975" i="6"/>
  <c r="AI979" i="6"/>
  <c r="AI983" i="6"/>
  <c r="AI987" i="6"/>
  <c r="AI991" i="6"/>
  <c r="AI995" i="6"/>
  <c r="AI999" i="6"/>
  <c r="AI1003" i="6"/>
  <c r="AI1007" i="6"/>
  <c r="AI1011" i="6"/>
  <c r="AI1015" i="6"/>
  <c r="AI1019" i="6"/>
  <c r="AI1023" i="6"/>
  <c r="AI1027" i="6"/>
  <c r="AI1031" i="6"/>
  <c r="AI1035" i="6"/>
  <c r="AI1039" i="6"/>
  <c r="AI1043" i="6"/>
  <c r="AI1047" i="6"/>
  <c r="AI1051" i="6"/>
  <c r="AI1055" i="6"/>
  <c r="AI1059" i="6"/>
  <c r="AI1063" i="6"/>
  <c r="AI1067" i="6"/>
  <c r="AI1071" i="6"/>
  <c r="AI1079" i="6"/>
  <c r="AI1083" i="6"/>
  <c r="AI1087" i="6"/>
  <c r="AI1091" i="6"/>
  <c r="AI1095" i="6"/>
  <c r="AI1099" i="6"/>
  <c r="AI1103" i="6"/>
  <c r="AI1107" i="6"/>
  <c r="AI1111" i="6"/>
  <c r="AI1115" i="6"/>
  <c r="AI1119" i="6"/>
  <c r="AI1123" i="6"/>
  <c r="AI875" i="6"/>
  <c r="AI880" i="6"/>
  <c r="AI886" i="6"/>
  <c r="AI891" i="6"/>
  <c r="AI896" i="6"/>
  <c r="AI902" i="6"/>
  <c r="AI907" i="6"/>
  <c r="AI912" i="6"/>
  <c r="AI918" i="6"/>
  <c r="AI923" i="6"/>
  <c r="AI928" i="6"/>
  <c r="AI934" i="6"/>
  <c r="AI939" i="6"/>
  <c r="AI944" i="6"/>
  <c r="AI950" i="6"/>
  <c r="AI955" i="6"/>
  <c r="AI960" i="6"/>
  <c r="AI965" i="6"/>
  <c r="AI969" i="6"/>
  <c r="AI973" i="6"/>
  <c r="AI977" i="6"/>
  <c r="AI981" i="6"/>
  <c r="AI985" i="6"/>
  <c r="AI989" i="6"/>
  <c r="AI993" i="6"/>
  <c r="AI997" i="6"/>
  <c r="AI1001" i="6"/>
  <c r="AI1005" i="6"/>
  <c r="AI1009" i="6"/>
  <c r="AI1013" i="6"/>
  <c r="AI1017" i="6"/>
  <c r="AI1021" i="6"/>
  <c r="AI1025" i="6"/>
  <c r="AI1029" i="6"/>
  <c r="AI1033" i="6"/>
  <c r="AI1037" i="6"/>
  <c r="AI1041" i="6"/>
  <c r="AI884" i="6"/>
  <c r="AI906" i="6"/>
  <c r="AI927" i="6"/>
  <c r="AI948" i="6"/>
  <c r="AI968" i="6"/>
  <c r="AI984" i="6"/>
  <c r="AI1000" i="6"/>
  <c r="AI1016" i="6"/>
  <c r="AI1026" i="6"/>
  <c r="AI1034" i="6"/>
  <c r="AI1042" i="6"/>
  <c r="AI1048" i="6"/>
  <c r="AI1053" i="6"/>
  <c r="AI1058" i="6"/>
  <c r="AI1064" i="6"/>
  <c r="AI1069" i="6"/>
  <c r="AI1080" i="6"/>
  <c r="AI1085" i="6"/>
  <c r="AI1090" i="6"/>
  <c r="AI1096" i="6"/>
  <c r="AI1101" i="6"/>
  <c r="AI1106" i="6"/>
  <c r="AI1112" i="6"/>
  <c r="AI1117" i="6"/>
  <c r="AI1122" i="6"/>
  <c r="AI890" i="6"/>
  <c r="AI911" i="6"/>
  <c r="AI932" i="6"/>
  <c r="AI954" i="6"/>
  <c r="AI972" i="6"/>
  <c r="AI988" i="6"/>
  <c r="AI1004" i="6"/>
  <c r="AI1028" i="6"/>
  <c r="AI1036" i="6"/>
  <c r="AI1044" i="6"/>
  <c r="AI1049" i="6"/>
  <c r="AI1054" i="6"/>
  <c r="AI1060" i="6"/>
  <c r="AI1065" i="6"/>
  <c r="AI1070" i="6"/>
  <c r="AI1076" i="6"/>
  <c r="AI1081" i="6"/>
  <c r="AI1086" i="6"/>
  <c r="AI1092" i="6"/>
  <c r="AI1097" i="6"/>
  <c r="AI1102" i="6"/>
  <c r="AI1108" i="6"/>
  <c r="AI1113" i="6"/>
  <c r="AI1118" i="6"/>
  <c r="AI1124" i="6"/>
  <c r="AI895" i="6"/>
  <c r="AI916" i="6"/>
  <c r="AI938" i="6"/>
  <c r="AI959" i="6"/>
  <c r="AI992" i="6"/>
  <c r="AI1008" i="6"/>
  <c r="AI1022" i="6"/>
  <c r="AI1030" i="6"/>
  <c r="AI1038" i="6"/>
  <c r="AI1045" i="6"/>
  <c r="AI1050" i="6"/>
  <c r="AI1056" i="6"/>
  <c r="AI1061" i="6"/>
  <c r="AI1066" i="6"/>
  <c r="AI1072" i="6"/>
  <c r="AI1077" i="6"/>
  <c r="AI1082" i="6"/>
  <c r="AI1088" i="6"/>
  <c r="AI1093" i="6"/>
  <c r="AI1098" i="6"/>
  <c r="AI1104" i="6"/>
  <c r="AI1109" i="6"/>
  <c r="AI1114" i="6"/>
  <c r="AI1120" i="6"/>
  <c r="AI879" i="6"/>
  <c r="AI900" i="6"/>
  <c r="AI922" i="6"/>
  <c r="AI943" i="6"/>
  <c r="AI964" i="6"/>
  <c r="AI980" i="6"/>
  <c r="AI996" i="6"/>
  <c r="AI1012" i="6"/>
  <c r="AI1024" i="6"/>
  <c r="AI1032" i="6"/>
  <c r="AI1040" i="6"/>
  <c r="AI1046" i="6"/>
  <c r="AI1052" i="6"/>
  <c r="AI1057" i="6"/>
  <c r="AI1062" i="6"/>
  <c r="AI1068" i="6"/>
  <c r="AI1078" i="6"/>
  <c r="AI1084" i="6"/>
  <c r="AI1089" i="6"/>
  <c r="AI1094" i="6"/>
  <c r="AI1100" i="6"/>
  <c r="AI1105" i="6"/>
  <c r="AI1110" i="6"/>
  <c r="AI1116" i="6"/>
  <c r="AI1121" i="6"/>
  <c r="AI940" i="6"/>
  <c r="AI1312" i="6"/>
  <c r="AI1183" i="6"/>
  <c r="AI1576" i="6"/>
  <c r="AI1577" i="6"/>
  <c r="S1188" i="7"/>
  <c r="S749" i="7"/>
  <c r="S1219" i="7"/>
  <c r="S826" i="7"/>
  <c r="S957" i="7"/>
  <c r="S1254" i="7"/>
  <c r="S1274" i="7"/>
  <c r="S880" i="7"/>
  <c r="AB1073" i="6"/>
  <c r="AB1074" i="6"/>
  <c r="AB1145" i="6"/>
  <c r="AB1255" i="6"/>
  <c r="AB1459" i="6"/>
  <c r="AB1448" i="6"/>
  <c r="AB1444" i="6"/>
  <c r="AB940" i="6"/>
  <c r="AB1183" i="6"/>
  <c r="AB1576" i="6"/>
  <c r="AB1577" i="6"/>
  <c r="AB946" i="6"/>
  <c r="AB1575" i="6"/>
  <c r="AB922" i="6"/>
  <c r="AB1312" i="6"/>
  <c r="AB976" i="6"/>
  <c r="AB1139" i="6"/>
  <c r="AB1206" i="6"/>
  <c r="AB1578" i="6"/>
  <c r="AB1020" i="6"/>
  <c r="AB1075" i="6"/>
  <c r="AB1313" i="6"/>
  <c r="AB1311" i="6"/>
  <c r="AB1416" i="6"/>
  <c r="AB1402" i="6"/>
  <c r="AD250" i="6"/>
  <c r="AD228" i="6"/>
  <c r="U147" i="7"/>
  <c r="U99" i="7"/>
  <c r="AD226" i="6"/>
  <c r="AD227" i="6"/>
  <c r="W147" i="7" l="1"/>
  <c r="W83" i="7"/>
  <c r="W87" i="7"/>
  <c r="W91" i="7"/>
  <c r="W95" i="7"/>
  <c r="W99" i="7"/>
  <c r="W103" i="7"/>
  <c r="W107" i="7"/>
  <c r="W111" i="7"/>
  <c r="W115" i="7"/>
  <c r="W119" i="7"/>
  <c r="W123" i="7"/>
  <c r="W127" i="7"/>
  <c r="W131" i="7"/>
  <c r="W135" i="7"/>
  <c r="W139" i="7"/>
  <c r="W143" i="7"/>
  <c r="W151" i="7"/>
  <c r="W155" i="7"/>
  <c r="W159" i="7"/>
  <c r="W84" i="7"/>
  <c r="W88" i="7"/>
  <c r="W92" i="7"/>
  <c r="W96" i="7"/>
  <c r="W100" i="7"/>
  <c r="W104" i="7"/>
  <c r="W108" i="7"/>
  <c r="W112" i="7"/>
  <c r="W116" i="7"/>
  <c r="W120" i="7"/>
  <c r="W124" i="7"/>
  <c r="W128" i="7"/>
  <c r="W132" i="7"/>
  <c r="W136" i="7"/>
  <c r="W140" i="7"/>
  <c r="W144" i="7"/>
  <c r="W152" i="7"/>
  <c r="W156" i="7"/>
  <c r="W81" i="7"/>
  <c r="W85" i="7"/>
  <c r="W89" i="7"/>
  <c r="W93" i="7"/>
  <c r="W97" i="7"/>
  <c r="W101" i="7"/>
  <c r="W105" i="7"/>
  <c r="W109" i="7"/>
  <c r="W113" i="7"/>
  <c r="W117" i="7"/>
  <c r="W121" i="7"/>
  <c r="W125" i="7"/>
  <c r="W129" i="7"/>
  <c r="W137" i="7"/>
  <c r="W141" i="7"/>
  <c r="W145" i="7"/>
  <c r="W149" i="7"/>
  <c r="W153" i="7"/>
  <c r="W157" i="7"/>
  <c r="W82" i="7"/>
  <c r="W86" i="7"/>
  <c r="W90" i="7"/>
  <c r="W94" i="7"/>
  <c r="W98" i="7"/>
  <c r="W102" i="7"/>
  <c r="W106" i="7"/>
  <c r="W110" i="7"/>
  <c r="W114" i="7"/>
  <c r="W118" i="7"/>
  <c r="W122" i="7"/>
  <c r="W126" i="7"/>
  <c r="W130" i="7"/>
  <c r="W134" i="7"/>
  <c r="W138" i="7"/>
  <c r="W142" i="7"/>
  <c r="W146" i="7"/>
  <c r="W150" i="7"/>
  <c r="W158" i="7"/>
  <c r="W133" i="7"/>
  <c r="W154" i="7"/>
  <c r="W148" i="7"/>
  <c r="AI227" i="6"/>
  <c r="AI228" i="6"/>
  <c r="AI223" i="6"/>
  <c r="AI231" i="6"/>
  <c r="AI235" i="6"/>
  <c r="AI239" i="6"/>
  <c r="AI243" i="6"/>
  <c r="AI247" i="6"/>
  <c r="AI251" i="6"/>
  <c r="AI255" i="6"/>
  <c r="AI224" i="6"/>
  <c r="AI232" i="6"/>
  <c r="AI236" i="6"/>
  <c r="AI240" i="6"/>
  <c r="AI244" i="6"/>
  <c r="AI248" i="6"/>
  <c r="AI252" i="6"/>
  <c r="AI225" i="6"/>
  <c r="AI229" i="6"/>
  <c r="AI233" i="6"/>
  <c r="AI241" i="6"/>
  <c r="AI245" i="6"/>
  <c r="AI249" i="6"/>
  <c r="AI253" i="6"/>
  <c r="AI226" i="6"/>
  <c r="AI230" i="6"/>
  <c r="AI234" i="6"/>
  <c r="AI238" i="6"/>
  <c r="AI242" i="6"/>
  <c r="AI246" i="6"/>
  <c r="AI254" i="6"/>
  <c r="AI237" i="6"/>
  <c r="AI250" i="6"/>
  <c r="S147" i="7"/>
  <c r="AB228" i="6"/>
  <c r="AB227" i="6"/>
  <c r="AB226" i="6"/>
  <c r="AB250" i="6"/>
  <c r="S99" i="7"/>
  <c r="B7" i="2"/>
  <c r="L128" i="3"/>
  <c r="L57" i="3" l="1"/>
  <c r="O57" i="3" s="1"/>
  <c r="L22" i="3"/>
  <c r="O22" i="3" s="1"/>
  <c r="L20" i="3"/>
  <c r="O20" i="3" s="1"/>
  <c r="L16" i="3"/>
  <c r="O16" i="3" s="1"/>
  <c r="L11" i="3"/>
  <c r="O11" i="3" s="1"/>
  <c r="L6" i="3"/>
  <c r="O6" i="3" s="1"/>
  <c r="L2" i="3"/>
  <c r="O2" i="3" s="1"/>
  <c r="L209" i="3"/>
  <c r="O209" i="3" s="1"/>
  <c r="L187" i="3"/>
  <c r="O187" i="3" s="1"/>
  <c r="L175" i="3"/>
  <c r="O175" i="3" s="1"/>
  <c r="L165" i="3"/>
  <c r="O165" i="3" s="1"/>
  <c r="L151" i="3"/>
  <c r="O151" i="3" s="1"/>
  <c r="L139" i="3"/>
  <c r="O139" i="3" s="1"/>
  <c r="L134" i="3"/>
  <c r="O134" i="3" s="1"/>
  <c r="L197" i="3"/>
  <c r="O197" i="3" s="1"/>
  <c r="L203" i="3"/>
  <c r="O203" i="3" s="1"/>
  <c r="L207" i="3"/>
  <c r="O207" i="3" s="1"/>
  <c r="L52" i="3"/>
  <c r="O52" i="3" s="1"/>
  <c r="L48" i="3"/>
  <c r="O48" i="3" s="1"/>
  <c r="L50" i="3"/>
  <c r="O50" i="3" s="1"/>
  <c r="L39" i="3"/>
  <c r="O39" i="3" s="1"/>
  <c r="L30" i="3"/>
  <c r="O30" i="3" s="1"/>
  <c r="L26" i="3"/>
  <c r="O26" i="3" s="1"/>
  <c r="O128" i="3"/>
  <c r="L122" i="3"/>
  <c r="O122" i="3" s="1"/>
  <c r="L109" i="3"/>
  <c r="O109" i="3" s="1"/>
  <c r="L95" i="3"/>
  <c r="O95" i="3" s="1"/>
  <c r="L86" i="3"/>
  <c r="O86" i="3" s="1"/>
  <c r="P27" i="3" l="1"/>
  <c r="P28" i="3"/>
  <c r="P29" i="3"/>
  <c r="P26" i="3"/>
  <c r="P48" i="3"/>
  <c r="P49" i="3"/>
  <c r="P199" i="3"/>
  <c r="P200" i="3"/>
  <c r="P197" i="3"/>
  <c r="P201" i="3"/>
  <c r="P198" i="3"/>
  <c r="P163" i="3"/>
  <c r="P167" i="3"/>
  <c r="P171" i="3"/>
  <c r="P165" i="3"/>
  <c r="P173" i="3"/>
  <c r="P170" i="3"/>
  <c r="P164" i="3"/>
  <c r="P168" i="3"/>
  <c r="P172" i="3"/>
  <c r="P174" i="3"/>
  <c r="P169" i="3"/>
  <c r="P166" i="3"/>
  <c r="P2" i="3"/>
  <c r="P3" i="3"/>
  <c r="P4" i="3"/>
  <c r="P20" i="3"/>
  <c r="P21" i="3"/>
  <c r="P95" i="3"/>
  <c r="P99" i="3"/>
  <c r="P103" i="3"/>
  <c r="P107" i="3"/>
  <c r="P102" i="3"/>
  <c r="P96" i="3"/>
  <c r="P100" i="3"/>
  <c r="P104" i="3"/>
  <c r="P106" i="3"/>
  <c r="P97" i="3"/>
  <c r="P101" i="3"/>
  <c r="P105" i="3"/>
  <c r="P98" i="3"/>
  <c r="P111" i="3"/>
  <c r="P115" i="3"/>
  <c r="P119" i="3"/>
  <c r="P114" i="3"/>
  <c r="P108" i="3"/>
  <c r="P112" i="3"/>
  <c r="P116" i="3"/>
  <c r="P120" i="3"/>
  <c r="P118" i="3"/>
  <c r="P109" i="3"/>
  <c r="P113" i="3"/>
  <c r="P117" i="3"/>
  <c r="P121" i="3"/>
  <c r="P110" i="3"/>
  <c r="P31" i="3"/>
  <c r="P35" i="3"/>
  <c r="P38" i="3"/>
  <c r="P32" i="3"/>
  <c r="P36" i="3"/>
  <c r="P33" i="3"/>
  <c r="P37" i="3"/>
  <c r="P30" i="3"/>
  <c r="P34" i="3"/>
  <c r="P55" i="3"/>
  <c r="P52" i="3"/>
  <c r="P56" i="3"/>
  <c r="P53" i="3"/>
  <c r="P54" i="3"/>
  <c r="P135" i="3"/>
  <c r="P136" i="3"/>
  <c r="P134" i="3"/>
  <c r="P138" i="3"/>
  <c r="P137" i="3"/>
  <c r="P175" i="3"/>
  <c r="P179" i="3"/>
  <c r="P183" i="3"/>
  <c r="P177" i="3"/>
  <c r="P182" i="3"/>
  <c r="P176" i="3"/>
  <c r="P180" i="3"/>
  <c r="P184" i="3"/>
  <c r="P185" i="3"/>
  <c r="P181" i="3"/>
  <c r="P178" i="3"/>
  <c r="P7" i="3"/>
  <c r="P10" i="3"/>
  <c r="P8" i="3"/>
  <c r="P5" i="3"/>
  <c r="P9" i="3"/>
  <c r="P6" i="3"/>
  <c r="P23" i="3"/>
  <c r="P24" i="3"/>
  <c r="P25" i="3"/>
  <c r="P22" i="3"/>
  <c r="P123" i="3"/>
  <c r="P124" i="3"/>
  <c r="P125" i="3"/>
  <c r="P122" i="3"/>
  <c r="P39" i="3"/>
  <c r="P43" i="3"/>
  <c r="P47" i="3"/>
  <c r="P46" i="3"/>
  <c r="P40" i="3"/>
  <c r="P44" i="3"/>
  <c r="P41" i="3"/>
  <c r="P45" i="3"/>
  <c r="P42" i="3"/>
  <c r="P207" i="3"/>
  <c r="P206" i="3"/>
  <c r="P208" i="3"/>
  <c r="P139" i="3"/>
  <c r="P143" i="3"/>
  <c r="P147" i="3"/>
  <c r="P146" i="3"/>
  <c r="P140" i="3"/>
  <c r="P144" i="3"/>
  <c r="P148" i="3"/>
  <c r="P150" i="3"/>
  <c r="P141" i="3"/>
  <c r="P145" i="3"/>
  <c r="P149" i="3"/>
  <c r="P142" i="3"/>
  <c r="P187" i="3"/>
  <c r="P191" i="3"/>
  <c r="P195" i="3"/>
  <c r="P189" i="3"/>
  <c r="P194" i="3"/>
  <c r="P188" i="3"/>
  <c r="P192" i="3"/>
  <c r="P196" i="3"/>
  <c r="P186" i="3"/>
  <c r="P193" i="3"/>
  <c r="P190" i="3"/>
  <c r="P11" i="3"/>
  <c r="P15" i="3"/>
  <c r="P12" i="3"/>
  <c r="P13" i="3"/>
  <c r="P14" i="3"/>
  <c r="P58" i="3"/>
  <c r="P57" i="3"/>
  <c r="P87" i="3"/>
  <c r="P91" i="3"/>
  <c r="P90" i="3"/>
  <c r="P88" i="3"/>
  <c r="P92" i="3"/>
  <c r="P86" i="3"/>
  <c r="P94" i="3"/>
  <c r="P89" i="3"/>
  <c r="P93" i="3"/>
  <c r="P127" i="3"/>
  <c r="P131" i="3"/>
  <c r="P130" i="3"/>
  <c r="P128" i="3"/>
  <c r="P132" i="3"/>
  <c r="P129" i="3"/>
  <c r="P133" i="3"/>
  <c r="P126" i="3"/>
  <c r="P51" i="3"/>
  <c r="P50" i="3"/>
  <c r="P203" i="3"/>
  <c r="P204" i="3"/>
  <c r="P205" i="3"/>
  <c r="P202" i="3"/>
  <c r="P151" i="3"/>
  <c r="P155" i="3"/>
  <c r="P159" i="3"/>
  <c r="P158" i="3"/>
  <c r="P152" i="3"/>
  <c r="P156" i="3"/>
  <c r="P160" i="3"/>
  <c r="P162" i="3"/>
  <c r="P153" i="3"/>
  <c r="P157" i="3"/>
  <c r="P161" i="3"/>
  <c r="P154" i="3"/>
  <c r="P211" i="3"/>
  <c r="P215" i="3"/>
  <c r="P219" i="3"/>
  <c r="P209" i="3"/>
  <c r="P213" i="3"/>
  <c r="P218" i="3"/>
  <c r="P212" i="3"/>
  <c r="P216" i="3"/>
  <c r="P217" i="3"/>
  <c r="P210" i="3"/>
  <c r="P214" i="3"/>
  <c r="P19" i="3"/>
  <c r="P18" i="3"/>
  <c r="P16" i="3"/>
  <c r="P17" i="3"/>
  <c r="L71" i="3"/>
  <c r="O71" i="3" s="1"/>
  <c r="P71" i="3" l="1"/>
  <c r="P75" i="3"/>
  <c r="P79" i="3"/>
  <c r="P83" i="3"/>
  <c r="P78" i="3"/>
  <c r="P72" i="3"/>
  <c r="P76" i="3"/>
  <c r="P80" i="3"/>
  <c r="P84" i="3"/>
  <c r="P70" i="3"/>
  <c r="P74" i="3"/>
  <c r="P73" i="3"/>
  <c r="P77" i="3"/>
  <c r="P81" i="3"/>
  <c r="P85" i="3"/>
  <c r="P82" i="3"/>
  <c r="B3" i="2"/>
  <c r="B23" i="2"/>
  <c r="C30" i="2" l="1"/>
  <c r="D30" i="2"/>
  <c r="E30" i="2"/>
  <c r="B30" i="2"/>
  <c r="E32" i="2" s="1"/>
  <c r="D13" i="38" l="1"/>
  <c r="D15" i="38" l="1"/>
</calcChain>
</file>

<file path=xl/sharedStrings.xml><?xml version="1.0" encoding="utf-8"?>
<sst xmlns="http://schemas.openxmlformats.org/spreadsheetml/2006/main" count="115802" uniqueCount="5362">
  <si>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</si>
  <si>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</si>
  <si>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</si>
  <si>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</si>
  <si>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</si>
  <si>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</si>
  <si>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</si>
  <si>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</si>
  <si>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</si>
  <si>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</si>
  <si>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</si>
  <si>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</si>
  <si>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</si>
  <si>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</si>
  <si>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</si>
  <si>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</si>
  <si>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</si>
  <si>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</si>
  <si>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</si>
  <si>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</si>
  <si>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</si>
  <si>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</si>
  <si>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</si>
  <si>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</si>
  <si>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</si>
  <si>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</si>
  <si>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</si>
  <si>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</si>
  <si>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</si>
  <si>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</si>
  <si>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</si>
  <si>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</si>
  <si>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</si>
  <si>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</si>
  <si>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</si>
  <si>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</si>
  <si>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</si>
  <si>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</si>
  <si>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</si>
  <si>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</si>
  <si>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</si>
  <si>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</si>
  <si>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</si>
  <si>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</si>
  <si>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</si>
  <si>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</si>
  <si>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</si>
  <si>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</si>
  <si>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</si>
  <si>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</si>
  <si>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</si>
  <si>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</si>
  <si>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</si>
  <si>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</si>
  <si>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</si>
  <si>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</si>
  <si>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</si>
  <si>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</si>
  <si>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</si>
  <si>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</si>
  <si>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</si>
  <si>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</si>
  <si>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</si>
  <si>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</si>
  <si>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</si>
  <si>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</si>
  <si>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</si>
  <si>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</si>
  <si>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</si>
  <si>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</si>
  <si>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</si>
  <si>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</si>
  <si>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</si>
  <si>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</si>
  <si>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</si>
  <si>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</si>
  <si>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</si>
  <si>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</si>
  <si>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</si>
  <si>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</si>
  <si>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</si>
  <si>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</si>
  <si>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</si>
  <si>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</si>
  <si>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</si>
  <si>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</si>
  <si>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</si>
  <si>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</si>
  <si>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</si>
  <si>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</si>
  <si>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</si>
  <si>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</si>
  <si>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</si>
  <si>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</si>
  <si>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</si>
  <si>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</si>
  <si>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</si>
  <si>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</si>
  <si>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</si>
  <si>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</si>
  <si>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</si>
  <si>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</si>
  <si>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</si>
  <si>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</si>
  <si>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</si>
  <si>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</si>
  <si>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</si>
  <si>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</si>
  <si>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</si>
  <si>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</si>
  <si>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</si>
  <si>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</si>
  <si>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</si>
  <si>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</si>
  <si>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</si>
  <si>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</si>
  <si>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</si>
  <si>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</si>
  <si>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</si>
  <si>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</si>
  <si>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</si>
  <si>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</si>
  <si>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</si>
  <si>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</si>
  <si>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</si>
  <si>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</si>
  <si>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</si>
  <si>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</si>
  <si>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</si>
  <si>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</si>
  <si>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</si>
  <si>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</si>
  <si>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</si>
  <si>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</si>
  <si>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</si>
  <si>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</si>
  <si>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</si>
  <si>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</si>
  <si>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</si>
  <si>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</si>
  <si>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</si>
  <si>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</si>
  <si>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</si>
  <si>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</si>
  <si>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</si>
  <si>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</si>
  <si>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</si>
  <si>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</si>
  <si>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</si>
  <si>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</si>
  <si>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</si>
  <si>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</si>
  <si>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</si>
  <si>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</si>
  <si>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</si>
  <si>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</si>
  <si>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</si>
  <si>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</si>
  <si>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</si>
  <si>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</si>
  <si>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</si>
  <si>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</si>
  <si>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</si>
  <si>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</si>
  <si>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</si>
  <si>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</si>
  <si>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</si>
  <si>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</si>
  <si>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</si>
  <si>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</si>
  <si>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</si>
  <si>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</si>
  <si>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</si>
  <si>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</si>
  <si>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</si>
  <si>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</si>
  <si>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</si>
  <si>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</si>
  <si>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</si>
  <si>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</si>
  <si>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</si>
  <si>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</si>
  <si>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</si>
  <si>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</si>
  <si>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</si>
  <si>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</si>
  <si>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</si>
  <si>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</si>
  <si>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</si>
  <si>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</si>
  <si>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</si>
  <si>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</si>
  <si>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</si>
  <si>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</si>
  <si>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</si>
  <si>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</si>
  <si>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</si>
  <si>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</si>
  <si>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</si>
  <si>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</si>
  <si>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</si>
  <si>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</si>
  <si>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</si>
  <si>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</si>
  <si>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</si>
  <si>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</si>
  <si>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</si>
  <si>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</si>
  <si>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</si>
  <si>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</si>
  <si>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</si>
  <si>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</si>
  <si>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</si>
  <si>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</si>
  <si>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</si>
  <si>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</si>
  <si>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</si>
  <si>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</si>
  <si>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</si>
  <si>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</si>
  <si>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</si>
  <si>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</si>
  <si>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</si>
  <si>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</si>
  <si>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</si>
  <si>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</si>
  <si>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</si>
  <si>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</si>
  <si>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</si>
  <si>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</si>
  <si>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</si>
  <si>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</si>
  <si>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</si>
  <si>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</si>
  <si>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</si>
  <si>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</si>
  <si>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</si>
  <si>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</si>
  <si>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</si>
  <si>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</si>
  <si>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</si>
  <si>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</si>
  <si>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</si>
  <si>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</si>
  <si>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</si>
  <si>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</si>
  <si>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</si>
  <si>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</si>
  <si>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</si>
  <si>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</si>
  <si>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</si>
  <si>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</si>
  <si>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</si>
  <si>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</si>
  <si>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</si>
  <si>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</si>
  <si>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</si>
  <si>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</si>
  <si>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</si>
  <si>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</si>
  <si>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</si>
  <si>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</si>
  <si>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</si>
  <si>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</si>
  <si>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</si>
  <si>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</si>
  <si>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</si>
  <si>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</si>
  <si>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</si>
  <si>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</si>
  <si>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</si>
  <si>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</si>
  <si>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</si>
  <si>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</si>
  <si>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</si>
  <si>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</si>
  <si>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</si>
  <si>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</si>
  <si>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</si>
  <si>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</si>
  <si>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</si>
  <si>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</si>
  <si>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</si>
  <si>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</si>
  <si>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</si>
  <si>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</si>
  <si>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</si>
  <si>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</si>
  <si>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</si>
  <si>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</si>
  <si>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</si>
  <si>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</si>
  <si>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</si>
  <si>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</si>
  <si>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</si>
  <si>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</si>
  <si>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</si>
  <si>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</si>
  <si>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</si>
  <si>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</si>
  <si>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</si>
  <si>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</si>
  <si>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</si>
  <si>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</si>
  <si>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</si>
  <si>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</si>
  <si>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</si>
  <si>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</si>
  <si>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</si>
  <si>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</si>
  <si>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</si>
  <si>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</si>
  <si>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</si>
  <si>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</si>
  <si>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</si>
  <si>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</si>
  <si>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</si>
  <si>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</si>
  <si>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</si>
  <si>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</si>
  <si>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</si>
  <si>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</si>
  <si>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</si>
  <si>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</si>
  <si>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</si>
  <si>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</si>
  <si>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</si>
  <si>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</si>
  <si>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</si>
  <si>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</si>
  <si>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</si>
  <si>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</si>
  <si>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</si>
  <si>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</si>
  <si>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</si>
  <si>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</si>
  <si>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</si>
  <si>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</si>
  <si>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</si>
  <si>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</si>
  <si>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</si>
  <si>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</si>
  <si>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</si>
  <si>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</si>
  <si>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</si>
  <si>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</si>
  <si>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</si>
  <si>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</si>
  <si>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</si>
  <si>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</si>
  <si>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</si>
  <si>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</si>
  <si>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</si>
  <si>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</si>
  <si>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</si>
  <si>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</si>
  <si>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</si>
  <si>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</si>
  <si>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</si>
  <si>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</si>
  <si>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</si>
  <si>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</si>
  <si>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</si>
  <si>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</si>
  <si>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</si>
  <si>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</si>
  <si>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</si>
  <si>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</si>
  <si>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</si>
  <si>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</si>
  <si>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</si>
  <si>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</si>
  <si>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</si>
  <si>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</si>
  <si>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</si>
  <si>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</si>
  <si>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</si>
  <si>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</si>
  <si>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</si>
  <si>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</si>
  <si>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</si>
  <si>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</si>
  <si>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</si>
  <si>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</si>
  <si>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</si>
  <si>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</si>
  <si>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</si>
  <si>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</si>
  <si>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</si>
  <si>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</si>
  <si>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</si>
  <si>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</si>
  <si>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</si>
  <si>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</si>
  <si>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</si>
  <si>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</si>
  <si>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</si>
  <si>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</si>
  <si>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</si>
  <si>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</si>
  <si>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</si>
  <si>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</si>
  <si>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</si>
  <si>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</si>
  <si>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</si>
  <si>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</si>
  <si>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</si>
  <si>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</si>
  <si>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</si>
  <si>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</si>
  <si>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</si>
  <si>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</si>
  <si>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</si>
  <si>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</si>
  <si>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</si>
  <si>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</si>
  <si>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</si>
  <si>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</si>
  <si>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</si>
  <si>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</si>
  <si>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</si>
  <si>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</si>
  <si>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</si>
  <si>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</si>
  <si>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</si>
  <si>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</si>
  <si>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</si>
  <si>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</si>
  <si>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</si>
  <si>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</si>
  <si>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</si>
  <si>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</si>
  <si>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</si>
  <si>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</si>
  <si>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</si>
  <si>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</si>
  <si>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</si>
  <si>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</si>
  <si>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</si>
  <si>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</si>
  <si>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</si>
  <si>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</si>
  <si>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</si>
  <si>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</si>
  <si>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</si>
  <si>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</si>
  <si>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</si>
  <si>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</si>
  <si>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</si>
  <si>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</si>
  <si>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</si>
  <si>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</si>
  <si>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</si>
  <si>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</si>
  <si>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</si>
  <si>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</si>
  <si>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</si>
  <si>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</si>
  <si>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</si>
  <si>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</si>
  <si>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</si>
  <si>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</si>
  <si>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</si>
  <si>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</si>
  <si>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</si>
  <si>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</si>
  <si>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</si>
  <si>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</si>
  <si>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</si>
  <si>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</si>
  <si>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</si>
  <si>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</si>
  <si>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</si>
  <si>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</si>
  <si>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</si>
  <si>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</si>
  <si>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</si>
  <si>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</si>
  <si>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</si>
  <si>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</si>
  <si>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</si>
  <si>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</si>
  <si>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</si>
  <si>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</si>
  <si>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</si>
  <si>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</si>
  <si>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</si>
  <si>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</si>
  <si>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</si>
  <si>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</si>
  <si>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</si>
  <si>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</si>
  <si>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</si>
  <si>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</si>
  <si>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</si>
  <si>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</si>
  <si>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</si>
  <si>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</si>
  <si>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</si>
  <si>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</si>
  <si>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</si>
  <si>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</si>
  <si>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</si>
  <si>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</si>
  <si>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</si>
  <si>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</si>
  <si>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</si>
  <si>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</si>
  <si>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</si>
  <si>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</si>
  <si>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</si>
  <si>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</si>
  <si>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</si>
  <si>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</si>
  <si>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</si>
  <si>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</si>
  <si>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</si>
  <si>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</si>
  <si>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</si>
  <si>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</si>
  <si>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</si>
  <si>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</si>
  <si>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</si>
  <si>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</si>
  <si>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</si>
  <si>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</si>
  <si>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</si>
  <si>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</si>
  <si>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</si>
  <si>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</si>
  <si>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</si>
  <si>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</si>
  <si>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</si>
  <si>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</si>
  <si>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</si>
  <si>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</si>
  <si>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</si>
  <si>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</si>
  <si>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</si>
  <si>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</si>
  <si>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</si>
  <si>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</si>
  <si>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</si>
  <si>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</si>
  <si>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</si>
  <si>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</si>
  <si>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</si>
  <si>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</si>
  <si>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</si>
  <si>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</si>
  <si>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</si>
  <si>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</si>
  <si>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</si>
  <si>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</si>
  <si>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</si>
  <si>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</si>
  <si>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</si>
  <si>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</si>
  <si>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</si>
  <si>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</si>
  <si>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</si>
  <si>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</si>
  <si>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</si>
  <si>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</si>
  <si>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</si>
  <si>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</si>
  <si>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</si>
  <si>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</si>
  <si>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</si>
  <si>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</si>
  <si>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</si>
  <si>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</si>
  <si>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</si>
  <si>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</si>
  <si>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</si>
  <si>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</si>
  <si>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</si>
  <si>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</si>
  <si>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</si>
  <si>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</si>
  <si>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</si>
  <si>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</si>
  <si>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</si>
  <si>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</si>
  <si>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</si>
  <si>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</si>
  <si>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</si>
  <si>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</si>
  <si>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</si>
  <si>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</si>
  <si>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</si>
  <si>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</si>
  <si>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</si>
  <si>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</si>
  <si>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</si>
  <si>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</si>
  <si>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</si>
  <si>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</si>
  <si>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</si>
  <si>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</si>
  <si>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</si>
  <si>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</si>
  <si>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</si>
  <si>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</si>
  <si>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</si>
  <si>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</si>
  <si>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</si>
  <si>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</si>
  <si>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</si>
  <si>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</si>
  <si>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</si>
  <si>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</si>
  <si>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</si>
  <si>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</si>
  <si>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</si>
  <si>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</si>
  <si>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</si>
  <si>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</si>
  <si>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</si>
  <si>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</si>
  <si>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</si>
  <si>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</si>
  <si>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</si>
  <si>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</si>
  <si>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</si>
  <si>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</si>
  <si>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</si>
  <si>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</si>
  <si>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</si>
  <si>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</si>
  <si>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</si>
  <si>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</si>
  <si>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</si>
  <si>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</si>
  <si>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</si>
  <si>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</si>
  <si>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</si>
  <si>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</si>
  <si>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</si>
  <si>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</si>
  <si>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</si>
  <si>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</si>
  <si>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</si>
  <si>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</si>
  <si>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</si>
  <si>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</si>
  <si>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</si>
  <si>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</si>
  <si>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</si>
  <si>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</si>
  <si>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</si>
  <si>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</si>
  <si>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</si>
  <si>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</si>
  <si>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</si>
  <si>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</si>
  <si>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</si>
  <si>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</si>
  <si>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</si>
  <si>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</si>
  <si>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</si>
  <si>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</si>
  <si>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</si>
  <si>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</si>
  <si>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</si>
  <si>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</si>
  <si>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</si>
  <si>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</si>
  <si>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</si>
  <si>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</si>
  <si>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</si>
  <si>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</si>
  <si>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</si>
  <si>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</si>
  <si>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</si>
  <si>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</si>
  <si>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</si>
  <si>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</si>
  <si>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</si>
  <si>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</si>
  <si>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</si>
  <si>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</si>
  <si>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</si>
  <si>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</si>
  <si>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</si>
  <si>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</si>
  <si>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</si>
  <si>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</si>
  <si>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</si>
  <si>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</si>
  <si>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</si>
  <si>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</si>
  <si>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</si>
  <si>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</si>
  <si>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</si>
  <si>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</si>
  <si>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</si>
  <si>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</si>
  <si>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</si>
  <si>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</si>
  <si>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</si>
  <si>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</si>
  <si>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</si>
  <si>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</si>
  <si>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</si>
  <si>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</si>
  <si>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</si>
  <si>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</si>
  <si>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</si>
  <si>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</si>
  <si>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</si>
  <si>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</si>
  <si>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</si>
  <si>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</si>
  <si>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</si>
  <si>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</si>
  <si>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</si>
  <si>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</si>
  <si>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</si>
  <si>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</si>
  <si>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</si>
  <si>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</si>
  <si>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</si>
  <si>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</si>
  <si>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</si>
  <si>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</si>
  <si>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</si>
  <si>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</si>
  <si>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</si>
  <si>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</si>
  <si>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</si>
  <si>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</si>
  <si>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</si>
  <si>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</si>
  <si>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</si>
  <si>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</si>
  <si>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</si>
  <si>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</si>
  <si>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</si>
  <si>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</si>
  <si>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</si>
  <si>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</si>
  <si>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</si>
  <si>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</si>
  <si>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</si>
  <si>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</si>
  <si>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</si>
  <si>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</si>
  <si>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</si>
  <si>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</si>
  <si>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</si>
  <si>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</si>
  <si>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</si>
  <si>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</si>
  <si>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</si>
  <si>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</si>
  <si>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</si>
  <si>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</si>
  <si>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</si>
  <si>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</si>
  <si>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</si>
  <si>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</si>
  <si>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</si>
  <si>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</si>
  <si>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</si>
  <si>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</si>
  <si>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</si>
  <si>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</si>
  <si>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</si>
  <si>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</si>
  <si>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</si>
  <si>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</si>
  <si>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</si>
  <si>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</si>
  <si>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</si>
  <si>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</si>
  <si>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</si>
  <si>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</si>
  <si>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</si>
  <si>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</si>
  <si>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</si>
  <si>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</si>
  <si>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</si>
  <si>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</si>
  <si>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</si>
  <si>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</si>
  <si>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</si>
  <si>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</si>
  <si>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</si>
  <si>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</si>
  <si>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</si>
  <si>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</si>
  <si>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</si>
  <si>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</si>
  <si>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</si>
  <si>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</si>
  <si>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</si>
  <si>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</si>
  <si>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</si>
  <si>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</si>
  <si>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</si>
  <si>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</si>
  <si>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</si>
  <si>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</si>
  <si>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</si>
  <si>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</si>
  <si>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</si>
  <si>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</si>
  <si>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</si>
  <si>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</si>
  <si>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</si>
  <si>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</si>
  <si>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</si>
  <si>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</si>
  <si>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</si>
  <si>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</si>
  <si>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</si>
  <si>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</si>
  <si>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</si>
  <si>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</si>
  <si>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</si>
  <si>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</si>
  <si>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</si>
  <si>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</si>
  <si>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</si>
  <si>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</si>
  <si>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</si>
  <si>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</si>
  <si>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</si>
  <si>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</si>
  <si>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</si>
  <si>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</si>
  <si>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</si>
  <si>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</si>
  <si>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</si>
  <si>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</si>
  <si>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</si>
  <si>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</si>
  <si>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</si>
  <si>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</si>
  <si>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</si>
  <si>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</si>
  <si>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</si>
  <si>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</si>
  <si>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</si>
  <si>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</si>
  <si>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</si>
  <si>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</si>
  <si>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</si>
  <si>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</si>
  <si>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</si>
  <si>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</si>
  <si>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</si>
  <si>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</si>
  <si>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</si>
  <si>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</si>
  <si>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</si>
  <si>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</si>
  <si>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</si>
  <si>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</si>
  <si>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</si>
  <si>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</si>
  <si>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</si>
  <si>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</si>
  <si>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</si>
  <si>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</si>
  <si>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</si>
  <si>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</si>
  <si>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</si>
  <si>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</si>
  <si>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</si>
  <si>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</si>
  <si>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</si>
  <si>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</si>
  <si>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</si>
  <si>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</si>
  <si>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</si>
  <si>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</si>
  <si>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</si>
  <si>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</si>
  <si>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</si>
  <si>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</si>
  <si>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</si>
  <si>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</si>
  <si>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</si>
  <si>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</si>
  <si>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</si>
  <si>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</si>
  <si>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</si>
  <si>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</si>
  <si>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</si>
  <si>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</si>
  <si>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</si>
  <si>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</si>
  <si>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</si>
  <si>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</si>
  <si>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</si>
  <si>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</si>
  <si>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</si>
  <si>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</si>
  <si>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</si>
  <si>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</si>
  <si>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</si>
  <si>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</si>
  <si>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</si>
  <si>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</si>
  <si>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</si>
  <si>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</si>
  <si>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</si>
  <si>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</si>
  <si>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</si>
  <si>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</si>
  <si>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</si>
  <si>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</si>
  <si>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</si>
  <si>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</si>
  <si>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</si>
  <si>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</si>
  <si>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</si>
  <si>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</si>
  <si>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</si>
  <si>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</si>
  <si>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</si>
  <si>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</si>
  <si>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</si>
  <si>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</si>
  <si>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</si>
  <si>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</si>
  <si>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</si>
  <si>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</si>
  <si>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</si>
  <si>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</si>
  <si>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</si>
  <si>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</si>
  <si>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</si>
  <si>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</si>
  <si>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</si>
  <si>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</si>
  <si>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</si>
  <si>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</si>
  <si>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</si>
  <si>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</si>
  <si>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</si>
  <si>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</si>
  <si>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</si>
  <si>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</si>
  <si>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</si>
  <si>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</si>
  <si>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</si>
  <si>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</si>
  <si>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</si>
  <si>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</si>
  <si>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</si>
  <si>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</si>
  <si>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</si>
  <si>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</si>
  <si>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</si>
  <si>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</si>
  <si>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</si>
  <si>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</si>
  <si>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</si>
  <si>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</si>
  <si>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</si>
  <si>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</si>
  <si>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</si>
  <si>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</si>
  <si>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</si>
  <si>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</si>
  <si>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</si>
  <si>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</si>
  <si>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</si>
  <si>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</si>
  <si>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</si>
  <si>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</si>
  <si>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</si>
  <si>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</si>
  <si>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</si>
  <si>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</si>
  <si>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</si>
  <si>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</si>
  <si>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</si>
  <si>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</si>
  <si>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</si>
  <si>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</si>
  <si>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</si>
  <si>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</si>
  <si>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</si>
  <si>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</si>
  <si>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</si>
  <si>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</si>
  <si>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</si>
  <si>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</si>
  <si>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</si>
  <si>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</si>
  <si>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</si>
  <si>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</si>
  <si>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</si>
  <si>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</si>
  <si>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</si>
  <si>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</si>
  <si>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</si>
  <si>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</si>
  <si>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</si>
  <si>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</si>
  <si>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</si>
  <si>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</si>
  <si>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</si>
  <si>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</si>
  <si>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</si>
  <si>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</si>
  <si>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</si>
  <si>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</si>
  <si>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</si>
  <si>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</si>
  <si>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</si>
  <si>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</si>
  <si>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</si>
  <si>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</si>
  <si>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</si>
  <si>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</si>
  <si>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</si>
  <si>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</si>
  <si>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</si>
  <si>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</si>
  <si>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</si>
  <si>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</si>
  <si>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</si>
  <si>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</si>
  <si>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</si>
  <si>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</si>
  <si>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</si>
  <si>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</si>
  <si>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</si>
  <si>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</si>
  <si>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</si>
  <si>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</si>
  <si>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</si>
  <si>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</si>
  <si>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</si>
  <si>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</si>
  <si>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</si>
  <si>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</si>
  <si>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</si>
  <si>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</si>
  <si>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</si>
  <si>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</si>
  <si>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</si>
  <si>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</si>
  <si>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</si>
  <si>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</si>
  <si>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</si>
  <si>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</si>
  <si>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</si>
  <si>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</si>
  <si>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</si>
  <si>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</si>
  <si>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</si>
  <si>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</si>
  <si>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</si>
  <si>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</si>
  <si>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</si>
  <si>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</si>
  <si>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</si>
  <si>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</si>
  <si>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</si>
  <si>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</si>
  <si>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</si>
  <si>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</si>
  <si>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</si>
  <si>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</si>
  <si>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</si>
  <si>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</si>
  <si>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</si>
  <si>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</si>
  <si>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</si>
  <si>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</si>
  <si>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</si>
  <si>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</si>
  <si>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</si>
  <si>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</si>
  <si>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</si>
  <si>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</si>
  <si>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</si>
  <si>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</si>
  <si>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</si>
  <si>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</si>
  <si>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</si>
  <si>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</si>
  <si>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</si>
  <si>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</si>
  <si>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</si>
  <si>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</si>
  <si>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</si>
  <si>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</si>
  <si>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</si>
  <si>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</si>
  <si>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</si>
  <si>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</si>
  <si>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</si>
  <si>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</si>
  <si>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</si>
  <si>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</si>
  <si>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</si>
  <si>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</si>
  <si>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</si>
  <si>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</si>
  <si>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</si>
  <si>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</si>
  <si>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</si>
  <si>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</si>
  <si>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</si>
  <si>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</si>
  <si>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</si>
  <si>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</si>
  <si>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</si>
  <si>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</si>
  <si>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</si>
  <si>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</si>
  <si>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</si>
  <si>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</si>
  <si>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</si>
  <si>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</si>
  <si>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</si>
  <si>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</si>
  <si>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</si>
  <si>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</si>
  <si>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</si>
  <si>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</si>
  <si>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</si>
  <si>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</si>
  <si>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</si>
  <si>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</si>
  <si>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</si>
  <si>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</si>
  <si>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</si>
  <si>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</si>
  <si>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</si>
  <si>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</si>
  <si>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</si>
  <si>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</si>
  <si>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</si>
  <si>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</si>
  <si>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</si>
  <si>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</si>
  <si>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</si>
  <si>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</si>
  <si>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</si>
  <si>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</si>
  <si>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</si>
  <si>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</si>
  <si>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</si>
  <si>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</si>
  <si>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</si>
  <si>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</si>
  <si>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</si>
  <si>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</si>
  <si>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</si>
  <si>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</si>
  <si>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</si>
  <si>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</si>
  <si>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</si>
  <si>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</si>
  <si>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</si>
  <si>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</si>
  <si>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</si>
  <si>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</si>
  <si>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</si>
  <si>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</si>
  <si>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</si>
  <si>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</si>
  <si>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</si>
  <si>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</si>
  <si>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</si>
  <si>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</si>
  <si>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</si>
  <si>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</si>
  <si>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</si>
  <si>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</si>
  <si>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</si>
  <si>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</si>
  <si>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</si>
  <si>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</si>
  <si>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</si>
  <si>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</si>
  <si>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</si>
  <si>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</si>
  <si>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</si>
  <si>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</si>
  <si>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</si>
  <si>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</si>
  <si>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</si>
  <si>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</si>
  <si>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</si>
  <si>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</si>
  <si>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</si>
  <si>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</si>
  <si>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</si>
  <si>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</si>
  <si>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</si>
  <si>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</si>
  <si>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</si>
  <si>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</si>
  <si>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</si>
  <si>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</si>
  <si>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</si>
  <si>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ליזה שלו</t>
  </si>
  <si>
    <t>03-7962110</t>
  </si>
  <si>
    <t>lizas@hcsra.co.il</t>
  </si>
  <si>
    <t>0</t>
  </si>
  <si>
    <t>בנק מזרחי</t>
  </si>
  <si>
    <t>20-61</t>
  </si>
  <si>
    <t>Aaa.il</t>
  </si>
  <si>
    <t>ILS</t>
  </si>
  <si>
    <t>520042177</t>
  </si>
  <si>
    <t>12936</t>
  </si>
  <si>
    <t>ilAAA</t>
  </si>
  <si>
    <t>USD</t>
  </si>
  <si>
    <t>12937</t>
  </si>
  <si>
    <t>EUR</t>
  </si>
  <si>
    <t>CHF</t>
  </si>
  <si>
    <t>12938</t>
  </si>
  <si>
    <t>13498</t>
  </si>
  <si>
    <t>13499</t>
  </si>
  <si>
    <t>13500</t>
  </si>
  <si>
    <t>141</t>
  </si>
  <si>
    <t>142</t>
  </si>
  <si>
    <t>NOK</t>
  </si>
  <si>
    <t>GBP</t>
  </si>
  <si>
    <t>JPY</t>
  </si>
  <si>
    <t>HKD</t>
  </si>
  <si>
    <t>143</t>
  </si>
  <si>
    <t>14318</t>
  </si>
  <si>
    <t>14406</t>
  </si>
  <si>
    <t>14425</t>
  </si>
  <si>
    <t>15373</t>
  </si>
  <si>
    <t>35011</t>
  </si>
  <si>
    <t>בנק לאומי</t>
  </si>
  <si>
    <t>10-800</t>
  </si>
  <si>
    <t>35012</t>
  </si>
  <si>
    <t>בנק הפועלים</t>
  </si>
  <si>
    <t>12-600</t>
  </si>
  <si>
    <t>57</t>
  </si>
  <si>
    <t>58</t>
  </si>
  <si>
    <t>62</t>
  </si>
  <si>
    <t>8530</t>
  </si>
  <si>
    <t>בנק דיסקונט</t>
  </si>
  <si>
    <t>11-10</t>
  </si>
  <si>
    <t>9300</t>
  </si>
  <si>
    <t>9301</t>
  </si>
  <si>
    <t>AUD</t>
  </si>
  <si>
    <t>9302</t>
  </si>
  <si>
    <t>9629</t>
  </si>
  <si>
    <t>9630</t>
  </si>
  <si>
    <t>9631</t>
  </si>
  <si>
    <t>9719</t>
  </si>
  <si>
    <t>9720</t>
  </si>
  <si>
    <t>9721</t>
  </si>
  <si>
    <t>9888</t>
  </si>
  <si>
    <t>האוצר - ממשלתית צמודה</t>
  </si>
  <si>
    <t>ממשל צמודה 1025</t>
  </si>
  <si>
    <t>IL0011359127</t>
  </si>
  <si>
    <t>ilRF</t>
  </si>
  <si>
    <t>31/10/2025</t>
  </si>
  <si>
    <t>ממשל צמודה 1028</t>
  </si>
  <si>
    <t>IL0011973265</t>
  </si>
  <si>
    <t>RF.il</t>
  </si>
  <si>
    <t>30/10/2028</t>
  </si>
  <si>
    <t>האוצר - ממשלתית שקלית</t>
  </si>
  <si>
    <t>ממשלתי שקלי 0425</t>
  </si>
  <si>
    <t>IL0011626681</t>
  </si>
  <si>
    <t>30/04/2025</t>
  </si>
  <si>
    <t>ממשק0142</t>
  </si>
  <si>
    <t>IL0011254005</t>
  </si>
  <si>
    <t>31/01/2042</t>
  </si>
  <si>
    <t>ממשל שקלית 0226</t>
  </si>
  <si>
    <t>IL0011746976</t>
  </si>
  <si>
    <t>27/02/2026</t>
  </si>
  <si>
    <t>האוצר - ממשלתית משתנה</t>
  </si>
  <si>
    <t>ממשלת משתנה 1130</t>
  </si>
  <si>
    <t>IL0011665523</t>
  </si>
  <si>
    <t>29/11/2030</t>
  </si>
  <si>
    <t>ממשל שקלית 0330</t>
  </si>
  <si>
    <t>IL0011609851</t>
  </si>
  <si>
    <t>31/03/2030</t>
  </si>
  <si>
    <t>ממשל משתנה 0526</t>
  </si>
  <si>
    <t>IL0011417958</t>
  </si>
  <si>
    <t>31/05/2026</t>
  </si>
  <si>
    <t>ממשלתי 0825</t>
  </si>
  <si>
    <t>IL0011355570</t>
  </si>
  <si>
    <t>31/08/2025</t>
  </si>
  <si>
    <t>בנק ישראל- מק"מ</t>
  </si>
  <si>
    <t>מ.ק.מ.  315</t>
  </si>
  <si>
    <t>IL0082503181</t>
  </si>
  <si>
    <t>05/03/2025</t>
  </si>
  <si>
    <t>מ.ק.מ.  815</t>
  </si>
  <si>
    <t>IL0082508131</t>
  </si>
  <si>
    <t>06/08/2025</t>
  </si>
  <si>
    <t>ממשל צמודה 1131</t>
  </si>
  <si>
    <t>IL0011722209</t>
  </si>
  <si>
    <t>30/11/2031</t>
  </si>
  <si>
    <t>ממשל צמודה 0529</t>
  </si>
  <si>
    <t>IL0011570236</t>
  </si>
  <si>
    <t>31/05/2029</t>
  </si>
  <si>
    <t>מ.ק.מ.  915</t>
  </si>
  <si>
    <t>IL0082509121</t>
  </si>
  <si>
    <t>03/09/2025</t>
  </si>
  <si>
    <t>ממשל שקלית 0229</t>
  </si>
  <si>
    <t>IL0011948028</t>
  </si>
  <si>
    <t>28/02/2029</t>
  </si>
  <si>
    <t>ממשל צמודה 0726</t>
  </si>
  <si>
    <t>IL0011695645</t>
  </si>
  <si>
    <t>31/07/2026</t>
  </si>
  <si>
    <t>ממשק 1026</t>
  </si>
  <si>
    <t>IL0010994569</t>
  </si>
  <si>
    <t>30/10/2026</t>
  </si>
  <si>
    <t>מ.ק.מ.  415</t>
  </si>
  <si>
    <t>IL0082504171</t>
  </si>
  <si>
    <t>02/04/2025</t>
  </si>
  <si>
    <t>מ.ק.מ.  125</t>
  </si>
  <si>
    <t>IL0082501284</t>
  </si>
  <si>
    <t>08/01/2025</t>
  </si>
  <si>
    <t>ממשלת ארה"ב</t>
  </si>
  <si>
    <t>US TREASURY 4.0 15/02/34</t>
  </si>
  <si>
    <t>US91282CJZ59</t>
  </si>
  <si>
    <t>AA+</t>
  </si>
  <si>
    <t>15/02/2034</t>
  </si>
  <si>
    <t>מ.ק.מ. 515</t>
  </si>
  <si>
    <t>IL0082505160</t>
  </si>
  <si>
    <t>07/05/2025</t>
  </si>
  <si>
    <t>ממשלתי צמוד 0527</t>
  </si>
  <si>
    <t>IL0011408478</t>
  </si>
  <si>
    <t>31/05/2027</t>
  </si>
  <si>
    <t>ממשל צמודה 1033</t>
  </si>
  <si>
    <t>IL0012043795</t>
  </si>
  <si>
    <t>31/10/2033</t>
  </si>
  <si>
    <t>מ.ק.מ.  215</t>
  </si>
  <si>
    <t>IL0082502191</t>
  </si>
  <si>
    <t>05/02/2025</t>
  </si>
  <si>
    <t>מ.ק.מ. 1214</t>
  </si>
  <si>
    <t>IL0082412185</t>
  </si>
  <si>
    <t>04/12/2024</t>
  </si>
  <si>
    <t>ממשל שקלית 0327</t>
  </si>
  <si>
    <t>IL0011393449</t>
  </si>
  <si>
    <t>31/03/2027</t>
  </si>
  <si>
    <t>מ.ק.מ.      715</t>
  </si>
  <si>
    <t>IL0082507141</t>
  </si>
  <si>
    <t>02/07/2025</t>
  </si>
  <si>
    <t>ממשל שקלית 0928</t>
  </si>
  <si>
    <t>IL0011508798</t>
  </si>
  <si>
    <t>29/09/2028</t>
  </si>
  <si>
    <t>מ.ק.מ.  615</t>
  </si>
  <si>
    <t>IL0082506150</t>
  </si>
  <si>
    <t>04/06/2025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</si>
  <si>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</si>
  <si>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</si>
  <si>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</si>
  <si>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</si>
  <si>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</si>
  <si>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</si>
  <si>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</si>
  <si>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</si>
  <si>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</si>
  <si>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מ.ק.מ.   1114</t>
  </si>
  <si>
    <t>IL0082411195</t>
  </si>
  <si>
    <t>06/11/2024</t>
  </si>
  <si>
    <t>ממצמ 0536</t>
  </si>
  <si>
    <t>IL0010977085</t>
  </si>
  <si>
    <t>30/05/2036</t>
  </si>
  <si>
    <t>ממשל שקלית 0927</t>
  </si>
  <si>
    <t>IL0012035791</t>
  </si>
  <si>
    <t>30/09/2027</t>
  </si>
  <si>
    <t>מ.ק.מ.  1014</t>
  </si>
  <si>
    <t>IL0082410106</t>
  </si>
  <si>
    <t>02/10/2024</t>
  </si>
  <si>
    <t>ממשל שקלי 1024</t>
  </si>
  <si>
    <t>IL0011757775</t>
  </si>
  <si>
    <t>31/10/2024</t>
  </si>
  <si>
    <t>ממשל שקלית 0347</t>
  </si>
  <si>
    <t>IL0011401937</t>
  </si>
  <si>
    <t>31/03/2047</t>
  </si>
  <si>
    <t>US TREASURY 4.125 31/07/28</t>
  </si>
  <si>
    <t>US91282CHQ78</t>
  </si>
  <si>
    <t>31/07/2028</t>
  </si>
  <si>
    <t>US TREASURY 0.5 28/02/26</t>
  </si>
  <si>
    <t>US91282CBQ33</t>
  </si>
  <si>
    <t>28/02/2026</t>
  </si>
  <si>
    <t>האוצר - ממשלתית קצרה</t>
  </si>
  <si>
    <t>ממשל קצרה 11/24</t>
  </si>
  <si>
    <t>IL0012023243</t>
  </si>
  <si>
    <t>29/11/2024</t>
  </si>
  <si>
    <t>ממשל קצרה 02/25</t>
  </si>
  <si>
    <t>IL0012052028</t>
  </si>
  <si>
    <t>28/02/2025</t>
  </si>
  <si>
    <t>מדינת ישראל</t>
  </si>
  <si>
    <t>ISRAEL 5 30/10/26</t>
  </si>
  <si>
    <t>XS2711443932</t>
  </si>
  <si>
    <t>Baa1</t>
  </si>
  <si>
    <t>ממשל קצרה 05/25</t>
  </si>
  <si>
    <t>IL0012080169</t>
  </si>
  <si>
    <t>30/05/2025</t>
  </si>
  <si>
    <t>ממשלתי צמוד 0545</t>
  </si>
  <si>
    <t>IL0011348658</t>
  </si>
  <si>
    <t>31/05/2045</t>
  </si>
  <si>
    <t>ממשל שקלית 1152</t>
  </si>
  <si>
    <t>IL0011840761</t>
  </si>
  <si>
    <t>29/11/2052</t>
  </si>
  <si>
    <t>האוצר - ממשלתית גלובלית</t>
  </si>
  <si>
    <t>ממשל גלובל07/30</t>
  </si>
  <si>
    <t>US46513JB346</t>
  </si>
  <si>
    <t>03/07/2030</t>
  </si>
  <si>
    <t>ISRAEL 1.5 18/01/27</t>
  </si>
  <si>
    <t>XS1551294256</t>
  </si>
  <si>
    <t>18/01/2027</t>
  </si>
  <si>
    <t>US TREASURY 2 15/11/41</t>
  </si>
  <si>
    <t>US912810TC27</t>
  </si>
  <si>
    <t>15/11/2041</t>
  </si>
  <si>
    <t>US TREASURY 3.25  30/06/29</t>
  </si>
  <si>
    <t>US91282CEV90</t>
  </si>
  <si>
    <t>30/06/2029</t>
  </si>
  <si>
    <t>US TREASURY 3 15/11/2044</t>
  </si>
  <si>
    <t>US912810RJ97</t>
  </si>
  <si>
    <t>15/11/2044</t>
  </si>
  <si>
    <t>US TREASURY 2.75 15/11/42</t>
  </si>
  <si>
    <t>US912810QY73</t>
  </si>
  <si>
    <t>15/11/2042</t>
  </si>
  <si>
    <t>US TREASURY 3.5 15/02/39</t>
  </si>
  <si>
    <t>US912810QA97</t>
  </si>
  <si>
    <t>15/02/2039</t>
  </si>
  <si>
    <t>US TREASURY 0 14/11/24</t>
  </si>
  <si>
    <t>US912797LD70</t>
  </si>
  <si>
    <t>Aaa</t>
  </si>
  <si>
    <t>14/11/2024</t>
  </si>
  <si>
    <t>US TREASURY 3.625 15/02/2044</t>
  </si>
  <si>
    <t>US912810RE01</t>
  </si>
  <si>
    <t>15/02/2044</t>
  </si>
  <si>
    <t>US TREASURY 1.125 15/08/40</t>
  </si>
  <si>
    <t>US912810SQ22</t>
  </si>
  <si>
    <t>15/08/2040</t>
  </si>
  <si>
    <t>ISRAEL 5.5 12/03/34</t>
  </si>
  <si>
    <t>US46514BRL35</t>
  </si>
  <si>
    <t>12/03/2034</t>
  </si>
  <si>
    <t>ISRAEL 5.75 12/03/54</t>
  </si>
  <si>
    <t>US46514BRM18</t>
  </si>
  <si>
    <t>12/03/2054</t>
  </si>
  <si>
    <t>US TREASURY 4.375 15/02/2038</t>
  </si>
  <si>
    <t>US912810PW27</t>
  </si>
  <si>
    <t>15/02/2038</t>
  </si>
  <si>
    <t>US TREASURY 4.5 15/11/33</t>
  </si>
  <si>
    <t>US91282CJJ18</t>
  </si>
  <si>
    <t>15/11/2033</t>
  </si>
  <si>
    <t>US TREASURY 3.375 15/05/44</t>
  </si>
  <si>
    <t>US912810RG58</t>
  </si>
  <si>
    <t>15/05/2044</t>
  </si>
  <si>
    <t>US TREASURY 1 15/12/24</t>
  </si>
  <si>
    <t>US91282CDN83</t>
  </si>
  <si>
    <t>15/12/2024</t>
  </si>
  <si>
    <t>US TREASURY 0.125 15/04/25</t>
  </si>
  <si>
    <t>US912828ZJ22</t>
  </si>
  <si>
    <t>15/04/2025</t>
  </si>
  <si>
    <t>US Treasury 0 05/12/24</t>
  </si>
  <si>
    <t>US912797LF29</t>
  </si>
  <si>
    <t>05/12/2024</t>
  </si>
  <si>
    <t>US TREASURY 0 12/12/24</t>
  </si>
  <si>
    <t>US912797LP01</t>
  </si>
  <si>
    <t>12/12/2024</t>
  </si>
  <si>
    <t>US TREASURY 0 02/01/25</t>
  </si>
  <si>
    <t>US912797LR66</t>
  </si>
  <si>
    <t>02/01/2025</t>
  </si>
  <si>
    <t>US TREASURY 0  20/02/25</t>
  </si>
  <si>
    <t>US912797KA41</t>
  </si>
  <si>
    <t>20/02/2025</t>
  </si>
  <si>
    <t>ISRAEL 5.375 12/03/29</t>
  </si>
  <si>
    <t>US46514BRN90</t>
  </si>
  <si>
    <t>12/03/2029</t>
  </si>
  <si>
    <t>US TREASURY 1.875 15/02/32</t>
  </si>
  <si>
    <t>US91282CDY49</t>
  </si>
  <si>
    <t>15/02/2032</t>
  </si>
  <si>
    <t>US TREASURY 2.875 15/08/45</t>
  </si>
  <si>
    <t>US912810RN00</t>
  </si>
  <si>
    <t>15/08/2045</t>
  </si>
  <si>
    <t>US TREASURY 1.625 15/05/31</t>
  </si>
  <si>
    <t>US91282CCB54</t>
  </si>
  <si>
    <t>15/05/2031</t>
  </si>
  <si>
    <t>US TREASURY 0  19/12/24</t>
  </si>
  <si>
    <t>US912797LQ83</t>
  </si>
  <si>
    <t>19/12/2024</t>
  </si>
  <si>
    <t>ISRAEL 3.25 17/01/28</t>
  </si>
  <si>
    <t>US46513YJH27</t>
  </si>
  <si>
    <t>17/01/2028</t>
  </si>
  <si>
    <t>ISRAEL 2.5 15/01/30</t>
  </si>
  <si>
    <t>US46513JXM88</t>
  </si>
  <si>
    <t>15/01/2030</t>
  </si>
  <si>
    <t>US TREASURY 2.5 15/02/2046</t>
  </si>
  <si>
    <t>US912810RQ31</t>
  </si>
  <si>
    <t>15/02/2046</t>
  </si>
  <si>
    <t>US TREASURY 2.375 15/02/2042</t>
  </si>
  <si>
    <t>US912810TF57</t>
  </si>
  <si>
    <t>15/02/2042</t>
  </si>
  <si>
    <t>Us Treasury 4.375 15/11/39</t>
  </si>
  <si>
    <t>US912810QD37</t>
  </si>
  <si>
    <t>15/11/2039</t>
  </si>
  <si>
    <t>US TREASURY 2.125 30/11/24</t>
  </si>
  <si>
    <t>US9128283J70</t>
  </si>
  <si>
    <t>30/11/2024</t>
  </si>
  <si>
    <t>Us Treasury 0.625 15/10/24</t>
  </si>
  <si>
    <t>US91282CDB46</t>
  </si>
  <si>
    <t>15/10/2024</t>
  </si>
  <si>
    <t>US TREASURY 1.5 30/11/24</t>
  </si>
  <si>
    <t>US912828YV68</t>
  </si>
  <si>
    <t>ממצמ0841</t>
  </si>
  <si>
    <t>IL0011205833</t>
  </si>
  <si>
    <t>31/08/2041</t>
  </si>
  <si>
    <t>מזרחי טפחות הנפ</t>
  </si>
  <si>
    <t>520032046</t>
  </si>
  <si>
    <t>מז טפ הנפ מסחרי3</t>
  </si>
  <si>
    <t>IL0012075474</t>
  </si>
  <si>
    <t>05/06/2025</t>
  </si>
  <si>
    <t>סטרוברי אינק</t>
  </si>
  <si>
    <t>842336054</t>
  </si>
  <si>
    <t>סטרברי אנ אגח א</t>
  </si>
  <si>
    <t>IL0012098997</t>
  </si>
  <si>
    <t>ilA+</t>
  </si>
  <si>
    <t>30/09/2026</t>
  </si>
  <si>
    <t>אקסטל לימיטד</t>
  </si>
  <si>
    <t>1811308</t>
  </si>
  <si>
    <t>אקסטל אגח ד</t>
  </si>
  <si>
    <t>IL0011831695</t>
  </si>
  <si>
    <t>A3.il</t>
  </si>
  <si>
    <t>31/12/2027</t>
  </si>
  <si>
    <t>דליה אנרגיה</t>
  </si>
  <si>
    <t>516269248</t>
  </si>
  <si>
    <t>דליה   אגח ב</t>
  </si>
  <si>
    <t>IL0011935983</t>
  </si>
  <si>
    <t>01/10/2034</t>
  </si>
  <si>
    <t>אמות</t>
  </si>
  <si>
    <t>520026683</t>
  </si>
  <si>
    <t>אמות אג ו'</t>
  </si>
  <si>
    <t>IL0011586091</t>
  </si>
  <si>
    <t>ilAA</t>
  </si>
  <si>
    <t>31/10/2029</t>
  </si>
  <si>
    <t>סיאון</t>
  </si>
  <si>
    <t>2409</t>
  </si>
  <si>
    <t>סיאון אגח א</t>
  </si>
  <si>
    <t>IL0011940181</t>
  </si>
  <si>
    <t>A1.il</t>
  </si>
  <si>
    <t>31/08/2026</t>
  </si>
  <si>
    <t>מימון ישיר קב</t>
  </si>
  <si>
    <t>513893123</t>
  </si>
  <si>
    <t>מימון ישיר אגח ו</t>
  </si>
  <si>
    <t>IL0011916595</t>
  </si>
  <si>
    <t>דה לסר</t>
  </si>
  <si>
    <t>1427976</t>
  </si>
  <si>
    <t>דה לסר  אגח ט</t>
  </si>
  <si>
    <t>IL0012056813</t>
  </si>
  <si>
    <t>ilA-</t>
  </si>
  <si>
    <t>30/06/2031</t>
  </si>
  <si>
    <t>ספנסר אקוויטי</t>
  </si>
  <si>
    <t>1838863</t>
  </si>
  <si>
    <t>ספנסר אגח ד</t>
  </si>
  <si>
    <t>IL0011887887</t>
  </si>
  <si>
    <t>ilA</t>
  </si>
  <si>
    <t>31/08/2029</t>
  </si>
  <si>
    <t>ווסטדייל אמריקה</t>
  </si>
  <si>
    <t>1991033</t>
  </si>
  <si>
    <t>ווסטדייל אגח ג</t>
  </si>
  <si>
    <t>IL0012085119</t>
  </si>
  <si>
    <t>ilAA-</t>
  </si>
  <si>
    <t>30/10/2029</t>
  </si>
  <si>
    <t>אס.אר אקורד</t>
  </si>
  <si>
    <t>520038670</t>
  </si>
  <si>
    <t>אסאר אקורד אגח ב</t>
  </si>
  <si>
    <t>IL0042203724</t>
  </si>
  <si>
    <t>30/06/2027</t>
  </si>
  <si>
    <t>לאומי</t>
  </si>
  <si>
    <t>520018078</t>
  </si>
  <si>
    <t>לאומי התח נד403</t>
  </si>
  <si>
    <t>IL0060404303</t>
  </si>
  <si>
    <t>אדמה</t>
  </si>
  <si>
    <t>520043605</t>
  </si>
  <si>
    <t>אדמה אגח  2</t>
  </si>
  <si>
    <t>IL0011109159</t>
  </si>
  <si>
    <t>30/11/2036</t>
  </si>
  <si>
    <t>אורון קבוצה</t>
  </si>
  <si>
    <t>513432765</t>
  </si>
  <si>
    <t>אורון קב  אגח ג</t>
  </si>
  <si>
    <t>IL0011977639</t>
  </si>
  <si>
    <t>Baa1.il</t>
  </si>
  <si>
    <t>01/07/2029</t>
  </si>
  <si>
    <t>מז טפ הנפ הת 69</t>
  </si>
  <si>
    <t>IL0012021593</t>
  </si>
  <si>
    <t>25/06/2029</t>
  </si>
  <si>
    <t>גב ים</t>
  </si>
  <si>
    <t>520001736</t>
  </si>
  <si>
    <t>גב ים    אגח יא</t>
  </si>
  <si>
    <t>IL0012083395</t>
  </si>
  <si>
    <t>קרסו נדלן</t>
  </si>
  <si>
    <t>510488190</t>
  </si>
  <si>
    <t>קרסו נדלן אגח א</t>
  </si>
  <si>
    <t>IL0011900086</t>
  </si>
  <si>
    <t>30/11/2029</t>
  </si>
  <si>
    <t>פועלים</t>
  </si>
  <si>
    <t>520000118</t>
  </si>
  <si>
    <t>פועלים הת נדח ט</t>
  </si>
  <si>
    <t>IL0011998841</t>
  </si>
  <si>
    <t>03/04/2025</t>
  </si>
  <si>
    <t>נמקו ריאלטי</t>
  </si>
  <si>
    <t>1905761</t>
  </si>
  <si>
    <t>נמקו אגח ב</t>
  </si>
  <si>
    <t>IL0011602583</t>
  </si>
  <si>
    <t>15/10/2032</t>
  </si>
  <si>
    <t>רימון</t>
  </si>
  <si>
    <t>512467994</t>
  </si>
  <si>
    <t>רימון אגח א</t>
  </si>
  <si>
    <t>IL0012110362</t>
  </si>
  <si>
    <t>A2.il</t>
  </si>
  <si>
    <t>יובלים קבוצה</t>
  </si>
  <si>
    <t>514625094</t>
  </si>
  <si>
    <t>יובלים    אגח א</t>
  </si>
  <si>
    <t>IL0011766438</t>
  </si>
  <si>
    <t>06/07/2025</t>
  </si>
  <si>
    <t>עמרם</t>
  </si>
  <si>
    <t>513201582</t>
  </si>
  <si>
    <t>עמרם אברהם אגח א</t>
  </si>
  <si>
    <t>IL0011880445</t>
  </si>
  <si>
    <t>אאורה</t>
  </si>
  <si>
    <t>520038274</t>
  </si>
  <si>
    <t>אאורה אגח יז</t>
  </si>
  <si>
    <t>IL0011935801</t>
  </si>
  <si>
    <t>31/01/2029</t>
  </si>
  <si>
    <t>מנרב</t>
  </si>
  <si>
    <t>520034505</t>
  </si>
  <si>
    <t>מנרב אגח ד</t>
  </si>
  <si>
    <t>IL0015501690</t>
  </si>
  <si>
    <t>15/04/2032</t>
  </si>
  <si>
    <t>נאוויטס פטרו</t>
  </si>
  <si>
    <t>550263107</t>
  </si>
  <si>
    <t>נאוויטס פט אגחה</t>
  </si>
  <si>
    <t>IL0011979122</t>
  </si>
  <si>
    <t>31/12/2028</t>
  </si>
  <si>
    <t>מימון ישיר אגח ה</t>
  </si>
  <si>
    <t>IL0011828311</t>
  </si>
  <si>
    <t>31/07/2031</t>
  </si>
  <si>
    <t>שובל הנדסה</t>
  </si>
  <si>
    <t>512951518</t>
  </si>
  <si>
    <t>שובל  אגח א</t>
  </si>
  <si>
    <t>IL0012079278</t>
  </si>
  <si>
    <t>סטרוברי</t>
  </si>
  <si>
    <t>1863501</t>
  </si>
  <si>
    <t>סטרוברי אגח ג</t>
  </si>
  <si>
    <t>IL0011790198</t>
  </si>
  <si>
    <t>מודיעין יהש</t>
  </si>
  <si>
    <t>550012405</t>
  </si>
  <si>
    <t>מודיעין    אג ב</t>
  </si>
  <si>
    <t>IL0012104423</t>
  </si>
  <si>
    <t>01/10/2028</t>
  </si>
  <si>
    <t>נמקו אגח ג</t>
  </si>
  <si>
    <t>IL0011987612</t>
  </si>
  <si>
    <t>דה לסר אגח ח</t>
  </si>
  <si>
    <t>IL0011931925</t>
  </si>
  <si>
    <t>31/12/2026</t>
  </si>
  <si>
    <t>להב</t>
  </si>
  <si>
    <t>520034257</t>
  </si>
  <si>
    <t>להב אגח ג</t>
  </si>
  <si>
    <t>IL0011933418</t>
  </si>
  <si>
    <t>10/07/2028</t>
  </si>
  <si>
    <t>אפקון החזקות</t>
  </si>
  <si>
    <t>520033473</t>
  </si>
  <si>
    <t>אפקון החז אגח ד</t>
  </si>
  <si>
    <t>IL0057801685</t>
  </si>
  <si>
    <t>01/04/2029</t>
  </si>
  <si>
    <t>פתאל אירופה</t>
  </si>
  <si>
    <t>515328250</t>
  </si>
  <si>
    <t>פתאל אירו אגח ה</t>
  </si>
  <si>
    <t>IL0011988867</t>
  </si>
  <si>
    <t>ביג</t>
  </si>
  <si>
    <t>513623314</t>
  </si>
  <si>
    <t>ביג אגח ח</t>
  </si>
  <si>
    <t>IL0011389249</t>
  </si>
  <si>
    <t>12/04/2026</t>
  </si>
  <si>
    <t>אפי קפיטל נדלן</t>
  </si>
  <si>
    <t>513948216</t>
  </si>
  <si>
    <t>אפי קפיטל אגח ג</t>
  </si>
  <si>
    <t>IL0011997447</t>
  </si>
  <si>
    <t>נופר אנרג'י</t>
  </si>
  <si>
    <t>514599943</t>
  </si>
  <si>
    <t>נופר אנרג אגח א</t>
  </si>
  <si>
    <t>IL0011793408</t>
  </si>
  <si>
    <t>אפי נכסים</t>
  </si>
  <si>
    <t>510560188</t>
  </si>
  <si>
    <t>אפי נכסים אגח יג</t>
  </si>
  <si>
    <t>IL0011782922</t>
  </si>
  <si>
    <t>1 ריט</t>
  </si>
  <si>
    <t>513821488</t>
  </si>
  <si>
    <t>ריט 1  אגח ז</t>
  </si>
  <si>
    <t>IL0011712713</t>
  </si>
  <si>
    <t>20/09/2034</t>
  </si>
  <si>
    <t>אמפא יובלים</t>
  </si>
  <si>
    <t>516286432</t>
  </si>
  <si>
    <t>אמפא יובל אגח א</t>
  </si>
  <si>
    <t>IL0011935157</t>
  </si>
  <si>
    <t>15/12/2025</t>
  </si>
  <si>
    <t>פסיפיק אוק אסאואר(בי וי איי) הולדינג</t>
  </si>
  <si>
    <t>1900288</t>
  </si>
  <si>
    <t>פסיפיק  אגח ד</t>
  </si>
  <si>
    <t>IL0012060443</t>
  </si>
  <si>
    <t>אמ.ג'י.ג'י</t>
  </si>
  <si>
    <t>1981143</t>
  </si>
  <si>
    <t>אמ.ג'יג'י אגח ב</t>
  </si>
  <si>
    <t>IL0011608119</t>
  </si>
  <si>
    <t>21/09/2025</t>
  </si>
  <si>
    <t>נמקו   אגח ד</t>
  </si>
  <si>
    <t>IL0012064734</t>
  </si>
  <si>
    <t>15/04/2029</t>
  </si>
  <si>
    <t>מהדרין</t>
  </si>
  <si>
    <t>520018482</t>
  </si>
  <si>
    <t>מהדרין אגח א</t>
  </si>
  <si>
    <t>IL0012114570</t>
  </si>
  <si>
    <t>30/06/2030</t>
  </si>
  <si>
    <t>בית זיקוק אשדוד</t>
  </si>
  <si>
    <t>513775163</t>
  </si>
  <si>
    <t>בית זיקוק אגח 2</t>
  </si>
  <si>
    <t>IL0011994881</t>
  </si>
  <si>
    <t>30/04/2029</t>
  </si>
  <si>
    <t>לוזון קבוצה</t>
  </si>
  <si>
    <t>520039660</t>
  </si>
  <si>
    <t>לוזון קב אגח יא</t>
  </si>
  <si>
    <t>IL0012069865</t>
  </si>
  <si>
    <t>01/12/2033</t>
  </si>
  <si>
    <t>פתאל החזקות</t>
  </si>
  <si>
    <t>512607888</t>
  </si>
  <si>
    <t>פתאל החז  אגח ד</t>
  </si>
  <si>
    <t>IL0011881922</t>
  </si>
  <si>
    <t>31/12/2032</t>
  </si>
  <si>
    <t>אלמוגים החזקות</t>
  </si>
  <si>
    <t>513988824</t>
  </si>
  <si>
    <t>אלמוגים   אגח ט</t>
  </si>
  <si>
    <t>IL0011892242</t>
  </si>
  <si>
    <t>חג'ג' נדלן</t>
  </si>
  <si>
    <t>520033309</t>
  </si>
  <si>
    <t>חג'ג'  אגח יד</t>
  </si>
  <si>
    <t>IL0012066069</t>
  </si>
  <si>
    <t>02/01/2028</t>
  </si>
  <si>
    <t>דה לסר אגח ז</t>
  </si>
  <si>
    <t>IL0011789208</t>
  </si>
  <si>
    <t>30/06/2028</t>
  </si>
  <si>
    <t>חג'ג' אירופה</t>
  </si>
  <si>
    <t>515682292</t>
  </si>
  <si>
    <t>חגג אירופה ג</t>
  </si>
  <si>
    <t>IL0011826828</t>
  </si>
  <si>
    <t>01/01/2026</t>
  </si>
  <si>
    <t>ישפרו</t>
  </si>
  <si>
    <t>516291754</t>
  </si>
  <si>
    <t>ישפרו אגח א</t>
  </si>
  <si>
    <t>IL0012022906</t>
  </si>
  <si>
    <t>רני צים</t>
  </si>
  <si>
    <t>514353671</t>
  </si>
  <si>
    <t>רני צים   אגח ב</t>
  </si>
  <si>
    <t>IL0011718348</t>
  </si>
  <si>
    <t>01/03/2028</t>
  </si>
  <si>
    <t>אדגר השקעות</t>
  </si>
  <si>
    <t>520035171</t>
  </si>
  <si>
    <t>אדגר אגח יא</t>
  </si>
  <si>
    <t>IL0018202817</t>
  </si>
  <si>
    <t>נאוויטס פט אגח ו</t>
  </si>
  <si>
    <t>IL0012048257</t>
  </si>
  <si>
    <t>30/09/2029</t>
  </si>
  <si>
    <t>אקסטל  אגח ג</t>
  </si>
  <si>
    <t>IL0011750416</t>
  </si>
  <si>
    <t>31/03/2026</t>
  </si>
  <si>
    <t>נכסים ובנין</t>
  </si>
  <si>
    <t>520025438</t>
  </si>
  <si>
    <t>נכסים ובנ אגח י</t>
  </si>
  <si>
    <t>IL0011936304</t>
  </si>
  <si>
    <t>וויי-בוקס</t>
  </si>
  <si>
    <t>520038688</t>
  </si>
  <si>
    <t>וויי בוקס  אג ג</t>
  </si>
  <si>
    <t>IL0048601772</t>
  </si>
  <si>
    <t>31/12/2025</t>
  </si>
  <si>
    <t>רם אדרת</t>
  </si>
  <si>
    <t>512947185</t>
  </si>
  <si>
    <t>רם אדרת   אגח ב</t>
  </si>
  <si>
    <t>IL0012094368</t>
  </si>
  <si>
    <t>איסתא</t>
  </si>
  <si>
    <t>520042763</t>
  </si>
  <si>
    <t>איסתא אג א</t>
  </si>
  <si>
    <t>IL0011971285</t>
  </si>
  <si>
    <t>אלה השקעות</t>
  </si>
  <si>
    <t>520040015</t>
  </si>
  <si>
    <t>אלה  השק  אגח א</t>
  </si>
  <si>
    <t>IL0011899502</t>
  </si>
  <si>
    <t>לוזון רונסון</t>
  </si>
  <si>
    <t>560040545</t>
  </si>
  <si>
    <t>לוזון רונ אגח א</t>
  </si>
  <si>
    <t>IL0012023409</t>
  </si>
  <si>
    <t>25/09/2030</t>
  </si>
  <si>
    <t>גפן מגורים</t>
  </si>
  <si>
    <t>512781386</t>
  </si>
  <si>
    <t>גפן מגורים אג א</t>
  </si>
  <si>
    <t>IL0011996860</t>
  </si>
  <si>
    <t>ישרס</t>
  </si>
  <si>
    <t>520017807</t>
  </si>
  <si>
    <t>ישרס אג18</t>
  </si>
  <si>
    <t>IL0061302803</t>
  </si>
  <si>
    <t>10/04/2030</t>
  </si>
  <si>
    <t>יובלים    אגח ד</t>
  </si>
  <si>
    <t>IL0012040239</t>
  </si>
  <si>
    <t>05/01/2028</t>
  </si>
  <si>
    <t>עזריאלי קבוצה</t>
  </si>
  <si>
    <t>510960719</t>
  </si>
  <si>
    <t>עזריאלי  אגח ז</t>
  </si>
  <si>
    <t>IL0011786725</t>
  </si>
  <si>
    <t>ilAA+</t>
  </si>
  <si>
    <t>02/07/2036</t>
  </si>
  <si>
    <t>מניף-פיננסים</t>
  </si>
  <si>
    <t>512764408</t>
  </si>
  <si>
    <t>מניף אגח א</t>
  </si>
  <si>
    <t>IL0011858839</t>
  </si>
  <si>
    <t>אפי נכסים אגחיד</t>
  </si>
  <si>
    <t>IL0011845307</t>
  </si>
  <si>
    <t>30/03/2031</t>
  </si>
  <si>
    <t>איירפורט סיטי</t>
  </si>
  <si>
    <t>511659401</t>
  </si>
  <si>
    <t>ארפורט אג 9</t>
  </si>
  <si>
    <t>IL0011609448</t>
  </si>
  <si>
    <t>30/08/2035</t>
  </si>
  <si>
    <t>אלומיי קפיטל</t>
  </si>
  <si>
    <t>520039868</t>
  </si>
  <si>
    <t>אלומיי אגח ו</t>
  </si>
  <si>
    <t>IL0012030743</t>
  </si>
  <si>
    <t>רמות בעיר</t>
  </si>
  <si>
    <t>514328004</t>
  </si>
  <si>
    <t>רמות בעיר אגח ב</t>
  </si>
  <si>
    <t>IL0011824013</t>
  </si>
  <si>
    <t>30/06/2026</t>
  </si>
  <si>
    <t>מימון ישיר אגח ד</t>
  </si>
  <si>
    <t>IL0011756603</t>
  </si>
  <si>
    <t>01/02/2026</t>
  </si>
  <si>
    <t>אפריקה נכס אגחח</t>
  </si>
  <si>
    <t>IL0011422313</t>
  </si>
  <si>
    <t>15/10/2026</t>
  </si>
  <si>
    <t>גבאי מניבים</t>
  </si>
  <si>
    <t>520032178</t>
  </si>
  <si>
    <t>גבאי מניבים אגח יב</t>
  </si>
  <si>
    <t>IL0077102627</t>
  </si>
  <si>
    <t>רותם שני</t>
  </si>
  <si>
    <t>512287517</t>
  </si>
  <si>
    <t>רותם שני  אגח א</t>
  </si>
  <si>
    <t>IL0011739963</t>
  </si>
  <si>
    <t>30/06/2025</t>
  </si>
  <si>
    <t>ספנסר  אג2</t>
  </si>
  <si>
    <t>IL0011398984</t>
  </si>
  <si>
    <t>31/03/2028</t>
  </si>
  <si>
    <t>ירושלים הנפקות</t>
  </si>
  <si>
    <t>513682146</t>
  </si>
  <si>
    <t>ירושלים הנפ נד17</t>
  </si>
  <si>
    <t>IL0011763120</t>
  </si>
  <si>
    <t>גבאי מניבים אגח יג</t>
  </si>
  <si>
    <t>IL0077102965</t>
  </si>
  <si>
    <t>גב ים אגח י</t>
  </si>
  <si>
    <t>IL0075902846</t>
  </si>
  <si>
    <t>01/07/2035</t>
  </si>
  <si>
    <t>מליסרון</t>
  </si>
  <si>
    <t>520037789</t>
  </si>
  <si>
    <t>מליסרון אגח כ</t>
  </si>
  <si>
    <t>IL0032304227</t>
  </si>
  <si>
    <t>01/07/2030</t>
  </si>
  <si>
    <t>גיבוי אחזקות</t>
  </si>
  <si>
    <t>520039314</t>
  </si>
  <si>
    <t>גיבוי אחזקות אגח א (הסדר חוב)</t>
  </si>
  <si>
    <t>4480133</t>
  </si>
  <si>
    <t>04/12/2022</t>
  </si>
  <si>
    <t>0.000%</t>
  </si>
  <si>
    <t>VIATRIS</t>
  </si>
  <si>
    <t>5247</t>
  </si>
  <si>
    <t>VTRS 3.95 15/06/26</t>
  </si>
  <si>
    <t>US62854AAN46</t>
  </si>
  <si>
    <t>BBB-</t>
  </si>
  <si>
    <t>15/06/2026</t>
  </si>
  <si>
    <t>LUMIIT 3.275 29/01/31</t>
  </si>
  <si>
    <t>IL0060404899</t>
  </si>
  <si>
    <t>29/01/2031</t>
  </si>
  <si>
    <t>מזרחי טפחות</t>
  </si>
  <si>
    <t>520000522</t>
  </si>
  <si>
    <t>MZRHIT 3.077 07/04/31</t>
  </si>
  <si>
    <t>IL0069508369</t>
  </si>
  <si>
    <t>07/04/2031</t>
  </si>
  <si>
    <t>LEVIATHAN BOND</t>
  </si>
  <si>
    <t>5338</t>
  </si>
  <si>
    <t>LVIATH  6.125 30/06/25</t>
  </si>
  <si>
    <t>IL0011677742</t>
  </si>
  <si>
    <t>BB-</t>
  </si>
  <si>
    <t>LVIATH  6.5 30/06/27</t>
  </si>
  <si>
    <t>IL0011677825</t>
  </si>
  <si>
    <t>מגה אור</t>
  </si>
  <si>
    <t>513257873</t>
  </si>
  <si>
    <t>מגה אור  אגח יב</t>
  </si>
  <si>
    <t>IL0012112830</t>
  </si>
  <si>
    <t>01/05/2033</t>
  </si>
  <si>
    <t>מז טפ הנ אגח 64</t>
  </si>
  <si>
    <t>IL0023105559</t>
  </si>
  <si>
    <t>12/04/2031</t>
  </si>
  <si>
    <t>מז טפ הנ אגח 62</t>
  </si>
  <si>
    <t>IL0023104982</t>
  </si>
  <si>
    <t>22/10/2028</t>
  </si>
  <si>
    <t>דיסקונט מנפיקים</t>
  </si>
  <si>
    <t>520029935</t>
  </si>
  <si>
    <t>דיסק מנ אגח טו</t>
  </si>
  <si>
    <t>IL0074803045</t>
  </si>
  <si>
    <t>15/08/2032</t>
  </si>
  <si>
    <t>מניבים ריט</t>
  </si>
  <si>
    <t>515327120</t>
  </si>
  <si>
    <t>מניבים ריט אגח ג</t>
  </si>
  <si>
    <t>IL0011776585</t>
  </si>
  <si>
    <t>31/12/2029</t>
  </si>
  <si>
    <t>אדגר אגח יב</t>
  </si>
  <si>
    <t>IL0018203310</t>
  </si>
  <si>
    <t>31/03/2031</t>
  </si>
  <si>
    <t>אשטרום קבוצה</t>
  </si>
  <si>
    <t>510381601</t>
  </si>
  <si>
    <t>אשטרום קב אגח ד</t>
  </si>
  <si>
    <t>IL0011829897</t>
  </si>
  <si>
    <t>עזריאלי אג"ח ה</t>
  </si>
  <si>
    <t>IL0011566036</t>
  </si>
  <si>
    <t>Aa1.il</t>
  </si>
  <si>
    <t>סולאיר</t>
  </si>
  <si>
    <t>516046307</t>
  </si>
  <si>
    <t>סולאיר אגח א</t>
  </si>
  <si>
    <t>IL0011837304</t>
  </si>
  <si>
    <t>רני צים   אגח ג</t>
  </si>
  <si>
    <t>IL0011831935</t>
  </si>
  <si>
    <t>ilBBB+</t>
  </si>
  <si>
    <t>שוהם ביזנס</t>
  </si>
  <si>
    <t>520043860</t>
  </si>
  <si>
    <t>שוהם ביזנס אגח ד</t>
  </si>
  <si>
    <t>IL0011820474</t>
  </si>
  <si>
    <t>Baa2.il</t>
  </si>
  <si>
    <t>מליסרון  אגח יט</t>
  </si>
  <si>
    <t>IL0032303989</t>
  </si>
  <si>
    <t>ישראל קנדה</t>
  </si>
  <si>
    <t>520039298</t>
  </si>
  <si>
    <t>ישראל קנדה אגח ז</t>
  </si>
  <si>
    <t>IL0043402127</t>
  </si>
  <si>
    <t>שלמה נדלן</t>
  </si>
  <si>
    <t>513957472</t>
  </si>
  <si>
    <t>שלמה נדלן אגח ד</t>
  </si>
  <si>
    <t>IL0011576688</t>
  </si>
  <si>
    <t>31/10/2030</t>
  </si>
  <si>
    <t>ארי נדלן</t>
  </si>
  <si>
    <t>520038332</t>
  </si>
  <si>
    <t>ארי נדלן אגח א</t>
  </si>
  <si>
    <t>IL0036601560</t>
  </si>
  <si>
    <t>01/04/2027</t>
  </si>
  <si>
    <t>ארפורט סיטי אג"ח 5</t>
  </si>
  <si>
    <t>IL0011334872</t>
  </si>
  <si>
    <t>פועלים  אגח 203</t>
  </si>
  <si>
    <t>IL0011998684</t>
  </si>
  <si>
    <t>02/12/2030</t>
  </si>
  <si>
    <t>פועלים  אגח 201</t>
  </si>
  <si>
    <t>IL0011913451</t>
  </si>
  <si>
    <t>29/11/2032</t>
  </si>
  <si>
    <t>דליה אגח א</t>
  </si>
  <si>
    <t>IL0011849515</t>
  </si>
  <si>
    <t>30/09/2031</t>
  </si>
  <si>
    <t>חג'ג'    אגח יג</t>
  </si>
  <si>
    <t>IL0011900409</t>
  </si>
  <si>
    <t>01/04/2025</t>
  </si>
  <si>
    <t>אלדן תחבורה</t>
  </si>
  <si>
    <t>510454333</t>
  </si>
  <si>
    <t>אלדן תחבו אגח ח</t>
  </si>
  <si>
    <t>IL0011924425</t>
  </si>
  <si>
    <t>חג'ג'    אגח יא</t>
  </si>
  <si>
    <t>IL0082303285</t>
  </si>
  <si>
    <t>01/07/2027</t>
  </si>
  <si>
    <t>מבנה</t>
  </si>
  <si>
    <t>520024126</t>
  </si>
  <si>
    <t>מבני תעשיה אגח יט</t>
  </si>
  <si>
    <t>IL0022604875</t>
  </si>
  <si>
    <t>נכסים בנ אגח יא</t>
  </si>
  <si>
    <t>IL0012055666</t>
  </si>
  <si>
    <t>24/12/2027</t>
  </si>
  <si>
    <t>ביג אגח ז</t>
  </si>
  <si>
    <t>IL0011360844</t>
  </si>
  <si>
    <t>Aa3.il</t>
  </si>
  <si>
    <t>10/05/2025</t>
  </si>
  <si>
    <t>מבני תעשיה אגח כג</t>
  </si>
  <si>
    <t>IL0022605450</t>
  </si>
  <si>
    <t>בזק</t>
  </si>
  <si>
    <t>520031931</t>
  </si>
  <si>
    <t>בזק אגח 14</t>
  </si>
  <si>
    <t>IL0023003176</t>
  </si>
  <si>
    <t>01/06/2035</t>
  </si>
  <si>
    <t>אמ אר אר</t>
  </si>
  <si>
    <t>1983001</t>
  </si>
  <si>
    <t>אמ אר אר אגח ב</t>
  </si>
  <si>
    <t>IL0011846966</t>
  </si>
  <si>
    <t>מליסרון  אגח יד</t>
  </si>
  <si>
    <t>IL0032302320</t>
  </si>
  <si>
    <t>27/04/2026</t>
  </si>
  <si>
    <t>הכשרת הישוב</t>
  </si>
  <si>
    <t>520020116</t>
  </si>
  <si>
    <t>הכשרת ישוב אג 25</t>
  </si>
  <si>
    <t>IL0011915274</t>
  </si>
  <si>
    <t>עזריאלי אג2</t>
  </si>
  <si>
    <t>IL0011344368</t>
  </si>
  <si>
    <t>מבני תעש  אגח כ</t>
  </si>
  <si>
    <t>IL0022604958</t>
  </si>
  <si>
    <t>דיסקונט מנ נד ט</t>
  </si>
  <si>
    <t>IL0011912461</t>
  </si>
  <si>
    <t>30/11/2028</t>
  </si>
  <si>
    <t>אמות  אגח ח</t>
  </si>
  <si>
    <t>IL0011727828</t>
  </si>
  <si>
    <t>Aa2.il</t>
  </si>
  <si>
    <t>05/01/2032</t>
  </si>
  <si>
    <t>רוטשטיין</t>
  </si>
  <si>
    <t>520039959</t>
  </si>
  <si>
    <t>רוטשטיין  אגח ח</t>
  </si>
  <si>
    <t>IL0053901828</t>
  </si>
  <si>
    <t>14/07/2025</t>
  </si>
  <si>
    <t>אקויטל</t>
  </si>
  <si>
    <t>520030859</t>
  </si>
  <si>
    <t>אקויטל אגח 3</t>
  </si>
  <si>
    <t>IL0075501481</t>
  </si>
  <si>
    <t>25/07/2034</t>
  </si>
  <si>
    <t>רוטשטיין אגח יא</t>
  </si>
  <si>
    <t>IL0011971772</t>
  </si>
  <si>
    <t>גיבוי אחזקות אגח 2 (הסדר חוב)</t>
  </si>
  <si>
    <t>IL0044801905</t>
  </si>
  <si>
    <t>28/12/2025</t>
  </si>
  <si>
    <t>ספיר קורפ</t>
  </si>
  <si>
    <t>520038340</t>
  </si>
  <si>
    <t>ספיר קור אג 19</t>
  </si>
  <si>
    <t>IL0011886483</t>
  </si>
  <si>
    <t>הפניקס גיוסי הון</t>
  </si>
  <si>
    <t>514290345</t>
  </si>
  <si>
    <t>פניקס הון אגחיב</t>
  </si>
  <si>
    <t>IL0011955858</t>
  </si>
  <si>
    <t>05/02/2032</t>
  </si>
  <si>
    <t>נכסים ובנין אגח ט</t>
  </si>
  <si>
    <t>IL0069902125</t>
  </si>
  <si>
    <t>פועלים התח נד ז</t>
  </si>
  <si>
    <t>IL0011913295</t>
  </si>
  <si>
    <t>29/11/2028</t>
  </si>
  <si>
    <t>רוטשטיין אגח יב</t>
  </si>
  <si>
    <t>IL0012041898</t>
  </si>
  <si>
    <t>14/01/2028</t>
  </si>
  <si>
    <t>קליין קבוצה</t>
  </si>
  <si>
    <t>1886279</t>
  </si>
  <si>
    <t>קליין     אגח ב</t>
  </si>
  <si>
    <t>1140409</t>
  </si>
  <si>
    <t>02/03/2025</t>
  </si>
  <si>
    <t>מנרב אג"ח ב</t>
  </si>
  <si>
    <t>1550052</t>
  </si>
  <si>
    <t>Energean</t>
  </si>
  <si>
    <t>5144</t>
  </si>
  <si>
    <t>ENOGLN 6.50 30.04.2027</t>
  </si>
  <si>
    <t>USG3044DAA49</t>
  </si>
  <si>
    <t>B+</t>
  </si>
  <si>
    <t>30/04/2027</t>
  </si>
  <si>
    <t>PROSPECT CAPITAL</t>
  </si>
  <si>
    <t>5268</t>
  </si>
  <si>
    <t>PSEC 3.364 15.11.26</t>
  </si>
  <si>
    <t>US74348TAV44</t>
  </si>
  <si>
    <t>15/11/2026</t>
  </si>
  <si>
    <t>PSEC 3.706 22/01/26</t>
  </si>
  <si>
    <t>US74348TAU60</t>
  </si>
  <si>
    <t>22/01/2026</t>
  </si>
  <si>
    <t>ITHACA ENERGY NORTH</t>
  </si>
  <si>
    <t>5327</t>
  </si>
  <si>
    <t>IAECN 9 15/07/26</t>
  </si>
  <si>
    <t>USG49774AB18</t>
  </si>
  <si>
    <t>B3</t>
  </si>
  <si>
    <t>15/07/2026</t>
  </si>
  <si>
    <t>FS KKR</t>
  </si>
  <si>
    <t>5143</t>
  </si>
  <si>
    <t>15/01/26 FSK 3.4</t>
  </si>
  <si>
    <t>US302635AG21</t>
  </si>
  <si>
    <t>15/01/2026</t>
  </si>
  <si>
    <t>Macquarie Group</t>
  </si>
  <si>
    <t>5389</t>
  </si>
  <si>
    <t>MQGAU 5.887 15/06/34</t>
  </si>
  <si>
    <t>US55608KBN46</t>
  </si>
  <si>
    <t>BBB+</t>
  </si>
  <si>
    <t>15/06/2034</t>
  </si>
  <si>
    <t>SANTANDER HOLDINGS</t>
  </si>
  <si>
    <t>5380</t>
  </si>
  <si>
    <t>SANUSA 6.565 12/06/29</t>
  </si>
  <si>
    <t>US80282KBG04</t>
  </si>
  <si>
    <t>Baa2</t>
  </si>
  <si>
    <t>12/06/2029</t>
  </si>
  <si>
    <t>טבע</t>
  </si>
  <si>
    <t>520013954</t>
  </si>
  <si>
    <t>TEVA 4.375 09/05/2030</t>
  </si>
  <si>
    <t>XS2406607171</t>
  </si>
  <si>
    <t>09/05/2030</t>
  </si>
  <si>
    <t>לאומי אגח 186</t>
  </si>
  <si>
    <t>IL0012018391</t>
  </si>
  <si>
    <t>30/11/2033</t>
  </si>
  <si>
    <t>דיסק מנ אגח טז</t>
  </si>
  <si>
    <t>IL0012031576</t>
  </si>
  <si>
    <t>20/03/2035</t>
  </si>
  <si>
    <t>בזק אגח 11</t>
  </si>
  <si>
    <t>IL0023002343</t>
  </si>
  <si>
    <t>02/06/2030</t>
  </si>
  <si>
    <t>מז טפ הנ אגח 68</t>
  </si>
  <si>
    <t>IL0012021429</t>
  </si>
  <si>
    <t>25/12/2033</t>
  </si>
  <si>
    <t>520000472</t>
  </si>
  <si>
    <t>חשמל אגח 35</t>
  </si>
  <si>
    <t>IL0011967994</t>
  </si>
  <si>
    <t>12/06/2037</t>
  </si>
  <si>
    <t>אלרוב נדל"ן</t>
  </si>
  <si>
    <t>520038894</t>
  </si>
  <si>
    <t>אלרוב נדלן אגח ז</t>
  </si>
  <si>
    <t>IL0012074717</t>
  </si>
  <si>
    <t>30/06/2032</t>
  </si>
  <si>
    <t>אלרוב נדלן אגחו</t>
  </si>
  <si>
    <t>IL0038701855</t>
  </si>
  <si>
    <t>מליסרון  אגח יז</t>
  </si>
  <si>
    <t>IL0032302734</t>
  </si>
  <si>
    <t>01/01/2032</t>
  </si>
  <si>
    <t>מליסרון  אגח כא</t>
  </si>
  <si>
    <t>IL0011946386</t>
  </si>
  <si>
    <t>01/01/2037</t>
  </si>
  <si>
    <t>כללביט</t>
  </si>
  <si>
    <t>513754069</t>
  </si>
  <si>
    <t>כלל מימון אגח יג</t>
  </si>
  <si>
    <t>IL0011979205</t>
  </si>
  <si>
    <t>31/07/2034</t>
  </si>
  <si>
    <t>הפניקס</t>
  </si>
  <si>
    <t>520017450</t>
  </si>
  <si>
    <t>הפניקס    אגח 5</t>
  </si>
  <si>
    <t>IL0076702849</t>
  </si>
  <si>
    <t>01/05/2030</t>
  </si>
  <si>
    <t>ריט 1 אגח ה</t>
  </si>
  <si>
    <t>IL0011367534</t>
  </si>
  <si>
    <t>20/09/2028</t>
  </si>
  <si>
    <t>פז נפט</t>
  </si>
  <si>
    <t>510216054</t>
  </si>
  <si>
    <t>פז נפט אגח ט</t>
  </si>
  <si>
    <t>IL0012059478</t>
  </si>
  <si>
    <t>31/05/2035</t>
  </si>
  <si>
    <t>אלקטרה צריכה</t>
  </si>
  <si>
    <t>520039967</t>
  </si>
  <si>
    <t>אלקטרה צריכה אגח א</t>
  </si>
  <si>
    <t>IL0050103352</t>
  </si>
  <si>
    <t>כלל עסקי ביטוח</t>
  </si>
  <si>
    <t>520036120</t>
  </si>
  <si>
    <t>כלל ביטוח אגח א</t>
  </si>
  <si>
    <t>IL0011934812</t>
  </si>
  <si>
    <t>28/02/2028</t>
  </si>
  <si>
    <t>שלמה החזקות</t>
  </si>
  <si>
    <t>520034372</t>
  </si>
  <si>
    <t>שלמה החז אגח  כ</t>
  </si>
  <si>
    <t>IL0011927493</t>
  </si>
  <si>
    <t>21/12/2031</t>
  </si>
  <si>
    <t>אלקטרה</t>
  </si>
  <si>
    <t>520028911</t>
  </si>
  <si>
    <t>אלקטרה אגח ו</t>
  </si>
  <si>
    <t>IL0073902632</t>
  </si>
  <si>
    <t>10/12/2035</t>
  </si>
  <si>
    <t>חשמל     אגח 29</t>
  </si>
  <si>
    <t>IL0060002362</t>
  </si>
  <si>
    <t>01/03/2026</t>
  </si>
  <si>
    <t>אמות  אגח י</t>
  </si>
  <si>
    <t>IL0012050048</t>
  </si>
  <si>
    <t>05/01/2037</t>
  </si>
  <si>
    <t>כלל ביטוח אגח ג</t>
  </si>
  <si>
    <t>IL0012013913</t>
  </si>
  <si>
    <t>01/11/2031</t>
  </si>
  <si>
    <t>אקויטל  אגח 4</t>
  </si>
  <si>
    <t>IL0011976078</t>
  </si>
  <si>
    <t>25/07/2036</t>
  </si>
  <si>
    <t>מבנה אגח כה</t>
  </si>
  <si>
    <t>IL0022606367</t>
  </si>
  <si>
    <t>30/09/2033</t>
  </si>
  <si>
    <t>גב ים  אגח 9</t>
  </si>
  <si>
    <t>IL0075902192</t>
  </si>
  <si>
    <t>30/06/2033</t>
  </si>
  <si>
    <t>אלוני חץ</t>
  </si>
  <si>
    <t>520038506</t>
  </si>
  <si>
    <t>אלוני חץ אגח טו</t>
  </si>
  <si>
    <t>IL0011894149</t>
  </si>
  <si>
    <t>01/03/2037</t>
  </si>
  <si>
    <t>ארפורט אגח יב</t>
  </si>
  <si>
    <t>IL0012115643</t>
  </si>
  <si>
    <t>30/04/2037</t>
  </si>
  <si>
    <t>מזרחי הנפקות אג"ח 49</t>
  </si>
  <si>
    <t>IL0023102820</t>
  </si>
  <si>
    <t>23/06/2026</t>
  </si>
  <si>
    <t>אלוני חץ אגח יג</t>
  </si>
  <si>
    <t>IL0011894065</t>
  </si>
  <si>
    <t>שלמה החז אגח יט</t>
  </si>
  <si>
    <t>IL0011927311</t>
  </si>
  <si>
    <t>פניקס הון אגח טו</t>
  </si>
  <si>
    <t>IL0012019530</t>
  </si>
  <si>
    <t>הראל השקעות</t>
  </si>
  <si>
    <t>520033986</t>
  </si>
  <si>
    <t>הראל השק אגח א</t>
  </si>
  <si>
    <t>IL0058501102</t>
  </si>
  <si>
    <t>31/12/2035</t>
  </si>
  <si>
    <t>עזריאלי אגח ח</t>
  </si>
  <si>
    <t>IL0011786808</t>
  </si>
  <si>
    <t>02/01/2041</t>
  </si>
  <si>
    <t>שטראוס גרופ</t>
  </si>
  <si>
    <t>520003781</t>
  </si>
  <si>
    <t>שטראוס    אגח ו</t>
  </si>
  <si>
    <t>IL0074604211</t>
  </si>
  <si>
    <t>30/06/2037</t>
  </si>
  <si>
    <t>מגה אור אגח ט</t>
  </si>
  <si>
    <t>IL0011651416</t>
  </si>
  <si>
    <t>28/02/2030</t>
  </si>
  <si>
    <t>דלק קבוצה</t>
  </si>
  <si>
    <t>520044322</t>
  </si>
  <si>
    <t>דלק קב אגח לח</t>
  </si>
  <si>
    <t>IL0011995045</t>
  </si>
  <si>
    <t>31/10/2031</t>
  </si>
  <si>
    <t>דלק קב  אגח לט</t>
  </si>
  <si>
    <t>IL0012057720</t>
  </si>
  <si>
    <t>הפניקס אגח 6</t>
  </si>
  <si>
    <t>IL0076703342</t>
  </si>
  <si>
    <t>מזרחי הנפקות אגח 40</t>
  </si>
  <si>
    <t>IL0023101673</t>
  </si>
  <si>
    <t>08/06/2025</t>
  </si>
  <si>
    <t>וילאר</t>
  </si>
  <si>
    <t>520038910</t>
  </si>
  <si>
    <t>וילאר  אגח י</t>
  </si>
  <si>
    <t>IL0011939522</t>
  </si>
  <si>
    <t>31/12/2031</t>
  </si>
  <si>
    <t>אנלייט אנרגיה</t>
  </si>
  <si>
    <t>520041146</t>
  </si>
  <si>
    <t>אנלייט אנרגיה אג ו</t>
  </si>
  <si>
    <t>IL0072001733</t>
  </si>
  <si>
    <t>01/09/2026</t>
  </si>
  <si>
    <t>אאורה אגח יח</t>
  </si>
  <si>
    <t>IL0012034059</t>
  </si>
  <si>
    <t>פתאל החז  אגח ה</t>
  </si>
  <si>
    <t>IL0012039421</t>
  </si>
  <si>
    <t>31/08/2032</t>
  </si>
  <si>
    <t>דמרי</t>
  </si>
  <si>
    <t>511399388</t>
  </si>
  <si>
    <t>דמרי אגח יא</t>
  </si>
  <si>
    <t>IL0012116062</t>
  </si>
  <si>
    <t>נופר אנרג  אג ב</t>
  </si>
  <si>
    <t>IL0011980351</t>
  </si>
  <si>
    <t>חשמל אגח 32</t>
  </si>
  <si>
    <t>IL0060003840</t>
  </si>
  <si>
    <t>22/07/2027</t>
  </si>
  <si>
    <t>נופר אנרג אגח ד</t>
  </si>
  <si>
    <t>IL0012114166</t>
  </si>
  <si>
    <t>01/01/2034</t>
  </si>
  <si>
    <t>בינלאומי הנפקות</t>
  </si>
  <si>
    <t>513141879</t>
  </si>
  <si>
    <t>בינל הנפק אגח י</t>
  </si>
  <si>
    <t>IL0011602906</t>
  </si>
  <si>
    <t>10/09/2025</t>
  </si>
  <si>
    <t>חשמל  אג"ח 31</t>
  </si>
  <si>
    <t>IL0060002859</t>
  </si>
  <si>
    <t>21/09/2031</t>
  </si>
  <si>
    <t>אלוני חץ אגח יב</t>
  </si>
  <si>
    <t>IL0039004952</t>
  </si>
  <si>
    <t>28/02/2031</t>
  </si>
  <si>
    <t>גב ים אג"ח 6</t>
  </si>
  <si>
    <t>IL0075901285</t>
  </si>
  <si>
    <t>אלה פקדונות</t>
  </si>
  <si>
    <t>515666881</t>
  </si>
  <si>
    <t>אלה פקדון אגח ה</t>
  </si>
  <si>
    <t>IL0011625774</t>
  </si>
  <si>
    <t>10/02/2031</t>
  </si>
  <si>
    <t>דיסקונט מנפיקים אג"ח יד</t>
  </si>
  <si>
    <t>IL0074801635</t>
  </si>
  <si>
    <t>05/12/2030</t>
  </si>
  <si>
    <t>חשמל אגח 33</t>
  </si>
  <si>
    <t>IL0060003923</t>
  </si>
  <si>
    <t>מקורות</t>
  </si>
  <si>
    <t>520010869</t>
  </si>
  <si>
    <t>מקורות אגח 10</t>
  </si>
  <si>
    <t>IL0011584682</t>
  </si>
  <si>
    <t>לאומי אגח 182</t>
  </si>
  <si>
    <t>IL0060405391</t>
  </si>
  <si>
    <t>25/10/2027</t>
  </si>
  <si>
    <t>סילברסטין נכסים</t>
  </si>
  <si>
    <t>1970336</t>
  </si>
  <si>
    <t>סילברסטין אגח ב</t>
  </si>
  <si>
    <t>IL0011605974</t>
  </si>
  <si>
    <t>עזריאלי אג"ח ו</t>
  </si>
  <si>
    <t>IL0011566119</t>
  </si>
  <si>
    <t>אמות אג4</t>
  </si>
  <si>
    <t>IL0011331498</t>
  </si>
  <si>
    <t>02/07/2028</t>
  </si>
  <si>
    <t>חשמל אג"ח 27</t>
  </si>
  <si>
    <t>IL0060002107</t>
  </si>
  <si>
    <t>12/04/2029</t>
  </si>
  <si>
    <t>כללביט  אגח יב</t>
  </si>
  <si>
    <t>IL0011799280</t>
  </si>
  <si>
    <t>31/03/2032</t>
  </si>
  <si>
    <t>עזריאלי אגח ד</t>
  </si>
  <si>
    <t>IL0011386500</t>
  </si>
  <si>
    <t>05/07/2030</t>
  </si>
  <si>
    <t>קרסו מוטורס</t>
  </si>
  <si>
    <t>514065283</t>
  </si>
  <si>
    <t>קרסו      אגח ג</t>
  </si>
  <si>
    <t>IL0011418295</t>
  </si>
  <si>
    <t>01/09/2027</t>
  </si>
  <si>
    <t>מקורות  אגח 11</t>
  </si>
  <si>
    <t>IL0011584765</t>
  </si>
  <si>
    <t>31/12/2053</t>
  </si>
  <si>
    <t>מגדל ביטוח הון</t>
  </si>
  <si>
    <t>513230029</t>
  </si>
  <si>
    <t>מגדל הון אגח ט</t>
  </si>
  <si>
    <t>IL0011856288</t>
  </si>
  <si>
    <t>לאומי   אגח 179</t>
  </si>
  <si>
    <t>IL0060403727</t>
  </si>
  <si>
    <t>ביג אג"ח יא</t>
  </si>
  <si>
    <t>IL0011511172</t>
  </si>
  <si>
    <t>20/10/2027</t>
  </si>
  <si>
    <t>בי קומיונקיישנס</t>
  </si>
  <si>
    <t>512832742</t>
  </si>
  <si>
    <t>בי קומיונק אגח ז</t>
  </si>
  <si>
    <t>IL0012109885</t>
  </si>
  <si>
    <t>ביג  אגח יח</t>
  </si>
  <si>
    <t>IL0011742264</t>
  </si>
  <si>
    <t>פניקס הון אגח יא</t>
  </si>
  <si>
    <t>IL0011593592</t>
  </si>
  <si>
    <t>מרכנתיל הנפקות</t>
  </si>
  <si>
    <t>513686154</t>
  </si>
  <si>
    <t>מרכנתיל הנ אגח ד</t>
  </si>
  <si>
    <t>IL0011713059</t>
  </si>
  <si>
    <t>30/01/2030</t>
  </si>
  <si>
    <t>סאמיט</t>
  </si>
  <si>
    <t>520043720</t>
  </si>
  <si>
    <t>סאמיט אגח יב</t>
  </si>
  <si>
    <t>IL0011839201</t>
  </si>
  <si>
    <t>01/10/2031</t>
  </si>
  <si>
    <t>פועלים  אגח 200</t>
  </si>
  <si>
    <t>IL0066204962</t>
  </si>
  <si>
    <t>09/12/2031</t>
  </si>
  <si>
    <t>סלע קפיטל נדל"ן</t>
  </si>
  <si>
    <t>513992529</t>
  </si>
  <si>
    <t>סלע נדלן  אגח ד</t>
  </si>
  <si>
    <t>IL0011671471</t>
  </si>
  <si>
    <t>27/03/2033</t>
  </si>
  <si>
    <t>ירושלים הנ אג טז</t>
  </si>
  <si>
    <t>IL0011721706</t>
  </si>
  <si>
    <t>פורמולה מערכות</t>
  </si>
  <si>
    <t>520036690</t>
  </si>
  <si>
    <t>פורמולה   אגח ד</t>
  </si>
  <si>
    <t>IL0012115569</t>
  </si>
  <si>
    <t>01/12/2034</t>
  </si>
  <si>
    <t>איי.סי.אל</t>
  </si>
  <si>
    <t>520027830</t>
  </si>
  <si>
    <t>איי.סי.אל אגח ז</t>
  </si>
  <si>
    <t>IL0028103724</t>
  </si>
  <si>
    <t>31/12/2034</t>
  </si>
  <si>
    <t>פועלים  אגח 202</t>
  </si>
  <si>
    <t>IL0011998502</t>
  </si>
  <si>
    <t>30/04/2028</t>
  </si>
  <si>
    <t>שיכון ובינוי</t>
  </si>
  <si>
    <t>520036104</t>
  </si>
  <si>
    <t>שיכון ובינוי אג8</t>
  </si>
  <si>
    <t>IL0011358889</t>
  </si>
  <si>
    <t>01/05/2029</t>
  </si>
  <si>
    <t>אלביט מערכות</t>
  </si>
  <si>
    <t>520043027</t>
  </si>
  <si>
    <t>אלביט מע' אגח ב</t>
  </si>
  <si>
    <t>IL0011782351</t>
  </si>
  <si>
    <t>לייטסטון</t>
  </si>
  <si>
    <t>1838682</t>
  </si>
  <si>
    <t>לייטסטון  אגח ב</t>
  </si>
  <si>
    <t>IL0011607467</t>
  </si>
  <si>
    <t>30/11/2025</t>
  </si>
  <si>
    <t>בזק אגח 10</t>
  </si>
  <si>
    <t>IL0023001840</t>
  </si>
  <si>
    <t>01/12/2025</t>
  </si>
  <si>
    <t>תמר פטרוליום</t>
  </si>
  <si>
    <t>515334662</t>
  </si>
  <si>
    <t>תמר פטרו  אגח א</t>
  </si>
  <si>
    <t>IL0011413320</t>
  </si>
  <si>
    <t>30/08/2028</t>
  </si>
  <si>
    <t>אמות אגח ז</t>
  </si>
  <si>
    <t>IL0011628661</t>
  </si>
  <si>
    <t>פועלים  אגח 101</t>
  </si>
  <si>
    <t>IL0011913378</t>
  </si>
  <si>
    <t>29/05/2025</t>
  </si>
  <si>
    <t>ירושלים הנ אגח טו</t>
  </si>
  <si>
    <t>IL0011617698</t>
  </si>
  <si>
    <t>נמלי ישראל</t>
  </si>
  <si>
    <t>513569780</t>
  </si>
  <si>
    <t>נמלי ישראל אג "ח א</t>
  </si>
  <si>
    <t>IL0011455644</t>
  </si>
  <si>
    <t>דלק קב אגח לז</t>
  </si>
  <si>
    <t>IL0011928897</t>
  </si>
  <si>
    <t>רבוע כחול נדל"ן</t>
  </si>
  <si>
    <t>513765859</t>
  </si>
  <si>
    <t>רבוע נדלן אגח ח</t>
  </si>
  <si>
    <t>IL0011575698</t>
  </si>
  <si>
    <t>31/10/2028</t>
  </si>
  <si>
    <t>ג'נריישן קפיטל</t>
  </si>
  <si>
    <t>515846558</t>
  </si>
  <si>
    <t>ג'נרישן קפיטל אגח ג</t>
  </si>
  <si>
    <t>IL0011845554</t>
  </si>
  <si>
    <t>נמלי ישראל אג"ח ב</t>
  </si>
  <si>
    <t>IL0011455727</t>
  </si>
  <si>
    <t>פז נפט אגח ח</t>
  </si>
  <si>
    <t>IL0011628174</t>
  </si>
  <si>
    <t>או.פי.סי אנרגיה</t>
  </si>
  <si>
    <t>514401702</t>
  </si>
  <si>
    <t>או פי סי אגח 2</t>
  </si>
  <si>
    <t>IL0011660573</t>
  </si>
  <si>
    <t>אלון רבוע כחול</t>
  </si>
  <si>
    <t>520042847</t>
  </si>
  <si>
    <t>אלון רבוע אגח ו</t>
  </si>
  <si>
    <t>IL0011691271</t>
  </si>
  <si>
    <t>פועלים  אגח 100</t>
  </si>
  <si>
    <t>IL0066204889</t>
  </si>
  <si>
    <t>עזריאלי אגח ט</t>
  </si>
  <si>
    <t>IL0012092537</t>
  </si>
  <si>
    <t>02/01/2046</t>
  </si>
  <si>
    <t>סאמיט אג"ח 7</t>
  </si>
  <si>
    <t>IL0011334799</t>
  </si>
  <si>
    <t>31/07/2025</t>
  </si>
  <si>
    <t>הראל הנפקות</t>
  </si>
  <si>
    <t>513834200</t>
  </si>
  <si>
    <t>הראל הנפק אגח ט</t>
  </si>
  <si>
    <t>IL0011340309</t>
  </si>
  <si>
    <t>נתיבי הגז</t>
  </si>
  <si>
    <t>513436394</t>
  </si>
  <si>
    <t>נתיבי הגז אג"ח ד</t>
  </si>
  <si>
    <t>IL0011475030</t>
  </si>
  <si>
    <t>ישראמקו יהש</t>
  </si>
  <si>
    <t>550010003</t>
  </si>
  <si>
    <t>ישראמקו אג1</t>
  </si>
  <si>
    <t>IL0023201747</t>
  </si>
  <si>
    <t>10/10/2025</t>
  </si>
  <si>
    <t>חשמל אגח 34</t>
  </si>
  <si>
    <t>IL0011967812</t>
  </si>
  <si>
    <t>12/06/2033</t>
  </si>
  <si>
    <t>שופרסל</t>
  </si>
  <si>
    <t>520022732</t>
  </si>
  <si>
    <t>שופרסל    אגח ו</t>
  </si>
  <si>
    <t>IL0077702178</t>
  </si>
  <si>
    <t>08/10/2028</t>
  </si>
  <si>
    <t>יוניברסל מוטורס (UMI)</t>
  </si>
  <si>
    <t>511809071</t>
  </si>
  <si>
    <t>יוניברסל  אגח ה</t>
  </si>
  <si>
    <t>IL0011926081</t>
  </si>
  <si>
    <t>דור אלון</t>
  </si>
  <si>
    <t>520043878</t>
  </si>
  <si>
    <t>דור אלון  אגח ז</t>
  </si>
  <si>
    <t>IL0011577009</t>
  </si>
  <si>
    <t>אנלייט אנר אג ג</t>
  </si>
  <si>
    <t>IL0072002491</t>
  </si>
  <si>
    <t>01/09/2028</t>
  </si>
  <si>
    <t>ג'נרישן קפ אגח ב</t>
  </si>
  <si>
    <t>IL0011775264</t>
  </si>
  <si>
    <t>ישראכרט</t>
  </si>
  <si>
    <t>510706153</t>
  </si>
  <si>
    <t>ישראכרט   אגח ב</t>
  </si>
  <si>
    <t>IL0012051293</t>
  </si>
  <si>
    <t>מליסרון אג10</t>
  </si>
  <si>
    <t>IL0032301900</t>
  </si>
  <si>
    <t>10/07/2025</t>
  </si>
  <si>
    <t>פז נפט אג"ח ו</t>
  </si>
  <si>
    <t>IL0011395428</t>
  </si>
  <si>
    <t>ג'י סיטי</t>
  </si>
  <si>
    <t>520033234</t>
  </si>
  <si>
    <t>ג'י סיטי אגח טז</t>
  </si>
  <si>
    <t>IL0012607854</t>
  </si>
  <si>
    <t>ג'י סיטי  אג"ח 12</t>
  </si>
  <si>
    <t>IL0012606039</t>
  </si>
  <si>
    <t>שלמה החזקות אג18</t>
  </si>
  <si>
    <t>IL0014103076</t>
  </si>
  <si>
    <t>20/06/2026</t>
  </si>
  <si>
    <t>ג'י סיטי אגח יג</t>
  </si>
  <si>
    <t>IL0012606526</t>
  </si>
  <si>
    <t>מז טפ הנפק   46</t>
  </si>
  <si>
    <t>IL0023102259</t>
  </si>
  <si>
    <t>28/09/2027</t>
  </si>
  <si>
    <t>ביג אגח יד</t>
  </si>
  <si>
    <t>IL0011615122</t>
  </si>
  <si>
    <t>גב ים אג8</t>
  </si>
  <si>
    <t>IL0075901517</t>
  </si>
  <si>
    <t>30/06/2034</t>
  </si>
  <si>
    <t>מליסרון אגח טו</t>
  </si>
  <si>
    <t>IL0032302403</t>
  </si>
  <si>
    <t>30/12/2024</t>
  </si>
  <si>
    <t>הפניקס אג4</t>
  </si>
  <si>
    <t>IL0076702500</t>
  </si>
  <si>
    <t>מימון ישיר אגחג</t>
  </si>
  <si>
    <t>IL0011712143</t>
  </si>
  <si>
    <t>דיסקונט מנפיקים אג"ח יג</t>
  </si>
  <si>
    <t>IL0074801551</t>
  </si>
  <si>
    <t>דה זראסאי גרופ</t>
  </si>
  <si>
    <t>1744984</t>
  </si>
  <si>
    <t>דה זראסאי אגח ג</t>
  </si>
  <si>
    <t>IL0011379752</t>
  </si>
  <si>
    <t>15/11/2028</t>
  </si>
  <si>
    <t>יוניברסל אגח ג</t>
  </si>
  <si>
    <t>IL0011606709</t>
  </si>
  <si>
    <t>10/08/2027</t>
  </si>
  <si>
    <t>הראל הנפ אגח יט</t>
  </si>
  <si>
    <t>IL0011927725</t>
  </si>
  <si>
    <t>לאומי אגח 184</t>
  </si>
  <si>
    <t>IL0060406043</t>
  </si>
  <si>
    <t>05/05/2030</t>
  </si>
  <si>
    <t>בזק אגח 9</t>
  </si>
  <si>
    <t>IL0023001766</t>
  </si>
  <si>
    <t>דה זראסאי אג5</t>
  </si>
  <si>
    <t>IL0011695561</t>
  </si>
  <si>
    <t>מגדל הון  אג"ח ז</t>
  </si>
  <si>
    <t>IL0011560419</t>
  </si>
  <si>
    <t>מז טפ הנפק 52</t>
  </si>
  <si>
    <t>IL0023103810</t>
  </si>
  <si>
    <t>מז טפ הנ אגח 63</t>
  </si>
  <si>
    <t>IL0023105484</t>
  </si>
  <si>
    <t>מליסרון אגח יח</t>
  </si>
  <si>
    <t>IL0032303724</t>
  </si>
  <si>
    <t>01/07/2028</t>
  </si>
  <si>
    <t>עמידר</t>
  </si>
  <si>
    <t>520017393</t>
  </si>
  <si>
    <t>עמידר אגח א</t>
  </si>
  <si>
    <t>IL0011435851</t>
  </si>
  <si>
    <t>30/03/2028</t>
  </si>
  <si>
    <t>אלביט מערכות אגח ג</t>
  </si>
  <si>
    <t>IL0011782500</t>
  </si>
  <si>
    <t>בזק אגח 12</t>
  </si>
  <si>
    <t>IL0023002426</t>
  </si>
  <si>
    <t>מבנה תעשיה אג16</t>
  </si>
  <si>
    <t>IL0022604388</t>
  </si>
  <si>
    <t>רבוע נדלן אגח ו</t>
  </si>
  <si>
    <t>IL0011406076</t>
  </si>
  <si>
    <t>30/11/2026</t>
  </si>
  <si>
    <t>מז טפ הנ אגח 66</t>
  </si>
  <si>
    <t>IL0011916678</t>
  </si>
  <si>
    <t>08/12/2031</t>
  </si>
  <si>
    <t>לאומי אג"ח 180</t>
  </si>
  <si>
    <t>IL0060404220</t>
  </si>
  <si>
    <t>לאומי אגח 183</t>
  </si>
  <si>
    <t>IL0060405474</t>
  </si>
  <si>
    <t>25/11/2029</t>
  </si>
  <si>
    <t>נמלי ישראל אג"ח ג</t>
  </si>
  <si>
    <t>IL0011455800</t>
  </si>
  <si>
    <t>31/12/2024</t>
  </si>
  <si>
    <t>דיסקונט השקעות</t>
  </si>
  <si>
    <t>520023896</t>
  </si>
  <si>
    <t>דיסק השק  אגח י</t>
  </si>
  <si>
    <t>IL0063903483</t>
  </si>
  <si>
    <t>ilBBB</t>
  </si>
  <si>
    <t>30/12/2026</t>
  </si>
  <si>
    <t>ביג אג"ח 12</t>
  </si>
  <si>
    <t>IL0011562316</t>
  </si>
  <si>
    <t>25/02/2028</t>
  </si>
  <si>
    <t>ישראמקו   אג3</t>
  </si>
  <si>
    <t>IL0023202323</t>
  </si>
  <si>
    <t>10/10/2030</t>
  </si>
  <si>
    <t>מגדל הון  אגח ו</t>
  </si>
  <si>
    <t>IL0011427858</t>
  </si>
  <si>
    <t>דיסקונט הש אג6</t>
  </si>
  <si>
    <t>IL0063902071</t>
  </si>
  <si>
    <t>מגדלי ים תיכון</t>
  </si>
  <si>
    <t>512719485</t>
  </si>
  <si>
    <t>מגדלי תיכון אגח ו</t>
  </si>
  <si>
    <t>IL0011991242</t>
  </si>
  <si>
    <t>קרסו אגח א</t>
  </si>
  <si>
    <t>IL0011364648</t>
  </si>
  <si>
    <t>מליסרון אג11</t>
  </si>
  <si>
    <t>IL0032302080</t>
  </si>
  <si>
    <t>מטריקס</t>
  </si>
  <si>
    <t>520039413</t>
  </si>
  <si>
    <t>מטריקס אגח ב</t>
  </si>
  <si>
    <t>IL0011896466</t>
  </si>
  <si>
    <t>01/02/2030</t>
  </si>
  <si>
    <t>או.פי.סי  אגח ג</t>
  </si>
  <si>
    <t>IL0011803553</t>
  </si>
  <si>
    <t>01/09/2030</t>
  </si>
  <si>
    <t>הראל הנפ אגח טז</t>
  </si>
  <si>
    <t>IL0011576019</t>
  </si>
  <si>
    <t>חברה לישראל</t>
  </si>
  <si>
    <t>520028010</t>
  </si>
  <si>
    <t>חברה לישראל אגח 13</t>
  </si>
  <si>
    <t>IL0057602695</t>
  </si>
  <si>
    <t>מגה אור אג7</t>
  </si>
  <si>
    <t>IL0011416968</t>
  </si>
  <si>
    <t>A</t>
  </si>
  <si>
    <t>30/08/2027</t>
  </si>
  <si>
    <t>חברה לישראל אגח 12</t>
  </si>
  <si>
    <t>IL0057602513</t>
  </si>
  <si>
    <t>מנורה מב הון</t>
  </si>
  <si>
    <t>513937714</t>
  </si>
  <si>
    <t>מנורה הון הת אגח ו'</t>
  </si>
  <si>
    <t>IL0011602419</t>
  </si>
  <si>
    <t>שופרסל אג5</t>
  </si>
  <si>
    <t>IL0077702095</t>
  </si>
  <si>
    <t>08/10/2029</t>
  </si>
  <si>
    <t>אלקטרה אגח 4</t>
  </si>
  <si>
    <t>IL0073901493</t>
  </si>
  <si>
    <t>פרטנר</t>
  </si>
  <si>
    <t>520044314</t>
  </si>
  <si>
    <t>פרטנר  אגח ז</t>
  </si>
  <si>
    <t>IL0011563975</t>
  </si>
  <si>
    <t>25/06/2027</t>
  </si>
  <si>
    <t>כללביט אג"ח 9</t>
  </si>
  <si>
    <t>IL0011360505</t>
  </si>
  <si>
    <t>Costco Wholesale</t>
  </si>
  <si>
    <t>5370</t>
  </si>
  <si>
    <t>COSTCO 1.6 20/04/2030</t>
  </si>
  <si>
    <t>US22160KAP03</t>
  </si>
  <si>
    <t>A+</t>
  </si>
  <si>
    <t>20/04/2030</t>
  </si>
  <si>
    <t>VISA</t>
  </si>
  <si>
    <t>5089</t>
  </si>
  <si>
    <t>VISA 2.75 15/09/27</t>
  </si>
  <si>
    <t>US92826CAH51</t>
  </si>
  <si>
    <t>AA-</t>
  </si>
  <si>
    <t>15/09/2027</t>
  </si>
  <si>
    <t>PFIZER</t>
  </si>
  <si>
    <t>1190</t>
  </si>
  <si>
    <t>PFE 3.45 15/03/29</t>
  </si>
  <si>
    <t>US717081ET61</t>
  </si>
  <si>
    <t>15/03/2029</t>
  </si>
  <si>
    <t>מגה אור אג8</t>
  </si>
  <si>
    <t>IL0011476020</t>
  </si>
  <si>
    <t>תמר פטרו  אגח ב</t>
  </si>
  <si>
    <t>IL0011435935</t>
  </si>
  <si>
    <t>אלקטרה  אג"ח ה'</t>
  </si>
  <si>
    <t>IL0073902228</t>
  </si>
  <si>
    <t>10/01/2031</t>
  </si>
  <si>
    <t>בזק אגח 13</t>
  </si>
  <si>
    <t>IL0023003093</t>
  </si>
  <si>
    <t>02/12/2035</t>
  </si>
  <si>
    <t>סלע נדל"ן אג"ח 2</t>
  </si>
  <si>
    <t>IL0011329278</t>
  </si>
  <si>
    <t>13/01/2025</t>
  </si>
  <si>
    <t>מז טפ הנפ אגח 61</t>
  </si>
  <si>
    <t>IL0023104644</t>
  </si>
  <si>
    <t>04/12/2026</t>
  </si>
  <si>
    <t>בינל הנפק אגח יב</t>
  </si>
  <si>
    <t>IL0011823858</t>
  </si>
  <si>
    <t>07/12/2027</t>
  </si>
  <si>
    <t>שמוס</t>
  </si>
  <si>
    <t>11111116</t>
  </si>
  <si>
    <t>שמוס  אג"ח א</t>
  </si>
  <si>
    <t>IL0011559510</t>
  </si>
  <si>
    <t>מליסרון  אגח16</t>
  </si>
  <si>
    <t>IL0032302650</t>
  </si>
  <si>
    <t>PETROLEOS MEXICANOS</t>
  </si>
  <si>
    <t>4768</t>
  </si>
  <si>
    <t>PETROLEOS MEXICANOS-PEMEX</t>
  </si>
  <si>
    <t>US71654QBW15</t>
  </si>
  <si>
    <t>23/01/2026</t>
  </si>
  <si>
    <t>GRAND CITY PROPERTIES</t>
  </si>
  <si>
    <t>4959</t>
  </si>
  <si>
    <t>GRAND CITI 6.125 16/01/2030</t>
  </si>
  <si>
    <t>XS2799494633</t>
  </si>
  <si>
    <t>16/01/2030</t>
  </si>
  <si>
    <t>TEVA 4.1 1/10/2046</t>
  </si>
  <si>
    <t>US88167AAF84</t>
  </si>
  <si>
    <t>01/10/2046</t>
  </si>
  <si>
    <t>Empresa Electrica Cochra</t>
  </si>
  <si>
    <t>5170</t>
  </si>
  <si>
    <t>AESGEN 5.5 14/05/27</t>
  </si>
  <si>
    <t>USP3713CAB48</t>
  </si>
  <si>
    <t>Ba1</t>
  </si>
  <si>
    <t>14/05/2027</t>
  </si>
  <si>
    <t>ARES</t>
  </si>
  <si>
    <t>5183</t>
  </si>
  <si>
    <t>ARES CAPITAL 3.25 15.07.25</t>
  </si>
  <si>
    <t>US04010LAY92</t>
  </si>
  <si>
    <t>15/07/2025</t>
  </si>
  <si>
    <t>PEMEX 6.84 23/1/2030</t>
  </si>
  <si>
    <t>US71654QDC33</t>
  </si>
  <si>
    <t>23/01/2030</t>
  </si>
  <si>
    <t>SABRA HEALTH/CAPTL</t>
  </si>
  <si>
    <t>5165</t>
  </si>
  <si>
    <t>SBRA 3.9 15/10/29</t>
  </si>
  <si>
    <t>US78572XAG60</t>
  </si>
  <si>
    <t>15/10/2029</t>
  </si>
  <si>
    <t>GOLDMAN SACHS BDC</t>
  </si>
  <si>
    <t>5193</t>
  </si>
  <si>
    <t>25/GSBD 3.75 10/2</t>
  </si>
  <si>
    <t>US38147UAC18</t>
  </si>
  <si>
    <t>Baa3</t>
  </si>
  <si>
    <t>10/02/2025</t>
  </si>
  <si>
    <t>OWL ROCK CAPITAL</t>
  </si>
  <si>
    <t>5181</t>
  </si>
  <si>
    <t>OWLRCK 3.75 22/7/25</t>
  </si>
  <si>
    <t>US69121KAC80</t>
  </si>
  <si>
    <t>22/07/2025</t>
  </si>
  <si>
    <t>PEMEX 5.95 28/01/31</t>
  </si>
  <si>
    <t>US71654QDE98</t>
  </si>
  <si>
    <t>28/01/2031</t>
  </si>
  <si>
    <t>שופרסל אג"ח ז</t>
  </si>
  <si>
    <t>IL0077702582</t>
  </si>
  <si>
    <t>20/08/2030</t>
  </si>
  <si>
    <t>FSK 4.125 01/02/25</t>
  </si>
  <si>
    <t>US302635AE72</t>
  </si>
  <si>
    <t>01/01/2025</t>
  </si>
  <si>
    <t>לאומי אגח 185</t>
  </si>
  <si>
    <t>IL0012018219</t>
  </si>
  <si>
    <t>פז נפט    אגח ז</t>
  </si>
  <si>
    <t>IL0011425951</t>
  </si>
  <si>
    <t>30/11/2030</t>
  </si>
  <si>
    <t>פועלים הת נד יא</t>
  </si>
  <si>
    <t>IL0012014663</t>
  </si>
  <si>
    <t>07/12/2029</t>
  </si>
  <si>
    <t>בינל הנפ התח כו</t>
  </si>
  <si>
    <t>IL0011855371</t>
  </si>
  <si>
    <t>פועלים הת נדח י</t>
  </si>
  <si>
    <t>IL0011998924</t>
  </si>
  <si>
    <t>17/05/2026</t>
  </si>
  <si>
    <t>דיסקונט מנ נד ו</t>
  </si>
  <si>
    <t>IL0074801973</t>
  </si>
  <si>
    <t>29/10/2025</t>
  </si>
  <si>
    <t>קרסו מוט' אגח ה</t>
  </si>
  <si>
    <t>IL0012027798</t>
  </si>
  <si>
    <t>27/06/2031</t>
  </si>
  <si>
    <t>אנלייט אנ אגח ד</t>
  </si>
  <si>
    <t>IL0072002566</t>
  </si>
  <si>
    <t>02/09/2029</t>
  </si>
  <si>
    <t>אלביט מע' אגח ד</t>
  </si>
  <si>
    <t>IL0011782682</t>
  </si>
  <si>
    <t>אשטרום קב אגח ה</t>
  </si>
  <si>
    <t>IL0011995797</t>
  </si>
  <si>
    <t>מגדל הון  אגח י</t>
  </si>
  <si>
    <t>IL0011920795</t>
  </si>
  <si>
    <t>שיכון ובינוי אג6</t>
  </si>
  <si>
    <t>IL0011297335</t>
  </si>
  <si>
    <t>נכסים ובנין אגח 4</t>
  </si>
  <si>
    <t>IL0069901549</t>
  </si>
  <si>
    <t>מיטב דש השקעות</t>
  </si>
  <si>
    <t>520043795</t>
  </si>
  <si>
    <t>מיטב דש השקעות אגח ד</t>
  </si>
  <si>
    <t>IL0011613713</t>
  </si>
  <si>
    <t>10/12/2029</t>
  </si>
  <si>
    <t>שטראוס    אגח ה</t>
  </si>
  <si>
    <t>IL0074603890</t>
  </si>
  <si>
    <t>תדיראן גרופ</t>
  </si>
  <si>
    <t>520036732</t>
  </si>
  <si>
    <t>תדיראן הול אגח3</t>
  </si>
  <si>
    <t>IL0025801320</t>
  </si>
  <si>
    <t>ישראמקו   אגח ב</t>
  </si>
  <si>
    <t>IL0023202240</t>
  </si>
  <si>
    <t>גירון פיתוח</t>
  </si>
  <si>
    <t>520044520</t>
  </si>
  <si>
    <t>גירון  אגח ח</t>
  </si>
  <si>
    <t>IL0011831513</t>
  </si>
  <si>
    <t>31/12/2038</t>
  </si>
  <si>
    <t>ביג  אגח כ</t>
  </si>
  <si>
    <t>IL0011861882</t>
  </si>
  <si>
    <t>דלק ישראל נכסים</t>
  </si>
  <si>
    <t>516378643</t>
  </si>
  <si>
    <t>דלק נכסים אגח א</t>
  </si>
  <si>
    <t>IL0011961799</t>
  </si>
  <si>
    <t>30/09/2030</t>
  </si>
  <si>
    <t>צמח המרמן</t>
  </si>
  <si>
    <t>512531203</t>
  </si>
  <si>
    <t>צמח המרמן אגח ז</t>
  </si>
  <si>
    <t>IL0011864027</t>
  </si>
  <si>
    <t>בתי זיקוק</t>
  </si>
  <si>
    <t>520036658</t>
  </si>
  <si>
    <t>בזן       אגח ט</t>
  </si>
  <si>
    <t>IL0025904611</t>
  </si>
  <si>
    <t>30/09/2025</t>
  </si>
  <si>
    <t>אלוני חץ אג10</t>
  </si>
  <si>
    <t>IL0039003624</t>
  </si>
  <si>
    <t>28/02/2027</t>
  </si>
  <si>
    <t>פניקס הון אגח יד</t>
  </si>
  <si>
    <t>IL0012019464</t>
  </si>
  <si>
    <t>אלקטרה פאוור (2019)</t>
  </si>
  <si>
    <t>516077989</t>
  </si>
  <si>
    <t>אלקטרה פאוור אגח ב</t>
  </si>
  <si>
    <t>IL0011819245</t>
  </si>
  <si>
    <t>אזורים</t>
  </si>
  <si>
    <t>520025990</t>
  </si>
  <si>
    <t>אזורים אג15</t>
  </si>
  <si>
    <t>IL0071504513</t>
  </si>
  <si>
    <t>SK HYNIX</t>
  </si>
  <si>
    <t>5411</t>
  </si>
  <si>
    <t>HYUELE 6.375 17/01/28</t>
  </si>
  <si>
    <t>USY8085FBK58</t>
  </si>
  <si>
    <t>BBB</t>
  </si>
  <si>
    <t>אשטרום נכסים</t>
  </si>
  <si>
    <t>520036617</t>
  </si>
  <si>
    <t>אשטרום נכס אגח 10</t>
  </si>
  <si>
    <t>IL0025102042</t>
  </si>
  <si>
    <t>בזן  אגח י'</t>
  </si>
  <si>
    <t>IL0025905113</t>
  </si>
  <si>
    <t>25/09/2031</t>
  </si>
  <si>
    <t>אלומיי    אגח ה</t>
  </si>
  <si>
    <t>IL0011932758</t>
  </si>
  <si>
    <t>אנרג'יקס</t>
  </si>
  <si>
    <t>513901371</t>
  </si>
  <si>
    <t>אנרג'יקס אגח א</t>
  </si>
  <si>
    <t>IL0011617516</t>
  </si>
  <si>
    <t>01/08/2030</t>
  </si>
  <si>
    <t>דמרי אג"ח 8</t>
  </si>
  <si>
    <t>IL0011537250</t>
  </si>
  <si>
    <t>סלע נדלן אג3</t>
  </si>
  <si>
    <t>IL0011389736</t>
  </si>
  <si>
    <t>13/04/2029</t>
  </si>
  <si>
    <t>אשטרום קב אגח ב</t>
  </si>
  <si>
    <t>IL0011323313</t>
  </si>
  <si>
    <t>11/05/2025</t>
  </si>
  <si>
    <t>אקרו קבוצה</t>
  </si>
  <si>
    <t>511996803</t>
  </si>
  <si>
    <t>אקרו אג"ח א'</t>
  </si>
  <si>
    <t>IL0011885725</t>
  </si>
  <si>
    <t>הכשרת הישוב אגח 23</t>
  </si>
  <si>
    <t>IL0061203233</t>
  </si>
  <si>
    <t>שיכון ובינוי אג 9</t>
  </si>
  <si>
    <t>IL0011673865</t>
  </si>
  <si>
    <t>דמרי אגח ט</t>
  </si>
  <si>
    <t>IL0011683682</t>
  </si>
  <si>
    <t>אפריקה מגורים</t>
  </si>
  <si>
    <t>520034760</t>
  </si>
  <si>
    <t>אפריקה מג אגח ה</t>
  </si>
  <si>
    <t>IL0011628257</t>
  </si>
  <si>
    <t>חברה לישראל אגח 15</t>
  </si>
  <si>
    <t>IL0057603271</t>
  </si>
  <si>
    <t>31/07/2030</t>
  </si>
  <si>
    <t>אדגר אג"ח 9</t>
  </si>
  <si>
    <t>IL0018201900</t>
  </si>
  <si>
    <t>01/07/2025</t>
  </si>
  <si>
    <t>אזורים אגח 13</t>
  </si>
  <si>
    <t>IL0071504109</t>
  </si>
  <si>
    <t>שפיר הנדסה</t>
  </si>
  <si>
    <t>514892801</t>
  </si>
  <si>
    <t>שפיר הנדסה אגח ג</t>
  </si>
  <si>
    <t>IL0011784175</t>
  </si>
  <si>
    <t>30/11/2037</t>
  </si>
  <si>
    <t>ALCOA NEDERLAND</t>
  </si>
  <si>
    <t>5282</t>
  </si>
  <si>
    <t>ALCOA 4.125 31/03/29</t>
  </si>
  <si>
    <t>US013822AG68</t>
  </si>
  <si>
    <t>BB</t>
  </si>
  <si>
    <t>31/03/2029</t>
  </si>
  <si>
    <t>אבגול</t>
  </si>
  <si>
    <t>510119068</t>
  </si>
  <si>
    <t>אבגול     אגח ד</t>
  </si>
  <si>
    <t>IL0011404170</t>
  </si>
  <si>
    <t>דלתא</t>
  </si>
  <si>
    <t>520025602</t>
  </si>
  <si>
    <t>דלתא      אגח ו</t>
  </si>
  <si>
    <t>IL0062701938</t>
  </si>
  <si>
    <t>צמח המרמן אגח ו</t>
  </si>
  <si>
    <t>IL0011586331</t>
  </si>
  <si>
    <t>תעשיה אוירית</t>
  </si>
  <si>
    <t>520027194</t>
  </si>
  <si>
    <t>תעשיה אוירית אג"ח 4</t>
  </si>
  <si>
    <t>IL0011331316</t>
  </si>
  <si>
    <t>אזורים   אגח 12</t>
  </si>
  <si>
    <t>IL0071503606</t>
  </si>
  <si>
    <t>מישורים</t>
  </si>
  <si>
    <t>511491839</t>
  </si>
  <si>
    <t>מישורים אגח ח'</t>
  </si>
  <si>
    <t>IL0011431637</t>
  </si>
  <si>
    <t>אלה פקדון אגח ד</t>
  </si>
  <si>
    <t>IL0011623043</t>
  </si>
  <si>
    <t>15/04/2026</t>
  </si>
  <si>
    <t>רכבת ישראל</t>
  </si>
  <si>
    <t>520043613</t>
  </si>
  <si>
    <t>רכבת ישר  אגח ג</t>
  </si>
  <si>
    <t>IL0011776254</t>
  </si>
  <si>
    <t>ספנסר אגח ג</t>
  </si>
  <si>
    <t>IL0011474959</t>
  </si>
  <si>
    <t>ריט 1     אגח ו</t>
  </si>
  <si>
    <t>IL0011385445</t>
  </si>
  <si>
    <t>מגוריט</t>
  </si>
  <si>
    <t>515434074</t>
  </si>
  <si>
    <t>מגוריט    אגח ד</t>
  </si>
  <si>
    <t>IL0011858342</t>
  </si>
  <si>
    <t>מניבים ריט אג"ח ב</t>
  </si>
  <si>
    <t>IL0011559288</t>
  </si>
  <si>
    <t>אקונרג'י</t>
  </si>
  <si>
    <t>516339777</t>
  </si>
  <si>
    <t>אקונרג'י אג א</t>
  </si>
  <si>
    <t>IL0011825184</t>
  </si>
  <si>
    <t>הראל פקדון סחיר</t>
  </si>
  <si>
    <t>515989440</t>
  </si>
  <si>
    <t>הראל פיקדון אגח ב</t>
  </si>
  <si>
    <t>IL0011625022</t>
  </si>
  <si>
    <t>24/01/2027</t>
  </si>
  <si>
    <t>מגוריט אגח ב</t>
  </si>
  <si>
    <t>IL0011683500</t>
  </si>
  <si>
    <t>סאפיינס</t>
  </si>
  <si>
    <t>53368</t>
  </si>
  <si>
    <t>סאפיינס   אגח ב</t>
  </si>
  <si>
    <t>IL0011419368</t>
  </si>
  <si>
    <t>.אמ.די.ג'י</t>
  </si>
  <si>
    <t>1840550</t>
  </si>
  <si>
    <t>אמ.די.ג'י אגח ז</t>
  </si>
  <si>
    <t>IL0012091703</t>
  </si>
  <si>
    <t>אלומיי אג"ח ג</t>
  </si>
  <si>
    <t>IL0011593758</t>
  </si>
  <si>
    <t>צילו-בלו</t>
  </si>
  <si>
    <t>513605519</t>
  </si>
  <si>
    <t>חנן מור אגח טו (בהשעייה)</t>
  </si>
  <si>
    <t>IL0011898512</t>
  </si>
  <si>
    <t>פרשקובסקי</t>
  </si>
  <si>
    <t>513817817</t>
  </si>
  <si>
    <t>פרשקובסקי אגח יד</t>
  </si>
  <si>
    <t>IL0011836231</t>
  </si>
  <si>
    <t>מגוריט אגח ה</t>
  </si>
  <si>
    <t>IL0011921298</t>
  </si>
  <si>
    <t>ג'י סיטי אגח  כ</t>
  </si>
  <si>
    <t>IL0012088675</t>
  </si>
  <si>
    <t>אוריין</t>
  </si>
  <si>
    <t>511068256</t>
  </si>
  <si>
    <t>אוריין    אגח ב</t>
  </si>
  <si>
    <t>IL0011433799</t>
  </si>
  <si>
    <t>רבוע נדלן אגח ז</t>
  </si>
  <si>
    <t>IL0011406159</t>
  </si>
  <si>
    <t>אנלייט אנרגיה  אגח ה'</t>
  </si>
  <si>
    <t>IL0072001162</t>
  </si>
  <si>
    <t>אמות      אגח ה</t>
  </si>
  <si>
    <t>IL0011381147</t>
  </si>
  <si>
    <t>04/01/2026</t>
  </si>
  <si>
    <t>דיסק מנ מסחרי 4</t>
  </si>
  <si>
    <t>IL0012110776</t>
  </si>
  <si>
    <t>09/09/2025</t>
  </si>
  <si>
    <t>מגה אור מסחרי 5</t>
  </si>
  <si>
    <t>IL0012088758</t>
  </si>
  <si>
    <t>צרפתי</t>
  </si>
  <si>
    <t>520039090</t>
  </si>
  <si>
    <t>צרפתי אגח יא</t>
  </si>
  <si>
    <t>IL0042502547</t>
  </si>
  <si>
    <t>מניבים ריט אגח ד</t>
  </si>
  <si>
    <t>IL0011939290</t>
  </si>
  <si>
    <t>אלומה</t>
  </si>
  <si>
    <t>516214871</t>
  </si>
  <si>
    <t>אלומה אגח א</t>
  </si>
  <si>
    <t>IL0011909178</t>
  </si>
  <si>
    <t>פורמולה אג"ח ג'</t>
  </si>
  <si>
    <t>IL0025602090</t>
  </si>
  <si>
    <t>01/12/2026</t>
  </si>
  <si>
    <t>שלמה החז אגח יז</t>
  </si>
  <si>
    <t>IL0014102995</t>
  </si>
  <si>
    <t>פתאל אירו אגח ד</t>
  </si>
  <si>
    <t>IL0011680381</t>
  </si>
  <si>
    <t>חנן מור אג 9 (בהשעייה)</t>
  </si>
  <si>
    <t>IL0011605065</t>
  </si>
  <si>
    <t>מז טפ הנ אגח 67</t>
  </si>
  <si>
    <t>IL0011968075</t>
  </si>
  <si>
    <t>ביג אגח כא</t>
  </si>
  <si>
    <t>IL0012022179</t>
  </si>
  <si>
    <t>גמא ניהול</t>
  </si>
  <si>
    <t>512711789</t>
  </si>
  <si>
    <t>גמא אגח ב</t>
  </si>
  <si>
    <t>IL0011859332</t>
  </si>
  <si>
    <t>19/10/2025</t>
  </si>
  <si>
    <t>קרסו  אגח ד</t>
  </si>
  <si>
    <t>IL0011735664</t>
  </si>
  <si>
    <t>נפטא</t>
  </si>
  <si>
    <t>520020942</t>
  </si>
  <si>
    <t>נפטא אגח ח</t>
  </si>
  <si>
    <t>IL0064301695</t>
  </si>
  <si>
    <t>26/01/2025</t>
  </si>
  <si>
    <t>אפי נכסים אגח יב</t>
  </si>
  <si>
    <t>IL0011737645</t>
  </si>
  <si>
    <t>ביג אגח יז</t>
  </si>
  <si>
    <t>IL0011684599</t>
  </si>
  <si>
    <t>28/08/2028</t>
  </si>
  <si>
    <t>אבו פמילי ריט</t>
  </si>
  <si>
    <t>516456084</t>
  </si>
  <si>
    <t>אבו פמילי אגח א</t>
  </si>
  <si>
    <t>IL0012097908</t>
  </si>
  <si>
    <t>מגוריט    אגח ו</t>
  </si>
  <si>
    <t>IL0012035049</t>
  </si>
  <si>
    <t>ריט אזורים ליוי</t>
  </si>
  <si>
    <t>516117181</t>
  </si>
  <si>
    <t>ריט אזורים אגח א</t>
  </si>
  <si>
    <t>IL0011757692</t>
  </si>
  <si>
    <t>גבאי מניבים אג 10</t>
  </si>
  <si>
    <t>IL0077102395</t>
  </si>
  <si>
    <t>פריורטק</t>
  </si>
  <si>
    <t>520037797</t>
  </si>
  <si>
    <t>פריורטק אגח א</t>
  </si>
  <si>
    <t>IL0032801388</t>
  </si>
  <si>
    <t>ג'י סיטי  אג יז</t>
  </si>
  <si>
    <t>IL0011981425</t>
  </si>
  <si>
    <t>יוניברסל  אגח ד</t>
  </si>
  <si>
    <t>IL0011722530</t>
  </si>
  <si>
    <t>11/02/2029</t>
  </si>
  <si>
    <t>לאומי מסחרי 6</t>
  </si>
  <si>
    <t>IL0012111436</t>
  </si>
  <si>
    <t>מור השקעות</t>
  </si>
  <si>
    <t>513834606</t>
  </si>
  <si>
    <t>מור השקעות אג א</t>
  </si>
  <si>
    <t>IL0011673030</t>
  </si>
  <si>
    <t>איידיאיי הנפקות</t>
  </si>
  <si>
    <t>514486042</t>
  </si>
  <si>
    <t>איי.די.איי. אג"ח ה</t>
  </si>
  <si>
    <t>IL0011558785</t>
  </si>
  <si>
    <t>15/11/2025</t>
  </si>
  <si>
    <t>תומר אנרגיה</t>
  </si>
  <si>
    <t>514837111</t>
  </si>
  <si>
    <t>דלק תמלוגים אג"ח א</t>
  </si>
  <si>
    <t>IL0011474793</t>
  </si>
  <si>
    <t>שפיר הנדסה אגח א</t>
  </si>
  <si>
    <t>IL0011361347</t>
  </si>
  <si>
    <t>01/10/2025</t>
  </si>
  <si>
    <t>אפי נכסים אגח יא</t>
  </si>
  <si>
    <t>IL0011716284</t>
  </si>
  <si>
    <t>מז טפ הנפ אגח 57</t>
  </si>
  <si>
    <t>IL0023104230</t>
  </si>
  <si>
    <t>משק אנרגיה</t>
  </si>
  <si>
    <t>516167343</t>
  </si>
  <si>
    <t>משק אנרג  אגח א</t>
  </si>
  <si>
    <t>IL0011695314</t>
  </si>
  <si>
    <t>ממן</t>
  </si>
  <si>
    <t>520036435</t>
  </si>
  <si>
    <t>ממן אגח ב</t>
  </si>
  <si>
    <t>IL0023800464</t>
  </si>
  <si>
    <t>אפריקה מגורים אג 4</t>
  </si>
  <si>
    <t>IL0011426454</t>
  </si>
  <si>
    <t>31/03/2025</t>
  </si>
  <si>
    <t>אלון רבוע אגח ט</t>
  </si>
  <si>
    <t>IL0011972846</t>
  </si>
  <si>
    <t>אשטרום נכסים אג"ח 11</t>
  </si>
  <si>
    <t>IL0025102380</t>
  </si>
  <si>
    <t>דמרי      אגח ז</t>
  </si>
  <si>
    <t>IL0011411910</t>
  </si>
  <si>
    <t>פריים אנרג'י</t>
  </si>
  <si>
    <t>514902147</t>
  </si>
  <si>
    <t>פריים אנרג'י אגח ב</t>
  </si>
  <si>
    <t>IL0011846628</t>
  </si>
  <si>
    <t>גירון     אגח ו</t>
  </si>
  <si>
    <t>IL0011398497</t>
  </si>
  <si>
    <t>מ.ו. השקעות</t>
  </si>
  <si>
    <t>510920879</t>
  </si>
  <si>
    <t>מ.ו השקע  אגח א</t>
  </si>
  <si>
    <t>IL0011982175</t>
  </si>
  <si>
    <t>סאמיט אג8</t>
  </si>
  <si>
    <t>IL0011389405</t>
  </si>
  <si>
    <t>אבגול     אגח ג</t>
  </si>
  <si>
    <t>IL0011332892</t>
  </si>
  <si>
    <t>ג'י סיטי אגח יח</t>
  </si>
  <si>
    <t>IL0012038506</t>
  </si>
  <si>
    <t>חג'ג' אג"ח יב</t>
  </si>
  <si>
    <t>IL0082303772</t>
  </si>
  <si>
    <t>אשטרום נכ אגח 12</t>
  </si>
  <si>
    <t>IL0025102794</t>
  </si>
  <si>
    <t>טמפו משקאות</t>
  </si>
  <si>
    <t>513682625</t>
  </si>
  <si>
    <t>טמפו משקאות אגח 2</t>
  </si>
  <si>
    <t>IL0011335119</t>
  </si>
  <si>
    <t>נאוויטס פט אגח ג</t>
  </si>
  <si>
    <t>IL0011815938</t>
  </si>
  <si>
    <t>15/10/2028</t>
  </si>
  <si>
    <t>גאון אחזקות</t>
  </si>
  <si>
    <t>512623950</t>
  </si>
  <si>
    <t>גאון אחז  אגח ה</t>
  </si>
  <si>
    <t>IL0012065640</t>
  </si>
  <si>
    <t>נתנאל גרופ</t>
  </si>
  <si>
    <t>520039074</t>
  </si>
  <si>
    <t>נתנאל גרופ אג"ח יג</t>
  </si>
  <si>
    <t>IL0011886632</t>
  </si>
  <si>
    <t>פטרוכימיים-ש</t>
  </si>
  <si>
    <t>520029315</t>
  </si>
  <si>
    <t>פטרוכימים אגח ט</t>
  </si>
  <si>
    <t>IL0011895542</t>
  </si>
  <si>
    <t>אנקור פרופרטיס</t>
  </si>
  <si>
    <t>1939883</t>
  </si>
  <si>
    <t>אנקור פרופ אגח ד</t>
  </si>
  <si>
    <t>IL0012044033</t>
  </si>
  <si>
    <t>לפידות קפיטל</t>
  </si>
  <si>
    <t>520022971</t>
  </si>
  <si>
    <t>לפידות קפט אגח א</t>
  </si>
  <si>
    <t>IL0064200954</t>
  </si>
  <si>
    <t>וילאר אגח ח</t>
  </si>
  <si>
    <t>IL0041601563</t>
  </si>
  <si>
    <t>27/06/2025</t>
  </si>
  <si>
    <t>פרשקובסקי אגחטו</t>
  </si>
  <si>
    <t>IL0012034968</t>
  </si>
  <si>
    <t>פתאל החזקות אג2</t>
  </si>
  <si>
    <t>IL0011508129</t>
  </si>
  <si>
    <t>מ.ו השקע  אגח ב</t>
  </si>
  <si>
    <t>IL0012041229</t>
  </si>
  <si>
    <t>מזרחי הנ אג 42</t>
  </si>
  <si>
    <t>IL0023101830</t>
  </si>
  <si>
    <t>09/06/2030</t>
  </si>
  <si>
    <t>הרץ פרופרטיס</t>
  </si>
  <si>
    <t>1957081</t>
  </si>
  <si>
    <t>הרץ פרופר אגח ב</t>
  </si>
  <si>
    <t>IL0011847535</t>
  </si>
  <si>
    <t>Caa1.il</t>
  </si>
  <si>
    <t>כלל ביטוח  אג ב</t>
  </si>
  <si>
    <t>IL0011934994</t>
  </si>
  <si>
    <t>רוטשטיין  אגח ט</t>
  </si>
  <si>
    <t>IL0053902248</t>
  </si>
  <si>
    <t>לוי</t>
  </si>
  <si>
    <t>520041096</t>
  </si>
  <si>
    <t>לוי אגח ח</t>
  </si>
  <si>
    <t>IL0071902428</t>
  </si>
  <si>
    <t>בית הזהב</t>
  </si>
  <si>
    <t>520034562</t>
  </si>
  <si>
    <t>בית הזהב אגח ג</t>
  </si>
  <si>
    <t>IL0023500809</t>
  </si>
  <si>
    <t>פניקס הון אג"ח 8</t>
  </si>
  <si>
    <t>IL0011398158</t>
  </si>
  <si>
    <t>אול-יר</t>
  </si>
  <si>
    <t>1841580</t>
  </si>
  <si>
    <t>אול-יר    אגח ה  (הסדר חוב)</t>
  </si>
  <si>
    <t>1143304</t>
  </si>
  <si>
    <t>31/07/2024</t>
  </si>
  <si>
    <t>ברוקלנד</t>
  </si>
  <si>
    <t>1814237</t>
  </si>
  <si>
    <t>ברוקלנד אגח ב (הסדר חוב)</t>
  </si>
  <si>
    <t>1136993</t>
  </si>
  <si>
    <t>01/12/2021</t>
  </si>
  <si>
    <t>LUMIIT 5.125 27/07/27</t>
  </si>
  <si>
    <t>IL0060406878</t>
  </si>
  <si>
    <t>A-</t>
  </si>
  <si>
    <t>27/07/2027</t>
  </si>
  <si>
    <t>דיסקונט</t>
  </si>
  <si>
    <t>520007030</t>
  </si>
  <si>
    <t>IDBILI 5.375 26/01/2028</t>
  </si>
  <si>
    <t>IL0011920878</t>
  </si>
  <si>
    <t>A3</t>
  </si>
  <si>
    <t>26/01/2028</t>
  </si>
  <si>
    <t>AMAZON</t>
  </si>
  <si>
    <t>4865</t>
  </si>
  <si>
    <t>AMZM 4.55 01/12/27</t>
  </si>
  <si>
    <t>US023135CP90</t>
  </si>
  <si>
    <t>A1</t>
  </si>
  <si>
    <t>01/12/2027</t>
  </si>
  <si>
    <t>אורמת טכנו</t>
  </si>
  <si>
    <t>880326081</t>
  </si>
  <si>
    <t>ORMAT 2.5 15/07/27</t>
  </si>
  <si>
    <t>US686688AC68</t>
  </si>
  <si>
    <t>15/07/2027</t>
  </si>
  <si>
    <t>TEVA 3.75 09/05/2027</t>
  </si>
  <si>
    <t>XS2406607098</t>
  </si>
  <si>
    <t>BAYER</t>
  </si>
  <si>
    <t>4770</t>
  </si>
  <si>
    <t>BAYNGR 4.375 15/12/28</t>
  </si>
  <si>
    <t>US07274NAL73</t>
  </si>
  <si>
    <t>15/12/2028</t>
  </si>
  <si>
    <t>FSK 3.125 10.12.28</t>
  </si>
  <si>
    <t>US302635AK33</t>
  </si>
  <si>
    <t>12/10/2028</t>
  </si>
  <si>
    <t>DICK'S Sporting Goods</t>
  </si>
  <si>
    <t>5353</t>
  </si>
  <si>
    <t>DKS 3.15 15/01/2032</t>
  </si>
  <si>
    <t>US253393AF94</t>
  </si>
  <si>
    <t>15/01/2032</t>
  </si>
  <si>
    <t>DANA</t>
  </si>
  <si>
    <t>5308</t>
  </si>
  <si>
    <t>DAN 4.5 15/02/2032</t>
  </si>
  <si>
    <t>US235825AJ53</t>
  </si>
  <si>
    <t>B1</t>
  </si>
  <si>
    <t>GYCGR 0.125 11/01/28</t>
  </si>
  <si>
    <t>XS2282101539</t>
  </si>
  <si>
    <t>11/01/2028</t>
  </si>
  <si>
    <t>PERRIGO FINANCE</t>
  </si>
  <si>
    <t>5221</t>
  </si>
  <si>
    <t>PRGO 4.375 15/03/26</t>
  </si>
  <si>
    <t>US71429MAB19</t>
  </si>
  <si>
    <t>15/03/2026</t>
  </si>
  <si>
    <t>G City Europe (ATRIUM)</t>
  </si>
  <si>
    <t>4595</t>
  </si>
  <si>
    <t>ATRSAV 2.625 05/09/27</t>
  </si>
  <si>
    <t>XS2294495838</t>
  </si>
  <si>
    <t>05/09/2027</t>
  </si>
  <si>
    <t>VTRS 2.3 22/06/27</t>
  </si>
  <si>
    <t>US92556VAC00</t>
  </si>
  <si>
    <t>22/06/2027</t>
  </si>
  <si>
    <t>FEDEX</t>
  </si>
  <si>
    <t>4578</t>
  </si>
  <si>
    <t>FDX 4.25 15/05/30</t>
  </si>
  <si>
    <t>US31428XBZ87</t>
  </si>
  <si>
    <t>15/05/2030</t>
  </si>
  <si>
    <t>Verizon Communications</t>
  </si>
  <si>
    <t>4808</t>
  </si>
  <si>
    <t>VERIZON 4.016 03/12/29</t>
  </si>
  <si>
    <t>US92343VEU44</t>
  </si>
  <si>
    <t>03/12/2029</t>
  </si>
  <si>
    <t>YARA INTERNATIONAL ASA</t>
  </si>
  <si>
    <t>5378</t>
  </si>
  <si>
    <t>YARNO 7.378 14/11/32</t>
  </si>
  <si>
    <t>US984851AH89</t>
  </si>
  <si>
    <t>14/11/2032</t>
  </si>
  <si>
    <t>Apollo Debt Solutions</t>
  </si>
  <si>
    <t>5415</t>
  </si>
  <si>
    <t>APDESO 6.9 13/04/29</t>
  </si>
  <si>
    <t>US03770DAA19</t>
  </si>
  <si>
    <t>ELECTRICITE DE FRANCE</t>
  </si>
  <si>
    <t>4997</t>
  </si>
  <si>
    <t>EDF 5.7 23/05/28</t>
  </si>
  <si>
    <t>USF29416AB40</t>
  </si>
  <si>
    <t>23/05/2028</t>
  </si>
  <si>
    <t>US28504DAB91</t>
  </si>
  <si>
    <t>Citycon Treasury B.V</t>
  </si>
  <si>
    <t>5328</t>
  </si>
  <si>
    <t>CITCON 1.625 12/03/28</t>
  </si>
  <si>
    <t>XS2310411090</t>
  </si>
  <si>
    <t>12/03/2028</t>
  </si>
  <si>
    <t>Blue Owl</t>
  </si>
  <si>
    <t>5409</t>
  </si>
  <si>
    <t>OCINCC 7.95 13/06/28</t>
  </si>
  <si>
    <t>US69120VBB62</t>
  </si>
  <si>
    <t>13/06/2028</t>
  </si>
  <si>
    <t>ATRSAV 4.25 11/09/25</t>
  </si>
  <si>
    <t>XS1829325239</t>
  </si>
  <si>
    <t>11/09/2025</t>
  </si>
  <si>
    <t>Arrow Electronics</t>
  </si>
  <si>
    <t>5417</t>
  </si>
  <si>
    <t>ARW 5.875 10/04/34</t>
  </si>
  <si>
    <t>US04273WAE12</t>
  </si>
  <si>
    <t>10/04/2034</t>
  </si>
  <si>
    <t>META</t>
  </si>
  <si>
    <t>5097</t>
  </si>
  <si>
    <t>15/05/28 META 4.6</t>
  </si>
  <si>
    <t>US30303M8L96</t>
  </si>
  <si>
    <t>15/05/2028</t>
  </si>
  <si>
    <t>Dollar General</t>
  </si>
  <si>
    <t>5375</t>
  </si>
  <si>
    <t>DG 5.2 05/07/28</t>
  </si>
  <si>
    <t>US256677AN52</t>
  </si>
  <si>
    <t>05/07/2028</t>
  </si>
  <si>
    <t>DG 5.45 05/07/33</t>
  </si>
  <si>
    <t>US256677AP01</t>
  </si>
  <si>
    <t>05/07/2033</t>
  </si>
  <si>
    <t>MOTOROLA SOLUTIONS</t>
  </si>
  <si>
    <t>5337</t>
  </si>
  <si>
    <t>MSI 4.6 23/05/29</t>
  </si>
  <si>
    <t>US620076BN89</t>
  </si>
  <si>
    <t>23/05/2029</t>
  </si>
  <si>
    <t>TSMC-TAIWAN SEMICONDUCTOR</t>
  </si>
  <si>
    <t>5088</t>
  </si>
  <si>
    <t>TAISEM 4.375 22/07/27</t>
  </si>
  <si>
    <t>USG91139AK43</t>
  </si>
  <si>
    <t>INTEL</t>
  </si>
  <si>
    <t>5087</t>
  </si>
  <si>
    <t>INTC 4.875 10/02/26</t>
  </si>
  <si>
    <t>US458140CD04</t>
  </si>
  <si>
    <t>10/02/2026</t>
  </si>
  <si>
    <t>WALT DISNY</t>
  </si>
  <si>
    <t>5215</t>
  </si>
  <si>
    <t>DIS 3.35 24/03/25</t>
  </si>
  <si>
    <t>US254687FN19</t>
  </si>
  <si>
    <t>24/03/2025</t>
  </si>
  <si>
    <t>KRAFT HEINZ FOODS</t>
  </si>
  <si>
    <t>5336</t>
  </si>
  <si>
    <t>KHC 3.75 01/04/30</t>
  </si>
  <si>
    <t>US50077LAV80</t>
  </si>
  <si>
    <t>01/04/2030</t>
  </si>
  <si>
    <t>ORACLE</t>
  </si>
  <si>
    <t>5066</t>
  </si>
  <si>
    <t>ORCL 3.25 15/11/27</t>
  </si>
  <si>
    <t>US68389XBN49</t>
  </si>
  <si>
    <t>15/11/2027</t>
  </si>
  <si>
    <t>MCDONALDS</t>
  </si>
  <si>
    <t>5333</t>
  </si>
  <si>
    <t>MCD 3.6 01/07/2030</t>
  </si>
  <si>
    <t>US58013MFQ24</t>
  </si>
  <si>
    <t>EBAY</t>
  </si>
  <si>
    <t>5335</t>
  </si>
  <si>
    <t>EBAY 2.7 11/03/30</t>
  </si>
  <si>
    <t>US278642AW32</t>
  </si>
  <si>
    <t>11/03/2030</t>
  </si>
  <si>
    <t>BRADCOM</t>
  </si>
  <si>
    <t>5256</t>
  </si>
  <si>
    <t>AVGO 2.45 15/02/31</t>
  </si>
  <si>
    <t>US11135FBH38</t>
  </si>
  <si>
    <t>15/02/2031</t>
  </si>
  <si>
    <t>IQVIA</t>
  </si>
  <si>
    <t>5373</t>
  </si>
  <si>
    <t>IQV 5.7 15/05/28</t>
  </si>
  <si>
    <t>US46266TAC27</t>
  </si>
  <si>
    <t>South Bow</t>
  </si>
  <si>
    <t>5436</t>
  </si>
  <si>
    <t>SOUBOW 5.026 01/10/29</t>
  </si>
  <si>
    <t>US83007CAC64</t>
  </si>
  <si>
    <t>01/10/2029</t>
  </si>
  <si>
    <t>Golub Capital</t>
  </si>
  <si>
    <t>5438</t>
  </si>
  <si>
    <t>GCRED 5.8 12/09/29</t>
  </si>
  <si>
    <t>US38179RAA32</t>
  </si>
  <si>
    <t>12/09/2029</t>
  </si>
  <si>
    <t>HF SINCLAIR</t>
  </si>
  <si>
    <t>5334</t>
  </si>
  <si>
    <t>DINO 4.5 01/10/30</t>
  </si>
  <si>
    <t>US403949AC48</t>
  </si>
  <si>
    <t>01/10/2030</t>
  </si>
  <si>
    <t>אנרג'יאן</t>
  </si>
  <si>
    <t>10758801</t>
  </si>
  <si>
    <t>ENOIGA 8.5 30/09/33</t>
  </si>
  <si>
    <t>IL0011971442</t>
  </si>
  <si>
    <t>British Airways</t>
  </si>
  <si>
    <t>5288</t>
  </si>
  <si>
    <t>British Airways 2.9 15/03/35</t>
  </si>
  <si>
    <t>US11042CAA80</t>
  </si>
  <si>
    <t>15/03/2035</t>
  </si>
  <si>
    <t>BOOKING HOLDINGS</t>
  </si>
  <si>
    <t>5076</t>
  </si>
  <si>
    <t>BKNG 3.625 12/11/28</t>
  </si>
  <si>
    <t>XS2621007231</t>
  </si>
  <si>
    <t>12/11/2028</t>
  </si>
  <si>
    <t>OCINCC 6.65 15/03/31</t>
  </si>
  <si>
    <t>US69120VAZ40</t>
  </si>
  <si>
    <t>15/03/2034</t>
  </si>
  <si>
    <t>TEVA 7.875 15/09/31</t>
  </si>
  <si>
    <t>XS2592804194</t>
  </si>
  <si>
    <t>15/09/2031</t>
  </si>
  <si>
    <t>TEVA 7.375 15/09/2029</t>
  </si>
  <si>
    <t>XS2592804434</t>
  </si>
  <si>
    <t>15/09/2029</t>
  </si>
  <si>
    <t>בי קומיונק אגח ו</t>
  </si>
  <si>
    <t>IL0011781510</t>
  </si>
  <si>
    <t>סולגרין</t>
  </si>
  <si>
    <t>512882747</t>
  </si>
  <si>
    <t>סולגרין אגח ב</t>
  </si>
  <si>
    <t>IL0011862468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</si>
  <si>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</si>
  <si>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</si>
  <si>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</si>
  <si>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</si>
  <si>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</si>
  <si>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</si>
  <si>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</si>
  <si>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דוראל אנרגיה</t>
  </si>
  <si>
    <t>515364891</t>
  </si>
  <si>
    <t>דוראל  אגח ב</t>
  </si>
  <si>
    <t>IL0012054750</t>
  </si>
  <si>
    <t>אורון  אגח ב</t>
  </si>
  <si>
    <t>IL0011605719</t>
  </si>
  <si>
    <t>סופרין</t>
  </si>
  <si>
    <t>515361442</t>
  </si>
  <si>
    <t>סופרין אג"ח א</t>
  </si>
  <si>
    <t>IL0011977480</t>
  </si>
  <si>
    <t>AROUNDTOWN</t>
  </si>
  <si>
    <t>4845</t>
  </si>
  <si>
    <t>ALATPF 7.747% PREP 21/07/24</t>
  </si>
  <si>
    <t>XS1634523754</t>
  </si>
  <si>
    <t>21/07/2025</t>
  </si>
  <si>
    <t>מגה אור  אגח  י</t>
  </si>
  <si>
    <t>IL0011783672</t>
  </si>
  <si>
    <t>אספן גרופ</t>
  </si>
  <si>
    <t>520037540</t>
  </si>
  <si>
    <t>אספן גרופ אגח ט</t>
  </si>
  <si>
    <t>IL0031304244</t>
  </si>
  <si>
    <t>31/12/2030</t>
  </si>
  <si>
    <t>פאי פקדון</t>
  </si>
  <si>
    <t>516807336</t>
  </si>
  <si>
    <t>פאי פיקדון אגח א</t>
  </si>
  <si>
    <t>IL0011994543</t>
  </si>
  <si>
    <t>06/09/2033</t>
  </si>
  <si>
    <t>אפי נכסים אגח י</t>
  </si>
  <si>
    <t>IL0011608788</t>
  </si>
  <si>
    <t>30/03/2029</t>
  </si>
  <si>
    <t>יוחננוף</t>
  </si>
  <si>
    <t>511344186</t>
  </si>
  <si>
    <t>יוחננוף אגח א</t>
  </si>
  <si>
    <t>IL0011874182</t>
  </si>
  <si>
    <t>01/07/2032</t>
  </si>
  <si>
    <t>כלל ביטוח  אגח יא</t>
  </si>
  <si>
    <t>IL0011606477</t>
  </si>
  <si>
    <t>מגה אור אגח 6</t>
  </si>
  <si>
    <t>IL0011386682</t>
  </si>
  <si>
    <t>פניקס הון אגח י</t>
  </si>
  <si>
    <t>IL0011555302</t>
  </si>
  <si>
    <t>31/01/2025</t>
  </si>
  <si>
    <t>ישרס אגח טז</t>
  </si>
  <si>
    <t>IL0061302233</t>
  </si>
  <si>
    <t>30/07/2031</t>
  </si>
  <si>
    <t>הראל הנפ אגח יא</t>
  </si>
  <si>
    <t>IL0011363160</t>
  </si>
  <si>
    <t>אנרג'יקס אגח ב</t>
  </si>
  <si>
    <t>IL0011684839</t>
  </si>
  <si>
    <t>01/08/2027</t>
  </si>
  <si>
    <t>סאמיט     אגח י</t>
  </si>
  <si>
    <t>IL0011433955</t>
  </si>
  <si>
    <t>31/01/2030</t>
  </si>
  <si>
    <t>פניקס הון אגח ה</t>
  </si>
  <si>
    <t>IL0011354177</t>
  </si>
  <si>
    <t>01/11/2026</t>
  </si>
  <si>
    <t>ביג ט'</t>
  </si>
  <si>
    <t>IL0011410508</t>
  </si>
  <si>
    <t>20/12/2026</t>
  </si>
  <si>
    <t>אשטרום קב אגח ג</t>
  </si>
  <si>
    <t>IL0011401028</t>
  </si>
  <si>
    <t>15/01/2029</t>
  </si>
  <si>
    <t>הראל הנפק אגח י</t>
  </si>
  <si>
    <t>IL0011340481</t>
  </si>
  <si>
    <t>גירון אג"ח 7</t>
  </si>
  <si>
    <t>IL0011426298</t>
  </si>
  <si>
    <t>ישרס אג"ח 14</t>
  </si>
  <si>
    <t>IL0061301995</t>
  </si>
  <si>
    <t>01/03/2027</t>
  </si>
  <si>
    <t>ביג  אגח יג</t>
  </si>
  <si>
    <t>IL0011595167</t>
  </si>
  <si>
    <t>25/03/2029</t>
  </si>
  <si>
    <t>מבני תעשיה אג17</t>
  </si>
  <si>
    <t>IL0022604461</t>
  </si>
  <si>
    <t>נמקו אגח א</t>
  </si>
  <si>
    <t>IL0011395758</t>
  </si>
  <si>
    <t>מויניאן לימיטד</t>
  </si>
  <si>
    <t>1858676</t>
  </si>
  <si>
    <t>מויניאן   אגח ב</t>
  </si>
  <si>
    <t>IL0011430159</t>
  </si>
  <si>
    <t>אדגר      אגח י</t>
  </si>
  <si>
    <t>IL0018202080</t>
  </si>
  <si>
    <t>סילברסטין אגח א</t>
  </si>
  <si>
    <t>IL0011455982</t>
  </si>
  <si>
    <t>IL0006046119</t>
  </si>
  <si>
    <t>IL0006290147</t>
  </si>
  <si>
    <t>IL0006625771</t>
  </si>
  <si>
    <t>מזרחי</t>
  </si>
  <si>
    <t>IL0006954379</t>
  </si>
  <si>
    <t>IL0011194789</t>
  </si>
  <si>
    <t>נייס</t>
  </si>
  <si>
    <t>520036872</t>
  </si>
  <si>
    <t>IL0002730112</t>
  </si>
  <si>
    <t>IL0006912120</t>
  </si>
  <si>
    <t>IL0011667685</t>
  </si>
  <si>
    <t>נובה</t>
  </si>
  <si>
    <t>511812463</t>
  </si>
  <si>
    <t>IL0010845571</t>
  </si>
  <si>
    <t>IL0011415713</t>
  </si>
  <si>
    <t>פניקס    1</t>
  </si>
  <si>
    <t>IL0007670123</t>
  </si>
  <si>
    <t>נכסים בנין</t>
  </si>
  <si>
    <t>IL0006990175</t>
  </si>
  <si>
    <t>טאואר</t>
  </si>
  <si>
    <t>520041997</t>
  </si>
  <si>
    <t>IL0010823792</t>
  </si>
  <si>
    <t>IL0007770378</t>
  </si>
  <si>
    <t>נקסט ויז'ן</t>
  </si>
  <si>
    <t>514259019</t>
  </si>
  <si>
    <t>IL0011765935</t>
  </si>
  <si>
    <t>בית שמש</t>
  </si>
  <si>
    <t>520043480</t>
  </si>
  <si>
    <t>IL0010815616</t>
  </si>
  <si>
    <t>קמטק</t>
  </si>
  <si>
    <t>511235434</t>
  </si>
  <si>
    <t>IL0010952641</t>
  </si>
  <si>
    <t>IL0011708778</t>
  </si>
  <si>
    <t>נאוויטס פטר יהש</t>
  </si>
  <si>
    <t>IL0011419699</t>
  </si>
  <si>
    <t>IL0007200111</t>
  </si>
  <si>
    <t>IL0010811243</t>
  </si>
  <si>
    <t>אלקטרה נדל"ן</t>
  </si>
  <si>
    <t>510607328</t>
  </si>
  <si>
    <t>אלקטרה נדלן</t>
  </si>
  <si>
    <t>IL0010940448</t>
  </si>
  <si>
    <t>IL0002300114</t>
  </si>
  <si>
    <t>IL0002810146</t>
  </si>
  <si>
    <t>מנורה מב החזקות</t>
  </si>
  <si>
    <t>520007469</t>
  </si>
  <si>
    <t>מנורה    1</t>
  </si>
  <si>
    <t>IL0005660183</t>
  </si>
  <si>
    <t>בינלאומי</t>
  </si>
  <si>
    <t>520029083</t>
  </si>
  <si>
    <t>בינלאומי 5</t>
  </si>
  <si>
    <t>IL0005930388</t>
  </si>
  <si>
    <t>תאת טכנולוגיות</t>
  </si>
  <si>
    <t>520035791</t>
  </si>
  <si>
    <t>תאת טכנולוגיה</t>
  </si>
  <si>
    <t>IL0010827264</t>
  </si>
  <si>
    <t>IL0002320179</t>
  </si>
  <si>
    <t>IL0003230146</t>
  </si>
  <si>
    <t>פוקס</t>
  </si>
  <si>
    <t>512157603</t>
  </si>
  <si>
    <t>IL0010870223</t>
  </si>
  <si>
    <t>IL0010972607</t>
  </si>
  <si>
    <t>IL0011722878</t>
  </si>
  <si>
    <t>ארגו פרופרטיז</t>
  </si>
  <si>
    <t>70252750</t>
  </si>
  <si>
    <t>NL0015000D84</t>
  </si>
  <si>
    <t>דלק קידוחים יהש</t>
  </si>
  <si>
    <t>550013098</t>
  </si>
  <si>
    <t>ניו-מד אנרג'י יהש</t>
  </si>
  <si>
    <t>IL0004750209</t>
  </si>
  <si>
    <t>IL0007390375</t>
  </si>
  <si>
    <t>רציו יהש</t>
  </si>
  <si>
    <t>550012777</t>
  </si>
  <si>
    <t>רציו   יהש</t>
  </si>
  <si>
    <t>IL0003940157</t>
  </si>
  <si>
    <t>ריט 1</t>
  </si>
  <si>
    <t>IL0010989205</t>
  </si>
  <si>
    <t>IL0011233553</t>
  </si>
  <si>
    <t>קרסו</t>
  </si>
  <si>
    <t>IL0011238503</t>
  </si>
  <si>
    <t>ישרוטל</t>
  </si>
  <si>
    <t>520042482</t>
  </si>
  <si>
    <t>IL0010809858</t>
  </si>
  <si>
    <t>ריטיילורס</t>
  </si>
  <si>
    <t>514211457</t>
  </si>
  <si>
    <t>IL0011754889</t>
  </si>
  <si>
    <t>US6866881021</t>
  </si>
  <si>
    <t>חילן</t>
  </si>
  <si>
    <t>520039942</t>
  </si>
  <si>
    <t>IL0010846983</t>
  </si>
  <si>
    <t>בית בכפר</t>
  </si>
  <si>
    <t>511605719</t>
  </si>
  <si>
    <t>IL0011836561</t>
  </si>
  <si>
    <t>IL0011434292</t>
  </si>
  <si>
    <t>IL0010810740</t>
  </si>
  <si>
    <t>וואן טכנולוגיות</t>
  </si>
  <si>
    <t>520034695</t>
  </si>
  <si>
    <t>וואן תוכנה</t>
  </si>
  <si>
    <t>IL0001610182</t>
  </si>
  <si>
    <t>דלתא מותגים</t>
  </si>
  <si>
    <t>516250107</t>
  </si>
  <si>
    <t>IL0011736993</t>
  </si>
  <si>
    <t>IL0003730194</t>
  </si>
  <si>
    <t>אטראו שוקי הון</t>
  </si>
  <si>
    <t>513773564</t>
  </si>
  <si>
    <t>IL0010961063</t>
  </si>
  <si>
    <t>IL0010972789</t>
  </si>
  <si>
    <t>GB00BG12Y042</t>
  </si>
  <si>
    <t>IL0004450156</t>
  </si>
  <si>
    <t>מבני תעשיה</t>
  </si>
  <si>
    <t>IL0002260193</t>
  </si>
  <si>
    <t>תדיראן הולדינגס</t>
  </si>
  <si>
    <t>IL0002580129</t>
  </si>
  <si>
    <t>מקס סטוק</t>
  </si>
  <si>
    <t>513618967</t>
  </si>
  <si>
    <t>IL0011685588</t>
  </si>
  <si>
    <t>אל על</t>
  </si>
  <si>
    <t>520017146</t>
  </si>
  <si>
    <t>אלעל</t>
  </si>
  <si>
    <t>IL0010878242</t>
  </si>
  <si>
    <t>סלקום</t>
  </si>
  <si>
    <t>511930125</t>
  </si>
  <si>
    <t>IL0011015349</t>
  </si>
  <si>
    <t>אינרום בנייה</t>
  </si>
  <si>
    <t>515001659</t>
  </si>
  <si>
    <t>אינרום</t>
  </si>
  <si>
    <t>IL0011323560</t>
  </si>
  <si>
    <t>חג'ג' נדל"ן</t>
  </si>
  <si>
    <t>IL0008230133</t>
  </si>
  <si>
    <t>שגריר רכב</t>
  </si>
  <si>
    <t>515158665</t>
  </si>
  <si>
    <t>שגריר</t>
  </si>
  <si>
    <t>IL0011383796</t>
  </si>
  <si>
    <t>11 גרופ</t>
  </si>
  <si>
    <t>1992</t>
  </si>
  <si>
    <t>גרופ 11</t>
  </si>
  <si>
    <t>1181106</t>
  </si>
  <si>
    <t>גרופ(VEEV) וויו</t>
  </si>
  <si>
    <t>1837</t>
  </si>
  <si>
    <t>וויו גרופ TASE UP</t>
  </si>
  <si>
    <t>1171107</t>
  </si>
  <si>
    <t>GOOGLE</t>
  </si>
  <si>
    <t>960</t>
  </si>
  <si>
    <t>GOOG GOOGLE C Class</t>
  </si>
  <si>
    <t>US02079K1079</t>
  </si>
  <si>
    <t>TSM - TAIWAN SEMICONDUCTOR</t>
  </si>
  <si>
    <t>us8740391003</t>
  </si>
  <si>
    <t>MICROSOFT</t>
  </si>
  <si>
    <t>5083</t>
  </si>
  <si>
    <t>MSFT -  MICROSOFT</t>
  </si>
  <si>
    <t>us5949181045</t>
  </si>
  <si>
    <t>Bank of  America</t>
  </si>
  <si>
    <t>2180</t>
  </si>
  <si>
    <t>BANK OF AMERICA - BAC</t>
  </si>
  <si>
    <t>US0605051046</t>
  </si>
  <si>
    <t>Chevron</t>
  </si>
  <si>
    <t>5369</t>
  </si>
  <si>
    <t>Chevron Corp</t>
  </si>
  <si>
    <t>US1667641005</t>
  </si>
  <si>
    <t>US30303M1027</t>
  </si>
  <si>
    <t>APPLE</t>
  </si>
  <si>
    <t>930</t>
  </si>
  <si>
    <t>AAPL - Apple</t>
  </si>
  <si>
    <t>US0378331005</t>
  </si>
  <si>
    <t>JP MORGAN</t>
  </si>
  <si>
    <t>4809</t>
  </si>
  <si>
    <t>JPM - JP  MORGAN</t>
  </si>
  <si>
    <t>US46625H1005</t>
  </si>
  <si>
    <t>PARK PLAZA HOTEL</t>
  </si>
  <si>
    <t>5123</t>
  </si>
  <si>
    <t>PARK PLAZA  HOTEL- PPHE</t>
  </si>
  <si>
    <t>GG00B1Z5FH87</t>
  </si>
  <si>
    <t>PALO</t>
  </si>
  <si>
    <t>4723</t>
  </si>
  <si>
    <t>PALO ALTO NETWORKS-PANW</t>
  </si>
  <si>
    <t>US6974351057</t>
  </si>
  <si>
    <t>JACOBS SOLUTIONS</t>
  </si>
  <si>
    <t>5377</t>
  </si>
  <si>
    <t>JACOB SOLUTIONS</t>
  </si>
  <si>
    <t>US46982L1089</t>
  </si>
  <si>
    <t>SHL TELEMEDICINE</t>
  </si>
  <si>
    <t>5261</t>
  </si>
  <si>
    <t>SHL TELEMEDICINE LTD</t>
  </si>
  <si>
    <t>IL0010855885</t>
  </si>
  <si>
    <t>Odysight</t>
  </si>
  <si>
    <t>515950400</t>
  </si>
  <si>
    <t>US81063V2043</t>
  </si>
  <si>
    <t>ITURAN LOCATION</t>
  </si>
  <si>
    <t>5169</t>
  </si>
  <si>
    <t>IL0010818685</t>
  </si>
  <si>
    <t>CATERPILLAR</t>
  </si>
  <si>
    <t>4923</t>
  </si>
  <si>
    <t>US1491231015</t>
  </si>
  <si>
    <t>סנו</t>
  </si>
  <si>
    <t>520032988</t>
  </si>
  <si>
    <t>IL0008130143</t>
  </si>
  <si>
    <t>IL0011044885</t>
  </si>
  <si>
    <t>פולירם</t>
  </si>
  <si>
    <t>515251593</t>
  </si>
  <si>
    <t>IL0011702169</t>
  </si>
  <si>
    <t>עשות</t>
  </si>
  <si>
    <t>520037581</t>
  </si>
  <si>
    <t>IL0003120172</t>
  </si>
  <si>
    <t>שטראוס</t>
  </si>
  <si>
    <t>IL0007460160</t>
  </si>
  <si>
    <t>IL0011882003</t>
  </si>
  <si>
    <t>IL0003900136</t>
  </si>
  <si>
    <t>הראל     1</t>
  </si>
  <si>
    <t>IL0005850180</t>
  </si>
  <si>
    <t>כלל ביטוח</t>
  </si>
  <si>
    <t>IL0002240146</t>
  </si>
  <si>
    <t>סאפינס</t>
  </si>
  <si>
    <t>KYG7T16G1039</t>
  </si>
  <si>
    <t>IL0011000077</t>
  </si>
  <si>
    <t>IL0010841281</t>
  </si>
  <si>
    <t>IL0011574030</t>
  </si>
  <si>
    <t>פורמולה</t>
  </si>
  <si>
    <t>IL0002560162</t>
  </si>
  <si>
    <t>IL0005760173</t>
  </si>
  <si>
    <t>מימון ישיר</t>
  </si>
  <si>
    <t>IL0011681868</t>
  </si>
  <si>
    <t>בי קומיוניקיישנס</t>
  </si>
  <si>
    <t>IL0011076630</t>
  </si>
  <si>
    <t>שפיר הנדסה ותעשיה בע"מ</t>
  </si>
  <si>
    <t>IL0011338758</t>
  </si>
  <si>
    <t>אלטשולר שחם פנ</t>
  </si>
  <si>
    <t>516508603</t>
  </si>
  <si>
    <t>אלטשולר פיננסים</t>
  </si>
  <si>
    <t>IL0011849366</t>
  </si>
  <si>
    <t>אירפורט סיטי</t>
  </si>
  <si>
    <t>IL0010958358</t>
  </si>
  <si>
    <t>דלק רכב</t>
  </si>
  <si>
    <t>520033291</t>
  </si>
  <si>
    <t>IL0008290103</t>
  </si>
  <si>
    <t>IL0010979487</t>
  </si>
  <si>
    <t>IL0010834849</t>
  </si>
  <si>
    <t>IL0010816861</t>
  </si>
  <si>
    <t>מגדלי תיכון</t>
  </si>
  <si>
    <t>IL0011315236</t>
  </si>
  <si>
    <t>מגדל ביטוח</t>
  </si>
  <si>
    <t>520029984</t>
  </si>
  <si>
    <t>IL0010811656</t>
  </si>
  <si>
    <t>IL0010819428</t>
  </si>
  <si>
    <t>דנאל</t>
  </si>
  <si>
    <t>520037565</t>
  </si>
  <si>
    <t>דנאל כא</t>
  </si>
  <si>
    <t>IL0003140139</t>
  </si>
  <si>
    <t>פנינסולה</t>
  </si>
  <si>
    <t>520033713</t>
  </si>
  <si>
    <t>IL0003330136</t>
  </si>
  <si>
    <t>רמי לוי</t>
  </si>
  <si>
    <t>513770669</t>
  </si>
  <si>
    <t>IL0011042491</t>
  </si>
  <si>
    <t>אייקון גרופ</t>
  </si>
  <si>
    <t>513955252</t>
  </si>
  <si>
    <t>IL0011824849</t>
  </si>
  <si>
    <t>IL0011569261</t>
  </si>
  <si>
    <t>תורפז</t>
  </si>
  <si>
    <t>514574524</t>
  </si>
  <si>
    <t>IL0011756116</t>
  </si>
  <si>
    <t>IL0011391955</t>
  </si>
  <si>
    <t>פז בית זיקוק אשדוד (בז"א)</t>
  </si>
  <si>
    <t>IL0011989105</t>
  </si>
  <si>
    <t>דלתא     1</t>
  </si>
  <si>
    <t>IL0006270347</t>
  </si>
  <si>
    <t>ליברה</t>
  </si>
  <si>
    <t>515761625</t>
  </si>
  <si>
    <t>IL0011769812</t>
  </si>
  <si>
    <t>אברא</t>
  </si>
  <si>
    <t>512512468</t>
  </si>
  <si>
    <t>אברא טכנולוגיות</t>
  </si>
  <si>
    <t>IL0011016669</t>
  </si>
  <si>
    <t>IL0011021289</t>
  </si>
  <si>
    <t>לפידות</t>
  </si>
  <si>
    <t>IL0006420173</t>
  </si>
  <si>
    <t>IL0004160169</t>
  </si>
  <si>
    <t>קנון הולדינגס</t>
  </si>
  <si>
    <t>201406588</t>
  </si>
  <si>
    <t>קנון</t>
  </si>
  <si>
    <t>SG9999012629</t>
  </si>
  <si>
    <t>קיסטון אינפרא</t>
  </si>
  <si>
    <t>515983476</t>
  </si>
  <si>
    <t>IL0011759342</t>
  </si>
  <si>
    <t>'אימאג'סט אינט</t>
  </si>
  <si>
    <t>512737560</t>
  </si>
  <si>
    <t>אימאג'סט</t>
  </si>
  <si>
    <t>IL0011838138</t>
  </si>
  <si>
    <t>(08)רב-בריח</t>
  </si>
  <si>
    <t>514160530</t>
  </si>
  <si>
    <t>רב בריח</t>
  </si>
  <si>
    <t>IL0011799934</t>
  </si>
  <si>
    <t>אלקו</t>
  </si>
  <si>
    <t>520025370</t>
  </si>
  <si>
    <t>IL0006940345</t>
  </si>
  <si>
    <t>לוינשטין נכסים</t>
  </si>
  <si>
    <t>511134298</t>
  </si>
  <si>
    <t>IL0011190803</t>
  </si>
  <si>
    <t>דניה סיבוס</t>
  </si>
  <si>
    <t>512569237</t>
  </si>
  <si>
    <t>IL0011731374</t>
  </si>
  <si>
    <t>מספנות ישראל</t>
  </si>
  <si>
    <t>516084753</t>
  </si>
  <si>
    <t>IL0011685331</t>
  </si>
  <si>
    <t>הולמס פלייס</t>
  </si>
  <si>
    <t>512466723</t>
  </si>
  <si>
    <t>IL0011425878</t>
  </si>
  <si>
    <t>סקופ</t>
  </si>
  <si>
    <t>520037425</t>
  </si>
  <si>
    <t>IL0002880198</t>
  </si>
  <si>
    <t>כרמל קורפ (כלל משקאות לשעבר)</t>
  </si>
  <si>
    <t>515818524</t>
  </si>
  <si>
    <t>IL0011476855</t>
  </si>
  <si>
    <t>יעקובי קבוצה</t>
  </si>
  <si>
    <t>514010081</t>
  </si>
  <si>
    <t>IL0011424210</t>
  </si>
  <si>
    <t>AMAZON-AMZN COM</t>
  </si>
  <si>
    <t>US0231351067</t>
  </si>
  <si>
    <t>ORACLE -ORCL</t>
  </si>
  <si>
    <t>US68389X1054</t>
  </si>
  <si>
    <t>NUTRIEN</t>
  </si>
  <si>
    <t>5045</t>
  </si>
  <si>
    <t>NUTRIEN - NTR</t>
  </si>
  <si>
    <t>CA67077M1086</t>
  </si>
  <si>
    <t>BARCLAYS</t>
  </si>
  <si>
    <t>520029281</t>
  </si>
  <si>
    <t>BARCLAYS PLC-BARC LN</t>
  </si>
  <si>
    <t>GB0031348658</t>
  </si>
  <si>
    <t>MICRON TECHNOLOGY</t>
  </si>
  <si>
    <t>5084</t>
  </si>
  <si>
    <t>MICRON TECH-INC</t>
  </si>
  <si>
    <t>US5951121038</t>
  </si>
  <si>
    <t>Qualcomm</t>
  </si>
  <si>
    <t>3035</t>
  </si>
  <si>
    <t>US7475251036</t>
  </si>
  <si>
    <t>Infineon Technologies</t>
  </si>
  <si>
    <t>5266</t>
  </si>
  <si>
    <t>DE0006231004</t>
  </si>
  <si>
    <t>BNP Paribas</t>
  </si>
  <si>
    <t>5361</t>
  </si>
  <si>
    <t>BNP PARIBAS</t>
  </si>
  <si>
    <t>FR0000131104</t>
  </si>
  <si>
    <t>CREDIT AGRICOLE</t>
  </si>
  <si>
    <t>5362</t>
  </si>
  <si>
    <t>FR0000045072</t>
  </si>
  <si>
    <t>MOWI</t>
  </si>
  <si>
    <t>5119</t>
  </si>
  <si>
    <t>MOWI ASA-MOWI NO</t>
  </si>
  <si>
    <t>NO0003054108</t>
  </si>
  <si>
    <t>TOTALENERGIES</t>
  </si>
  <si>
    <t>5365</t>
  </si>
  <si>
    <t>TOTALENERGIES SE</t>
  </si>
  <si>
    <t>FR0000120271</t>
  </si>
  <si>
    <t>SAMSUNG</t>
  </si>
  <si>
    <t>5093</t>
  </si>
  <si>
    <t>SMSN LI - SAMSUNG</t>
  </si>
  <si>
    <t>US7960508882</t>
  </si>
  <si>
    <t>KUBOTA</t>
  </si>
  <si>
    <t>5393</t>
  </si>
  <si>
    <t>KUBOTA CORP</t>
  </si>
  <si>
    <t>JP3266400005</t>
  </si>
  <si>
    <t>MAERSK</t>
  </si>
  <si>
    <t>5329</t>
  </si>
  <si>
    <t>AP MOLLER-MAERSK</t>
  </si>
  <si>
    <t>DK0010244508</t>
  </si>
  <si>
    <t>DKK</t>
  </si>
  <si>
    <t>EBAY INC</t>
  </si>
  <si>
    <t>US2786421030</t>
  </si>
  <si>
    <t>ZOOM</t>
  </si>
  <si>
    <t>5441</t>
  </si>
  <si>
    <t>ZOOM VIDEO COMMUNICATIONS</t>
  </si>
  <si>
    <t>US98980L1017</t>
  </si>
  <si>
    <t>KOMATSU</t>
  </si>
  <si>
    <t>5395</t>
  </si>
  <si>
    <t>JP3304200003</t>
  </si>
  <si>
    <t>Pennantpark Floating Rate</t>
  </si>
  <si>
    <t>5425</t>
  </si>
  <si>
    <t>PFLT-PENNANTPARK FLOATING RATE</t>
  </si>
  <si>
    <t>US70806A1060</t>
  </si>
  <si>
    <t>ELOXX PHARMACEUTICALS</t>
  </si>
  <si>
    <t>4962</t>
  </si>
  <si>
    <t>ELOXX PHARMACEUTICALS-ELO</t>
  </si>
  <si>
    <t>US29014R2022</t>
  </si>
  <si>
    <t>IL0010903156</t>
  </si>
  <si>
    <t>טיאסג'י</t>
  </si>
  <si>
    <t>512797440</t>
  </si>
  <si>
    <t>IL0012094772</t>
  </si>
  <si>
    <t>אימד אינפיניטי</t>
  </si>
  <si>
    <t>540299518</t>
  </si>
  <si>
    <t>אימד יהש</t>
  </si>
  <si>
    <t>IL0011712309</t>
  </si>
  <si>
    <t>REE</t>
  </si>
  <si>
    <t>514557339</t>
  </si>
  <si>
    <t>REE AUTOMOTIVE</t>
  </si>
  <si>
    <t>IL0011786154</t>
  </si>
  <si>
    <t>SEDG</t>
  </si>
  <si>
    <t>4744</t>
  </si>
  <si>
    <t>SOLAREDGE SEDG US</t>
  </si>
  <si>
    <t>US83417M1045</t>
  </si>
  <si>
    <t>NVIDIA</t>
  </si>
  <si>
    <t>4967</t>
  </si>
  <si>
    <t>NVIDIA CORP - NVDA</t>
  </si>
  <si>
    <t>US67066G1040</t>
  </si>
  <si>
    <t>WIX.COM</t>
  </si>
  <si>
    <t>2275</t>
  </si>
  <si>
    <t>WIX -  WIX.COM</t>
  </si>
  <si>
    <t>IL0011301780</t>
  </si>
  <si>
    <t>Arbe Robotics</t>
  </si>
  <si>
    <t>515333128</t>
  </si>
  <si>
    <t>ARBE ROBITICS</t>
  </si>
  <si>
    <t>IL0011796625</t>
  </si>
  <si>
    <t>ארקו קורפ</t>
  </si>
  <si>
    <t>3535148</t>
  </si>
  <si>
    <t>ARKO CORP</t>
  </si>
  <si>
    <t>US0412421085</t>
  </si>
  <si>
    <t>NIKE</t>
  </si>
  <si>
    <t>5209</t>
  </si>
  <si>
    <t>NKE - NIKE</t>
  </si>
  <si>
    <t>US6541061031</t>
  </si>
  <si>
    <t>365 המשביר</t>
  </si>
  <si>
    <t>513389270</t>
  </si>
  <si>
    <t>משביר לצרכן</t>
  </si>
  <si>
    <t>IL0011049595</t>
  </si>
  <si>
    <t>LION SANTANDER</t>
  </si>
  <si>
    <t>5350</t>
  </si>
  <si>
    <t>IBI LION SOCIMI (74242)</t>
  </si>
  <si>
    <t>ES0105633004</t>
  </si>
  <si>
    <t>RTS IBI LION זכויות בגין נייר 32024606</t>
  </si>
  <si>
    <t>ES0605633959</t>
  </si>
  <si>
    <t>הבורסה לניע בתא</t>
  </si>
  <si>
    <t>520020033</t>
  </si>
  <si>
    <t>IL0011590291</t>
  </si>
  <si>
    <t>פיבי</t>
  </si>
  <si>
    <t>520029026</t>
  </si>
  <si>
    <t>IL0007630119</t>
  </si>
  <si>
    <t>איידיאיי ביטוח</t>
  </si>
  <si>
    <t>513910703</t>
  </si>
  <si>
    <t>IL0011295016</t>
  </si>
  <si>
    <t>סלע נדל"ן</t>
  </si>
  <si>
    <t>IL0011096448</t>
  </si>
  <si>
    <t>IL0007150118</t>
  </si>
  <si>
    <t>IL0003280133</t>
  </si>
  <si>
    <t>IL0011035065</t>
  </si>
  <si>
    <t>מיטרוניקס</t>
  </si>
  <si>
    <t>511527202</t>
  </si>
  <si>
    <t>IL0010910656</t>
  </si>
  <si>
    <t>מג'יק</t>
  </si>
  <si>
    <t>520036740</t>
  </si>
  <si>
    <t>מגיק</t>
  </si>
  <si>
    <t>IL0010823123</t>
  </si>
  <si>
    <t>אלמדה ונצ'רס</t>
  </si>
  <si>
    <t>540296795</t>
  </si>
  <si>
    <t>אלמדה יהש</t>
  </si>
  <si>
    <t>IL0011689622</t>
  </si>
  <si>
    <t>ADO PROPERTIES</t>
  </si>
  <si>
    <t>5160</t>
  </si>
  <si>
    <t>LU1250154413</t>
  </si>
  <si>
    <t>צילו בלו</t>
  </si>
  <si>
    <t>IL0011025322</t>
  </si>
  <si>
    <t>ארד</t>
  </si>
  <si>
    <t>510007800</t>
  </si>
  <si>
    <t>IL0010916513</t>
  </si>
  <si>
    <t>אלומיי</t>
  </si>
  <si>
    <t>IL0010826357</t>
  </si>
  <si>
    <t>מבטח שמיר</t>
  </si>
  <si>
    <t>520034125</t>
  </si>
  <si>
    <t>IL0001270193</t>
  </si>
  <si>
    <t>IL0001360101</t>
  </si>
  <si>
    <t>דיפלומט</t>
  </si>
  <si>
    <t>510400740</t>
  </si>
  <si>
    <t>דיפלומט אחזקות</t>
  </si>
  <si>
    <t>IL0011734915</t>
  </si>
  <si>
    <t>נטו מלינדה</t>
  </si>
  <si>
    <t>511725459</t>
  </si>
  <si>
    <t>נטו מלינדה 1</t>
  </si>
  <si>
    <t>IL0011050973</t>
  </si>
  <si>
    <t>IL0006860147</t>
  </si>
  <si>
    <t>בזן</t>
  </si>
  <si>
    <t>IL0025902482</t>
  </si>
  <si>
    <t>IL0011405730</t>
  </si>
  <si>
    <t>פיסיבי טכנ</t>
  </si>
  <si>
    <t>511888356</t>
  </si>
  <si>
    <t>פיסיבי</t>
  </si>
  <si>
    <t>IL0010916851</t>
  </si>
  <si>
    <t>IL0011783342</t>
  </si>
  <si>
    <t>נובולוג</t>
  </si>
  <si>
    <t>510475312</t>
  </si>
  <si>
    <t>IL0011401515</t>
  </si>
  <si>
    <t>גלוברנדס גרופ</t>
  </si>
  <si>
    <t>515809499</t>
  </si>
  <si>
    <t>גלוברנדס</t>
  </si>
  <si>
    <t>IL0011474876</t>
  </si>
  <si>
    <t>IL0050101299</t>
  </si>
  <si>
    <t>ערד</t>
  </si>
  <si>
    <t>520025198</t>
  </si>
  <si>
    <t>IL0007310183</t>
  </si>
  <si>
    <t>מיחשוב ישיר קב</t>
  </si>
  <si>
    <t>520040007</t>
  </si>
  <si>
    <t>מחשוב ישיר</t>
  </si>
  <si>
    <t>IL0005070128</t>
  </si>
  <si>
    <t>גילת</t>
  </si>
  <si>
    <t>520038936</t>
  </si>
  <si>
    <t>IL0010825102</t>
  </si>
  <si>
    <t>אוברסיז</t>
  </si>
  <si>
    <t>510490071</t>
  </si>
  <si>
    <t>אוברסיז קומרס בע"מ</t>
  </si>
  <si>
    <t>IL0011396178</t>
  </si>
  <si>
    <t>סופוויב מדיקל</t>
  </si>
  <si>
    <t>515198158</t>
  </si>
  <si>
    <t>סופווייב מדיקל</t>
  </si>
  <si>
    <t>IL0011754392</t>
  </si>
  <si>
    <t>סופרגז</t>
  </si>
  <si>
    <t>IL0011669178</t>
  </si>
  <si>
    <t>ספאנטק</t>
  </si>
  <si>
    <t>512288713</t>
  </si>
  <si>
    <t>IL0010901176</t>
  </si>
  <si>
    <t>IL0011009573</t>
  </si>
  <si>
    <t>IL0011612640</t>
  </si>
  <si>
    <t>כפרית</t>
  </si>
  <si>
    <t>520038787</t>
  </si>
  <si>
    <t>IL0005220111</t>
  </si>
  <si>
    <t>קליל</t>
  </si>
  <si>
    <t>520032442</t>
  </si>
  <si>
    <t>קליל     5</t>
  </si>
  <si>
    <t>IL0007970358</t>
  </si>
  <si>
    <t>פינרג'י</t>
  </si>
  <si>
    <t>514354786</t>
  </si>
  <si>
    <t>IL0011723603</t>
  </si>
  <si>
    <t>ישרס אחזקות</t>
  </si>
  <si>
    <t>516632387</t>
  </si>
  <si>
    <t>IL0012029778</t>
  </si>
  <si>
    <t>אורביט</t>
  </si>
  <si>
    <t>520036153</t>
  </si>
  <si>
    <t>אורביט טכנולוג'יס</t>
  </si>
  <si>
    <t>IL0002650179</t>
  </si>
  <si>
    <t>רם און</t>
  </si>
  <si>
    <t>512776964</t>
  </si>
  <si>
    <t>IL0010909435</t>
  </si>
  <si>
    <t>רבל</t>
  </si>
  <si>
    <t>513506329</t>
  </si>
  <si>
    <t>IL0011038788</t>
  </si>
  <si>
    <t>IL0001260111</t>
  </si>
  <si>
    <t>גניגר</t>
  </si>
  <si>
    <t>512416991</t>
  </si>
  <si>
    <t>IL0010958929</t>
  </si>
  <si>
    <t>IL0003660136</t>
  </si>
  <si>
    <t>אפריקה נכסים</t>
  </si>
  <si>
    <t>IL0010913544</t>
  </si>
  <si>
    <t>קרור</t>
  </si>
  <si>
    <t>520001546</t>
  </si>
  <si>
    <t>קרור     1</t>
  </si>
  <si>
    <t>IL0006210111</t>
  </si>
  <si>
    <t>פלסאנמור</t>
  </si>
  <si>
    <t>515139129</t>
  </si>
  <si>
    <t>IL0011767006</t>
  </si>
  <si>
    <t>נאייקס</t>
  </si>
  <si>
    <t>513639013</t>
  </si>
  <si>
    <t>IL0011751166</t>
  </si>
  <si>
    <t>IL0011669749</t>
  </si>
  <si>
    <t>מלם תים</t>
  </si>
  <si>
    <t>520034620</t>
  </si>
  <si>
    <t>IL0001560189</t>
  </si>
  <si>
    <t>ניסן</t>
  </si>
  <si>
    <t>520040940</t>
  </si>
  <si>
    <t>IL0006600196</t>
  </si>
  <si>
    <t>גלאסבוקס</t>
  </si>
  <si>
    <t>514525260</t>
  </si>
  <si>
    <t>IL0011762882</t>
  </si>
  <si>
    <t>ג'נסל</t>
  </si>
  <si>
    <t>514579887</t>
  </si>
  <si>
    <t>IL0011696890</t>
  </si>
  <si>
    <t>גולן פלסטיק</t>
  </si>
  <si>
    <t>513029975</t>
  </si>
  <si>
    <t>IL0010919335</t>
  </si>
  <si>
    <t>רפק</t>
  </si>
  <si>
    <t>520029505</t>
  </si>
  <si>
    <t>IL0007690261</t>
  </si>
  <si>
    <t>קפיטל פוינט</t>
  </si>
  <si>
    <t>512950320</t>
  </si>
  <si>
    <t>IL0010971468</t>
  </si>
  <si>
    <t>הייקון מערכות</t>
  </si>
  <si>
    <t>514347160</t>
  </si>
  <si>
    <t>IL0011699456</t>
  </si>
  <si>
    <t>איירטאצ'</t>
  </si>
  <si>
    <t>515509347</t>
  </si>
  <si>
    <t>איירטאצ</t>
  </si>
  <si>
    <t>IL0011733768</t>
  </si>
  <si>
    <t>AROUNDTOWN PROP-ALATP</t>
  </si>
  <si>
    <t>LU1673108939</t>
  </si>
  <si>
    <t>KORNIT</t>
  </si>
  <si>
    <t>1564</t>
  </si>
  <si>
    <t>KORNIT DIGITAL-KRNT</t>
  </si>
  <si>
    <t>IL0011216723</t>
  </si>
  <si>
    <t>ZIM</t>
  </si>
  <si>
    <t>5295</t>
  </si>
  <si>
    <t>ZIM INTEGRATED</t>
  </si>
  <si>
    <t>IL0065100930</t>
  </si>
  <si>
    <t>IFF</t>
  </si>
  <si>
    <t>5262</t>
  </si>
  <si>
    <t>INTL FLAVORS &amp; FRAGRANCES</t>
  </si>
  <si>
    <t>US4595061015</t>
  </si>
  <si>
    <t>INMODEMD</t>
  </si>
  <si>
    <t>5297</t>
  </si>
  <si>
    <t>INMODE</t>
  </si>
  <si>
    <t>IL0011595993</t>
  </si>
  <si>
    <t>RADWARE</t>
  </si>
  <si>
    <t>2159</t>
  </si>
  <si>
    <t>RADWARE LTD</t>
  </si>
  <si>
    <t>IL0010834765</t>
  </si>
  <si>
    <t>פריגו</t>
  </si>
  <si>
    <t>529592</t>
  </si>
  <si>
    <t>PERRIGO CO PLC-PRGO</t>
  </si>
  <si>
    <t>IE00BGH1M568</t>
  </si>
  <si>
    <t>RADCOM</t>
  </si>
  <si>
    <t>2104</t>
  </si>
  <si>
    <t>RDCM-RADCOM LTD</t>
  </si>
  <si>
    <t>IL0010826688</t>
  </si>
  <si>
    <t>סיליקום</t>
  </si>
  <si>
    <t>520041120</t>
  </si>
  <si>
    <t>SILICOM</t>
  </si>
  <si>
    <t>IL0010826928</t>
  </si>
  <si>
    <t>VIATRIS INC</t>
  </si>
  <si>
    <t>US92556V1061</t>
  </si>
  <si>
    <t>CESAR STONE</t>
  </si>
  <si>
    <t>2264</t>
  </si>
  <si>
    <t>CESAR STONE SDO</t>
  </si>
  <si>
    <t>IL0011259137</t>
  </si>
  <si>
    <t>IL0011413577</t>
  </si>
  <si>
    <t>IL0011787228</t>
  </si>
  <si>
    <t>NETFLIX</t>
  </si>
  <si>
    <t>5110</t>
  </si>
  <si>
    <t>US64110L1061</t>
  </si>
  <si>
    <t>BOOKING HOLDINGS-BKNG</t>
  </si>
  <si>
    <t>US09857L1089</t>
  </si>
  <si>
    <t>Progressive Corporation</t>
  </si>
  <si>
    <t>PROGRESSIVE CORP</t>
  </si>
  <si>
    <t>US7433151039</t>
  </si>
  <si>
    <t>Eaton Corporation</t>
  </si>
  <si>
    <t>5440</t>
  </si>
  <si>
    <t>IE00B8KQN827</t>
  </si>
  <si>
    <t>Pulte Group</t>
  </si>
  <si>
    <t>5439</t>
  </si>
  <si>
    <t>PULTE GROUP</t>
  </si>
  <si>
    <t>US7458671010</t>
  </si>
  <si>
    <t>Mercadolibre</t>
  </si>
  <si>
    <t>5432</t>
  </si>
  <si>
    <t>US58733R1023</t>
  </si>
  <si>
    <t>HCA  Healthcare</t>
  </si>
  <si>
    <t>US40412C1018</t>
  </si>
  <si>
    <t>Shell</t>
  </si>
  <si>
    <t>5367</t>
  </si>
  <si>
    <t>Shell PLC ADR</t>
  </si>
  <si>
    <t>US7802593050</t>
  </si>
  <si>
    <t>SANOFI AVENTIS</t>
  </si>
  <si>
    <t>5311</t>
  </si>
  <si>
    <t>SNY - SANOFI AVENTIS</t>
  </si>
  <si>
    <t>US80105N1054</t>
  </si>
  <si>
    <t>Philip Morris</t>
  </si>
  <si>
    <t>5054</t>
  </si>
  <si>
    <t>Philip Morris International</t>
  </si>
  <si>
    <t>US7181721090</t>
  </si>
  <si>
    <t>HOWMET AEROSPACE</t>
  </si>
  <si>
    <t>3200</t>
  </si>
  <si>
    <t>US4432011082</t>
  </si>
  <si>
    <t>THE BANK OF NEW YORK</t>
  </si>
  <si>
    <t>BANK OF NEW YORK</t>
  </si>
  <si>
    <t>US0640581007</t>
  </si>
  <si>
    <t>ASTRAZENECA</t>
  </si>
  <si>
    <t>5238</t>
  </si>
  <si>
    <t>ASTRAZENECA PLC</t>
  </si>
  <si>
    <t>US0463531089</t>
  </si>
  <si>
    <t>Broadcom</t>
  </si>
  <si>
    <t>5428</t>
  </si>
  <si>
    <t>BROADCOM LTD</t>
  </si>
  <si>
    <t>US11135F1012</t>
  </si>
  <si>
    <t>HILTON WORLDWID</t>
  </si>
  <si>
    <t>5129</t>
  </si>
  <si>
    <t>US43300A2033</t>
  </si>
  <si>
    <t>CAMTEK</t>
  </si>
  <si>
    <t>GILAT SATELLITE</t>
  </si>
  <si>
    <t>NOVA MEASURING</t>
  </si>
  <si>
    <t>רבוע נדלן</t>
  </si>
  <si>
    <t>IL0010985658</t>
  </si>
  <si>
    <t>ESTEE LAUDER</t>
  </si>
  <si>
    <t>US5184391044</t>
  </si>
  <si>
    <t>TEVA PHARMA</t>
  </si>
  <si>
    <t>US8816242098</t>
  </si>
  <si>
    <t>V - VISA INC-CLASS</t>
  </si>
  <si>
    <t>US92826C8394</t>
  </si>
  <si>
    <t>VANGURUARD</t>
  </si>
  <si>
    <t>4922</t>
  </si>
  <si>
    <t>VOO US_VANGUARD S&amp;P 500</t>
  </si>
  <si>
    <t>US9229083632</t>
  </si>
  <si>
    <t>Invesco Capital Management LLC</t>
  </si>
  <si>
    <t>1290</t>
  </si>
  <si>
    <t>QQQ - Nasdaq 100</t>
  </si>
  <si>
    <t>US46090E1038</t>
  </si>
  <si>
    <t>STATE STREET-SPDRS</t>
  </si>
  <si>
    <t>4640</t>
  </si>
  <si>
    <t>SPY - S&amp;P 500</t>
  </si>
  <si>
    <t>US78462F1030</t>
  </si>
  <si>
    <t>SOURCE</t>
  </si>
  <si>
    <t>4585</t>
  </si>
  <si>
    <t>SPXS LN -  S&amp;P 500</t>
  </si>
  <si>
    <t>IE00B3YCGJ38</t>
  </si>
  <si>
    <t>מגדל קרנות נאמנ</t>
  </si>
  <si>
    <t>511303661</t>
  </si>
  <si>
    <t>MTF סל (4A) ת"א 125</t>
  </si>
  <si>
    <t>IL0011502833</t>
  </si>
  <si>
    <t>קסם קרנות נאמנו</t>
  </si>
  <si>
    <t>510938608</t>
  </si>
  <si>
    <t>קסם S&amp;P 500 (4A) ETF מנוטרלת</t>
  </si>
  <si>
    <t>IL0011466047</t>
  </si>
  <si>
    <t>MTF סל (SP500 (4A מנוטרלת מט"ח</t>
  </si>
  <si>
    <t>IL0011505729</t>
  </si>
  <si>
    <t>איביאי ק.נאמנות</t>
  </si>
  <si>
    <t>513765339</t>
  </si>
  <si>
    <t>פסגות ETF ת"א 125</t>
  </si>
  <si>
    <t>IL0011488082</t>
  </si>
  <si>
    <t>מגדל S&amp;P (4D) MTF</t>
  </si>
  <si>
    <t>IL0011503336</t>
  </si>
  <si>
    <t>מיטב קרנות נאמנ</t>
  </si>
  <si>
    <t>513534974</t>
  </si>
  <si>
    <t>תכלית סל (4A) ת"א 125</t>
  </si>
  <si>
    <t>IL0011437188</t>
  </si>
  <si>
    <t>הראל קרנות מדד</t>
  </si>
  <si>
    <t>511776783</t>
  </si>
  <si>
    <t>הראל S&amp;P500</t>
  </si>
  <si>
    <t>IL0011490203</t>
  </si>
  <si>
    <t>הראל S&amp;P500 מנוטרל</t>
  </si>
  <si>
    <t>IL0011491375</t>
  </si>
  <si>
    <t>קסם ETF ת"א 125</t>
  </si>
  <si>
    <t>IL0011463564</t>
  </si>
  <si>
    <t>תכלית סל S&amp;P 500 מנוטרלת מט"ח</t>
  </si>
  <si>
    <t>IL0011438178</t>
  </si>
  <si>
    <t>תכלית סל 600 4STOXX</t>
  </si>
  <si>
    <t>IL0011447245</t>
  </si>
  <si>
    <t>קסם תל בונד 60</t>
  </si>
  <si>
    <t>IL0011462327</t>
  </si>
  <si>
    <t>הראל סל תל בונד 60</t>
  </si>
  <si>
    <t>IL0011504730</t>
  </si>
  <si>
    <t>תכלית S&amp;P500</t>
  </si>
  <si>
    <t>IL0011443855</t>
  </si>
  <si>
    <t>הראל סל (A4) ת"א 125</t>
  </si>
  <si>
    <t>IL0011488991</t>
  </si>
  <si>
    <t>קסם S&amp;P500</t>
  </si>
  <si>
    <t>IL0011464711</t>
  </si>
  <si>
    <t>פסגות סל תל בונד 60 סדרה 3</t>
  </si>
  <si>
    <t>IL0011480063</t>
  </si>
  <si>
    <t>פסגות S&amp;P500</t>
  </si>
  <si>
    <t>IL0011481624</t>
  </si>
  <si>
    <t>הראל DAX 30 מנוטרל</t>
  </si>
  <si>
    <t>IL0011491607</t>
  </si>
  <si>
    <t>הראל NASDAQ100</t>
  </si>
  <si>
    <t>IL0011490385</t>
  </si>
  <si>
    <t>קסם ETF תל בונד שקלי 50</t>
  </si>
  <si>
    <t>IL0011507626</t>
  </si>
  <si>
    <t>תכלית סל (A4) ת"א 35</t>
  </si>
  <si>
    <t>IL0011437006</t>
  </si>
  <si>
    <t>הראל סל (DAX30 (4D</t>
  </si>
  <si>
    <t>IL0011490534</t>
  </si>
  <si>
    <t>תכלית סל (4A)י NASDAQ 100 מנוטרלת מט"ח</t>
  </si>
  <si>
    <t>IL0011437345</t>
  </si>
  <si>
    <t>קסם Russell 2000 (4A) ETF מנוטרלת מט"ח</t>
  </si>
  <si>
    <t>IL0011467292</t>
  </si>
  <si>
    <t>הראל סל (00) תל בונד שקלי</t>
  </si>
  <si>
    <t>IL0011505232</t>
  </si>
  <si>
    <t>תכלית סל (00) תל בונד 60</t>
  </si>
  <si>
    <t>IL0011451015</t>
  </si>
  <si>
    <t>קסם ETF ת"א 90</t>
  </si>
  <si>
    <t>IL0011463317</t>
  </si>
  <si>
    <t>תכלית תל בונד שקלי סד.2</t>
  </si>
  <si>
    <t>IL0011451841</t>
  </si>
  <si>
    <t>תכלית STOXX600 מנוטרל</t>
  </si>
  <si>
    <t>IL0011438335</t>
  </si>
  <si>
    <t>MTF סל Nasdaq 100 (4A) מנוטרלת מט"ח</t>
  </si>
  <si>
    <t>IL0011814451</t>
  </si>
  <si>
    <t>קסם תל בונד שקלי</t>
  </si>
  <si>
    <t>IL0011464141</t>
  </si>
  <si>
    <t>מור קרנות נאמנ</t>
  </si>
  <si>
    <t>514884485</t>
  </si>
  <si>
    <t>מור סל S&amp;P 500 מנוטרלת מט"ח</t>
  </si>
  <si>
    <t>IL0011658288</t>
  </si>
  <si>
    <t>MTF סל (STOXX Europe 600 (4A שקלי</t>
  </si>
  <si>
    <t>IL0011506149</t>
  </si>
  <si>
    <t>הראל סל NASDAQ 100 מנוטרלת מט"ח</t>
  </si>
  <si>
    <t>IL0011491037</t>
  </si>
  <si>
    <t>MTF סל תל בונד 60</t>
  </si>
  <si>
    <t>IL0011499964</t>
  </si>
  <si>
    <t>MTF סל NIKKEI 225 מנוטרלת מט"ח</t>
  </si>
  <si>
    <t>IL0011505315</t>
  </si>
  <si>
    <t>הראל סל (A4) ת"א 35</t>
  </si>
  <si>
    <t>IL0011489072</t>
  </si>
  <si>
    <t>קסם STOXX Europe 600 (4D) ETF</t>
  </si>
  <si>
    <t>IL0011462087</t>
  </si>
  <si>
    <t>קסם NDX100(4A)ETF מנוטרלת מט"ח</t>
  </si>
  <si>
    <t>IL0011466120</t>
  </si>
  <si>
    <t>MSCI AC Far East EX Japan (4D) ETF</t>
  </si>
  <si>
    <t>IL0011458382</t>
  </si>
  <si>
    <t>תכלית DAX30 מנוטרל</t>
  </si>
  <si>
    <t>IL0011438251</t>
  </si>
  <si>
    <t>MTF סל (Nasdaq 100 (4D</t>
  </si>
  <si>
    <t>IL0011813875</t>
  </si>
  <si>
    <t>תכלית סל (A4) ת"א 90</t>
  </si>
  <si>
    <t>IL0011437832</t>
  </si>
  <si>
    <t>MTF סל (RUSSELL 2000 (4A מנוטרלת מט"ח</t>
  </si>
  <si>
    <t>IL0011505497</t>
  </si>
  <si>
    <t>מור סל NASDAQ 100 מנוטרלת מט"ח</t>
  </si>
  <si>
    <t>IL0011658445</t>
  </si>
  <si>
    <t>קסם STOX600 מנוטרל</t>
  </si>
  <si>
    <t>IL0011461824</t>
  </si>
  <si>
    <t>פסגות DAX 30 מנוטרל</t>
  </si>
  <si>
    <t>IL0011498305</t>
  </si>
  <si>
    <t>מור סל (4D) S&amp;P500</t>
  </si>
  <si>
    <t>IL0011658106</t>
  </si>
  <si>
    <t>תכלית סל (00) תל בונד שקלי 50</t>
  </si>
  <si>
    <t>IL0011693335</t>
  </si>
  <si>
    <t>הראל סל (00) תל בונד צמודות בנקים</t>
  </si>
  <si>
    <t>IL0011907768</t>
  </si>
  <si>
    <t>מור סל (4A) ת"א-125</t>
  </si>
  <si>
    <t>IL0011961534</t>
  </si>
  <si>
    <t>קסם.תלבונד ש A</t>
  </si>
  <si>
    <t>IL0011936551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</si>
  <si>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</si>
  <si>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</si>
  <si>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</si>
  <si>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</si>
  <si>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</si>
  <si>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</si>
  <si>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MTF סל (4A) ת"א 90</t>
  </si>
  <si>
    <t>IL0011502593</t>
  </si>
  <si>
    <t>הראל סל (00) תל בונד 20</t>
  </si>
  <si>
    <t>IL0011504409</t>
  </si>
  <si>
    <t>אינבסקו אינבס</t>
  </si>
  <si>
    <t>2355</t>
  </si>
  <si>
    <t>INVESCO S&amp;P 500 UCITS ETF</t>
  </si>
  <si>
    <t>ISHARES</t>
  </si>
  <si>
    <t>4601</t>
  </si>
  <si>
    <t>DAXEX  GY - DAX</t>
  </si>
  <si>
    <t>DE0005933931</t>
  </si>
  <si>
    <t>IWM - RUSSELL 2000</t>
  </si>
  <si>
    <t>US4642876555</t>
  </si>
  <si>
    <t>Guggenheim Funds</t>
  </si>
  <si>
    <t>4205</t>
  </si>
  <si>
    <t>RSP-S&amp;P 500 EQUAL WEI</t>
  </si>
  <si>
    <t>US46137V3574</t>
  </si>
  <si>
    <t>ISHARES MSCI EMR</t>
  </si>
  <si>
    <t>US46434G7640</t>
  </si>
  <si>
    <t>Invesco Management S.A</t>
  </si>
  <si>
    <t>5224</t>
  </si>
  <si>
    <t>Invesco NASDAQ 100 ETF</t>
  </si>
  <si>
    <t>US46138G6492</t>
  </si>
  <si>
    <t>קסם DAX 30 ETF</t>
  </si>
  <si>
    <t>IL0011465130</t>
  </si>
  <si>
    <t>הראל סל STOXX Europe 60</t>
  </si>
  <si>
    <t>IL0011498719</t>
  </si>
  <si>
    <t>תכלית סל (4A)י NIKKEI 225 מנוטרלת מט"ח</t>
  </si>
  <si>
    <t>IL0011444689</t>
  </si>
  <si>
    <t>BlackRock</t>
  </si>
  <si>
    <t>2235</t>
  </si>
  <si>
    <t>SOXX - SEMICONDUCTOR</t>
  </si>
  <si>
    <t>US4642875235</t>
  </si>
  <si>
    <t>HEALTH CARE XLV</t>
  </si>
  <si>
    <t>us81369y2090</t>
  </si>
  <si>
    <t>AAXJ-ISHARES  ASIA</t>
  </si>
  <si>
    <t>US4642881829</t>
  </si>
  <si>
    <t>VCSH-VANGUARD S/T corp bond ETF</t>
  </si>
  <si>
    <t>US92206C4096</t>
  </si>
  <si>
    <t>MCHI CHINA INDEX</t>
  </si>
  <si>
    <t>US46429B6719</t>
  </si>
  <si>
    <t>XLP - CONSUMER STAPLES</t>
  </si>
  <si>
    <t>US81369Y3080</t>
  </si>
  <si>
    <t>XTRACKERS</t>
  </si>
  <si>
    <t>5246</t>
  </si>
  <si>
    <t>XTRACKERS HARVEST CSI 300 CHINA</t>
  </si>
  <si>
    <t>US2330518794</t>
  </si>
  <si>
    <t>ISHARES HYG IBOXX</t>
  </si>
  <si>
    <t>US4642885135</t>
  </si>
  <si>
    <t>קסם ETFי (00) תל בונד-צמודות A</t>
  </si>
  <si>
    <t>IL0011763203</t>
  </si>
  <si>
    <t>קסם S&amp;P US Treasury Bond 1-3 (0D) ETF</t>
  </si>
  <si>
    <t>IL0011579088</t>
  </si>
  <si>
    <t>MTF סל (STOXX Europe 600 (4D</t>
  </si>
  <si>
    <t>IL0011502262</t>
  </si>
  <si>
    <t>הראל סל (4A) ת"א 90</t>
  </si>
  <si>
    <t>IL0011489312</t>
  </si>
  <si>
    <t>מגדל MTF DAX30 מנוטרל</t>
  </si>
  <si>
    <t>IL0011504169</t>
  </si>
  <si>
    <t>תכלית סל (4D) ‏‏EURO STOXX 50</t>
  </si>
  <si>
    <t>IL0011444275</t>
  </si>
  <si>
    <t>Invesco Russell 2000 UCITS ETF</t>
  </si>
  <si>
    <t>IE00B60SX402</t>
  </si>
  <si>
    <t>ISHARES NASDAQ 100</t>
  </si>
  <si>
    <t>IE00B53SZB19</t>
  </si>
  <si>
    <t>XLE - Energy Select</t>
  </si>
  <si>
    <t>us81369y5069</t>
  </si>
  <si>
    <t>LYXOR</t>
  </si>
  <si>
    <t>4617</t>
  </si>
  <si>
    <t>Lyxor STOXX Europe 600 Banks UCITS ETF</t>
  </si>
  <si>
    <t>LU1834983477</t>
  </si>
  <si>
    <t>GLOBAL X</t>
  </si>
  <si>
    <t>5099</t>
  </si>
  <si>
    <t>GLOBAL X COPPER</t>
  </si>
  <si>
    <t>US37954Y8306</t>
  </si>
  <si>
    <t>VANECK VECTORS</t>
  </si>
  <si>
    <t>4816</t>
  </si>
  <si>
    <t>SMH US-VANECK VECTORS</t>
  </si>
  <si>
    <t>US92189F6768</t>
  </si>
  <si>
    <t>קסם תל בונד 20</t>
  </si>
  <si>
    <t>IL0011459604</t>
  </si>
  <si>
    <t>פסגות EFT' (00) תל בונד 40</t>
  </si>
  <si>
    <t>IL0011479743</t>
  </si>
  <si>
    <t>תכלית סל (00) תל בונד 20</t>
  </si>
  <si>
    <t>IL0011437915</t>
  </si>
  <si>
    <t>סל (00) תל בונד 20 MTF</t>
  </si>
  <si>
    <t>IL0011499881</t>
  </si>
  <si>
    <t>תכלית סל (00) תל בונד 40</t>
  </si>
  <si>
    <t>IL0011450934</t>
  </si>
  <si>
    <t>סל (00) צמודות מדד ממשלתיות 2-5 MTF</t>
  </si>
  <si>
    <t>IL0011500100</t>
  </si>
  <si>
    <t>קסם ETF (00) צ.מדד ממשל 2-5</t>
  </si>
  <si>
    <t>IL0011461584</t>
  </si>
  <si>
    <t>תכלית סל (00) צמודות מדד ממש 2-5</t>
  </si>
  <si>
    <t>IL0011450850</t>
  </si>
  <si>
    <t>מור סל (4A) ת"א 35</t>
  </si>
  <si>
    <t>IL0011943805</t>
  </si>
  <si>
    <t>קסם ETFי (00) - מק"מ</t>
  </si>
  <si>
    <t>IL0011462731</t>
  </si>
  <si>
    <t>תכלית סל (00) מק"מ</t>
  </si>
  <si>
    <t>IL0011446338</t>
  </si>
  <si>
    <t>קסם ETF ת"א 35 (A4)</t>
  </si>
  <si>
    <t>IL0011465700</t>
  </si>
  <si>
    <t>ISHARES S&amp;P 500</t>
  </si>
  <si>
    <t>US4642872000</t>
  </si>
  <si>
    <t>ISHARES MSCI INDA US</t>
  </si>
  <si>
    <t>US46429B5984</t>
  </si>
  <si>
    <t>ISHARES LQD US IBOXX</t>
  </si>
  <si>
    <t>US4642872422</t>
  </si>
  <si>
    <t>אי.בי.אי. סל (4A)י 500 S&amp;P מנוטרלת מט"ח</t>
  </si>
  <si>
    <t>IL0012004359</t>
  </si>
  <si>
    <t>FTSE CHINA 50 (D4) ETF קסם</t>
  </si>
  <si>
    <t>IL0011465213</t>
  </si>
  <si>
    <t>Indxx China Internet (4D) ETF קסם</t>
  </si>
  <si>
    <t>IL0011708448</t>
  </si>
  <si>
    <t>ISHARE JAPAN EWJ</t>
  </si>
  <si>
    <t>US46434G8226</t>
  </si>
  <si>
    <t>MTF סל (US Analyst Recommendations (4D</t>
  </si>
  <si>
    <t>IL0012056573</t>
  </si>
  <si>
    <t>iShares SDIG USD Short Duration ETF</t>
  </si>
  <si>
    <t>IE00BCRY5Y77</t>
  </si>
  <si>
    <t>ISHARES S&amp;P TEC</t>
  </si>
  <si>
    <t>us4642875151</t>
  </si>
  <si>
    <t>קסם ETF ת"א בנקים</t>
  </si>
  <si>
    <t>IL0011464307</t>
  </si>
  <si>
    <t>iShares MSCI World ETF</t>
  </si>
  <si>
    <t>US4642863926</t>
  </si>
  <si>
    <t>קסם 4A) ETF) ת"א SME60</t>
  </si>
  <si>
    <t>IL0011465395</t>
  </si>
  <si>
    <t>iShares 7-10 Year Treasury Bond ETF</t>
  </si>
  <si>
    <t>US4642874402</t>
  </si>
  <si>
    <t>iShares EURO STOXX 50 UCITS ETF</t>
  </si>
  <si>
    <t>DE0005933956</t>
  </si>
  <si>
    <t>FXI - CHINA 50</t>
  </si>
  <si>
    <t>US4642871846</t>
  </si>
  <si>
    <t>קסם תל בונד מאגר</t>
  </si>
  <si>
    <t>IL0011470817</t>
  </si>
  <si>
    <t>LYXOR ETF S&amp;P 500</t>
  </si>
  <si>
    <t>LU1135865084</t>
  </si>
  <si>
    <t>AMUNDI</t>
  </si>
  <si>
    <t>5100</t>
  </si>
  <si>
    <t>AMUNDI S&amp;P500 USITS</t>
  </si>
  <si>
    <t>LU1681049018</t>
  </si>
  <si>
    <t>BNP P S&amp;P500 USITS</t>
  </si>
  <si>
    <t>FR0011550177</t>
  </si>
  <si>
    <t>RUSSEL 2000 (4D) MTF מגדל</t>
  </si>
  <si>
    <t>IL0011502429</t>
  </si>
  <si>
    <t>הראל דאו-ג'ונס 30</t>
  </si>
  <si>
    <t>IL0011492282</t>
  </si>
  <si>
    <t>תכלית RUSSL 2000</t>
  </si>
  <si>
    <t>IL0011444846</t>
  </si>
  <si>
    <t>תכלית 100 NASDAQ NDX</t>
  </si>
  <si>
    <t>IL0011444010</t>
  </si>
  <si>
    <t>MEUD FP</t>
  </si>
  <si>
    <t>LU0908500753</t>
  </si>
  <si>
    <t>ISHARES CORE MSCI EM</t>
  </si>
  <si>
    <t>IE00BKM4GZ66</t>
  </si>
  <si>
    <t>XLF - Financial Select</t>
  </si>
  <si>
    <t>US81369Y6059</t>
  </si>
  <si>
    <t>SSGA FUNDS MANAGEMENT</t>
  </si>
  <si>
    <t>970</t>
  </si>
  <si>
    <t>XBI-SPDR  BIOTEC</t>
  </si>
  <si>
    <t>US78464A8707</t>
  </si>
  <si>
    <t>תכלית תל בונד מאגר</t>
  </si>
  <si>
    <t>IL0011440133</t>
  </si>
  <si>
    <t>MTF סל (4A) ת"א 35</t>
  </si>
  <si>
    <t>IL0011501843</t>
  </si>
  <si>
    <t>קסם בונד צמוד בנקים</t>
  </si>
  <si>
    <t>IL0011462814</t>
  </si>
  <si>
    <t>מור סל (00) תל בונד 60</t>
  </si>
  <si>
    <t>IL0011953044</t>
  </si>
  <si>
    <t>הראל סל (00) תל בונד שקלי 50</t>
  </si>
  <si>
    <t>IL0011507139</t>
  </si>
  <si>
    <t>SP HEALTHCAR (4D) הראל סל</t>
  </si>
  <si>
    <t>IL0011498487</t>
  </si>
  <si>
    <t>קסם NASDAQ100</t>
  </si>
  <si>
    <t>IL0011465056</t>
  </si>
  <si>
    <t>MTF סל (4A) כשרה ת"א-125</t>
  </si>
  <si>
    <t>IL0011597148</t>
  </si>
  <si>
    <t>קסם S&amp;P WIDEMOATUS (4D) ETF</t>
  </si>
  <si>
    <t>IL0011470320</t>
  </si>
  <si>
    <t>MTF סל (00) תל בונד שקלי</t>
  </si>
  <si>
    <t>IL0011500027</t>
  </si>
  <si>
    <t>iShares Core S&amp;P 500</t>
  </si>
  <si>
    <t>IE00B5BMR087</t>
  </si>
  <si>
    <t>Xtrackers S&amp;P 500 Equal Weight UCITS ETF</t>
  </si>
  <si>
    <t>IE00BLNMYC90</t>
  </si>
  <si>
    <t>CHARELS SCHWAB</t>
  </si>
  <si>
    <t>5130</t>
  </si>
  <si>
    <t>Schwab US Dividend Equity ETF</t>
  </si>
  <si>
    <t>US8085247976</t>
  </si>
  <si>
    <t>Global X 1-3 Month T-Bill ETF</t>
  </si>
  <si>
    <t>US37960A4388</t>
  </si>
  <si>
    <t>DIA - Dow Jones</t>
  </si>
  <si>
    <t>US78467X1090</t>
  </si>
  <si>
    <t>קסם KTF (A4) 500 S&amp;P מנוטרלת מט"ח</t>
  </si>
  <si>
    <t>IL0051229578</t>
  </si>
  <si>
    <t>מנוטרלת מט"ח (A4) מחקה S&amp;P 500 MTF</t>
  </si>
  <si>
    <t>IL0051258692</t>
  </si>
  <si>
    <t>הראל מחקה (A4)י S&amp;P 500 - מנוטרלת מט"ח</t>
  </si>
  <si>
    <t>IL0051275274</t>
  </si>
  <si>
    <t>S&amp;P 500 (4D) מחקה MTF</t>
  </si>
  <si>
    <t>5122627</t>
  </si>
  <si>
    <t>תכלית TTF (A4) S&amp;P 500 מנוטרלת מט"ח</t>
  </si>
  <si>
    <t>5123161</t>
  </si>
  <si>
    <t>הראל מחקה (4D)י500 S&amp;P</t>
  </si>
  <si>
    <t>5129275</t>
  </si>
  <si>
    <t>MTF מחקה (Nasdaq 100 (4A מנוטרלת מט"ח</t>
  </si>
  <si>
    <t>IL0051345499</t>
  </si>
  <si>
    <t>KOTAK</t>
  </si>
  <si>
    <t>4735</t>
  </si>
  <si>
    <t>KOTAK FUNDS-IND-KOTIMAU</t>
  </si>
  <si>
    <t>LU0675383409</t>
  </si>
  <si>
    <t>INDIA  ACORN ICAV</t>
  </si>
  <si>
    <t>5223</t>
  </si>
  <si>
    <t>ASHOKA INDIA OPPORTUNITIES</t>
  </si>
  <si>
    <t>IE00BH3N4915</t>
  </si>
  <si>
    <t>UTI</t>
  </si>
  <si>
    <t>5199</t>
  </si>
  <si>
    <t>UTI INDIAN DYN Equity fund</t>
  </si>
  <si>
    <t>IE00BYPC7R45</t>
  </si>
  <si>
    <t>Nomura Asset Management</t>
  </si>
  <si>
    <t>5382</t>
  </si>
  <si>
    <t>Nomura Funds Ireland - India Equity</t>
  </si>
  <si>
    <t>IE00B3SHFF36</t>
  </si>
  <si>
    <t>Columbia Threadneedle Investments</t>
  </si>
  <si>
    <t>5413</t>
  </si>
  <si>
    <t>CT (Lux) - Global Technology Class IU</t>
  </si>
  <si>
    <t>LU0444972805</t>
  </si>
  <si>
    <t>Comgest</t>
  </si>
  <si>
    <t>4886</t>
  </si>
  <si>
    <t>COMGEST GROWTH EUROPE- EUR</t>
  </si>
  <si>
    <t>IE00B5WN3467</t>
  </si>
  <si>
    <t>Liontrust  Asset  Management</t>
  </si>
  <si>
    <t>5358</t>
  </si>
  <si>
    <t>LIONTRUST EUROP</t>
  </si>
  <si>
    <t>GB00BKPQVT86</t>
  </si>
  <si>
    <t>Funds Avenue</t>
  </si>
  <si>
    <t>5414</t>
  </si>
  <si>
    <t>BlueBox Global Technology</t>
  </si>
  <si>
    <t>LU2249763561</t>
  </si>
  <si>
    <t>TRIGON Asset Management</t>
  </si>
  <si>
    <t>5187</t>
  </si>
  <si>
    <t>TRICLAE LX Equity FUND</t>
  </si>
  <si>
    <t>LU1687402393</t>
  </si>
  <si>
    <t>HBMN Healthcare Investment AG</t>
  </si>
  <si>
    <t>4863</t>
  </si>
  <si>
    <t>CH0012627250</t>
  </si>
  <si>
    <t>Edmond de Rothschild  Asset  Management</t>
  </si>
  <si>
    <t>5397</t>
  </si>
  <si>
    <t>VisionFund Japan Equity</t>
  </si>
  <si>
    <t>LU2407273668</t>
  </si>
  <si>
    <t>HEPTAGON CAPITAL</t>
  </si>
  <si>
    <t>5189</t>
  </si>
  <si>
    <t>HEPTAGON-FUTURE Equity fund</t>
  </si>
  <si>
    <t>IE00BYWKMJ85</t>
  </si>
  <si>
    <t>FundRock</t>
  </si>
  <si>
    <t>5394</t>
  </si>
  <si>
    <t>ARCUS JAPAN JPY</t>
  </si>
  <si>
    <t>LU0243544235</t>
  </si>
  <si>
    <t>Invesco US Senior Loan</t>
  </si>
  <si>
    <t>LU0564079282</t>
  </si>
  <si>
    <t>SCHRODERS INTERNATIONAL</t>
  </si>
  <si>
    <t>5105</t>
  </si>
  <si>
    <t>Schroders Securitised Credit</t>
  </si>
  <si>
    <t>LU1662754826</t>
  </si>
  <si>
    <t>Nomura US High Yield Bond</t>
  </si>
  <si>
    <t>IE00B3RW8498</t>
  </si>
  <si>
    <t>PIMCO</t>
  </si>
  <si>
    <t>5198</t>
  </si>
  <si>
    <t>PIMCO GIS Income Fund</t>
  </si>
  <si>
    <t>IE00B87KCF77</t>
  </si>
  <si>
    <t>INVESCO EURO SENIOR LOANS</t>
  </si>
  <si>
    <t>LU0769027474</t>
  </si>
  <si>
    <t>ROBECO</t>
  </si>
  <si>
    <t>5410</t>
  </si>
  <si>
    <t>Robeco Global Credits Short Maturity fund</t>
  </si>
  <si>
    <t>LU2080583474</t>
  </si>
  <si>
    <t>PIMCO GIS Capital Securities Fund</t>
  </si>
  <si>
    <t>IE00B6VH4D24</t>
  </si>
  <si>
    <t>Hauck &amp; Aufhauser Fund Services</t>
  </si>
  <si>
    <t>5420</t>
  </si>
  <si>
    <t>STORM FUND II</t>
  </si>
  <si>
    <t>LU0840159387</t>
  </si>
  <si>
    <t>PIMCO EURO HIGH YIELD BOND FUND</t>
  </si>
  <si>
    <t>IE00BK9YL094</t>
  </si>
  <si>
    <t>SCHRODERS EMERGING MARKETS GOV BONDS</t>
  </si>
  <si>
    <t>LU2405335378</t>
  </si>
  <si>
    <t>MTF מחקה (Bloomberg  (4A</t>
  </si>
  <si>
    <t>IL0051351083</t>
  </si>
  <si>
    <t>איביאי טכ עילית</t>
  </si>
  <si>
    <t>510791031</t>
  </si>
  <si>
    <t>איביאי טכנולוגיה עלית</t>
  </si>
  <si>
    <t>IL0011425381</t>
  </si>
  <si>
    <t>Kotak India Midcap</t>
  </si>
  <si>
    <t>LU2126068639</t>
  </si>
  <si>
    <t>Aditya Birla Sun Life Asset Management</t>
  </si>
  <si>
    <t>5355</t>
  </si>
  <si>
    <t>INDIA  FRONTLINE</t>
  </si>
  <si>
    <t>IE00BJ8RGN06</t>
  </si>
  <si>
    <t>Janus Henderson Horzion</t>
  </si>
  <si>
    <t>5412</t>
  </si>
  <si>
    <t>JAN HND HRZN BIOTECH</t>
  </si>
  <si>
    <t>LU1897414568</t>
  </si>
  <si>
    <t>אלומיי אופציה 2 05/01/2028</t>
  </si>
  <si>
    <t>IL0012030826</t>
  </si>
  <si>
    <t>טראקנט</t>
  </si>
  <si>
    <t>515446474</t>
  </si>
  <si>
    <t>טראקנט אופציה 1 02/03/25</t>
  </si>
  <si>
    <t>IL0011741019</t>
  </si>
  <si>
    <t>1174093</t>
  </si>
  <si>
    <t>בית בכפר אופציה 1 30/01/25</t>
  </si>
  <si>
    <t>IL0011836645</t>
  </si>
  <si>
    <t>30/01/2025</t>
  </si>
  <si>
    <t>זוז פאוור</t>
  </si>
  <si>
    <t>514881564</t>
  </si>
  <si>
    <t>זוז פאוור אפ 3 20.03.25</t>
  </si>
  <si>
    <t>IL0011853210</t>
  </si>
  <si>
    <t>1174184</t>
  </si>
  <si>
    <t>20/03/2025</t>
  </si>
  <si>
    <t>שמיים אימפרוב</t>
  </si>
  <si>
    <t>515181014</t>
  </si>
  <si>
    <t>שמיים  אפ_1 01/06/2025</t>
  </si>
  <si>
    <t>IL0011762478</t>
  </si>
  <si>
    <t>1176239</t>
  </si>
  <si>
    <t>01/06/2025</t>
  </si>
  <si>
    <t>פיימנט</t>
  </si>
  <si>
    <t>515166544</t>
  </si>
  <si>
    <t>פיימנט אופציה 1 15/10/24</t>
  </si>
  <si>
    <t>IL0011808842</t>
  </si>
  <si>
    <t>1180876</t>
  </si>
  <si>
    <t>קונטיניואל</t>
  </si>
  <si>
    <t>514949973</t>
  </si>
  <si>
    <t>קונטיניואל אפ 1 12/12/24</t>
  </si>
  <si>
    <t>IL0011822785</t>
  </si>
  <si>
    <t>1182260</t>
  </si>
  <si>
    <t>קיסטון אינ אפ 2 11/02/26</t>
  </si>
  <si>
    <t>IL0012039918</t>
  </si>
  <si>
    <t>11/02/2026</t>
  </si>
  <si>
    <t>סקודיקס</t>
  </si>
  <si>
    <t>513973297</t>
  </si>
  <si>
    <t>סקודיקס אופצייה 1 30/01/25</t>
  </si>
  <si>
    <t>IL0011785081</t>
  </si>
  <si>
    <t>1178490</t>
  </si>
  <si>
    <t>סיפיה וויז'ן</t>
  </si>
  <si>
    <t>513476010</t>
  </si>
  <si>
    <t>סיפיה אופציה 1 18/11/24</t>
  </si>
  <si>
    <t>IL0011820052</t>
  </si>
  <si>
    <t>1181932</t>
  </si>
  <si>
    <t>18/11/2024</t>
  </si>
  <si>
    <t>מניבים ריט אפ 4 07/12/25</t>
  </si>
  <si>
    <t>IL0011993222</t>
  </si>
  <si>
    <t>07/12/2025</t>
  </si>
  <si>
    <t>אלומה אופציה 01/11/26</t>
  </si>
  <si>
    <t>IL0011909251</t>
  </si>
  <si>
    <t>1181643</t>
  </si>
  <si>
    <t>אלומיי  אפ 1 15/10/24</t>
  </si>
  <si>
    <t>IL0011693251</t>
  </si>
  <si>
    <t>ESZ4 CALL 6000 20/12/24</t>
  </si>
  <si>
    <t>BBG013CZMB39</t>
  </si>
  <si>
    <t>20/12/2024</t>
  </si>
  <si>
    <t>ESZ4 CALL 5400 20/12/24</t>
  </si>
  <si>
    <t>BBG011F29NC2</t>
  </si>
  <si>
    <t>PUT 2000 24/10/2024</t>
  </si>
  <si>
    <t>IL0851083225</t>
  </si>
  <si>
    <t>24/10/2024</t>
  </si>
  <si>
    <t>META US 25/10/24 P550</t>
  </si>
  <si>
    <t>BBG01PLL7MG0</t>
  </si>
  <si>
    <t>25/10/2024</t>
  </si>
  <si>
    <t>ULRTA 10 YEAR US - UXYZ4 - 19/12/24</t>
  </si>
  <si>
    <t>BBG01LYNGYG5</t>
  </si>
  <si>
    <t>FUT VAL USD - רוו"ה מחוזים</t>
  </si>
  <si>
    <t>415349</t>
  </si>
  <si>
    <t>S&amp;P500 E-MINI - ESZ4 - 20/12/24</t>
  </si>
  <si>
    <t>BBG011BQCND8</t>
  </si>
  <si>
    <t>MINI NASDAQ100 - NQZ4 - 20/12/24</t>
  </si>
  <si>
    <t>BBG017PGMHHV4</t>
  </si>
  <si>
    <t>US TREASURY 2 YEAR-TUZ4 -31/12/24</t>
  </si>
  <si>
    <t>BBG01M5KZ7Z8</t>
  </si>
  <si>
    <t>רוו"ה מחוזים- FUT VAL JPY HSBC</t>
  </si>
  <si>
    <t>333716</t>
  </si>
  <si>
    <t>STOXX 600- SXOZ4- 20/12/24</t>
  </si>
  <si>
    <t>DE000C6XKB77</t>
  </si>
  <si>
    <t>NIKKEI 225 - NHZ4- 12/12/24</t>
  </si>
  <si>
    <t>BBG00NBRGXX1</t>
  </si>
  <si>
    <t>FUT VAL EUR HSBC - רוו"ה מחוזים</t>
  </si>
  <si>
    <t>333740</t>
  </si>
  <si>
    <t>USD HSBC OPT - שווי הוגן אופציות</t>
  </si>
  <si>
    <t>336966</t>
  </si>
  <si>
    <t>WHEAT W Z4 13/12/2024</t>
  </si>
  <si>
    <t>BBG018PVVLL1</t>
  </si>
  <si>
    <t>SOYBEAN- S X4- 14/11/24</t>
  </si>
  <si>
    <t>BBG00Y3MQFM7</t>
  </si>
  <si>
    <t>CORN- C Z4-13/12/24</t>
  </si>
  <si>
    <t>BBG00YFT20X6</t>
  </si>
  <si>
    <t>SUGAR - SBV5 - 30/09/25</t>
  </si>
  <si>
    <t>BBG01B9MFZV8</t>
  </si>
  <si>
    <t>COTTON FUTURE - CTZ5- 08/12/2025</t>
  </si>
  <si>
    <t>BBG01C6NL9J2</t>
  </si>
  <si>
    <t>COTTON FUTURE - CTK5 - 07/05/2025</t>
  </si>
  <si>
    <t>BBG017WSTJJ3</t>
  </si>
  <si>
    <t>COFFEE -KCZ5 -18/12/25</t>
  </si>
  <si>
    <t>BBG01C6NL9S2</t>
  </si>
  <si>
    <t>COFFEE -KCN5 -21/07/25</t>
  </si>
  <si>
    <t>BBG0190XQ757</t>
  </si>
  <si>
    <t>US TREASURY NOTE 5 YEAR-FVZ4 -31/12/24</t>
  </si>
  <si>
    <t>BBG01M5KZM12</t>
  </si>
  <si>
    <t>DAX - DFWZ4- 20/12/2024</t>
  </si>
  <si>
    <t>DE000C6LWM82</t>
  </si>
  <si>
    <t>E-Mini RUSS 2000 - RTYZ4- 20/12/2024</t>
  </si>
  <si>
    <t>BBG01J93QCN1</t>
  </si>
  <si>
    <t>FTSE 100 - Z Z4 - 20/12/2024</t>
  </si>
  <si>
    <t>GB00KKY7ZY67</t>
  </si>
  <si>
    <t>FUT VAL GBP HSB - רוו"ה מחוזים</t>
  </si>
  <si>
    <t>333732</t>
  </si>
  <si>
    <t>DJIA MINI E - DMZ4- 20/12/2024</t>
  </si>
  <si>
    <t>BBG01KJ7X966</t>
  </si>
  <si>
    <t>WNZ4 -US 30YR - 19/12/2024</t>
  </si>
  <si>
    <t>BBG01LYNGRQ9</t>
  </si>
  <si>
    <t>EURO STOXX 50 - VGZ4- 20/12/24</t>
  </si>
  <si>
    <t>DE000C6XKBY2</t>
  </si>
  <si>
    <t>ASX SPI 200 -XPZ4 - 19/12/24</t>
  </si>
  <si>
    <t>BBG01H0ZT8J4</t>
  </si>
  <si>
    <t>DAX - GXZ4- 20/12/2024</t>
  </si>
  <si>
    <t>DE000C6LWLY1</t>
  </si>
  <si>
    <t>HANG SENG INDEX -HIV4- 30/10/24</t>
  </si>
  <si>
    <t>BBG01NKB4TD9</t>
  </si>
  <si>
    <t>FUT VAL HKD HSB - רוו"ה מחוזים</t>
  </si>
  <si>
    <t>333724</t>
  </si>
  <si>
    <t>FUT VAL AUD HSBC-רוו"ה מחוזים</t>
  </si>
  <si>
    <t>333773</t>
  </si>
  <si>
    <t>אג"ח ט' מדד 29\17</t>
  </si>
  <si>
    <t>391729</t>
  </si>
  <si>
    <t>26/07/2017</t>
  </si>
  <si>
    <t>26/07/2029</t>
  </si>
  <si>
    <t>אג"ח ט' מדד 20/32</t>
  </si>
  <si>
    <t>392032</t>
  </si>
  <si>
    <t>26/07/2020</t>
  </si>
  <si>
    <t>26/07/2032</t>
  </si>
  <si>
    <t>אג"ח ט' מדד 21/33</t>
  </si>
  <si>
    <t>392133</t>
  </si>
  <si>
    <t>26/07/2021</t>
  </si>
  <si>
    <t>26/07/2033</t>
  </si>
  <si>
    <t>אג"ח ט' מדד 31\19</t>
  </si>
  <si>
    <t>391931</t>
  </si>
  <si>
    <t>11/06/2020</t>
  </si>
  <si>
    <t>26/07/2031</t>
  </si>
  <si>
    <t>אג"ח ט' מדד 30\18</t>
  </si>
  <si>
    <t>391830</t>
  </si>
  <si>
    <t>26/07/2018</t>
  </si>
  <si>
    <t>27/07/2030</t>
  </si>
  <si>
    <t>אג"ח ט' מדד 22/34</t>
  </si>
  <si>
    <t>392234</t>
  </si>
  <si>
    <t>26/07/2022</t>
  </si>
  <si>
    <t>26/07/2034</t>
  </si>
  <si>
    <t>אג"ח ט' מדד 28\16</t>
  </si>
  <si>
    <t>391628</t>
  </si>
  <si>
    <t>26/07/2016</t>
  </si>
  <si>
    <t>26/07/2028</t>
  </si>
  <si>
    <t>אג"ח ט' מדד 27\15</t>
  </si>
  <si>
    <t>391527</t>
  </si>
  <si>
    <t>24/07/2015</t>
  </si>
  <si>
    <t>24/07/2027</t>
  </si>
  <si>
    <t>אג"ח ט' מדד 23/35</t>
  </si>
  <si>
    <t>392335</t>
  </si>
  <si>
    <t>10/06/2024</t>
  </si>
  <si>
    <t>26/07/2035</t>
  </si>
  <si>
    <t>אג"ח ט' 23/35 - פרמיה</t>
  </si>
  <si>
    <t>3923351</t>
  </si>
  <si>
    <t>אג"ח ט' מדד 30\18 -פרמיה</t>
  </si>
  <si>
    <t>3918301</t>
  </si>
  <si>
    <t>אג"ח ט' מדד 29\17 הפרשה 6.18</t>
  </si>
  <si>
    <t>3917292</t>
  </si>
  <si>
    <t>13/06/2018</t>
  </si>
  <si>
    <t>אג"ח ט' מדד 22/34-פרמיה</t>
  </si>
  <si>
    <t>3922341</t>
  </si>
  <si>
    <t>אג"ח ט' 20/32 - פרמיה</t>
  </si>
  <si>
    <t>3920321</t>
  </si>
  <si>
    <t>אג"ח ט' מדד 29\17 הפרשה</t>
  </si>
  <si>
    <t>3917291</t>
  </si>
  <si>
    <t>אג"ח ט' מדד 31\19 פרמיה</t>
  </si>
  <si>
    <t>3919311</t>
  </si>
  <si>
    <t>אג"ח ט' 20/32 - פרמיה 6.21</t>
  </si>
  <si>
    <t>3920322</t>
  </si>
  <si>
    <t>15/06/2021</t>
  </si>
  <si>
    <t>אג"ח ט' 21/33 - פרמיה</t>
  </si>
  <si>
    <t>3921331</t>
  </si>
  <si>
    <t>אלביט מע נעמ1-לא סחיר</t>
  </si>
  <si>
    <t>1199157</t>
  </si>
  <si>
    <t>31/08/2023</t>
  </si>
  <si>
    <t>04/08/2028</t>
  </si>
  <si>
    <t>מרווח הוגן</t>
  </si>
  <si>
    <t>30/09/2024</t>
  </si>
  <si>
    <t>אלביט מע נעמ2-לא סחיר</t>
  </si>
  <si>
    <t>1211119</t>
  </si>
  <si>
    <t>11/09/2024</t>
  </si>
  <si>
    <t>15/08/2029</t>
  </si>
  <si>
    <t>מימון משכנתאות</t>
  </si>
  <si>
    <t>516100153</t>
  </si>
  <si>
    <t>מימון משכ אגא-רמ</t>
  </si>
  <si>
    <t>IL0012088188</t>
  </si>
  <si>
    <t>15/07/2024</t>
  </si>
  <si>
    <t>גב-ים נגב</t>
  </si>
  <si>
    <t>514189596</t>
  </si>
  <si>
    <t>גב-ים נגב אג ב-רמ</t>
  </si>
  <si>
    <t>IL0012084534</t>
  </si>
  <si>
    <t>11/07/2024</t>
  </si>
  <si>
    <t>רפאל</t>
  </si>
  <si>
    <t>520042185</t>
  </si>
  <si>
    <t>רפאל  אג4מ</t>
  </si>
  <si>
    <t>IL0011402844</t>
  </si>
  <si>
    <t>04/05/2021</t>
  </si>
  <si>
    <t>15/09/2034</t>
  </si>
  <si>
    <t>תשתיות אנרגיה</t>
  </si>
  <si>
    <t>520027293</t>
  </si>
  <si>
    <t>תשת אנרג אגא-רמ</t>
  </si>
  <si>
    <t>IL0011680878</t>
  </si>
  <si>
    <t>17/08/2020</t>
  </si>
  <si>
    <t>31/12/2040</t>
  </si>
  <si>
    <t>רפאל   אג5מ</t>
  </si>
  <si>
    <t>IL0011402927</t>
  </si>
  <si>
    <t>רפאל אג3מ</t>
  </si>
  <si>
    <t>IL0011402760</t>
  </si>
  <si>
    <t>לידר השקעות</t>
  </si>
  <si>
    <t>520037664</t>
  </si>
  <si>
    <t>לידר  אגח ח- רמ</t>
  </si>
  <si>
    <t>IL0031803617</t>
  </si>
  <si>
    <t>28/02/2021</t>
  </si>
  <si>
    <t>15/02/2028</t>
  </si>
  <si>
    <t>עלמדב</t>
  </si>
  <si>
    <t>2624970</t>
  </si>
  <si>
    <t>עלמדב  אגח ג-רמ</t>
  </si>
  <si>
    <t>IL0012118878</t>
  </si>
  <si>
    <t>כלל תעשיות</t>
  </si>
  <si>
    <t>520021874</t>
  </si>
  <si>
    <t>כלל תעש אג טז-רמ</t>
  </si>
  <si>
    <t>IL0060802381</t>
  </si>
  <si>
    <t>13/03/2024</t>
  </si>
  <si>
    <t>מת"ם</t>
  </si>
  <si>
    <t>510687403</t>
  </si>
  <si>
    <t>מת"ם  אגח א -רמ</t>
  </si>
  <si>
    <t>IL0011389991</t>
  </si>
  <si>
    <t>04/03/2024</t>
  </si>
  <si>
    <t>עוגן</t>
  </si>
  <si>
    <t>516556545</t>
  </si>
  <si>
    <t>עוגן אגח א - רמ</t>
  </si>
  <si>
    <t>IL0011968315</t>
  </si>
  <si>
    <t>18/06/2023</t>
  </si>
  <si>
    <t>אורמת אגח 4 - רמ</t>
  </si>
  <si>
    <t>IL0011672123</t>
  </si>
  <si>
    <t>01/07/2020</t>
  </si>
  <si>
    <t>15/06/2031</t>
  </si>
  <si>
    <t>ביטוח ישיר</t>
  </si>
  <si>
    <t>520044439</t>
  </si>
  <si>
    <t>ביטוח ישיר אגח 11 רמ</t>
  </si>
  <si>
    <t>IL0011388258</t>
  </si>
  <si>
    <t>27/04/2020</t>
  </si>
  <si>
    <t>י.ח.ק להשקעות</t>
  </si>
  <si>
    <t>550016091</t>
  </si>
  <si>
    <t>י.ח.ק אגח ב -רמ</t>
  </si>
  <si>
    <t>IL0011817835</t>
  </si>
  <si>
    <t>15/11/2021</t>
  </si>
  <si>
    <t>ביט ישיראגיב-רמ</t>
  </si>
  <si>
    <t>IL0012102443</t>
  </si>
  <si>
    <t>14/08/2024</t>
  </si>
  <si>
    <t>גב-ים נגב אג"ח-רמ</t>
  </si>
  <si>
    <t>IL0011511412</t>
  </si>
  <si>
    <t>30/07/2018</t>
  </si>
  <si>
    <t>18/08/2016</t>
  </si>
  <si>
    <t>אליהו הנפקות</t>
  </si>
  <si>
    <t>515703528</t>
  </si>
  <si>
    <t>אליהו הנפקות אג"ח א'-רמ</t>
  </si>
  <si>
    <t>IL0011420093</t>
  </si>
  <si>
    <t>27/09/2017</t>
  </si>
  <si>
    <t>18/09/2025</t>
  </si>
  <si>
    <t>24/07/2016</t>
  </si>
  <si>
    <t>24/09/2017</t>
  </si>
  <si>
    <t>אגד</t>
  </si>
  <si>
    <t>516041118</t>
  </si>
  <si>
    <t>אגד אגח 1-רמ</t>
  </si>
  <si>
    <t>IL0011987877</t>
  </si>
  <si>
    <t>16/08/2023</t>
  </si>
  <si>
    <t>29/12/2019</t>
  </si>
  <si>
    <t>גדות מסופים כימ</t>
  </si>
  <si>
    <t>520040775</t>
  </si>
  <si>
    <t>גדות מסף אגא-רמ</t>
  </si>
  <si>
    <t>IL0011623209</t>
  </si>
  <si>
    <t>14/01/2020</t>
  </si>
  <si>
    <t>פיקדון בנק לאומי 6.6% -24/01/27</t>
  </si>
  <si>
    <t>200035059</t>
  </si>
  <si>
    <t>25/12/2002</t>
  </si>
  <si>
    <t>דיידלנד</t>
  </si>
  <si>
    <t>4130</t>
  </si>
  <si>
    <t>דיידלנד א 8% (הסדר חוב)</t>
  </si>
  <si>
    <t>1104835</t>
  </si>
  <si>
    <t>10/06/2007</t>
  </si>
  <si>
    <t>30/06/2015</t>
  </si>
  <si>
    <t>אנטר הולדינגס 1</t>
  </si>
  <si>
    <t>985</t>
  </si>
  <si>
    <t>אנטר הולד אגח ב (הסדר חוב)</t>
  </si>
  <si>
    <t>4740163</t>
  </si>
  <si>
    <t>06/06/2007</t>
  </si>
  <si>
    <t>31/08/2014</t>
  </si>
  <si>
    <t>אנטר הולדינגס אג"ח 1 (הסדר חוב)</t>
  </si>
  <si>
    <t>4740130</t>
  </si>
  <si>
    <t>29/11/2006</t>
  </si>
  <si>
    <t>31/07/2012</t>
  </si>
  <si>
    <t>אנטר הולדינגס אגחא 09\7 (הסדר חוב)</t>
  </si>
  <si>
    <t>4740189</t>
  </si>
  <si>
    <t>קאר אנד גו</t>
  </si>
  <si>
    <t>513406835</t>
  </si>
  <si>
    <t>קאר אנד גו(סדרה א')בע"מ (הסדר חוב)</t>
  </si>
  <si>
    <t>1088202</t>
  </si>
  <si>
    <t>10/08/2003</t>
  </si>
  <si>
    <t>10/12/2020</t>
  </si>
  <si>
    <t>מקורות אג"ח 8 22.04.13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</si>
  <si>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</si>
  <si>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</si>
  <si>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</si>
  <si>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</si>
  <si>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</si>
  <si>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</si>
  <si>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</si>
  <si>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</si>
  <si>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</si>
  <si>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</si>
  <si>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31/12/2036</t>
  </si>
  <si>
    <t>אורבנקורפ</t>
  </si>
  <si>
    <t>514941525</t>
  </si>
  <si>
    <t>אורבנקורפ אגח א (הסדר חוב)</t>
  </si>
  <si>
    <t>1137041</t>
  </si>
  <si>
    <t>14/12/2015</t>
  </si>
  <si>
    <t>31/12/2019</t>
  </si>
  <si>
    <t>14/03/2016</t>
  </si>
  <si>
    <t>הוטלס אינווסט פרופרטיז</t>
  </si>
  <si>
    <t>74269</t>
  </si>
  <si>
    <t>26/06/2024</t>
  </si>
  <si>
    <t>הוטלס אינווסט פרופרטיז-מניות בכורה ג</t>
  </si>
  <si>
    <t>74265</t>
  </si>
  <si>
    <t>18/04/2024</t>
  </si>
  <si>
    <t>מלונות בראון</t>
  </si>
  <si>
    <t>513956938</t>
  </si>
  <si>
    <t>בראון  הוטלס</t>
  </si>
  <si>
    <t>74194</t>
  </si>
  <si>
    <t>15/12/2019</t>
  </si>
  <si>
    <t>29/08/2024</t>
  </si>
  <si>
    <t>31/03/2024</t>
  </si>
  <si>
    <t>הוטלס אינווסט פרופרטיז-מניות בכורה ב</t>
  </si>
  <si>
    <t>74267</t>
  </si>
  <si>
    <t>אימד יהש (איי.איי.אם) - שותף כללי</t>
  </si>
  <si>
    <t>74211</t>
  </si>
  <si>
    <t>12/01/2021</t>
  </si>
  <si>
    <t>16/02/2023</t>
  </si>
  <si>
    <t>14% חברות הנכס בראון גרמניה</t>
  </si>
  <si>
    <t>74195</t>
  </si>
  <si>
    <t>13/12/2022</t>
  </si>
  <si>
    <t>סינמה סיטי</t>
  </si>
  <si>
    <t>513910265</t>
  </si>
  <si>
    <t>סינמה סיטי-מניה-ל.סחיר</t>
  </si>
  <si>
    <t>66602</t>
  </si>
  <si>
    <t>05/10/2014</t>
  </si>
  <si>
    <t>17/03/2024</t>
  </si>
  <si>
    <t>וואן זירו הבנק הדיגיטלי</t>
  </si>
  <si>
    <t>515981728</t>
  </si>
  <si>
    <t>וואן זירו הבנק הדיגיטלי בע"מ</t>
  </si>
  <si>
    <t>74229</t>
  </si>
  <si>
    <t>05/01/2022</t>
  </si>
  <si>
    <t>22/11/2023</t>
  </si>
  <si>
    <t>טרה אמפריום אייץ (דאון טאון)</t>
  </si>
  <si>
    <t>514829126</t>
  </si>
  <si>
    <t>דאון טאון חיפה - משתתף</t>
  </si>
  <si>
    <t>74209</t>
  </si>
  <si>
    <t>19/01/2021</t>
  </si>
  <si>
    <t>ווליו אל.בי.אייצ. גדות משקיעים, שותפות מוגבלת</t>
  </si>
  <si>
    <t>540308624</t>
  </si>
  <si>
    <t>גדות למסופים כימיקלים</t>
  </si>
  <si>
    <t>74222</t>
  </si>
  <si>
    <t>26/08/2021</t>
  </si>
  <si>
    <t>02/09/2024</t>
  </si>
  <si>
    <t>קבוצת מיי טאון</t>
  </si>
  <si>
    <t>514444660</t>
  </si>
  <si>
    <t>96049</t>
  </si>
  <si>
    <t>28/04/2022</t>
  </si>
  <si>
    <t>11/08/2024</t>
  </si>
  <si>
    <t>סמארט שוטר</t>
  </si>
  <si>
    <t>514615590</t>
  </si>
  <si>
    <t>SMART SHOOTER LTD-מניה לא סחירה</t>
  </si>
  <si>
    <t>74213</t>
  </si>
  <si>
    <t>23/02/2021</t>
  </si>
  <si>
    <t>20/12/2023</t>
  </si>
  <si>
    <t>גדות נמל חיפה</t>
  </si>
  <si>
    <t>74245</t>
  </si>
  <si>
    <t>22/11/2022</t>
  </si>
  <si>
    <t>Metro</t>
  </si>
  <si>
    <t>5307</t>
  </si>
  <si>
    <t>74227</t>
  </si>
  <si>
    <t>04/11/2021</t>
  </si>
  <si>
    <t>בניין צרפת- LRC</t>
  </si>
  <si>
    <t>5162</t>
  </si>
  <si>
    <t>74191</t>
  </si>
  <si>
    <t>26/09/2019</t>
  </si>
  <si>
    <t>21/08/2024</t>
  </si>
  <si>
    <t>מור נדל"ן</t>
  </si>
  <si>
    <t>513842690</t>
  </si>
  <si>
    <t>מור נדל"ן בינלאומי בע"מ-חדש</t>
  </si>
  <si>
    <t>74164</t>
  </si>
  <si>
    <t>06/11/2011</t>
  </si>
  <si>
    <t>07/11/2019</t>
  </si>
  <si>
    <t>כלירמרק פאנד 4 שותף כללי בעמ</t>
  </si>
  <si>
    <t>513870998</t>
  </si>
  <si>
    <t>מור-Klirmark Opportunity Fund IV</t>
  </si>
  <si>
    <t>19/09/2024</t>
  </si>
  <si>
    <t>530278688</t>
  </si>
  <si>
    <t>קרן מור טק</t>
  </si>
  <si>
    <t>03/07/2024</t>
  </si>
  <si>
    <t>114123</t>
  </si>
  <si>
    <t>קרן Dover Street XI הרבור וסט</t>
  </si>
  <si>
    <t>THE PHOENIX ANCHOR FUND L.P.</t>
  </si>
  <si>
    <t>549300KDWQ6C8UGRDR74</t>
  </si>
  <si>
    <t>Phoenix  Anchor Fund (קרן עוגן)</t>
  </si>
  <si>
    <t>א.י קרן גשרים אשראי</t>
  </si>
  <si>
    <t>512848110</t>
  </si>
  <si>
    <t>קרן גשרים 2</t>
  </si>
  <si>
    <t>23/09/2024</t>
  </si>
  <si>
    <t>Klirmark Opportunity Fund IV</t>
  </si>
  <si>
    <t>הראל פיננסים אלטרנטיב בעמ</t>
  </si>
  <si>
    <t>894500KVJFIIXF5W8K50</t>
  </si>
  <si>
    <t>הראל המג"ן אירופה</t>
  </si>
  <si>
    <t>LU2280782710</t>
  </si>
  <si>
    <t>אי.בי.אי וולקנו החזקות בעמ</t>
  </si>
  <si>
    <t>516356516</t>
  </si>
  <si>
    <t>קרן מימון טווח קצר בארה"ב IBI VOLCANO</t>
  </si>
  <si>
    <t>KYG4691E1089</t>
  </si>
  <si>
    <t>1 אל מור אלטרנטיב קרדיט שותף כללי בעמ</t>
  </si>
  <si>
    <t>516194685</t>
  </si>
  <si>
    <t>1L-MORE ALTERNATIVE CREDIT FUND</t>
  </si>
  <si>
    <t>09/09/2024</t>
  </si>
  <si>
    <t>Phoenix Financial Technologies funds</t>
  </si>
  <si>
    <t>The Phoenix Real Estate Debt LP</t>
  </si>
  <si>
    <t>29/09/2024</t>
  </si>
  <si>
    <t>פסגות פי2פי -קיווי בעמ</t>
  </si>
  <si>
    <t>516714060</t>
  </si>
  <si>
    <t>פסגות קרן אשראי לעסקים קטנים בארה"ב KIWI</t>
  </si>
  <si>
    <t>01/09/2024</t>
  </si>
  <si>
    <t>אריון פאנד כסף קשה בעמ</t>
  </si>
  <si>
    <t>514867159</t>
  </si>
  <si>
    <t>אריון פאנד</t>
  </si>
  <si>
    <t>17/09/2024</t>
  </si>
  <si>
    <t>HUD FUNDS - GP GP LTD</t>
  </si>
  <si>
    <t>516380490</t>
  </si>
  <si>
    <t>HUD FUND</t>
  </si>
  <si>
    <t>5218</t>
  </si>
  <si>
    <t>FUSE 11 FUND</t>
  </si>
  <si>
    <t>אורות השקעות בעמ</t>
  </si>
  <si>
    <t>510972565</t>
  </si>
  <si>
    <t>IBI CCF קרן אשראי צרכני בארה"ב</t>
  </si>
  <si>
    <t>IBI CCF קרן אשראי צרכני בארה"ב חדש</t>
  </si>
  <si>
    <t>הליוס 5 מנהל</t>
  </si>
  <si>
    <t>516085487</t>
  </si>
  <si>
    <t>הליוס ביוקפיטל</t>
  </si>
  <si>
    <t>06/08/2024</t>
  </si>
  <si>
    <t>FLM LLC</t>
  </si>
  <si>
    <t>5419</t>
  </si>
  <si>
    <t>FUSE MIAMI POWERLINE</t>
  </si>
  <si>
    <t>01/08/2024</t>
  </si>
  <si>
    <t>FUSE MIAMI</t>
  </si>
  <si>
    <t>Electra UK Fund</t>
  </si>
  <si>
    <t>5435</t>
  </si>
  <si>
    <t>29/07/2024</t>
  </si>
  <si>
    <t>ג'יי.טי.אל.וי 2 (שותף כללי) שותפות מוגבלת</t>
  </si>
  <si>
    <t>540286267</t>
  </si>
  <si>
    <t>קרן 2 JTLV</t>
  </si>
  <si>
    <t>22/08/2024</t>
  </si>
  <si>
    <t>אלפא מים ניהול בעמ</t>
  </si>
  <si>
    <t>540286010</t>
  </si>
  <si>
    <t>IDE קרן אלפא 2</t>
  </si>
  <si>
    <t>PHOENIX INVESTMENT FUNDS LTD</t>
  </si>
  <si>
    <t>קרן הפניקס קו-אינווסט</t>
  </si>
  <si>
    <t>515676765</t>
  </si>
  <si>
    <t>IDE קרן אלפא 3</t>
  </si>
  <si>
    <t>אקסודוס ניהול ישראל בעמ</t>
  </si>
  <si>
    <t>514845957</t>
  </si>
  <si>
    <t>קרן ברוש</t>
  </si>
  <si>
    <t>10/09/2024</t>
  </si>
  <si>
    <t>FIRSTIME VENTURES 2 G.P. LTD</t>
  </si>
  <si>
    <t>515503894</t>
  </si>
  <si>
    <t>First Time 2 קרן</t>
  </si>
  <si>
    <t>04/09/2024</t>
  </si>
  <si>
    <t>ואר השקעות ג'י.פי. בעמ</t>
  </si>
  <si>
    <t>515549657</t>
  </si>
  <si>
    <t>קרן ואר</t>
  </si>
  <si>
    <t>12/08/2024</t>
  </si>
  <si>
    <t>Sphera Biotech GP  FUND</t>
  </si>
  <si>
    <t>514607050</t>
  </si>
  <si>
    <t>Sphera Biotech FUND</t>
  </si>
  <si>
    <t>05/09/2024</t>
  </si>
  <si>
    <t>5061</t>
  </si>
  <si>
    <t>SG VC 3 קרן</t>
  </si>
  <si>
    <t>Electra Multifamily Investments Fund 2, L.P</t>
  </si>
  <si>
    <t>5202</t>
  </si>
  <si>
    <t>אלקטרה נדל"ן (MF) קרן מספר 2</t>
  </si>
  <si>
    <t>515697605</t>
  </si>
  <si>
    <t>קרן הראל פיננסיים השקעות בנדל"ן</t>
  </si>
  <si>
    <t>5190</t>
  </si>
  <si>
    <t>קרן ויולה קרדיט ALF II  (שם קודם: קרן 6)</t>
  </si>
  <si>
    <t>5098</t>
  </si>
  <si>
    <t>ION CROSS OVER קרן</t>
  </si>
  <si>
    <t>Electra Multifamily Investments Fund 3, L.P</t>
  </si>
  <si>
    <t>5253</t>
  </si>
  <si>
    <t>אלקטרה נדל"ן (MF) קרן מספר 3</t>
  </si>
  <si>
    <t>PONTIFAX  MANAGEMENT 4 GP</t>
  </si>
  <si>
    <t>540287315</t>
  </si>
  <si>
    <t>קרן חוב פונטיפקס 4</t>
  </si>
  <si>
    <t>5134</t>
  </si>
  <si>
    <t>קרן דפנה</t>
  </si>
  <si>
    <t>06/02/2024</t>
  </si>
  <si>
    <t>READING CAPITAL LTD</t>
  </si>
  <si>
    <t>514796754</t>
  </si>
  <si>
    <t>רידינג קפיטל</t>
  </si>
  <si>
    <t>KYG740301265</t>
  </si>
  <si>
    <t>דן חברה לתחבורה ציבורית בעמ</t>
  </si>
  <si>
    <t>513183046</t>
  </si>
  <si>
    <t>דן תחבורה</t>
  </si>
  <si>
    <t>25/09/2024</t>
  </si>
  <si>
    <t>פימי 6 2016 בעמ</t>
  </si>
  <si>
    <t>515371482</t>
  </si>
  <si>
    <t>FIMI 6 קרן</t>
  </si>
  <si>
    <t>27/08/2024</t>
  </si>
  <si>
    <t>קרן 2 JTLV  אלעד מגורים</t>
  </si>
  <si>
    <t>03/09/2024</t>
  </si>
  <si>
    <t>קוגיטו קפיטל פאנד 2 שותף כללי בעמ</t>
  </si>
  <si>
    <t>550271332</t>
  </si>
  <si>
    <t>קרן קוגיטו 2</t>
  </si>
  <si>
    <t>ג.י. ביכורים שלוש</t>
  </si>
  <si>
    <t>516270063</t>
  </si>
  <si>
    <t>קרן להב 3</t>
  </si>
  <si>
    <t>540312675</t>
  </si>
  <si>
    <t>IBI EVO קרן מלונאות</t>
  </si>
  <si>
    <t>14/07/2024</t>
  </si>
  <si>
    <t>קרן ג'יי.טי.אל.וי.3 שותפות מוגבלת</t>
  </si>
  <si>
    <t>540333176</t>
  </si>
  <si>
    <t>קרן 3 JTLV</t>
  </si>
  <si>
    <t>קוגיטו קפיטל שותף כללי 2 בעמ</t>
  </si>
  <si>
    <t>קרן קוגיטו</t>
  </si>
  <si>
    <t>28/08/2024</t>
  </si>
  <si>
    <t>ורטקס ישראל אופורטיוניטי ג'י.פי, שותפות מוגבלת</t>
  </si>
  <si>
    <t>540283272</t>
  </si>
  <si>
    <t>ורטקס אופרטיוניטי 2</t>
  </si>
  <si>
    <t>טוטאל קפיטל אופורטיוניטי בעמ</t>
  </si>
  <si>
    <t>515692457</t>
  </si>
  <si>
    <t>קרן טוטאל - משתתף</t>
  </si>
  <si>
    <t>גיזה זינגר אבן ג'י פי מזנין בעמ</t>
  </si>
  <si>
    <t>516471406</t>
  </si>
  <si>
    <t>קרן גיזה הלוואות מורכבות</t>
  </si>
  <si>
    <t>ריאליטי מימון שותף כללי בעמ</t>
  </si>
  <si>
    <t>516374279</t>
  </si>
  <si>
    <t>קרן ריאלטי מימון</t>
  </si>
  <si>
    <t>FinTLV II GP LTD</t>
  </si>
  <si>
    <t>516300068</t>
  </si>
  <si>
    <t>קרן FinTLV 2</t>
  </si>
  <si>
    <t>שקד פרטנרס בעמ</t>
  </si>
  <si>
    <t>515459063</t>
  </si>
  <si>
    <t>קרן שקד</t>
  </si>
  <si>
    <t>הליוס גנרל 3 בעמ</t>
  </si>
  <si>
    <t>515257749</t>
  </si>
  <si>
    <t>קרן הליוס 4</t>
  </si>
  <si>
    <t>ג.י. ביכורים שתיים בעמ</t>
  </si>
  <si>
    <t>515277119</t>
  </si>
  <si>
    <t>קרן להב 2</t>
  </si>
  <si>
    <t>25/07/2024</t>
  </si>
  <si>
    <t>ג.י. ביכורים בעמ</t>
  </si>
  <si>
    <t>514835727</t>
  </si>
  <si>
    <t>קרן להב 1</t>
  </si>
  <si>
    <t>12/03/2024</t>
  </si>
  <si>
    <t>FIRSTIME VENTURES 3 G.P. LTD</t>
  </si>
  <si>
    <t>4941</t>
  </si>
  <si>
    <t>First Time 3</t>
  </si>
  <si>
    <t>1230</t>
  </si>
  <si>
    <t>AGATE Medical</t>
  </si>
  <si>
    <t>26/06/2023</t>
  </si>
  <si>
    <t>4738</t>
  </si>
  <si>
    <t>מיילסטון 4 MREI</t>
  </si>
  <si>
    <t>15/09/2024</t>
  </si>
  <si>
    <t>SG VC 4 קרן</t>
  </si>
  <si>
    <t>516548310</t>
  </si>
  <si>
    <t>Fattal European Partnership II</t>
  </si>
  <si>
    <t>NORDIC POWER 1, LIMITED PARTNERSHIP</t>
  </si>
  <si>
    <t>540300084</t>
  </si>
  <si>
    <t>LPA  Nordic Power</t>
  </si>
  <si>
    <t>03/12/2023</t>
  </si>
  <si>
    <t>5252</t>
  </si>
  <si>
    <t>קרן COLLER 8 (Phoenix Value CIP)</t>
  </si>
  <si>
    <t>26/09/2024</t>
  </si>
  <si>
    <t>Electra CAPITAL PM DEBT Fund, L.P</t>
  </si>
  <si>
    <t>5200</t>
  </si>
  <si>
    <t>אלקטרה נדל"ן קרן חוב</t>
  </si>
  <si>
    <t>מור קרן נדלן מלאגה בעמ</t>
  </si>
  <si>
    <t>540318524</t>
  </si>
  <si>
    <t>מור וויט מלאגה</t>
  </si>
  <si>
    <t>LCN Sterling GP</t>
  </si>
  <si>
    <t>5340</t>
  </si>
  <si>
    <t>LCN Sterling Fund SLP</t>
  </si>
  <si>
    <t>07/08/2024</t>
  </si>
  <si>
    <t>SG VC 5 קרן</t>
  </si>
  <si>
    <t>19/09/2022</t>
  </si>
  <si>
    <t>קרן ION CROSS OVER 2</t>
  </si>
  <si>
    <t>SG VC 6 קרן</t>
  </si>
  <si>
    <t>5359</t>
  </si>
  <si>
    <t>Starlight UK, LP</t>
  </si>
  <si>
    <t>5172</t>
  </si>
  <si>
    <t>קרן REVOLVER</t>
  </si>
  <si>
    <t>AGATE Medical  2</t>
  </si>
  <si>
    <t>29/06/2023</t>
  </si>
  <si>
    <t>פויינט-פארו השקעות בעמ</t>
  </si>
  <si>
    <t>514806298</t>
  </si>
  <si>
    <t>קרן פארו פוינט</t>
  </si>
  <si>
    <t>I AM CAPITAL</t>
  </si>
  <si>
    <t>5433</t>
  </si>
  <si>
    <t>קרן 3 I AM CAPITAL</t>
  </si>
  <si>
    <t>Electra Multifamily Investments Fund 4, L.P</t>
  </si>
  <si>
    <t>5354</t>
  </si>
  <si>
    <t>אלקטרה נדל"ן (MF) קרן מספר 4</t>
  </si>
  <si>
    <t>515251494</t>
  </si>
  <si>
    <t>קרן קרדיטו</t>
  </si>
  <si>
    <t>פרוטליקס</t>
  </si>
  <si>
    <t>1554</t>
  </si>
  <si>
    <t>Protalix  אופציה לא סחירה 18/03/2025</t>
  </si>
  <si>
    <t>3321711</t>
  </si>
  <si>
    <t>US74365A3095</t>
  </si>
  <si>
    <t>18/03/2025</t>
  </si>
  <si>
    <t>18/03/2020</t>
  </si>
  <si>
    <t>נופר אנרג'י- אופציה לא סחירה 01/01/25</t>
  </si>
  <si>
    <t>11708772</t>
  </si>
  <si>
    <t>03/01/2024</t>
  </si>
  <si>
    <t>שגריר- אופציה לא סחירה 08/06/25</t>
  </si>
  <si>
    <t>113837912</t>
  </si>
  <si>
    <t>27/06/2022</t>
  </si>
  <si>
    <t>SMART SHOOTER LTD אופציה לא סחירה 21/02/25</t>
  </si>
  <si>
    <t>742132</t>
  </si>
  <si>
    <t>21/02/2025</t>
  </si>
  <si>
    <t>26/04/2022</t>
  </si>
  <si>
    <t>153359</t>
  </si>
  <si>
    <t>GBPILS</t>
  </si>
  <si>
    <t>10/07/2024</t>
  </si>
  <si>
    <t>154830</t>
  </si>
  <si>
    <t>USDILS</t>
  </si>
  <si>
    <t>24/09/2024</t>
  </si>
  <si>
    <t>14/01/2025</t>
  </si>
  <si>
    <t>154816</t>
  </si>
  <si>
    <t>EURUSD</t>
  </si>
  <si>
    <t>19/11/2024</t>
  </si>
  <si>
    <t>154764</t>
  </si>
  <si>
    <t>EURILS</t>
  </si>
  <si>
    <t>08/10/2024</t>
  </si>
  <si>
    <t>154792</t>
  </si>
  <si>
    <t>USDJPY</t>
  </si>
  <si>
    <t>05/11/2024</t>
  </si>
  <si>
    <t>154781</t>
  </si>
  <si>
    <t>05/08/2024</t>
  </si>
  <si>
    <t>154824</t>
  </si>
  <si>
    <t>12/09/2024</t>
  </si>
  <si>
    <t>154823</t>
  </si>
  <si>
    <t>07/01/2025</t>
  </si>
  <si>
    <t>154786</t>
  </si>
  <si>
    <t>154806</t>
  </si>
  <si>
    <t>JPYILS</t>
  </si>
  <si>
    <t>26/08/2024</t>
  </si>
  <si>
    <t>154826</t>
  </si>
  <si>
    <t>154794</t>
  </si>
  <si>
    <t>12/11/2024</t>
  </si>
  <si>
    <t>154821</t>
  </si>
  <si>
    <t>154799</t>
  </si>
  <si>
    <t>19/08/2024</t>
  </si>
  <si>
    <t>154818</t>
  </si>
  <si>
    <t>10/12/2024</t>
  </si>
  <si>
    <t>154783</t>
  </si>
  <si>
    <t>154768</t>
  </si>
  <si>
    <t>23/07/2024</t>
  </si>
  <si>
    <t>154769</t>
  </si>
  <si>
    <t>24/07/2024</t>
  </si>
  <si>
    <t>154798</t>
  </si>
  <si>
    <t>16/08/2024</t>
  </si>
  <si>
    <t>154756</t>
  </si>
  <si>
    <t>154807</t>
  </si>
  <si>
    <t>154813</t>
  </si>
  <si>
    <t>154804</t>
  </si>
  <si>
    <t>154770</t>
  </si>
  <si>
    <t>154827</t>
  </si>
  <si>
    <t>154787</t>
  </si>
  <si>
    <t>154819</t>
  </si>
  <si>
    <t>154778</t>
  </si>
  <si>
    <t>30/07/2024</t>
  </si>
  <si>
    <t>154775</t>
  </si>
  <si>
    <t>154832</t>
  </si>
  <si>
    <t>154716</t>
  </si>
  <si>
    <t>04/06/2024</t>
  </si>
  <si>
    <t>154757</t>
  </si>
  <si>
    <t>154752</t>
  </si>
  <si>
    <t>154715</t>
  </si>
  <si>
    <t>154714</t>
  </si>
  <si>
    <t>154737</t>
  </si>
  <si>
    <t>24/06/2024</t>
  </si>
  <si>
    <t>154741</t>
  </si>
  <si>
    <t>27/06/2024</t>
  </si>
  <si>
    <t>154713</t>
  </si>
  <si>
    <t>GBPUSD</t>
  </si>
  <si>
    <t>154766</t>
  </si>
  <si>
    <t>16/07/2024</t>
  </si>
  <si>
    <t>154760</t>
  </si>
  <si>
    <t>154722</t>
  </si>
  <si>
    <t>154750</t>
  </si>
  <si>
    <t>09/07/2024</t>
  </si>
  <si>
    <t>154817</t>
  </si>
  <si>
    <t>09/12/2024</t>
  </si>
  <si>
    <t>154810</t>
  </si>
  <si>
    <t>02/12/2024</t>
  </si>
  <si>
    <t>154803</t>
  </si>
  <si>
    <t>154831</t>
  </si>
  <si>
    <t>154743</t>
  </si>
  <si>
    <t>01/07/2024</t>
  </si>
  <si>
    <t>01/10/2024</t>
  </si>
  <si>
    <t>154784</t>
  </si>
  <si>
    <t>154779</t>
  </si>
  <si>
    <t>1323</t>
  </si>
  <si>
    <t>1319</t>
  </si>
  <si>
    <t>1309</t>
  </si>
  <si>
    <t>1311</t>
  </si>
  <si>
    <t>ג'נריישן קפיטל הלוואה 27/05/27</t>
  </si>
  <si>
    <t>91000050</t>
  </si>
  <si>
    <t>קבועה</t>
  </si>
  <si>
    <t>27/05/2027</t>
  </si>
  <si>
    <t>שוטף</t>
  </si>
  <si>
    <t>שננדואה הלוואה (מרווח הוגן) 25/8/28</t>
  </si>
  <si>
    <t>90300072</t>
  </si>
  <si>
    <t>20/12/2022</t>
  </si>
  <si>
    <t>25/08/2028</t>
  </si>
  <si>
    <t>ליווי פרוייקט שננדואה</t>
  </si>
  <si>
    <t>סינמה סיטי הלוואה 1 08/01/27</t>
  </si>
  <si>
    <t>96039</t>
  </si>
  <si>
    <t>25/04/2021</t>
  </si>
  <si>
    <t>1300</t>
  </si>
  <si>
    <t>מיי טאון הלוואת בעלים</t>
  </si>
  <si>
    <t>96078</t>
  </si>
  <si>
    <t>27/09/2023</t>
  </si>
  <si>
    <t>נדל"ן בארץ</t>
  </si>
  <si>
    <t>1301</t>
  </si>
  <si>
    <t>1324</t>
  </si>
  <si>
    <t>31/01/2024</t>
  </si>
  <si>
    <t>1317</t>
  </si>
  <si>
    <t>1316</t>
  </si>
  <si>
    <t>1303</t>
  </si>
  <si>
    <t>1302</t>
  </si>
  <si>
    <t>1321</t>
  </si>
  <si>
    <t>1307</t>
  </si>
  <si>
    <t>1305</t>
  </si>
  <si>
    <t>1332</t>
  </si>
  <si>
    <t>1327</t>
  </si>
  <si>
    <t>1331</t>
  </si>
  <si>
    <t>1328</t>
  </si>
  <si>
    <t>1329</t>
  </si>
  <si>
    <t>1325</t>
  </si>
  <si>
    <t>1326</t>
  </si>
  <si>
    <t>1330</t>
  </si>
  <si>
    <t>11/02/2024</t>
  </si>
  <si>
    <t>1315</t>
  </si>
  <si>
    <t>1313</t>
  </si>
  <si>
    <t>14/08/2025</t>
  </si>
  <si>
    <t>16/05/2025</t>
  </si>
  <si>
    <t>11/07/2025</t>
  </si>
  <si>
    <t>אשדוד סנטר</t>
  </si>
  <si>
    <t>09/01/2020</t>
  </si>
  <si>
    <t>אורגים 6-11 אשדוד</t>
  </si>
  <si>
    <t>ירון ספקטור שמאות מקרקעין</t>
  </si>
  <si>
    <t>אשדוד - משרדים</t>
  </si>
  <si>
    <t>אורגים 6-9 אשדוד</t>
  </si>
  <si>
    <t>Dover Street XI Feeder Fund</t>
  </si>
  <si>
    <t>4.9365</t>
  </si>
  <si>
    <t>1</t>
  </si>
  <si>
    <t>10/10/2024</t>
  </si>
  <si>
    <t>4.7046</t>
  </si>
  <si>
    <t>3.688</t>
  </si>
  <si>
    <t>4.0073</t>
  </si>
  <si>
    <t>3.752</t>
  </si>
  <si>
    <t>3.724</t>
  </si>
  <si>
    <t>3.755</t>
  </si>
  <si>
    <t>3.753</t>
  </si>
  <si>
    <t>3.673</t>
  </si>
  <si>
    <t>3.663</t>
  </si>
  <si>
    <t>3.9638</t>
  </si>
  <si>
    <t>3.612</t>
  </si>
  <si>
    <t>3.9397</t>
  </si>
  <si>
    <t>3.639</t>
  </si>
  <si>
    <t>3.626</t>
  </si>
  <si>
    <t>3.627</t>
  </si>
  <si>
    <t>3.653</t>
  </si>
  <si>
    <t>3.733</t>
  </si>
  <si>
    <t>3.792</t>
  </si>
  <si>
    <t>3.824</t>
  </si>
  <si>
    <t>0.0268</t>
  </si>
  <si>
    <t>3.843</t>
  </si>
  <si>
    <t>4.1915</t>
  </si>
  <si>
    <t>3.784</t>
  </si>
  <si>
    <t>3.77</t>
  </si>
  <si>
    <t>0.0256</t>
  </si>
  <si>
    <t>3.731</t>
  </si>
  <si>
    <t>3.683</t>
  </si>
  <si>
    <t>0.0248</t>
  </si>
  <si>
    <t>3.701</t>
  </si>
  <si>
    <t>0.0253</t>
  </si>
  <si>
    <t>3.722</t>
  </si>
  <si>
    <t>0.0255</t>
  </si>
  <si>
    <t>0.0254</t>
  </si>
  <si>
    <t>3.666</t>
  </si>
  <si>
    <t>3.668</t>
  </si>
  <si>
    <t>3.671</t>
  </si>
  <si>
    <t>4.0986</t>
  </si>
  <si>
    <t>3.693</t>
  </si>
  <si>
    <t>0.0257</t>
  </si>
  <si>
    <t>4.1544</t>
  </si>
  <si>
    <t>4.1946</t>
  </si>
  <si>
    <t>3.759</t>
  </si>
  <si>
    <t>3.773</t>
  </si>
  <si>
    <t>3.758</t>
  </si>
  <si>
    <t>3.71</t>
  </si>
  <si>
    <t>חזום</t>
  </si>
  <si>
    <t>NA</t>
  </si>
  <si>
    <t>MIZBILIT</t>
  </si>
  <si>
    <t>הלוואות עמיתים שיקלי</t>
  </si>
  <si>
    <t>הלוואות עמיתים  צמוד</t>
  </si>
  <si>
    <t>הלוואות עמיתים פריים</t>
  </si>
  <si>
    <t>30.06.24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</si>
</sst>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0.000%"/>
    <numFmt numFmtId="166" formatCode="#,##0.000"/>
    <numFmt numFmtId="167" formatCode="#,##0.000%"/>
    <numFmt numFmtId="168" formatCode="0.000,;\-0.000,"/>
    <numFmt numFmtId="169" formatCode="#,##0.000##%"/>
    <numFmt numFmtId="170" formatCode="_ * #,##0.0000_ ;_ * \-#,##0.0000_ ;_ * &quot;-&quot;??_ ;_ @_ "/>
    <numFmt numFmtId="171" formatCode="dd/mm/yyyy"/>
    <numFmt numFmtId="172" formatCode="0.0%"/>
    <numFmt numFmtId="173" formatCode="_ * #,##0.000_ ;_ * \-#,##0.000_ ;_ * &quot;-&quot;??_ ;_ @_ "/>
  </numFmts>
  <fonts count="3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sz val="11"/>
      <name val="Arial"/>
      <family val="2"/>
      <charset val="177"/>
    </font>
    <font>
      <sz val="10"/>
      <name val="Miriam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0" fillId="0" borderId="0"/>
  </cellStyleXfs>
  <cellXfs count="18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3" fillId="0" borderId="0" xfId="0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8" fillId="3" borderId="9" xfId="0" applyFont="1" applyFill="1" applyBorder="1" applyAlignment="1">
      <alignment horizontal="center" vertical="center" wrapText="1"/>
    </xf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15" fillId="3" borderId="8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0" fontId="18" fillId="0" borderId="0" xfId="0" applyFont="1"/>
    <xf numFmtId="0" fontId="19" fillId="0" borderId="1" xfId="0" applyFont="1" applyBorder="1" applyAlignment="1">
      <alignment vertical="center" wrapText="1" readingOrder="2"/>
    </xf>
    <xf numFmtId="0" fontId="19" fillId="0" borderId="1" xfId="0" applyFont="1" applyBorder="1" applyAlignment="1">
      <alignment horizontal="right" vertical="center" wrapText="1" readingOrder="2"/>
    </xf>
    <xf numFmtId="2" fontId="19" fillId="0" borderId="1" xfId="0" applyNumberFormat="1" applyFont="1" applyBorder="1" applyAlignment="1">
      <alignment vertical="center" wrapText="1" readingOrder="2"/>
    </xf>
    <xf numFmtId="164" fontId="19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20" fillId="0" borderId="1" xfId="0" applyFont="1" applyBorder="1" applyAlignment="1">
      <alignment vertical="center" wrapText="1" readingOrder="2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2" fillId="0" borderId="0" xfId="0" applyFont="1"/>
    <xf numFmtId="0" fontId="0" fillId="0" borderId="7" xfId="0" applyBorder="1" applyAlignment="1">
      <alignment horizontal="right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/>
    </xf>
    <xf numFmtId="0" fontId="4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5" borderId="12" xfId="1" applyFont="1" applyFill="1" applyBorder="1" applyAlignment="1" applyProtection="1">
      <alignment horizontal="right" vertical="center" wrapText="1"/>
      <protection locked="0"/>
    </xf>
    <xf numFmtId="0" fontId="13" fillId="5" borderId="12" xfId="1" applyFont="1" applyFill="1" applyBorder="1" applyAlignment="1">
      <alignment horizontal="right" vertical="center" wrapText="1"/>
    </xf>
    <xf numFmtId="0" fontId="13" fillId="5" borderId="12" xfId="1" applyFont="1" applyFill="1" applyBorder="1" applyAlignment="1" applyProtection="1">
      <alignment horizontal="left" vertical="center" wrapText="1" indent="1"/>
      <protection locked="0"/>
    </xf>
    <xf numFmtId="0" fontId="13" fillId="5" borderId="12" xfId="1" applyFont="1" applyFill="1" applyBorder="1" applyAlignment="1" applyProtection="1">
      <alignment vertical="center" wrapText="1"/>
      <protection locked="0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 readingOrder="2"/>
    </xf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 applyAlignment="1">
      <alignment horizontal="right"/>
    </xf>
    <xf numFmtId="0" fontId="23" fillId="0" borderId="1" xfId="0" applyFont="1" applyBorder="1" applyAlignment="1">
      <alignment horizontal="center" vertical="center" wrapText="1" readingOrder="2"/>
    </xf>
    <xf numFmtId="0" fontId="24" fillId="0" borderId="1" xfId="0" applyFont="1" applyBorder="1" applyAlignment="1">
      <alignment vertical="center" wrapText="1" readingOrder="2"/>
    </xf>
    <xf numFmtId="0" fontId="4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4" fillId="2" borderId="4" xfId="0" applyFont="1" applyFill="1" applyBorder="1" applyAlignment="1">
      <alignment horizontal="right"/>
    </xf>
    <xf numFmtId="0" fontId="20" fillId="0" borderId="0" xfId="0" applyFont="1"/>
    <xf numFmtId="0" fontId="25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7" fillId="2" borderId="4" xfId="0" applyFont="1" applyFill="1" applyBorder="1" applyAlignment="1">
      <alignment horizontal="right"/>
    </xf>
    <xf numFmtId="0" fontId="21" fillId="3" borderId="6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2" borderId="6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4" fontId="16" fillId="0" borderId="11" xfId="0" applyNumberFormat="1" applyFont="1" applyBorder="1" applyAlignment="1">
      <alignment horizontal="center" vertical="center" wrapText="1"/>
    </xf>
    <xf numFmtId="165" fontId="16" fillId="0" borderId="11" xfId="0" applyNumberFormat="1" applyFont="1" applyBorder="1" applyAlignment="1">
      <alignment horizontal="center" vertical="center" wrapText="1"/>
    </xf>
    <xf numFmtId="166" fontId="0" fillId="0" borderId="0" xfId="0" applyNumberFormat="1" applyFont="1"/>
    <xf numFmtId="167" fontId="0" fillId="0" borderId="0" xfId="0" applyNumberFormat="1" applyFont="1"/>
    <xf numFmtId="166" fontId="9" fillId="0" borderId="0" xfId="0" applyNumberFormat="1" applyFont="1"/>
    <xf numFmtId="0" fontId="1" fillId="0" borderId="0" xfId="0" applyFont="1"/>
    <xf numFmtId="168" fontId="0" fillId="0" borderId="0" xfId="0" applyNumberFormat="1" applyFont="1"/>
    <xf numFmtId="169" fontId="0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0" fillId="0" borderId="0" xfId="0" applyBorder="1"/>
    <xf numFmtId="164" fontId="1" fillId="0" borderId="0" xfId="0" applyNumberFormat="1" applyFont="1" applyBorder="1"/>
    <xf numFmtId="169" fontId="0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68" fontId="0" fillId="0" borderId="0" xfId="0" applyNumberFormat="1" applyFont="1" applyBorder="1"/>
    <xf numFmtId="0" fontId="28" fillId="0" borderId="0" xfId="0" applyFont="1" applyFill="1"/>
    <xf numFmtId="166" fontId="28" fillId="0" borderId="0" xfId="0" applyNumberFormat="1" applyFont="1" applyFill="1"/>
    <xf numFmtId="167" fontId="28" fillId="0" borderId="0" xfId="0" applyNumberFormat="1" applyFont="1" applyFill="1"/>
    <xf numFmtId="0" fontId="29" fillId="0" borderId="0" xfId="0" applyFont="1" applyFill="1"/>
    <xf numFmtId="10" fontId="28" fillId="0" borderId="0" xfId="4" applyNumberFormat="1" applyFont="1" applyFill="1"/>
    <xf numFmtId="165" fontId="28" fillId="0" borderId="0" xfId="4" applyNumberFormat="1" applyFont="1" applyFill="1"/>
    <xf numFmtId="166" fontId="5" fillId="0" borderId="0" xfId="0" applyNumberFormat="1" applyFont="1"/>
    <xf numFmtId="170" fontId="9" fillId="0" borderId="0" xfId="0" applyNumberFormat="1" applyFont="1"/>
    <xf numFmtId="0" fontId="0" fillId="0" borderId="0" xfId="0" applyFill="1"/>
    <xf numFmtId="166" fontId="0" fillId="0" borderId="0" xfId="0" applyNumberFormat="1" applyFont="1" applyFill="1"/>
    <xf numFmtId="167" fontId="0" fillId="0" borderId="0" xfId="0" applyNumberFormat="1" applyFont="1" applyFill="1"/>
    <xf numFmtId="0" fontId="2" fillId="0" borderId="0" xfId="0" applyFont="1" applyFill="1" applyProtection="1">
      <protection locked="0"/>
    </xf>
    <xf numFmtId="0" fontId="4" fillId="0" borderId="0" xfId="0" applyFont="1" applyFill="1" applyProtection="1">
      <protection locked="0"/>
    </xf>
    <xf numFmtId="0" fontId="2" fillId="0" borderId="0" xfId="0" applyFont="1" applyFill="1"/>
    <xf numFmtId="0" fontId="1" fillId="0" borderId="0" xfId="0" applyFont="1" applyFill="1"/>
    <xf numFmtId="0" fontId="5" fillId="0" borderId="0" xfId="0" applyFont="1" applyFill="1"/>
    <xf numFmtId="14" fontId="0" fillId="0" borderId="0" xfId="0" applyNumberFormat="1"/>
    <xf numFmtId="171" fontId="0" fillId="0" borderId="0" xfId="0" applyNumberFormat="1"/>
    <xf numFmtId="10" fontId="2" fillId="0" borderId="0" xfId="4" applyNumberFormat="1" applyFont="1" applyProtection="1">
      <protection locked="0"/>
    </xf>
    <xf numFmtId="10" fontId="2" fillId="0" borderId="0" xfId="4" applyNumberFormat="1" applyFont="1"/>
    <xf numFmtId="172" fontId="5" fillId="0" borderId="0" xfId="4" applyNumberFormat="1" applyFont="1"/>
    <xf numFmtId="10" fontId="5" fillId="0" borderId="0" xfId="4" applyNumberFormat="1" applyFont="1"/>
    <xf numFmtId="0" fontId="1" fillId="0" borderId="0" xfId="0" applyFont="1" applyFill="1" applyAlignment="1">
      <alignment horizontal="center"/>
    </xf>
    <xf numFmtId="14" fontId="1" fillId="0" borderId="0" xfId="0" applyNumberFormat="1" applyFont="1" applyProtection="1">
      <protection locked="0"/>
    </xf>
    <xf numFmtId="43" fontId="5" fillId="0" borderId="0" xfId="3" applyFont="1"/>
    <xf numFmtId="165" fontId="1" fillId="0" borderId="0" xfId="4" applyNumberFormat="1" applyFont="1" applyProtection="1">
      <protection locked="0"/>
    </xf>
    <xf numFmtId="164" fontId="2" fillId="0" borderId="0" xfId="0" applyNumberFormat="1" applyFont="1"/>
    <xf numFmtId="0" fontId="1" fillId="0" borderId="0" xfId="0" applyFont="1" applyProtection="1">
      <protection locked="0"/>
    </xf>
    <xf numFmtId="0" fontId="1" fillId="0" borderId="0" xfId="0" applyFont="1" applyAlignment="1">
      <alignment vertical="center" wrapText="1"/>
    </xf>
    <xf numFmtId="164" fontId="2" fillId="0" borderId="0" xfId="0" applyNumberFormat="1" applyFont="1" applyFill="1"/>
    <xf numFmtId="0" fontId="0" fillId="0" borderId="0" xfId="0" applyNumberFormat="1" applyFont="1"/>
    <xf numFmtId="173" fontId="2" fillId="0" borderId="0" xfId="3" applyNumberFormat="1" applyFont="1" applyProtection="1">
      <protection locked="0"/>
    </xf>
    <xf numFmtId="0" fontId="4" fillId="0" borderId="0" xfId="0" applyFont="1" applyFill="1"/>
    <xf numFmtId="14" fontId="0" fillId="0" borderId="0" xfId="0" applyNumberFormat="1" applyFill="1"/>
    <xf numFmtId="14" fontId="5" fillId="0" borderId="0" xfId="0" applyNumberFormat="1" applyFont="1"/>
    <xf numFmtId="164" fontId="5" fillId="0" borderId="0" xfId="0" applyNumberFormat="1" applyFont="1" applyFill="1"/>
    <xf numFmtId="165" fontId="5" fillId="0" borderId="0" xfId="0" applyNumberFormat="1" applyFont="1" applyFill="1"/>
    <xf numFmtId="164" fontId="5" fillId="0" borderId="0" xfId="0" applyNumberFormat="1" applyFont="1"/>
    <xf numFmtId="164" fontId="2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</cellXfs>
  <cellStyles count="6">
    <cellStyle name="Comma" xfId="3" builtinId="3"/>
    <cellStyle name="Normal" xfId="0" builtinId="0"/>
    <cellStyle name="Normal 2" xfId="5"/>
    <cellStyle name="Normal 3" xfId="1"/>
    <cellStyle name="Normal 9" xfId="2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0042177_in_0324%20&#1495;&#1493;&#1494;&#1497;&#15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0042177_in_0224%2021.07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K15" sqref="K15"/>
    </sheetView>
  </sheetViews>
  <sheetFormatPr defaultRowHeight="14.25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>
      <c r="A1" s="26" t="s">
        <v>0</v>
      </c>
      <c r="B1" s="27"/>
      <c r="C1" s="27"/>
      <c r="D1" s="27"/>
    </row>
    <row r="3" spans="1:8">
      <c r="A3" t="s">
        <v>1</v>
      </c>
      <c r="D3" s="81" t="s">
        <v>1095</v>
      </c>
    </row>
    <row r="5" spans="1:8">
      <c r="A5" t="s">
        <v>2</v>
      </c>
      <c r="D5" s="81" t="s">
        <v>1109</v>
      </c>
    </row>
    <row r="7" spans="1:8">
      <c r="A7" t="s">
        <v>3</v>
      </c>
      <c r="D7" s="81" t="s">
        <v>1114</v>
      </c>
    </row>
    <row r="8" spans="1:8">
      <c r="D8" s="25"/>
      <c r="E8" s="25"/>
      <c r="F8" s="25"/>
      <c r="G8" s="25"/>
      <c r="H8" s="25"/>
    </row>
    <row r="9" spans="1:8">
      <c r="A9" t="s">
        <v>4</v>
      </c>
      <c r="D9" s="81">
        <v>2024</v>
      </c>
    </row>
    <row r="11" spans="1:8">
      <c r="A11" t="s">
        <v>5</v>
      </c>
      <c r="D11" s="81" t="s">
        <v>1144</v>
      </c>
    </row>
    <row r="13" spans="1:8">
      <c r="A13" t="s">
        <v>6</v>
      </c>
      <c r="D13" s="82">
        <f>IFERROR(VLOOKUP(D11,'File Name Info'!A35:B121,2,0),"תא מחושב")</f>
        <v>520042177</v>
      </c>
    </row>
    <row r="15" spans="1:8" ht="15">
      <c r="A15" s="15" t="s">
        <v>7</v>
      </c>
      <c r="D15" s="8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520042177_in_p_0324.xlsx</v>
      </c>
    </row>
    <row r="16" spans="1:8" ht="15">
      <c r="A16" s="15"/>
      <c r="D16" s="25"/>
      <c r="E16" s="25"/>
      <c r="F16" s="25"/>
      <c r="G16" s="25"/>
      <c r="H16" s="25"/>
    </row>
    <row r="17" spans="1:8" ht="15">
      <c r="A17" s="15" t="s">
        <v>8</v>
      </c>
      <c r="B17" s="13" t="s">
        <v>9</v>
      </c>
      <c r="C17" s="13"/>
      <c r="D17" s="83" t="s">
        <v>1205</v>
      </c>
    </row>
    <row r="18" spans="1:8">
      <c r="A18" s="11"/>
      <c r="D18" s="14"/>
      <c r="E18" s="14"/>
      <c r="F18" s="14"/>
      <c r="G18" s="14"/>
      <c r="H18" s="14"/>
    </row>
    <row r="19" spans="1:8">
      <c r="A19" s="11"/>
      <c r="B19" s="13" t="s">
        <v>10</v>
      </c>
      <c r="C19" s="13"/>
      <c r="D19" s="83" t="s">
        <v>1206</v>
      </c>
    </row>
    <row r="20" spans="1:8">
      <c r="A20" s="11"/>
      <c r="D20" s="14"/>
      <c r="E20" s="14"/>
      <c r="F20" s="14"/>
      <c r="G20" s="14"/>
      <c r="H20" s="14"/>
    </row>
    <row r="21" spans="1:8">
      <c r="A21" s="11"/>
      <c r="B21" s="13" t="s">
        <v>11</v>
      </c>
      <c r="C21" s="13"/>
      <c r="D21" s="84" t="s">
        <v>1207</v>
      </c>
    </row>
    <row r="22" spans="1:8">
      <c r="A22" s="11"/>
      <c r="B22" s="12"/>
      <c r="C22" s="12"/>
    </row>
    <row r="23" spans="1:8" ht="15">
      <c r="A23" s="15" t="s">
        <v>12</v>
      </c>
      <c r="D23" t="s">
        <v>13</v>
      </c>
    </row>
    <row r="25" spans="1:8">
      <c r="D25" s="1"/>
    </row>
    <row r="28" spans="1:8" ht="14.1" customHeight="1">
      <c r="A28" s="21"/>
      <c r="D28" s="22"/>
      <c r="E28" s="23"/>
      <c r="F28" s="23"/>
      <c r="G28" s="23"/>
      <c r="H28" s="23"/>
    </row>
    <row r="29" spans="1:8">
      <c r="D29" s="13"/>
      <c r="E29" s="13"/>
      <c r="F29" s="13"/>
      <c r="G29" s="13"/>
      <c r="H29" s="13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32"/>
  <sheetViews>
    <sheetView showGridLines="0" rightToLeft="1" workbookViewId="0">
      <selection activeCell="H34" sqref="H34"/>
    </sheetView>
  </sheetViews>
  <sheetFormatPr defaultColWidth="9" defaultRowHeight="12.75"/>
  <cols>
    <col min="1" max="1" width="42.75" style="8" customWidth="1"/>
    <col min="2" max="5" width="13" style="9" customWidth="1"/>
    <col min="6" max="6" width="11.125" style="8" customWidth="1"/>
    <col min="7" max="7" width="8.625" style="8" customWidth="1"/>
    <col min="8" max="16384" width="9" style="8"/>
  </cols>
  <sheetData>
    <row r="1" spans="1:7" ht="18.75" customHeight="1">
      <c r="A1" s="37"/>
      <c r="B1" s="38"/>
      <c r="C1" s="86" t="s">
        <v>14</v>
      </c>
      <c r="D1" s="85"/>
      <c r="E1" s="38"/>
    </row>
    <row r="2" spans="1:7" ht="39.75" customHeight="1">
      <c r="A2" s="37"/>
      <c r="B2" s="38" t="s">
        <v>15</v>
      </c>
      <c r="C2" s="38" t="s">
        <v>16</v>
      </c>
      <c r="D2" s="38" t="s">
        <v>17</v>
      </c>
      <c r="E2" s="38" t="s">
        <v>18</v>
      </c>
    </row>
    <row r="3" spans="1:7" ht="14.25">
      <c r="A3" s="40" t="s">
        <v>19</v>
      </c>
      <c r="B3" s="131">
        <f>SUM('מזומנים ושווי מזומנים'!O:O)</f>
        <v>2084238.4343016567</v>
      </c>
      <c r="C3" s="41"/>
      <c r="D3" s="41"/>
      <c r="E3" s="132">
        <v>8.4640000000000007E-2</v>
      </c>
      <c r="F3" s="133"/>
    </row>
    <row r="4" spans="1:7" ht="14.25">
      <c r="A4" s="40" t="s">
        <v>20</v>
      </c>
      <c r="B4" s="131">
        <v>7520912.2039999999</v>
      </c>
      <c r="C4" s="41"/>
      <c r="D4" s="41"/>
      <c r="E4" s="132">
        <v>0.31009999999999999</v>
      </c>
    </row>
    <row r="5" spans="1:7" ht="14.25">
      <c r="A5" s="40" t="s">
        <v>21</v>
      </c>
      <c r="B5" s="131">
        <v>4061.68</v>
      </c>
      <c r="C5" s="41"/>
      <c r="D5" s="41"/>
      <c r="E5" s="132">
        <v>1.7000000000000001E-4</v>
      </c>
    </row>
    <row r="6" spans="1:7" ht="14.25">
      <c r="A6" s="40" t="s">
        <v>22</v>
      </c>
      <c r="B6" s="131">
        <v>2722894.3909999998</v>
      </c>
      <c r="C6" s="41"/>
      <c r="D6" s="41"/>
      <c r="E6" s="132">
        <v>0.11226999999999999</v>
      </c>
    </row>
    <row r="7" spans="1:7" ht="14.25">
      <c r="A7" s="40" t="s">
        <v>23</v>
      </c>
      <c r="B7" s="131">
        <f>SUM('מניות מבכ ויהש'!U:U)</f>
        <v>3123900.7014439623</v>
      </c>
      <c r="C7" s="41"/>
      <c r="D7" s="41"/>
      <c r="E7" s="132">
        <v>0.1288</v>
      </c>
      <c r="G7" s="152"/>
    </row>
    <row r="8" spans="1:7" ht="14.25">
      <c r="A8" s="40" t="s">
        <v>24</v>
      </c>
      <c r="B8" s="131">
        <f>SUM('קרנות סל'!T:T)</f>
        <v>5013340.1833499959</v>
      </c>
      <c r="C8" s="41"/>
      <c r="D8" s="41"/>
      <c r="E8" s="132">
        <v>0.20671</v>
      </c>
    </row>
    <row r="9" spans="1:7" ht="14.25">
      <c r="A9" s="40" t="s">
        <v>25</v>
      </c>
      <c r="B9" s="131">
        <v>812167.06499999994</v>
      </c>
      <c r="C9" s="41"/>
      <c r="D9" s="41"/>
      <c r="E9" s="132">
        <v>3.3489999999999999E-2</v>
      </c>
    </row>
    <row r="10" spans="1:7" ht="14.25">
      <c r="A10" s="40" t="s">
        <v>26</v>
      </c>
      <c r="B10" s="131">
        <v>1374.08</v>
      </c>
      <c r="C10" s="41"/>
      <c r="D10" s="41"/>
      <c r="E10" s="132">
        <v>6.0000000000000002E-5</v>
      </c>
    </row>
    <row r="11" spans="1:7" ht="14.25">
      <c r="A11" s="40" t="s">
        <v>27</v>
      </c>
      <c r="B11" s="131">
        <v>211.80199999999999</v>
      </c>
      <c r="C11" s="41"/>
      <c r="D11" s="41"/>
      <c r="E11" s="132">
        <v>1.0000000000000001E-5</v>
      </c>
    </row>
    <row r="12" spans="1:7" ht="14.25">
      <c r="A12" s="40" t="s">
        <v>28</v>
      </c>
      <c r="B12" s="131">
        <v>71535.546000000002</v>
      </c>
      <c r="C12" s="41"/>
      <c r="D12" s="41"/>
      <c r="E12" s="132">
        <v>2.9499999999999999E-3</v>
      </c>
    </row>
    <row r="13" spans="1:7">
      <c r="A13" s="40" t="s">
        <v>29</v>
      </c>
      <c r="B13" s="41"/>
      <c r="C13" s="41"/>
      <c r="D13" s="41"/>
      <c r="E13" s="41"/>
    </row>
    <row r="14" spans="1:7">
      <c r="A14" s="40" t="s">
        <v>30</v>
      </c>
      <c r="B14" s="41"/>
      <c r="C14" s="41"/>
      <c r="D14" s="41"/>
      <c r="E14" s="41"/>
    </row>
    <row r="15" spans="1:7" ht="14.25">
      <c r="A15" s="40" t="s">
        <v>31</v>
      </c>
      <c r="B15" s="131">
        <v>22310.024000000001</v>
      </c>
      <c r="C15" s="41"/>
      <c r="D15" s="41"/>
      <c r="E15" s="132">
        <v>9.2000000000000003E-4</v>
      </c>
    </row>
    <row r="16" spans="1:7">
      <c r="A16" s="40" t="s">
        <v>32</v>
      </c>
      <c r="B16" s="41"/>
      <c r="C16" s="41"/>
      <c r="D16" s="41"/>
      <c r="E16" s="41"/>
    </row>
    <row r="17" spans="1:5" ht="14.25">
      <c r="A17" s="40" t="s">
        <v>33</v>
      </c>
      <c r="B17" s="131">
        <v>24711.456999999999</v>
      </c>
      <c r="C17" s="41"/>
      <c r="D17" s="41"/>
      <c r="E17" s="132">
        <v>1.0200000000000001E-3</v>
      </c>
    </row>
    <row r="18" spans="1:5" ht="14.25">
      <c r="A18" s="40" t="s">
        <v>34</v>
      </c>
      <c r="B18" s="131">
        <v>157337.55600000001</v>
      </c>
      <c r="C18" s="41"/>
      <c r="D18" s="41"/>
      <c r="E18" s="132">
        <v>6.4900000000000001E-3</v>
      </c>
    </row>
    <row r="19" spans="1:5" ht="14.25">
      <c r="A19" s="40" t="s">
        <v>35</v>
      </c>
      <c r="B19" s="131">
        <v>445131.59600000002</v>
      </c>
      <c r="C19" s="41"/>
      <c r="D19" s="41"/>
      <c r="E19" s="132">
        <v>1.8350000000000002E-2</v>
      </c>
    </row>
    <row r="20" spans="1:5" ht="14.25">
      <c r="A20" s="40" t="s">
        <v>36</v>
      </c>
      <c r="B20" s="131">
        <v>1622866.871</v>
      </c>
      <c r="C20" s="41"/>
      <c r="D20" s="41"/>
      <c r="E20" s="132">
        <v>6.6909999999999997E-2</v>
      </c>
    </row>
    <row r="21" spans="1:5" ht="14.25">
      <c r="A21" s="40" t="s">
        <v>37</v>
      </c>
      <c r="B21" s="131">
        <v>5684</v>
      </c>
      <c r="C21" s="41"/>
      <c r="D21" s="41"/>
      <c r="E21" s="132">
        <v>2.3000000000000001E-4</v>
      </c>
    </row>
    <row r="22" spans="1:5">
      <c r="A22" s="40" t="s">
        <v>38</v>
      </c>
      <c r="B22" s="41"/>
      <c r="C22" s="41"/>
      <c r="D22" s="41"/>
      <c r="E22" s="41"/>
    </row>
    <row r="23" spans="1:5" ht="14.25">
      <c r="A23" s="40" t="s">
        <v>39</v>
      </c>
      <c r="B23" s="131">
        <f>SUM('לא סחיר נגזרים אחרים'!R:R)</f>
        <v>-26609.274800000003</v>
      </c>
      <c r="C23" s="41"/>
      <c r="D23" s="41"/>
      <c r="E23" s="132">
        <v>-1.1900000000000001E-3</v>
      </c>
    </row>
    <row r="24" spans="1:5" ht="14.25">
      <c r="A24" s="40" t="s">
        <v>40</v>
      </c>
      <c r="B24" s="131">
        <v>282669.06</v>
      </c>
      <c r="C24" s="41"/>
      <c r="D24" s="41"/>
      <c r="E24" s="132">
        <v>1.166E-2</v>
      </c>
    </row>
    <row r="25" spans="1:5">
      <c r="A25" s="40" t="s">
        <v>41</v>
      </c>
      <c r="B25" s="41"/>
      <c r="C25" s="41"/>
      <c r="D25" s="41"/>
      <c r="E25" s="41"/>
    </row>
    <row r="26" spans="1:5" ht="14.25">
      <c r="A26" s="40" t="s">
        <v>42</v>
      </c>
      <c r="B26" s="131">
        <v>31274.331999999999</v>
      </c>
      <c r="C26" s="41"/>
      <c r="D26" s="41"/>
      <c r="E26" s="132">
        <v>1.2899999999999999E-3</v>
      </c>
    </row>
    <row r="27" spans="1:5" ht="14.25">
      <c r="A27" s="40" t="s">
        <v>43</v>
      </c>
      <c r="B27" s="131">
        <v>366760.00099999999</v>
      </c>
      <c r="C27" s="41"/>
      <c r="D27" s="41"/>
      <c r="E27" s="132">
        <v>1.512E-2</v>
      </c>
    </row>
    <row r="28" spans="1:5">
      <c r="A28" s="40" t="s">
        <v>44</v>
      </c>
      <c r="B28" s="41"/>
      <c r="C28" s="41"/>
      <c r="D28" s="41"/>
      <c r="E28" s="41"/>
    </row>
    <row r="29" spans="1:5">
      <c r="A29" s="40" t="s">
        <v>45</v>
      </c>
      <c r="B29" s="41"/>
      <c r="C29" s="41"/>
      <c r="D29" s="41"/>
      <c r="E29" s="41"/>
    </row>
    <row r="30" spans="1:5">
      <c r="A30" s="39" t="s">
        <v>46</v>
      </c>
      <c r="B30" s="129">
        <f>SUM(B3:B29)</f>
        <v>24286771.709295612</v>
      </c>
      <c r="C30" s="129">
        <f>SUM(C3:C29)</f>
        <v>0</v>
      </c>
      <c r="D30" s="129">
        <f>SUM(D3:D29)</f>
        <v>0</v>
      </c>
      <c r="E30" s="130">
        <f>SUM(E3:E29)</f>
        <v>0.99999999999999989</v>
      </c>
    </row>
    <row r="31" spans="1:5">
      <c r="A31" s="40" t="s">
        <v>47</v>
      </c>
      <c r="B31" s="41"/>
      <c r="C31" s="41"/>
      <c r="D31" s="41"/>
      <c r="E31" s="41"/>
    </row>
    <row r="32" spans="1:5" ht="14.25">
      <c r="A32" s="40" t="s">
        <v>48</v>
      </c>
      <c r="B32" s="41">
        <f>SUM('יתרות התחייבות להשקעה'!O:O)</f>
        <v>356511.0602348909</v>
      </c>
      <c r="C32" s="41"/>
      <c r="D32" s="41"/>
      <c r="E32" s="132">
        <f>B32/B30</f>
        <v>1.467922803830031E-2</v>
      </c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222"/>
  <sheetViews>
    <sheetView rightToLeft="1" topLeftCell="G1" workbookViewId="0">
      <selection activeCell="P2" sqref="P2"/>
    </sheetView>
  </sheetViews>
  <sheetFormatPr defaultColWidth="9" defaultRowHeight="14.25"/>
  <cols>
    <col min="1" max="4" width="11.625" style="2" customWidth="1"/>
    <col min="5" max="5" width="11.625" style="4" customWidth="1"/>
    <col min="6" max="6" width="27.5" style="2" bestFit="1" customWidth="1"/>
    <col min="7" max="15" width="11.625" style="2" customWidth="1"/>
    <col min="16" max="16" width="15.375" style="2" bestFit="1" customWidth="1"/>
    <col min="17" max="18" width="11.625" style="2" customWidth="1"/>
    <col min="19" max="20" width="9" style="2"/>
    <col min="23" max="23" width="9" style="2"/>
    <col min="24" max="24" width="11.875" style="2" bestFit="1" customWidth="1"/>
    <col min="25" max="16384" width="9" style="2"/>
  </cols>
  <sheetData>
    <row r="1" spans="1:17" s="3" customFormat="1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64</v>
      </c>
      <c r="Q1" s="17" t="s">
        <v>65</v>
      </c>
    </row>
    <row r="2" spans="1:17" s="145" customFormat="1">
      <c r="A2" s="145" t="s">
        <v>1213</v>
      </c>
      <c r="B2" s="145">
        <v>12936</v>
      </c>
      <c r="C2" s="145" t="s">
        <v>1209</v>
      </c>
      <c r="D2" s="145" t="s">
        <v>1210</v>
      </c>
      <c r="E2" s="145" t="s">
        <v>315</v>
      </c>
      <c r="F2" s="145" t="s">
        <v>934</v>
      </c>
      <c r="G2" s="145" t="s">
        <v>204</v>
      </c>
      <c r="H2" s="145" t="s">
        <v>339</v>
      </c>
      <c r="I2" s="145" t="s">
        <v>1211</v>
      </c>
      <c r="J2" s="145" t="s">
        <v>415</v>
      </c>
      <c r="K2" s="145" t="s">
        <v>1212</v>
      </c>
      <c r="L2" s="146">
        <f>1765.579+178.583890000009</f>
        <v>1944.1628900000089</v>
      </c>
      <c r="M2" s="146">
        <v>1</v>
      </c>
      <c r="N2" s="150">
        <v>0.04</v>
      </c>
      <c r="O2" s="146">
        <f>L2</f>
        <v>1944.1628900000089</v>
      </c>
      <c r="P2" s="147">
        <f t="shared" ref="P2:P65" si="0">O2/SUMIF(B:B,B2,O:O)</f>
        <v>0.84600809604558835</v>
      </c>
      <c r="Q2" s="147">
        <v>1.8272655836201874E-2</v>
      </c>
    </row>
    <row r="3" spans="1:17" s="145" customFormat="1">
      <c r="A3" s="145" t="s">
        <v>1213</v>
      </c>
      <c r="B3" s="145">
        <v>12936</v>
      </c>
      <c r="C3" s="145" t="s">
        <v>1209</v>
      </c>
      <c r="D3" s="145" t="s">
        <v>1210</v>
      </c>
      <c r="E3" s="145" t="s">
        <v>315</v>
      </c>
      <c r="F3" s="145" t="s">
        <v>936</v>
      </c>
      <c r="G3" s="145" t="s">
        <v>204</v>
      </c>
      <c r="H3" s="145" t="s">
        <v>339</v>
      </c>
      <c r="I3" s="145" t="s">
        <v>1215</v>
      </c>
      <c r="J3" s="145" t="s">
        <v>413</v>
      </c>
      <c r="K3" s="145" t="s">
        <v>1216</v>
      </c>
      <c r="L3" s="146">
        <v>4.5549999999999997</v>
      </c>
      <c r="M3" s="146">
        <v>3.71</v>
      </c>
      <c r="N3" s="150">
        <v>4.7399999999999998E-2</v>
      </c>
      <c r="O3" s="146">
        <v>16.899000000000001</v>
      </c>
      <c r="P3" s="147">
        <f t="shared" si="0"/>
        <v>7.3536486518752204E-3</v>
      </c>
      <c r="Q3" s="147">
        <v>1.5882908400539116E-4</v>
      </c>
    </row>
    <row r="4" spans="1:17" s="145" customFormat="1">
      <c r="A4" s="145" t="s">
        <v>1213</v>
      </c>
      <c r="B4" s="145">
        <v>12936</v>
      </c>
      <c r="C4" s="145" t="s">
        <v>1209</v>
      </c>
      <c r="D4" s="145" t="s">
        <v>1210</v>
      </c>
      <c r="E4" s="145" t="s">
        <v>315</v>
      </c>
      <c r="F4" s="145" t="s">
        <v>935</v>
      </c>
      <c r="G4" s="145" t="s">
        <v>205</v>
      </c>
      <c r="H4" s="145" t="s">
        <v>339</v>
      </c>
      <c r="I4" s="145" t="s">
        <v>1211</v>
      </c>
      <c r="J4" s="145" t="s">
        <v>415</v>
      </c>
      <c r="K4" s="145" t="s">
        <v>1216</v>
      </c>
      <c r="L4" s="146">
        <v>90.831000000000003</v>
      </c>
      <c r="M4" s="146">
        <v>3.71</v>
      </c>
      <c r="N4" s="150">
        <v>4.4999999999999998E-2</v>
      </c>
      <c r="O4" s="146">
        <v>336.98099999999999</v>
      </c>
      <c r="P4" s="147">
        <f t="shared" si="0"/>
        <v>0.14663825530253646</v>
      </c>
      <c r="Q4" s="147">
        <v>3.1671923520457256E-3</v>
      </c>
    </row>
    <row r="5" spans="1:17" s="145" customFormat="1">
      <c r="A5" s="145" t="s">
        <v>1213</v>
      </c>
      <c r="B5" s="145">
        <v>12937</v>
      </c>
      <c r="C5" s="145" t="s">
        <v>1209</v>
      </c>
      <c r="D5" s="145" t="s">
        <v>1210</v>
      </c>
      <c r="E5" s="145" t="s">
        <v>315</v>
      </c>
      <c r="F5" s="145" t="s">
        <v>936</v>
      </c>
      <c r="G5" s="145" t="s">
        <v>204</v>
      </c>
      <c r="H5" s="145" t="s">
        <v>339</v>
      </c>
      <c r="I5" s="145" t="s">
        <v>1215</v>
      </c>
      <c r="J5" s="145" t="s">
        <v>413</v>
      </c>
      <c r="K5" s="145" t="s">
        <v>1216</v>
      </c>
      <c r="L5" s="146">
        <v>14572.909</v>
      </c>
      <c r="M5" s="146">
        <v>3.71</v>
      </c>
      <c r="N5" s="150">
        <v>4.7399999999999998E-2</v>
      </c>
      <c r="O5" s="146">
        <v>54065.491999999998</v>
      </c>
      <c r="P5" s="147">
        <f t="shared" si="0"/>
        <v>0.43911083137500995</v>
      </c>
      <c r="Q5" s="147">
        <v>5.0027142053821166E-2</v>
      </c>
    </row>
    <row r="6" spans="1:17" s="145" customFormat="1">
      <c r="A6" s="145" t="s">
        <v>1213</v>
      </c>
      <c r="B6" s="145">
        <v>12937</v>
      </c>
      <c r="C6" s="145" t="s">
        <v>1209</v>
      </c>
      <c r="D6" s="145" t="s">
        <v>1210</v>
      </c>
      <c r="E6" s="145" t="s">
        <v>315</v>
      </c>
      <c r="F6" s="145" t="s">
        <v>934</v>
      </c>
      <c r="G6" s="145" t="s">
        <v>204</v>
      </c>
      <c r="H6" s="145" t="s">
        <v>339</v>
      </c>
      <c r="I6" s="145" t="s">
        <v>1211</v>
      </c>
      <c r="J6" s="145" t="s">
        <v>415</v>
      </c>
      <c r="K6" s="145" t="s">
        <v>1212</v>
      </c>
      <c r="L6" s="146">
        <f>43251.25+924.830700000049</f>
        <v>44176.08070000005</v>
      </c>
      <c r="M6" s="146">
        <v>1</v>
      </c>
      <c r="N6" s="150">
        <v>0.04</v>
      </c>
      <c r="O6" s="146">
        <f>L6</f>
        <v>44176.08070000005</v>
      </c>
      <c r="P6" s="147">
        <f t="shared" si="0"/>
        <v>0.3587906963478027</v>
      </c>
      <c r="Q6" s="147">
        <v>4.0876407164850553E-2</v>
      </c>
    </row>
    <row r="7" spans="1:17" s="145" customFormat="1">
      <c r="A7" s="145" t="s">
        <v>1213</v>
      </c>
      <c r="B7" s="145">
        <v>12937</v>
      </c>
      <c r="C7" s="145" t="s">
        <v>1209</v>
      </c>
      <c r="D7" s="145" t="s">
        <v>1210</v>
      </c>
      <c r="E7" s="145" t="s">
        <v>315</v>
      </c>
      <c r="F7" s="145" t="s">
        <v>936</v>
      </c>
      <c r="G7" s="145" t="s">
        <v>204</v>
      </c>
      <c r="H7" s="145" t="s">
        <v>339</v>
      </c>
      <c r="I7" s="145" t="s">
        <v>1215</v>
      </c>
      <c r="J7" s="145" t="s">
        <v>413</v>
      </c>
      <c r="K7" s="145" t="s">
        <v>1218</v>
      </c>
      <c r="L7" s="146">
        <v>959.08699999999999</v>
      </c>
      <c r="M7" s="146">
        <v>4.1520000000000001</v>
      </c>
      <c r="N7" s="150">
        <v>3.0599999999999999E-2</v>
      </c>
      <c r="O7" s="146">
        <v>3982.5140000000001</v>
      </c>
      <c r="P7" s="147">
        <f t="shared" si="0"/>
        <v>3.2345308787768298E-2</v>
      </c>
      <c r="Q7" s="147">
        <v>3.685045418791927E-3</v>
      </c>
    </row>
    <row r="8" spans="1:17" s="145" customFormat="1">
      <c r="A8" s="145" t="s">
        <v>1213</v>
      </c>
      <c r="B8" s="145">
        <v>12937</v>
      </c>
      <c r="C8" s="145" t="s">
        <v>1209</v>
      </c>
      <c r="D8" s="145" t="s">
        <v>1210</v>
      </c>
      <c r="E8" s="145" t="s">
        <v>315</v>
      </c>
      <c r="F8" s="145" t="s">
        <v>936</v>
      </c>
      <c r="G8" s="145" t="s">
        <v>204</v>
      </c>
      <c r="H8" s="145" t="s">
        <v>339</v>
      </c>
      <c r="I8" s="145" t="s">
        <v>1211</v>
      </c>
      <c r="J8" s="145" t="s">
        <v>415</v>
      </c>
      <c r="K8" s="145" t="s">
        <v>1219</v>
      </c>
      <c r="L8" s="146">
        <v>8.3000000000000004E-2</v>
      </c>
      <c r="M8" s="146">
        <v>4.3970000000000002</v>
      </c>
      <c r="N8" s="150">
        <v>0</v>
      </c>
      <c r="O8" s="146">
        <v>0.36299999999999999</v>
      </c>
      <c r="P8" s="147">
        <f t="shared" si="0"/>
        <v>2.9482249378055899E-6</v>
      </c>
      <c r="Q8" s="147">
        <v>3.3588619827110952E-7</v>
      </c>
    </row>
    <row r="9" spans="1:17" s="145" customFormat="1">
      <c r="A9" s="145" t="s">
        <v>1213</v>
      </c>
      <c r="B9" s="145">
        <v>12937</v>
      </c>
      <c r="C9" s="145" t="s">
        <v>1209</v>
      </c>
      <c r="D9" s="145" t="s">
        <v>1210</v>
      </c>
      <c r="E9" s="145" t="s">
        <v>315</v>
      </c>
      <c r="F9" s="145" t="s">
        <v>935</v>
      </c>
      <c r="G9" s="145" t="s">
        <v>205</v>
      </c>
      <c r="H9" s="145" t="s">
        <v>339</v>
      </c>
      <c r="I9" s="145" t="s">
        <v>1211</v>
      </c>
      <c r="J9" s="145" t="s">
        <v>415</v>
      </c>
      <c r="K9" s="145" t="s">
        <v>1216</v>
      </c>
      <c r="L9" s="146">
        <v>5233.3370000000004</v>
      </c>
      <c r="M9" s="146">
        <v>3.71</v>
      </c>
      <c r="N9" s="150">
        <v>4.4999999999999998E-2</v>
      </c>
      <c r="O9" s="146">
        <v>19415.681</v>
      </c>
      <c r="P9" s="147">
        <f t="shared" si="0"/>
        <v>0.15769089506522913</v>
      </c>
      <c r="Q9" s="147">
        <v>1.7965452556293702E-2</v>
      </c>
    </row>
    <row r="10" spans="1:17" s="145" customFormat="1">
      <c r="A10" s="145" t="s">
        <v>1213</v>
      </c>
      <c r="B10" s="145">
        <v>12937</v>
      </c>
      <c r="C10" s="145" t="s">
        <v>1209</v>
      </c>
      <c r="D10" s="145" t="s">
        <v>1210</v>
      </c>
      <c r="E10" s="145" t="s">
        <v>315</v>
      </c>
      <c r="F10" s="145" t="s">
        <v>935</v>
      </c>
      <c r="G10" s="145" t="s">
        <v>205</v>
      </c>
      <c r="H10" s="145" t="s">
        <v>339</v>
      </c>
      <c r="I10" s="145" t="s">
        <v>1211</v>
      </c>
      <c r="J10" s="145" t="s">
        <v>415</v>
      </c>
      <c r="K10" s="145" t="s">
        <v>1218</v>
      </c>
      <c r="L10" s="146">
        <v>357.577</v>
      </c>
      <c r="M10" s="146">
        <v>4.1520000000000001</v>
      </c>
      <c r="N10" s="150">
        <v>2.7300000000000001E-2</v>
      </c>
      <c r="O10" s="146">
        <v>1484.8030000000001</v>
      </c>
      <c r="P10" s="147">
        <f t="shared" si="0"/>
        <v>1.2059320199252214E-2</v>
      </c>
      <c r="Q10" s="147">
        <v>1.3738976166709042E-3</v>
      </c>
    </row>
    <row r="11" spans="1:17" s="145" customFormat="1">
      <c r="A11" s="145" t="s">
        <v>1213</v>
      </c>
      <c r="B11" s="145">
        <v>12938</v>
      </c>
      <c r="C11" s="145" t="s">
        <v>1209</v>
      </c>
      <c r="D11" s="145" t="s">
        <v>1210</v>
      </c>
      <c r="E11" s="145" t="s">
        <v>315</v>
      </c>
      <c r="F11" s="145" t="s">
        <v>934</v>
      </c>
      <c r="G11" s="145" t="s">
        <v>204</v>
      </c>
      <c r="H11" s="145" t="s">
        <v>339</v>
      </c>
      <c r="I11" s="145" t="s">
        <v>1211</v>
      </c>
      <c r="J11" s="145" t="s">
        <v>415</v>
      </c>
      <c r="K11" s="145" t="s">
        <v>1212</v>
      </c>
      <c r="L11" s="146">
        <f>7417.587+61.5857900000119</f>
        <v>7479.1727900000124</v>
      </c>
      <c r="M11" s="146">
        <v>1</v>
      </c>
      <c r="N11" s="150">
        <v>0.04</v>
      </c>
      <c r="O11" s="146">
        <f>L11</f>
        <v>7479.1727900000124</v>
      </c>
      <c r="P11" s="147">
        <f t="shared" si="0"/>
        <v>0.42396374771618939</v>
      </c>
      <c r="Q11" s="147">
        <v>3.2933450133850357E-2</v>
      </c>
    </row>
    <row r="12" spans="1:17" s="145" customFormat="1">
      <c r="A12" s="145" t="s">
        <v>1213</v>
      </c>
      <c r="B12" s="145">
        <v>12938</v>
      </c>
      <c r="C12" s="145" t="s">
        <v>1209</v>
      </c>
      <c r="D12" s="145" t="s">
        <v>1210</v>
      </c>
      <c r="E12" s="145" t="s">
        <v>315</v>
      </c>
      <c r="F12" s="145" t="s">
        <v>936</v>
      </c>
      <c r="G12" s="145" t="s">
        <v>204</v>
      </c>
      <c r="H12" s="145" t="s">
        <v>339</v>
      </c>
      <c r="I12" s="145" t="s">
        <v>1215</v>
      </c>
      <c r="J12" s="145" t="s">
        <v>413</v>
      </c>
      <c r="K12" s="145" t="s">
        <v>1216</v>
      </c>
      <c r="L12" s="146">
        <v>630.28499999999997</v>
      </c>
      <c r="M12" s="146">
        <v>3.71</v>
      </c>
      <c r="N12" s="150">
        <v>4.7399999999999998E-2</v>
      </c>
      <c r="O12" s="146">
        <v>2338.3580000000002</v>
      </c>
      <c r="P12" s="147">
        <f t="shared" si="0"/>
        <v>0.13255196116175458</v>
      </c>
      <c r="Q12" s="147">
        <v>1.0296619526033163E-2</v>
      </c>
    </row>
    <row r="13" spans="1:17" s="145" customFormat="1">
      <c r="A13" s="145" t="s">
        <v>1213</v>
      </c>
      <c r="B13" s="145">
        <v>12938</v>
      </c>
      <c r="C13" s="145" t="s">
        <v>1209</v>
      </c>
      <c r="D13" s="145" t="s">
        <v>1210</v>
      </c>
      <c r="E13" s="145" t="s">
        <v>315</v>
      </c>
      <c r="F13" s="145" t="s">
        <v>936</v>
      </c>
      <c r="G13" s="145" t="s">
        <v>204</v>
      </c>
      <c r="H13" s="145" t="s">
        <v>339</v>
      </c>
      <c r="I13" s="145" t="s">
        <v>1215</v>
      </c>
      <c r="J13" s="145" t="s">
        <v>413</v>
      </c>
      <c r="K13" s="145" t="s">
        <v>1218</v>
      </c>
      <c r="L13" s="146">
        <v>191.83799999999999</v>
      </c>
      <c r="M13" s="146">
        <v>4.1520000000000001</v>
      </c>
      <c r="N13" s="150">
        <v>3.0599999999999999E-2</v>
      </c>
      <c r="O13" s="146">
        <v>796.58600000000001</v>
      </c>
      <c r="P13" s="147">
        <f t="shared" si="0"/>
        <v>4.5155205718712635E-2</v>
      </c>
      <c r="Q13" s="147">
        <v>3.507650651339381E-3</v>
      </c>
    </row>
    <row r="14" spans="1:17" s="145" customFormat="1">
      <c r="A14" s="145" t="s">
        <v>1213</v>
      </c>
      <c r="B14" s="145">
        <v>12938</v>
      </c>
      <c r="C14" s="145" t="s">
        <v>1209</v>
      </c>
      <c r="D14" s="145" t="s">
        <v>1210</v>
      </c>
      <c r="E14" s="145" t="s">
        <v>315</v>
      </c>
      <c r="F14" s="145" t="s">
        <v>935</v>
      </c>
      <c r="G14" s="145" t="s">
        <v>205</v>
      </c>
      <c r="H14" s="145" t="s">
        <v>339</v>
      </c>
      <c r="I14" s="145" t="s">
        <v>1211</v>
      </c>
      <c r="J14" s="145" t="s">
        <v>415</v>
      </c>
      <c r="K14" s="145" t="s">
        <v>1216</v>
      </c>
      <c r="L14" s="146">
        <v>1576.39</v>
      </c>
      <c r="M14" s="146">
        <v>3.71</v>
      </c>
      <c r="N14" s="150">
        <v>4.4999999999999998E-2</v>
      </c>
      <c r="O14" s="146">
        <v>5848.4059999999999</v>
      </c>
      <c r="P14" s="147">
        <f t="shared" si="0"/>
        <v>0.33152224123516261</v>
      </c>
      <c r="Q14" s="147">
        <v>2.5752605638558981E-2</v>
      </c>
    </row>
    <row r="15" spans="1:17" s="145" customFormat="1">
      <c r="A15" s="145" t="s">
        <v>1213</v>
      </c>
      <c r="B15" s="145">
        <v>12938</v>
      </c>
      <c r="C15" s="145" t="s">
        <v>1209</v>
      </c>
      <c r="D15" s="145" t="s">
        <v>1210</v>
      </c>
      <c r="E15" s="145" t="s">
        <v>315</v>
      </c>
      <c r="F15" s="145" t="s">
        <v>935</v>
      </c>
      <c r="G15" s="145" t="s">
        <v>205</v>
      </c>
      <c r="H15" s="145" t="s">
        <v>339</v>
      </c>
      <c r="I15" s="145" t="s">
        <v>1211</v>
      </c>
      <c r="J15" s="145" t="s">
        <v>415</v>
      </c>
      <c r="K15" s="145" t="s">
        <v>1218</v>
      </c>
      <c r="L15" s="146">
        <v>283.822</v>
      </c>
      <c r="M15" s="146">
        <v>4.1520000000000001</v>
      </c>
      <c r="N15" s="150">
        <v>2.7300000000000001E-2</v>
      </c>
      <c r="O15" s="146">
        <v>1178.5440000000001</v>
      </c>
      <c r="P15" s="147">
        <f t="shared" si="0"/>
        <v>6.6806844168180793E-2</v>
      </c>
      <c r="Q15" s="147">
        <v>5.1895471791270744E-3</v>
      </c>
    </row>
    <row r="16" spans="1:17" s="145" customFormat="1">
      <c r="A16" s="145" t="s">
        <v>1213</v>
      </c>
      <c r="B16" s="145">
        <v>13498</v>
      </c>
      <c r="C16" s="145" t="s">
        <v>1209</v>
      </c>
      <c r="D16" s="145" t="s">
        <v>1210</v>
      </c>
      <c r="E16" s="145" t="s">
        <v>315</v>
      </c>
      <c r="F16" s="145" t="s">
        <v>934</v>
      </c>
      <c r="G16" s="145" t="s">
        <v>204</v>
      </c>
      <c r="H16" s="145" t="s">
        <v>339</v>
      </c>
      <c r="I16" s="145" t="s">
        <v>1211</v>
      </c>
      <c r="J16" s="145" t="s">
        <v>415</v>
      </c>
      <c r="K16" s="145" t="s">
        <v>1212</v>
      </c>
      <c r="L16" s="146">
        <f>53762.465+118.273149999906</f>
        <v>53880.738149999903</v>
      </c>
      <c r="M16" s="146">
        <v>1</v>
      </c>
      <c r="N16" s="150">
        <v>0.04</v>
      </c>
      <c r="O16" s="146">
        <f>L16</f>
        <v>53880.738149999903</v>
      </c>
      <c r="P16" s="147">
        <f t="shared" si="0"/>
        <v>0.90155551861574823</v>
      </c>
      <c r="Q16" s="147">
        <v>6.7623100020554633E-2</v>
      </c>
    </row>
    <row r="17" spans="1:17" s="145" customFormat="1">
      <c r="A17" s="145" t="s">
        <v>1213</v>
      </c>
      <c r="B17" s="145">
        <v>13498</v>
      </c>
      <c r="C17" s="145" t="s">
        <v>1209</v>
      </c>
      <c r="D17" s="145" t="s">
        <v>1210</v>
      </c>
      <c r="E17" s="145" t="s">
        <v>315</v>
      </c>
      <c r="F17" s="145" t="s">
        <v>936</v>
      </c>
      <c r="G17" s="145" t="s">
        <v>204</v>
      </c>
      <c r="H17" s="145" t="s">
        <v>339</v>
      </c>
      <c r="I17" s="145" t="s">
        <v>1215</v>
      </c>
      <c r="J17" s="145" t="s">
        <v>413</v>
      </c>
      <c r="K17" s="145" t="s">
        <v>1216</v>
      </c>
      <c r="L17" s="146">
        <v>319.66300000000001</v>
      </c>
      <c r="M17" s="146">
        <v>3.71</v>
      </c>
      <c r="N17" s="150">
        <v>4.7399999999999998E-2</v>
      </c>
      <c r="O17" s="146">
        <v>1185.95</v>
      </c>
      <c r="P17" s="147">
        <f t="shared" si="0"/>
        <v>1.9843821818583393E-2</v>
      </c>
      <c r="Q17" s="147">
        <v>1.4884282996664351E-3</v>
      </c>
    </row>
    <row r="18" spans="1:17" s="145" customFormat="1">
      <c r="A18" s="145" t="s">
        <v>1213</v>
      </c>
      <c r="B18" s="145">
        <v>13498</v>
      </c>
      <c r="C18" s="145" t="s">
        <v>1209</v>
      </c>
      <c r="D18" s="145" t="s">
        <v>1210</v>
      </c>
      <c r="E18" s="145" t="s">
        <v>315</v>
      </c>
      <c r="F18" s="145" t="s">
        <v>936</v>
      </c>
      <c r="G18" s="145" t="s">
        <v>204</v>
      </c>
      <c r="H18" s="145" t="s">
        <v>339</v>
      </c>
      <c r="I18" s="145" t="s">
        <v>1215</v>
      </c>
      <c r="J18" s="145" t="s">
        <v>413</v>
      </c>
      <c r="K18" s="145" t="s">
        <v>1218</v>
      </c>
      <c r="L18" s="146">
        <v>0.5</v>
      </c>
      <c r="M18" s="146">
        <v>4.1520000000000001</v>
      </c>
      <c r="N18" s="150">
        <v>3.0599999999999999E-2</v>
      </c>
      <c r="O18" s="146">
        <v>2.0750000000000002</v>
      </c>
      <c r="P18" s="147">
        <f t="shared" si="0"/>
        <v>3.4719786056377199E-5</v>
      </c>
      <c r="Q18" s="147">
        <v>2.6042318156818186E-6</v>
      </c>
    </row>
    <row r="19" spans="1:17" s="145" customFormat="1">
      <c r="A19" s="145" t="s">
        <v>1213</v>
      </c>
      <c r="B19" s="145">
        <v>13498</v>
      </c>
      <c r="C19" s="145" t="s">
        <v>1209</v>
      </c>
      <c r="D19" s="145" t="s">
        <v>1210</v>
      </c>
      <c r="E19" s="145" t="s">
        <v>315</v>
      </c>
      <c r="F19" s="145" t="s">
        <v>935</v>
      </c>
      <c r="G19" s="145" t="s">
        <v>205</v>
      </c>
      <c r="H19" s="145" t="s">
        <v>339</v>
      </c>
      <c r="I19" s="145" t="s">
        <v>1211</v>
      </c>
      <c r="J19" s="145" t="s">
        <v>415</v>
      </c>
      <c r="K19" s="145" t="s">
        <v>1216</v>
      </c>
      <c r="L19" s="146">
        <v>1265.615</v>
      </c>
      <c r="M19" s="146">
        <v>3.71</v>
      </c>
      <c r="N19" s="150">
        <v>4.4999999999999998E-2</v>
      </c>
      <c r="O19" s="146">
        <v>4695.43</v>
      </c>
      <c r="P19" s="147">
        <f t="shared" si="0"/>
        <v>7.856593977961214E-2</v>
      </c>
      <c r="Q19" s="147">
        <v>5.8930063587021115E-3</v>
      </c>
    </row>
    <row r="20" spans="1:17" s="145" customFormat="1">
      <c r="A20" s="145" t="s">
        <v>1213</v>
      </c>
      <c r="B20" s="145">
        <v>13499</v>
      </c>
      <c r="C20" s="145" t="s">
        <v>1209</v>
      </c>
      <c r="D20" s="145" t="s">
        <v>1210</v>
      </c>
      <c r="E20" s="145" t="s">
        <v>315</v>
      </c>
      <c r="F20" s="145" t="s">
        <v>934</v>
      </c>
      <c r="G20" s="145" t="s">
        <v>204</v>
      </c>
      <c r="H20" s="145" t="s">
        <v>339</v>
      </c>
      <c r="I20" s="145" t="s">
        <v>1211</v>
      </c>
      <c r="J20" s="145" t="s">
        <v>415</v>
      </c>
      <c r="K20" s="145" t="s">
        <v>1212</v>
      </c>
      <c r="L20" s="146">
        <f>394.269-35.8783700000022</f>
        <v>358.39062999999783</v>
      </c>
      <c r="M20" s="146">
        <v>1</v>
      </c>
      <c r="N20" s="150">
        <v>0.04</v>
      </c>
      <c r="O20" s="146">
        <f>L20</f>
        <v>358.39062999999783</v>
      </c>
      <c r="P20" s="147">
        <f t="shared" si="0"/>
        <v>0.95865427848238571</v>
      </c>
      <c r="Q20" s="147">
        <v>1.1368990506872078E-2</v>
      </c>
    </row>
    <row r="21" spans="1:17" s="145" customFormat="1">
      <c r="A21" s="145" t="s">
        <v>1213</v>
      </c>
      <c r="B21" s="145">
        <v>13499</v>
      </c>
      <c r="C21" s="145" t="s">
        <v>1209</v>
      </c>
      <c r="D21" s="145" t="s">
        <v>1210</v>
      </c>
      <c r="E21" s="145" t="s">
        <v>315</v>
      </c>
      <c r="F21" s="145" t="s">
        <v>936</v>
      </c>
      <c r="G21" s="145" t="s">
        <v>204</v>
      </c>
      <c r="H21" s="145" t="s">
        <v>339</v>
      </c>
      <c r="I21" s="145" t="s">
        <v>1215</v>
      </c>
      <c r="J21" s="145" t="s">
        <v>413</v>
      </c>
      <c r="K21" s="145" t="s">
        <v>1216</v>
      </c>
      <c r="L21" s="146">
        <v>4.1660000000000004</v>
      </c>
      <c r="M21" s="146">
        <v>3.71</v>
      </c>
      <c r="N21" s="150">
        <v>4.7399999999999998E-2</v>
      </c>
      <c r="O21" s="146">
        <v>15.457000000000001</v>
      </c>
      <c r="P21" s="147">
        <f t="shared" si="0"/>
        <v>4.1345721517614252E-2</v>
      </c>
      <c r="Q21" s="147">
        <v>4.9033225635592868E-4</v>
      </c>
    </row>
    <row r="22" spans="1:17" s="145" customFormat="1">
      <c r="A22" s="145" t="s">
        <v>1213</v>
      </c>
      <c r="B22" s="145">
        <v>13500</v>
      </c>
      <c r="C22" s="145" t="s">
        <v>1209</v>
      </c>
      <c r="D22" s="145" t="s">
        <v>1210</v>
      </c>
      <c r="E22" s="145" t="s">
        <v>315</v>
      </c>
      <c r="F22" s="145" t="s">
        <v>934</v>
      </c>
      <c r="G22" s="145" t="s">
        <v>204</v>
      </c>
      <c r="H22" s="145" t="s">
        <v>339</v>
      </c>
      <c r="I22" s="145" t="s">
        <v>1211</v>
      </c>
      <c r="J22" s="145" t="s">
        <v>415</v>
      </c>
      <c r="K22" s="145" t="s">
        <v>1212</v>
      </c>
      <c r="L22" s="146">
        <f>19289.376+1205.91317000001</f>
        <v>20495.289170000011</v>
      </c>
      <c r="M22" s="146">
        <v>1</v>
      </c>
      <c r="N22" s="150">
        <v>0.04</v>
      </c>
      <c r="O22" s="146">
        <f>L22</f>
        <v>20495.289170000011</v>
      </c>
      <c r="P22" s="147">
        <f t="shared" si="0"/>
        <v>0.80594197688860247</v>
      </c>
      <c r="Q22" s="147">
        <v>6.893241500375083E-2</v>
      </c>
    </row>
    <row r="23" spans="1:17" s="145" customFormat="1">
      <c r="A23" s="145" t="s">
        <v>1213</v>
      </c>
      <c r="B23" s="145">
        <v>13500</v>
      </c>
      <c r="C23" s="145" t="s">
        <v>1209</v>
      </c>
      <c r="D23" s="145" t="s">
        <v>1210</v>
      </c>
      <c r="E23" s="145" t="s">
        <v>315</v>
      </c>
      <c r="F23" s="145" t="s">
        <v>936</v>
      </c>
      <c r="G23" s="145" t="s">
        <v>204</v>
      </c>
      <c r="H23" s="145" t="s">
        <v>339</v>
      </c>
      <c r="I23" s="145" t="s">
        <v>1215</v>
      </c>
      <c r="J23" s="145" t="s">
        <v>413</v>
      </c>
      <c r="K23" s="145" t="s">
        <v>1216</v>
      </c>
      <c r="L23" s="146">
        <v>57.381999999999998</v>
      </c>
      <c r="M23" s="146">
        <v>3.71</v>
      </c>
      <c r="N23" s="150">
        <v>4.7399999999999998E-2</v>
      </c>
      <c r="O23" s="146">
        <v>212.887</v>
      </c>
      <c r="P23" s="147">
        <f t="shared" si="0"/>
        <v>8.371414924217134E-3</v>
      </c>
      <c r="Q23" s="147">
        <v>7.1600917221425542E-4</v>
      </c>
    </row>
    <row r="24" spans="1:17" s="145" customFormat="1">
      <c r="A24" s="145" t="s">
        <v>1213</v>
      </c>
      <c r="B24" s="145">
        <v>13500</v>
      </c>
      <c r="C24" s="145" t="s">
        <v>1209</v>
      </c>
      <c r="D24" s="145" t="s">
        <v>1210</v>
      </c>
      <c r="E24" s="145" t="s">
        <v>315</v>
      </c>
      <c r="F24" s="145" t="s">
        <v>936</v>
      </c>
      <c r="G24" s="145" t="s">
        <v>204</v>
      </c>
      <c r="H24" s="145" t="s">
        <v>339</v>
      </c>
      <c r="I24" s="145" t="s">
        <v>1215</v>
      </c>
      <c r="J24" s="145" t="s">
        <v>413</v>
      </c>
      <c r="K24" s="145" t="s">
        <v>1218</v>
      </c>
      <c r="L24" s="146">
        <v>2.3340000000000001</v>
      </c>
      <c r="M24" s="146">
        <v>4.1520000000000001</v>
      </c>
      <c r="N24" s="150">
        <v>3.0599999999999999E-2</v>
      </c>
      <c r="O24" s="146">
        <v>9.6929999999999996</v>
      </c>
      <c r="P24" s="147">
        <f t="shared" si="0"/>
        <v>3.8116054461022363E-4</v>
      </c>
      <c r="Q24" s="147">
        <v>3.2600754890025123E-5</v>
      </c>
    </row>
    <row r="25" spans="1:17" s="145" customFormat="1">
      <c r="A25" s="145" t="s">
        <v>1213</v>
      </c>
      <c r="B25" s="145">
        <v>13500</v>
      </c>
      <c r="C25" s="145" t="s">
        <v>1209</v>
      </c>
      <c r="D25" s="145" t="s">
        <v>1210</v>
      </c>
      <c r="E25" s="145" t="s">
        <v>315</v>
      </c>
      <c r="F25" s="145" t="s">
        <v>935</v>
      </c>
      <c r="G25" s="145" t="s">
        <v>205</v>
      </c>
      <c r="H25" s="145" t="s">
        <v>339</v>
      </c>
      <c r="I25" s="145" t="s">
        <v>1211</v>
      </c>
      <c r="J25" s="145" t="s">
        <v>415</v>
      </c>
      <c r="K25" s="145" t="s">
        <v>1216</v>
      </c>
      <c r="L25" s="146">
        <v>1270.1780000000001</v>
      </c>
      <c r="M25" s="146">
        <v>3.71</v>
      </c>
      <c r="N25" s="150">
        <v>4.4999999999999998E-2</v>
      </c>
      <c r="O25" s="146">
        <v>4712.3599999999997</v>
      </c>
      <c r="P25" s="147">
        <f t="shared" si="0"/>
        <v>0.18530544764257026</v>
      </c>
      <c r="Q25" s="147">
        <v>1.5849220397560999E-2</v>
      </c>
    </row>
    <row r="26" spans="1:17" s="145" customFormat="1">
      <c r="A26" s="145" t="s">
        <v>1213</v>
      </c>
      <c r="B26" s="145">
        <v>141</v>
      </c>
      <c r="C26" s="145" t="s">
        <v>1209</v>
      </c>
      <c r="D26" s="145" t="s">
        <v>1210</v>
      </c>
      <c r="E26" s="145" t="s">
        <v>315</v>
      </c>
      <c r="F26" s="145" t="s">
        <v>934</v>
      </c>
      <c r="G26" s="145" t="s">
        <v>204</v>
      </c>
      <c r="H26" s="145" t="s">
        <v>339</v>
      </c>
      <c r="I26" s="145" t="s">
        <v>1211</v>
      </c>
      <c r="J26" s="145" t="s">
        <v>415</v>
      </c>
      <c r="K26" s="145" t="s">
        <v>1212</v>
      </c>
      <c r="L26" s="146">
        <f>7071.388+1026.88323000003</f>
        <v>8098.2712300000294</v>
      </c>
      <c r="M26" s="146">
        <v>1</v>
      </c>
      <c r="N26" s="150">
        <v>0.04</v>
      </c>
      <c r="O26" s="146">
        <f>L26</f>
        <v>8098.2712300000294</v>
      </c>
      <c r="P26" s="147">
        <f t="shared" si="0"/>
        <v>0.65584776087925567</v>
      </c>
      <c r="Q26" s="147">
        <v>2.1732935069505382E-2</v>
      </c>
    </row>
    <row r="27" spans="1:17" s="145" customFormat="1">
      <c r="A27" s="145" t="s">
        <v>1213</v>
      </c>
      <c r="B27" s="145">
        <v>141</v>
      </c>
      <c r="C27" s="145" t="s">
        <v>1209</v>
      </c>
      <c r="D27" s="145" t="s">
        <v>1210</v>
      </c>
      <c r="E27" s="145" t="s">
        <v>315</v>
      </c>
      <c r="F27" s="145" t="s">
        <v>936</v>
      </c>
      <c r="G27" s="145" t="s">
        <v>204</v>
      </c>
      <c r="H27" s="145" t="s">
        <v>339</v>
      </c>
      <c r="I27" s="145" t="s">
        <v>1215</v>
      </c>
      <c r="J27" s="145" t="s">
        <v>413</v>
      </c>
      <c r="K27" s="145" t="s">
        <v>1216</v>
      </c>
      <c r="L27" s="146">
        <v>5.3869999999999996</v>
      </c>
      <c r="M27" s="146">
        <v>3.71</v>
      </c>
      <c r="N27" s="150">
        <v>4.7399999999999998E-2</v>
      </c>
      <c r="O27" s="146">
        <v>19.986000000000001</v>
      </c>
      <c r="P27" s="147">
        <f t="shared" si="0"/>
        <v>1.6185890761938281E-3</v>
      </c>
      <c r="Q27" s="147">
        <v>5.3635452303705195E-5</v>
      </c>
    </row>
    <row r="28" spans="1:17" s="145" customFormat="1">
      <c r="A28" s="145" t="s">
        <v>1213</v>
      </c>
      <c r="B28" s="145">
        <v>141</v>
      </c>
      <c r="C28" s="145" t="s">
        <v>1209</v>
      </c>
      <c r="D28" s="145" t="s">
        <v>1210</v>
      </c>
      <c r="E28" s="145" t="s">
        <v>315</v>
      </c>
      <c r="F28" s="145" t="s">
        <v>936</v>
      </c>
      <c r="G28" s="145" t="s">
        <v>204</v>
      </c>
      <c r="H28" s="145" t="s">
        <v>339</v>
      </c>
      <c r="I28" s="145" t="s">
        <v>1215</v>
      </c>
      <c r="J28" s="145" t="s">
        <v>413</v>
      </c>
      <c r="K28" s="145" t="s">
        <v>1218</v>
      </c>
      <c r="L28" s="146">
        <v>9.5000000000000001E-2</v>
      </c>
      <c r="M28" s="146">
        <v>4.1520000000000001</v>
      </c>
      <c r="N28" s="150">
        <v>3.0599999999999999E-2</v>
      </c>
      <c r="O28" s="146">
        <v>0.39400000000000002</v>
      </c>
      <c r="P28" s="147">
        <f t="shared" si="0"/>
        <v>3.1908540779564107E-5</v>
      </c>
      <c r="Q28" s="147">
        <v>1.0573585613759555E-6</v>
      </c>
    </row>
    <row r="29" spans="1:17" s="145" customFormat="1">
      <c r="A29" s="145" t="s">
        <v>1213</v>
      </c>
      <c r="B29" s="145">
        <v>141</v>
      </c>
      <c r="C29" s="145" t="s">
        <v>1209</v>
      </c>
      <c r="D29" s="145" t="s">
        <v>1210</v>
      </c>
      <c r="E29" s="145" t="s">
        <v>315</v>
      </c>
      <c r="F29" s="145" t="s">
        <v>935</v>
      </c>
      <c r="G29" s="145" t="s">
        <v>205</v>
      </c>
      <c r="H29" s="145" t="s">
        <v>339</v>
      </c>
      <c r="I29" s="145" t="s">
        <v>1211</v>
      </c>
      <c r="J29" s="145" t="s">
        <v>415</v>
      </c>
      <c r="K29" s="145" t="s">
        <v>1216</v>
      </c>
      <c r="L29" s="146">
        <v>1139.93</v>
      </c>
      <c r="M29" s="146">
        <v>3.71</v>
      </c>
      <c r="N29" s="150">
        <v>4.4999999999999998E-2</v>
      </c>
      <c r="O29" s="146">
        <v>4229.1400000000003</v>
      </c>
      <c r="P29" s="147">
        <f t="shared" si="0"/>
        <v>0.34250174150377094</v>
      </c>
      <c r="Q29" s="147">
        <v>1.134953651334393E-2</v>
      </c>
    </row>
    <row r="30" spans="1:17" s="145" customFormat="1">
      <c r="A30" s="145" t="s">
        <v>1213</v>
      </c>
      <c r="B30" s="145">
        <v>142</v>
      </c>
      <c r="C30" s="145" t="s">
        <v>1209</v>
      </c>
      <c r="D30" s="145" t="s">
        <v>1210</v>
      </c>
      <c r="E30" s="145" t="s">
        <v>315</v>
      </c>
      <c r="F30" s="145" t="s">
        <v>934</v>
      </c>
      <c r="G30" s="145" t="s">
        <v>204</v>
      </c>
      <c r="H30" s="145" t="s">
        <v>339</v>
      </c>
      <c r="I30" s="145" t="s">
        <v>1211</v>
      </c>
      <c r="J30" s="145" t="s">
        <v>415</v>
      </c>
      <c r="K30" s="145" t="s">
        <v>1212</v>
      </c>
      <c r="L30" s="146">
        <f>75647.115+1562.70276999997</f>
        <v>77209.81776999998</v>
      </c>
      <c r="M30" s="146">
        <v>1</v>
      </c>
      <c r="N30" s="150">
        <v>0.04</v>
      </c>
      <c r="O30" s="146">
        <f>L30</f>
        <v>77209.81776999998</v>
      </c>
      <c r="P30" s="147">
        <f t="shared" si="0"/>
        <v>0.75627438576993178</v>
      </c>
      <c r="Q30" s="147">
        <v>0.11826301915471056</v>
      </c>
    </row>
    <row r="31" spans="1:17" s="145" customFormat="1">
      <c r="A31" s="145" t="s">
        <v>1213</v>
      </c>
      <c r="B31" s="145">
        <v>142</v>
      </c>
      <c r="C31" s="145" t="s">
        <v>1209</v>
      </c>
      <c r="D31" s="145" t="s">
        <v>1210</v>
      </c>
      <c r="E31" s="145" t="s">
        <v>315</v>
      </c>
      <c r="F31" s="145" t="s">
        <v>936</v>
      </c>
      <c r="G31" s="145" t="s">
        <v>204</v>
      </c>
      <c r="H31" s="145" t="s">
        <v>339</v>
      </c>
      <c r="I31" s="145" t="s">
        <v>1215</v>
      </c>
      <c r="J31" s="145" t="s">
        <v>413</v>
      </c>
      <c r="K31" s="145" t="s">
        <v>1218</v>
      </c>
      <c r="L31" s="146">
        <v>1651.8050000000001</v>
      </c>
      <c r="M31" s="146">
        <v>4.1520000000000001</v>
      </c>
      <c r="N31" s="150">
        <v>3.0599999999999999E-2</v>
      </c>
      <c r="O31" s="146">
        <v>6858.9530000000004</v>
      </c>
      <c r="P31" s="147">
        <f t="shared" si="0"/>
        <v>6.7183819583049809E-2</v>
      </c>
      <c r="Q31" s="147">
        <v>1.050592416157E-2</v>
      </c>
    </row>
    <row r="32" spans="1:17" s="145" customFormat="1">
      <c r="A32" s="145" t="s">
        <v>1213</v>
      </c>
      <c r="B32" s="145">
        <v>142</v>
      </c>
      <c r="C32" s="145" t="s">
        <v>1209</v>
      </c>
      <c r="D32" s="145" t="s">
        <v>1210</v>
      </c>
      <c r="E32" s="145" t="s">
        <v>315</v>
      </c>
      <c r="F32" s="145" t="s">
        <v>936</v>
      </c>
      <c r="G32" s="145" t="s">
        <v>204</v>
      </c>
      <c r="H32" s="145" t="s">
        <v>339</v>
      </c>
      <c r="I32" s="145" t="s">
        <v>1215</v>
      </c>
      <c r="J32" s="145" t="s">
        <v>413</v>
      </c>
      <c r="K32" s="145" t="s">
        <v>1216</v>
      </c>
      <c r="L32" s="146">
        <v>528.85699999999997</v>
      </c>
      <c r="M32" s="146">
        <v>3.71</v>
      </c>
      <c r="N32" s="150">
        <v>4.7399999999999998E-2</v>
      </c>
      <c r="O32" s="146">
        <v>1962.0609999999999</v>
      </c>
      <c r="P32" s="147">
        <f t="shared" si="0"/>
        <v>1.9218494752032602E-2</v>
      </c>
      <c r="Q32" s="147">
        <v>3.0053076710649853E-3</v>
      </c>
    </row>
    <row r="33" spans="1:17" s="145" customFormat="1">
      <c r="A33" s="145" t="s">
        <v>1213</v>
      </c>
      <c r="B33" s="145">
        <v>142</v>
      </c>
      <c r="C33" s="145" t="s">
        <v>1209</v>
      </c>
      <c r="D33" s="145" t="s">
        <v>1210</v>
      </c>
      <c r="E33" s="145" t="s">
        <v>315</v>
      </c>
      <c r="F33" s="145" t="s">
        <v>936</v>
      </c>
      <c r="G33" s="145" t="s">
        <v>204</v>
      </c>
      <c r="H33" s="145" t="s">
        <v>339</v>
      </c>
      <c r="I33" s="145" t="s">
        <v>1215</v>
      </c>
      <c r="J33" s="145" t="s">
        <v>413</v>
      </c>
      <c r="K33" s="145" t="s">
        <v>1226</v>
      </c>
      <c r="L33" s="146">
        <v>2416.1060000000002</v>
      </c>
      <c r="M33" s="146">
        <v>0.35199999999999998</v>
      </c>
      <c r="N33" s="150">
        <v>0</v>
      </c>
      <c r="O33" s="146">
        <v>851.43600000000004</v>
      </c>
      <c r="P33" s="147">
        <f t="shared" si="0"/>
        <v>8.3398621641690204E-3</v>
      </c>
      <c r="Q33" s="147">
        <v>1.304152695670974E-3</v>
      </c>
    </row>
    <row r="34" spans="1:17" s="145" customFormat="1">
      <c r="A34" s="145" t="s">
        <v>1213</v>
      </c>
      <c r="B34" s="145">
        <v>142</v>
      </c>
      <c r="C34" s="145" t="s">
        <v>1209</v>
      </c>
      <c r="D34" s="145" t="s">
        <v>1210</v>
      </c>
      <c r="E34" s="145" t="s">
        <v>315</v>
      </c>
      <c r="F34" s="145" t="s">
        <v>936</v>
      </c>
      <c r="G34" s="145" t="s">
        <v>204</v>
      </c>
      <c r="H34" s="145" t="s">
        <v>339</v>
      </c>
      <c r="I34" s="145" t="s">
        <v>1215</v>
      </c>
      <c r="J34" s="145" t="s">
        <v>413</v>
      </c>
      <c r="K34" s="145" t="s">
        <v>1227</v>
      </c>
      <c r="L34" s="146">
        <v>16.53</v>
      </c>
      <c r="M34" s="146">
        <v>4.9749999999999996</v>
      </c>
      <c r="N34" s="150">
        <v>0</v>
      </c>
      <c r="O34" s="146">
        <v>82.233000000000004</v>
      </c>
      <c r="P34" s="147">
        <f t="shared" si="0"/>
        <v>8.05476730307517E-4</v>
      </c>
      <c r="Q34" s="147">
        <v>1.2595707560299449E-4</v>
      </c>
    </row>
    <row r="35" spans="1:17" s="145" customFormat="1">
      <c r="A35" s="145" t="s">
        <v>1213</v>
      </c>
      <c r="B35" s="145">
        <v>142</v>
      </c>
      <c r="C35" s="145" t="s">
        <v>1209</v>
      </c>
      <c r="D35" s="145" t="s">
        <v>1210</v>
      </c>
      <c r="E35" s="145" t="s">
        <v>315</v>
      </c>
      <c r="F35" s="145" t="s">
        <v>936</v>
      </c>
      <c r="G35" s="145" t="s">
        <v>204</v>
      </c>
      <c r="H35" s="145" t="s">
        <v>339</v>
      </c>
      <c r="I35" s="145" t="s">
        <v>1211</v>
      </c>
      <c r="J35" s="145" t="s">
        <v>415</v>
      </c>
      <c r="K35" s="145" t="s">
        <v>1219</v>
      </c>
      <c r="L35" s="146">
        <v>14.526</v>
      </c>
      <c r="M35" s="146">
        <v>4.3970000000000002</v>
      </c>
      <c r="N35" s="150">
        <v>0</v>
      </c>
      <c r="O35" s="146">
        <v>63.863</v>
      </c>
      <c r="P35" s="147">
        <f t="shared" si="0"/>
        <v>6.255415761024036E-4</v>
      </c>
      <c r="Q35" s="147">
        <v>9.7819570236207313E-5</v>
      </c>
    </row>
    <row r="36" spans="1:17" s="145" customFormat="1">
      <c r="A36" s="145" t="s">
        <v>1213</v>
      </c>
      <c r="B36" s="145">
        <v>142</v>
      </c>
      <c r="C36" s="145" t="s">
        <v>1209</v>
      </c>
      <c r="D36" s="145" t="s">
        <v>1210</v>
      </c>
      <c r="E36" s="145" t="s">
        <v>315</v>
      </c>
      <c r="F36" s="145" t="s">
        <v>935</v>
      </c>
      <c r="G36" s="145" t="s">
        <v>205</v>
      </c>
      <c r="H36" s="145" t="s">
        <v>339</v>
      </c>
      <c r="I36" s="145" t="s">
        <v>1211</v>
      </c>
      <c r="J36" s="145" t="s">
        <v>415</v>
      </c>
      <c r="K36" s="145" t="s">
        <v>1216</v>
      </c>
      <c r="L36" s="146">
        <v>3745.933</v>
      </c>
      <c r="M36" s="146">
        <v>3.71</v>
      </c>
      <c r="N36" s="150">
        <v>4.4999999999999998E-2</v>
      </c>
      <c r="O36" s="146">
        <v>13897.412</v>
      </c>
      <c r="P36" s="147">
        <f t="shared" si="0"/>
        <v>0.13612591024888365</v>
      </c>
      <c r="Q36" s="147">
        <v>2.1286799386742095E-2</v>
      </c>
    </row>
    <row r="37" spans="1:17" s="145" customFormat="1">
      <c r="A37" s="145" t="s">
        <v>1213</v>
      </c>
      <c r="B37" s="145">
        <v>142</v>
      </c>
      <c r="C37" s="145" t="s">
        <v>1209</v>
      </c>
      <c r="D37" s="145" t="s">
        <v>1210</v>
      </c>
      <c r="E37" s="145" t="s">
        <v>315</v>
      </c>
      <c r="F37" s="145" t="s">
        <v>935</v>
      </c>
      <c r="G37" s="145" t="s">
        <v>205</v>
      </c>
      <c r="H37" s="145" t="s">
        <v>339</v>
      </c>
      <c r="I37" s="145" t="s">
        <v>1211</v>
      </c>
      <c r="J37" s="145" t="s">
        <v>415</v>
      </c>
      <c r="K37" s="145" t="s">
        <v>1228</v>
      </c>
      <c r="L37" s="146">
        <v>35329.627</v>
      </c>
      <c r="M37" s="146">
        <v>2.5999999999999999E-2</v>
      </c>
      <c r="N37" s="150">
        <v>-5.7000000000000002E-3</v>
      </c>
      <c r="O37" s="146">
        <v>919.59500000000003</v>
      </c>
      <c r="P37" s="147">
        <f t="shared" si="0"/>
        <v>9.0074832951143827E-3</v>
      </c>
      <c r="Q37" s="147">
        <v>1.4085524903522395E-3</v>
      </c>
    </row>
    <row r="38" spans="1:17" s="145" customFormat="1">
      <c r="A38" s="145" t="s">
        <v>1213</v>
      </c>
      <c r="B38" s="145">
        <v>142</v>
      </c>
      <c r="C38" s="145" t="s">
        <v>1209</v>
      </c>
      <c r="D38" s="145" t="s">
        <v>1210</v>
      </c>
      <c r="E38" s="145" t="s">
        <v>315</v>
      </c>
      <c r="F38" s="145" t="s">
        <v>935</v>
      </c>
      <c r="G38" s="145" t="s">
        <v>205</v>
      </c>
      <c r="H38" s="145" t="s">
        <v>339</v>
      </c>
      <c r="I38" s="145" t="s">
        <v>1211</v>
      </c>
      <c r="J38" s="145" t="s">
        <v>415</v>
      </c>
      <c r="K38" s="145" t="s">
        <v>1218</v>
      </c>
      <c r="L38" s="146">
        <v>59.475000000000001</v>
      </c>
      <c r="M38" s="146">
        <v>4.1520000000000001</v>
      </c>
      <c r="N38" s="150">
        <v>2.7300000000000001E-2</v>
      </c>
      <c r="O38" s="146">
        <v>246.964</v>
      </c>
      <c r="P38" s="147">
        <f t="shared" si="0"/>
        <v>2.4190258804089064E-3</v>
      </c>
      <c r="Q38" s="147">
        <v>3.7827712985319677E-4</v>
      </c>
    </row>
    <row r="39" spans="1:17" s="145" customFormat="1">
      <c r="A39" s="145" t="s">
        <v>1213</v>
      </c>
      <c r="B39" s="145">
        <v>143</v>
      </c>
      <c r="C39" s="145" t="s">
        <v>1209</v>
      </c>
      <c r="D39" s="145" t="s">
        <v>1210</v>
      </c>
      <c r="E39" s="145" t="s">
        <v>315</v>
      </c>
      <c r="F39" s="145" t="s">
        <v>934</v>
      </c>
      <c r="G39" s="145" t="s">
        <v>204</v>
      </c>
      <c r="H39" s="145" t="s">
        <v>339</v>
      </c>
      <c r="I39" s="145" t="s">
        <v>1211</v>
      </c>
      <c r="J39" s="145" t="s">
        <v>415</v>
      </c>
      <c r="K39" s="145" t="s">
        <v>1212</v>
      </c>
      <c r="L39" s="146">
        <f>109085.423-291.965530000161</f>
        <v>108793.45746999983</v>
      </c>
      <c r="M39" s="146">
        <v>1</v>
      </c>
      <c r="N39" s="150">
        <v>0.04</v>
      </c>
      <c r="O39" s="146">
        <f>L39</f>
        <v>108793.45746999983</v>
      </c>
      <c r="P39" s="147">
        <f t="shared" si="0"/>
        <v>0.53967737444199715</v>
      </c>
      <c r="Q39" s="147">
        <v>3.880423556776106E-2</v>
      </c>
    </row>
    <row r="40" spans="1:17" s="145" customFormat="1">
      <c r="A40" s="145" t="s">
        <v>1213</v>
      </c>
      <c r="B40" s="145">
        <v>143</v>
      </c>
      <c r="C40" s="145" t="s">
        <v>1209</v>
      </c>
      <c r="D40" s="145" t="s">
        <v>1210</v>
      </c>
      <c r="E40" s="145" t="s">
        <v>315</v>
      </c>
      <c r="F40" s="145" t="s">
        <v>936</v>
      </c>
      <c r="G40" s="145" t="s">
        <v>204</v>
      </c>
      <c r="H40" s="145" t="s">
        <v>339</v>
      </c>
      <c r="I40" s="145" t="s">
        <v>1215</v>
      </c>
      <c r="J40" s="145" t="s">
        <v>413</v>
      </c>
      <c r="K40" s="145" t="s">
        <v>1218</v>
      </c>
      <c r="L40" s="146">
        <v>4061.5650000000001</v>
      </c>
      <c r="M40" s="146">
        <v>4.1520000000000001</v>
      </c>
      <c r="N40" s="150">
        <v>3.0599999999999999E-2</v>
      </c>
      <c r="O40" s="146">
        <v>16865.241000000002</v>
      </c>
      <c r="P40" s="147">
        <f t="shared" si="0"/>
        <v>8.3661179577102535E-2</v>
      </c>
      <c r="Q40" s="147">
        <v>6.0154608548177351E-3</v>
      </c>
    </row>
    <row r="41" spans="1:17" s="145" customFormat="1">
      <c r="A41" s="145" t="s">
        <v>1213</v>
      </c>
      <c r="B41" s="145">
        <v>143</v>
      </c>
      <c r="C41" s="145" t="s">
        <v>1209</v>
      </c>
      <c r="D41" s="145" t="s">
        <v>1210</v>
      </c>
      <c r="E41" s="145" t="s">
        <v>315</v>
      </c>
      <c r="F41" s="145" t="s">
        <v>936</v>
      </c>
      <c r="G41" s="145" t="s">
        <v>204</v>
      </c>
      <c r="H41" s="145" t="s">
        <v>339</v>
      </c>
      <c r="I41" s="145" t="s">
        <v>1215</v>
      </c>
      <c r="J41" s="145" t="s">
        <v>413</v>
      </c>
      <c r="K41" s="145" t="s">
        <v>1216</v>
      </c>
      <c r="L41" s="146">
        <v>2340.7440000000001</v>
      </c>
      <c r="M41" s="146">
        <v>3.71</v>
      </c>
      <c r="N41" s="150">
        <v>4.7399999999999998E-2</v>
      </c>
      <c r="O41" s="146">
        <v>8684.1579999999994</v>
      </c>
      <c r="P41" s="147">
        <f t="shared" si="0"/>
        <v>4.3078358732847724E-2</v>
      </c>
      <c r="Q41" s="147">
        <v>3.0974483261788114E-3</v>
      </c>
    </row>
    <row r="42" spans="1:17" s="145" customFormat="1">
      <c r="A42" s="145" t="s">
        <v>1213</v>
      </c>
      <c r="B42" s="145">
        <v>143</v>
      </c>
      <c r="C42" s="145" t="s">
        <v>1209</v>
      </c>
      <c r="D42" s="145" t="s">
        <v>1210</v>
      </c>
      <c r="E42" s="145" t="s">
        <v>315</v>
      </c>
      <c r="F42" s="145" t="s">
        <v>936</v>
      </c>
      <c r="G42" s="145" t="s">
        <v>204</v>
      </c>
      <c r="H42" s="145" t="s">
        <v>339</v>
      </c>
      <c r="I42" s="145" t="s">
        <v>1215</v>
      </c>
      <c r="J42" s="145" t="s">
        <v>413</v>
      </c>
      <c r="K42" s="145" t="s">
        <v>1226</v>
      </c>
      <c r="L42" s="146">
        <v>7202.5330000000004</v>
      </c>
      <c r="M42" s="146">
        <v>0.35199999999999998</v>
      </c>
      <c r="N42" s="150">
        <v>0</v>
      </c>
      <c r="O42" s="146">
        <v>2538.1729999999998</v>
      </c>
      <c r="P42" s="147">
        <f t="shared" si="0"/>
        <v>1.2590780478663365E-2</v>
      </c>
      <c r="Q42" s="147">
        <v>9.0531053331851543E-4</v>
      </c>
    </row>
    <row r="43" spans="1:17" s="145" customFormat="1">
      <c r="A43" s="145" t="s">
        <v>1213</v>
      </c>
      <c r="B43" s="145">
        <v>143</v>
      </c>
      <c r="C43" s="145" t="s">
        <v>1209</v>
      </c>
      <c r="D43" s="145" t="s">
        <v>1210</v>
      </c>
      <c r="E43" s="145" t="s">
        <v>315</v>
      </c>
      <c r="F43" s="145" t="s">
        <v>936</v>
      </c>
      <c r="G43" s="145" t="s">
        <v>204</v>
      </c>
      <c r="H43" s="145" t="s">
        <v>339</v>
      </c>
      <c r="I43" s="145" t="s">
        <v>1211</v>
      </c>
      <c r="J43" s="145" t="s">
        <v>415</v>
      </c>
      <c r="K43" s="145" t="s">
        <v>1219</v>
      </c>
      <c r="L43" s="146">
        <v>46.804000000000002</v>
      </c>
      <c r="M43" s="146">
        <v>4.3970000000000002</v>
      </c>
      <c r="N43" s="150">
        <v>0</v>
      </c>
      <c r="O43" s="146">
        <v>205.773</v>
      </c>
      <c r="P43" s="147">
        <f t="shared" si="0"/>
        <v>1.0207510171434324E-3</v>
      </c>
      <c r="Q43" s="147">
        <v>7.3394707284551086E-5</v>
      </c>
    </row>
    <row r="44" spans="1:17" s="145" customFormat="1">
      <c r="A44" s="145" t="s">
        <v>1213</v>
      </c>
      <c r="B44" s="145">
        <v>143</v>
      </c>
      <c r="C44" s="145" t="s">
        <v>1209</v>
      </c>
      <c r="D44" s="145" t="s">
        <v>1210</v>
      </c>
      <c r="E44" s="145" t="s">
        <v>315</v>
      </c>
      <c r="F44" s="145" t="s">
        <v>936</v>
      </c>
      <c r="G44" s="145" t="s">
        <v>204</v>
      </c>
      <c r="H44" s="145" t="s">
        <v>339</v>
      </c>
      <c r="I44" s="145" t="s">
        <v>1215</v>
      </c>
      <c r="J44" s="145" t="s">
        <v>413</v>
      </c>
      <c r="K44" s="145" t="s">
        <v>1227</v>
      </c>
      <c r="L44" s="146">
        <v>36.83</v>
      </c>
      <c r="M44" s="146">
        <v>4.9749999999999996</v>
      </c>
      <c r="N44" s="150">
        <v>0</v>
      </c>
      <c r="O44" s="146">
        <v>183.22200000000001</v>
      </c>
      <c r="P44" s="147">
        <f t="shared" si="0"/>
        <v>9.088852418104122E-4</v>
      </c>
      <c r="Q44" s="147">
        <v>6.5351261137710107E-5</v>
      </c>
    </row>
    <row r="45" spans="1:17" s="145" customFormat="1">
      <c r="A45" s="145" t="s">
        <v>1213</v>
      </c>
      <c r="B45" s="145">
        <v>143</v>
      </c>
      <c r="C45" s="145" t="s">
        <v>1209</v>
      </c>
      <c r="D45" s="145" t="s">
        <v>1210</v>
      </c>
      <c r="E45" s="145" t="s">
        <v>315</v>
      </c>
      <c r="F45" s="145" t="s">
        <v>935</v>
      </c>
      <c r="G45" s="145" t="s">
        <v>205</v>
      </c>
      <c r="H45" s="145" t="s">
        <v>339</v>
      </c>
      <c r="I45" s="145" t="s">
        <v>1211</v>
      </c>
      <c r="J45" s="145" t="s">
        <v>415</v>
      </c>
      <c r="K45" s="145" t="s">
        <v>1216</v>
      </c>
      <c r="L45" s="146">
        <v>16099.41</v>
      </c>
      <c r="M45" s="146">
        <v>3.71</v>
      </c>
      <c r="N45" s="150">
        <v>4.4999999999999998E-2</v>
      </c>
      <c r="O45" s="146">
        <v>59728.81</v>
      </c>
      <c r="P45" s="147">
        <f t="shared" si="0"/>
        <v>0.2962888404225375</v>
      </c>
      <c r="Q45" s="147">
        <v>2.130395399981809E-2</v>
      </c>
    </row>
    <row r="46" spans="1:17" s="145" customFormat="1">
      <c r="A46" s="145" t="s">
        <v>1213</v>
      </c>
      <c r="B46" s="145">
        <v>143</v>
      </c>
      <c r="C46" s="145" t="s">
        <v>1209</v>
      </c>
      <c r="D46" s="145" t="s">
        <v>1210</v>
      </c>
      <c r="E46" s="145" t="s">
        <v>315</v>
      </c>
      <c r="F46" s="145" t="s">
        <v>935</v>
      </c>
      <c r="G46" s="145" t="s">
        <v>205</v>
      </c>
      <c r="H46" s="145" t="s">
        <v>339</v>
      </c>
      <c r="I46" s="145" t="s">
        <v>1211</v>
      </c>
      <c r="J46" s="145" t="s">
        <v>415</v>
      </c>
      <c r="K46" s="145" t="s">
        <v>1228</v>
      </c>
      <c r="L46" s="146">
        <v>153917.31</v>
      </c>
      <c r="M46" s="146">
        <v>2.5999999999999999E-2</v>
      </c>
      <c r="N46" s="150">
        <v>-5.7000000000000002E-3</v>
      </c>
      <c r="O46" s="146">
        <v>4006.3139999999999</v>
      </c>
      <c r="P46" s="147">
        <f t="shared" si="0"/>
        <v>1.9873594157134186E-2</v>
      </c>
      <c r="Q46" s="147">
        <v>1.4289641659498526E-3</v>
      </c>
    </row>
    <row r="47" spans="1:17" s="145" customFormat="1">
      <c r="A47" s="145" t="s">
        <v>1213</v>
      </c>
      <c r="B47" s="145">
        <v>143</v>
      </c>
      <c r="C47" s="145" t="s">
        <v>1209</v>
      </c>
      <c r="D47" s="145" t="s">
        <v>1210</v>
      </c>
      <c r="E47" s="145" t="s">
        <v>315</v>
      </c>
      <c r="F47" s="145" t="s">
        <v>935</v>
      </c>
      <c r="G47" s="145" t="s">
        <v>205</v>
      </c>
      <c r="H47" s="145" t="s">
        <v>339</v>
      </c>
      <c r="I47" s="145" t="s">
        <v>1211</v>
      </c>
      <c r="J47" s="145" t="s">
        <v>415</v>
      </c>
      <c r="K47" s="145" t="s">
        <v>1218</v>
      </c>
      <c r="L47" s="146">
        <v>140.80000000000001</v>
      </c>
      <c r="M47" s="146">
        <v>4.1520000000000001</v>
      </c>
      <c r="N47" s="150">
        <v>2.7300000000000001E-2</v>
      </c>
      <c r="O47" s="146">
        <v>584.65800000000002</v>
      </c>
      <c r="P47" s="147">
        <f t="shared" si="0"/>
        <v>2.9002359307637293E-3</v>
      </c>
      <c r="Q47" s="147">
        <v>2.0853466087179112E-4</v>
      </c>
    </row>
    <row r="48" spans="1:17" s="145" customFormat="1">
      <c r="A48" s="145" t="s">
        <v>1213</v>
      </c>
      <c r="B48" s="145">
        <v>14318</v>
      </c>
      <c r="C48" s="145" t="s">
        <v>1209</v>
      </c>
      <c r="D48" s="145" t="s">
        <v>1210</v>
      </c>
      <c r="E48" s="145" t="s">
        <v>315</v>
      </c>
      <c r="F48" s="145" t="s">
        <v>934</v>
      </c>
      <c r="G48" s="145" t="s">
        <v>204</v>
      </c>
      <c r="H48" s="145" t="s">
        <v>339</v>
      </c>
      <c r="I48" s="145" t="s">
        <v>1211</v>
      </c>
      <c r="J48" s="145" t="s">
        <v>415</v>
      </c>
      <c r="K48" s="145" t="s">
        <v>1212</v>
      </c>
      <c r="L48" s="146">
        <f>338.532+2.27374000000009</f>
        <v>340.80574000000007</v>
      </c>
      <c r="M48" s="146">
        <v>1</v>
      </c>
      <c r="N48" s="150">
        <v>0.04</v>
      </c>
      <c r="O48" s="146">
        <f>L48</f>
        <v>340.80574000000007</v>
      </c>
      <c r="P48" s="147">
        <f t="shared" si="0"/>
        <v>0.95022022823080177</v>
      </c>
      <c r="Q48" s="147">
        <v>0.1435707875806051</v>
      </c>
    </row>
    <row r="49" spans="1:17" s="145" customFormat="1">
      <c r="A49" s="145" t="s">
        <v>1213</v>
      </c>
      <c r="B49" s="145">
        <v>14318</v>
      </c>
      <c r="C49" s="145" t="s">
        <v>1209</v>
      </c>
      <c r="D49" s="145" t="s">
        <v>1210</v>
      </c>
      <c r="E49" s="145" t="s">
        <v>315</v>
      </c>
      <c r="F49" s="145" t="s">
        <v>936</v>
      </c>
      <c r="G49" s="145" t="s">
        <v>204</v>
      </c>
      <c r="H49" s="145" t="s">
        <v>339</v>
      </c>
      <c r="I49" s="145" t="s">
        <v>1215</v>
      </c>
      <c r="J49" s="145" t="s">
        <v>413</v>
      </c>
      <c r="K49" s="145" t="s">
        <v>1216</v>
      </c>
      <c r="L49" s="146">
        <v>4.8129999999999997</v>
      </c>
      <c r="M49" s="146">
        <v>3.71</v>
      </c>
      <c r="N49" s="150">
        <v>4.7399999999999998E-2</v>
      </c>
      <c r="O49" s="146">
        <v>17.853999999999999</v>
      </c>
      <c r="P49" s="147">
        <f t="shared" si="0"/>
        <v>4.9779771769198282E-2</v>
      </c>
      <c r="Q49" s="147">
        <v>7.5213311884480671E-3</v>
      </c>
    </row>
    <row r="50" spans="1:17" s="145" customFormat="1">
      <c r="A50" s="145" t="s">
        <v>1213</v>
      </c>
      <c r="B50" s="145">
        <v>14406</v>
      </c>
      <c r="C50" s="145" t="s">
        <v>1209</v>
      </c>
      <c r="D50" s="145" t="s">
        <v>1210</v>
      </c>
      <c r="E50" s="145" t="s">
        <v>315</v>
      </c>
      <c r="F50" s="145" t="s">
        <v>934</v>
      </c>
      <c r="G50" s="145" t="s">
        <v>204</v>
      </c>
      <c r="H50" s="145" t="s">
        <v>339</v>
      </c>
      <c r="I50" s="145" t="s">
        <v>1211</v>
      </c>
      <c r="J50" s="145" t="s">
        <v>415</v>
      </c>
      <c r="K50" s="145" t="s">
        <v>1212</v>
      </c>
      <c r="L50" s="146">
        <f>1156.361+19.9061399999991</f>
        <v>1176.2671399999992</v>
      </c>
      <c r="M50" s="146">
        <v>1</v>
      </c>
      <c r="N50" s="150">
        <v>0.04</v>
      </c>
      <c r="O50" s="146">
        <f>L50</f>
        <v>1176.2671399999992</v>
      </c>
      <c r="P50" s="147">
        <f t="shared" si="0"/>
        <v>0.98359294707948175</v>
      </c>
      <c r="Q50" s="147">
        <v>7.9951720184809061E-2</v>
      </c>
    </row>
    <row r="51" spans="1:17" s="145" customFormat="1">
      <c r="A51" s="145" t="s">
        <v>1213</v>
      </c>
      <c r="B51" s="145">
        <v>14406</v>
      </c>
      <c r="C51" s="145" t="s">
        <v>1209</v>
      </c>
      <c r="D51" s="145" t="s">
        <v>1210</v>
      </c>
      <c r="E51" s="145" t="s">
        <v>315</v>
      </c>
      <c r="F51" s="145" t="s">
        <v>936</v>
      </c>
      <c r="G51" s="145" t="s">
        <v>204</v>
      </c>
      <c r="H51" s="145" t="s">
        <v>339</v>
      </c>
      <c r="I51" s="145" t="s">
        <v>1215</v>
      </c>
      <c r="J51" s="145" t="s">
        <v>413</v>
      </c>
      <c r="K51" s="145" t="s">
        <v>1216</v>
      </c>
      <c r="L51" s="146">
        <v>5.2889999999999997</v>
      </c>
      <c r="M51" s="146">
        <v>3.71</v>
      </c>
      <c r="N51" s="150">
        <v>4.7399999999999998E-2</v>
      </c>
      <c r="O51" s="146">
        <v>19.620999999999999</v>
      </c>
      <c r="P51" s="147">
        <f t="shared" si="0"/>
        <v>1.6407052920518143E-2</v>
      </c>
      <c r="Q51" s="147">
        <v>1.3336534265049173E-3</v>
      </c>
    </row>
    <row r="52" spans="1:17" s="145" customFormat="1">
      <c r="A52" s="145" t="s">
        <v>1213</v>
      </c>
      <c r="B52" s="145">
        <v>14425</v>
      </c>
      <c r="C52" s="145" t="s">
        <v>1209</v>
      </c>
      <c r="D52" s="145" t="s">
        <v>1210</v>
      </c>
      <c r="E52" s="145" t="s">
        <v>315</v>
      </c>
      <c r="F52" s="145" t="s">
        <v>934</v>
      </c>
      <c r="G52" s="145" t="s">
        <v>204</v>
      </c>
      <c r="H52" s="145" t="s">
        <v>339</v>
      </c>
      <c r="I52" s="145" t="s">
        <v>1211</v>
      </c>
      <c r="J52" s="145" t="s">
        <v>415</v>
      </c>
      <c r="K52" s="145" t="s">
        <v>1212</v>
      </c>
      <c r="L52" s="146">
        <f>7038.908+562.764570000058</f>
        <v>7601.6725700000588</v>
      </c>
      <c r="M52" s="146">
        <v>1</v>
      </c>
      <c r="N52" s="150">
        <v>0.04</v>
      </c>
      <c r="O52" s="146">
        <f>L52</f>
        <v>7601.6725700000588</v>
      </c>
      <c r="P52" s="147">
        <f t="shared" si="0"/>
        <v>0.59266170469882429</v>
      </c>
      <c r="Q52" s="147">
        <v>2.0200909530380895E-2</v>
      </c>
    </row>
    <row r="53" spans="1:17" s="145" customFormat="1">
      <c r="A53" s="145" t="s">
        <v>1213</v>
      </c>
      <c r="B53" s="145">
        <v>14425</v>
      </c>
      <c r="C53" s="145" t="s">
        <v>1209</v>
      </c>
      <c r="D53" s="145" t="s">
        <v>1210</v>
      </c>
      <c r="E53" s="145" t="s">
        <v>315</v>
      </c>
      <c r="F53" s="145" t="s">
        <v>936</v>
      </c>
      <c r="G53" s="145" t="s">
        <v>204</v>
      </c>
      <c r="H53" s="145" t="s">
        <v>339</v>
      </c>
      <c r="I53" s="145" t="s">
        <v>1215</v>
      </c>
      <c r="J53" s="145" t="s">
        <v>413</v>
      </c>
      <c r="K53" s="145" t="s">
        <v>1216</v>
      </c>
      <c r="L53" s="146">
        <v>920.98599999999999</v>
      </c>
      <c r="M53" s="146">
        <v>3.71</v>
      </c>
      <c r="N53" s="150">
        <v>4.7399999999999998E-2</v>
      </c>
      <c r="O53" s="146">
        <v>3416.8589999999999</v>
      </c>
      <c r="P53" s="147">
        <f t="shared" si="0"/>
        <v>0.2663941995669914</v>
      </c>
      <c r="Q53" s="147">
        <v>9.080062170721357E-3</v>
      </c>
    </row>
    <row r="54" spans="1:17" s="145" customFormat="1">
      <c r="A54" s="145" t="s">
        <v>1213</v>
      </c>
      <c r="B54" s="145">
        <v>14425</v>
      </c>
      <c r="C54" s="145" t="s">
        <v>1209</v>
      </c>
      <c r="D54" s="145" t="s">
        <v>1210</v>
      </c>
      <c r="E54" s="145" t="s">
        <v>315</v>
      </c>
      <c r="F54" s="145" t="s">
        <v>936</v>
      </c>
      <c r="G54" s="145" t="s">
        <v>204</v>
      </c>
      <c r="H54" s="145" t="s">
        <v>339</v>
      </c>
      <c r="I54" s="145" t="s">
        <v>1215</v>
      </c>
      <c r="J54" s="145" t="s">
        <v>413</v>
      </c>
      <c r="K54" s="145" t="s">
        <v>1218</v>
      </c>
      <c r="L54" s="146">
        <v>68.296999999999997</v>
      </c>
      <c r="M54" s="146">
        <v>4.1520000000000001</v>
      </c>
      <c r="N54" s="150">
        <v>3.0599999999999999E-2</v>
      </c>
      <c r="O54" s="146">
        <v>283.59500000000003</v>
      </c>
      <c r="P54" s="147">
        <f t="shared" si="0"/>
        <v>2.2110383549979948E-2</v>
      </c>
      <c r="Q54" s="147">
        <v>7.536337411949757E-4</v>
      </c>
    </row>
    <row r="55" spans="1:17" s="145" customFormat="1">
      <c r="A55" s="145" t="s">
        <v>1213</v>
      </c>
      <c r="B55" s="145">
        <v>14425</v>
      </c>
      <c r="C55" s="145" t="s">
        <v>1209</v>
      </c>
      <c r="D55" s="145" t="s">
        <v>1210</v>
      </c>
      <c r="E55" s="145" t="s">
        <v>315</v>
      </c>
      <c r="F55" s="145" t="s">
        <v>936</v>
      </c>
      <c r="G55" s="145" t="s">
        <v>204</v>
      </c>
      <c r="H55" s="145" t="s">
        <v>339</v>
      </c>
      <c r="I55" s="145" t="s">
        <v>1215</v>
      </c>
      <c r="J55" s="145" t="s">
        <v>413</v>
      </c>
      <c r="K55" s="145" t="s">
        <v>1227</v>
      </c>
      <c r="L55" s="146">
        <v>6.0229999999999997</v>
      </c>
      <c r="M55" s="146">
        <v>4.9749999999999996</v>
      </c>
      <c r="N55" s="150">
        <v>0</v>
      </c>
      <c r="O55" s="146">
        <v>29.963000000000001</v>
      </c>
      <c r="P55" s="147">
        <f t="shared" si="0"/>
        <v>2.3360546635450168E-3</v>
      </c>
      <c r="Q55" s="147">
        <v>7.9624562447945337E-5</v>
      </c>
    </row>
    <row r="56" spans="1:17" s="145" customFormat="1">
      <c r="A56" s="145" t="s">
        <v>1213</v>
      </c>
      <c r="B56" s="145">
        <v>14425</v>
      </c>
      <c r="C56" s="145" t="s">
        <v>1209</v>
      </c>
      <c r="D56" s="145" t="s">
        <v>1210</v>
      </c>
      <c r="E56" s="145" t="s">
        <v>315</v>
      </c>
      <c r="F56" s="145" t="s">
        <v>935</v>
      </c>
      <c r="G56" s="145" t="s">
        <v>205</v>
      </c>
      <c r="H56" s="145" t="s">
        <v>339</v>
      </c>
      <c r="I56" s="145" t="s">
        <v>1211</v>
      </c>
      <c r="J56" s="145" t="s">
        <v>415</v>
      </c>
      <c r="K56" s="145" t="s">
        <v>1216</v>
      </c>
      <c r="L56" s="146">
        <v>402.75900000000001</v>
      </c>
      <c r="M56" s="146">
        <v>3.71</v>
      </c>
      <c r="N56" s="150">
        <v>4.4999999999999998E-2</v>
      </c>
      <c r="O56" s="146">
        <v>1494.2370000000001</v>
      </c>
      <c r="P56" s="147">
        <f t="shared" si="0"/>
        <v>0.11649765752065934</v>
      </c>
      <c r="Q56" s="147">
        <v>3.9708296004582486E-3</v>
      </c>
    </row>
    <row r="57" spans="1:17" s="145" customFormat="1">
      <c r="A57" s="145" t="s">
        <v>1213</v>
      </c>
      <c r="B57" s="145">
        <v>15373</v>
      </c>
      <c r="C57" s="145" t="s">
        <v>1209</v>
      </c>
      <c r="D57" s="145" t="s">
        <v>1210</v>
      </c>
      <c r="E57" s="145" t="s">
        <v>315</v>
      </c>
      <c r="F57" s="145" t="s">
        <v>934</v>
      </c>
      <c r="G57" s="145" t="s">
        <v>204</v>
      </c>
      <c r="H57" s="145" t="s">
        <v>339</v>
      </c>
      <c r="I57" s="145" t="s">
        <v>1211</v>
      </c>
      <c r="J57" s="145" t="s">
        <v>415</v>
      </c>
      <c r="K57" s="145" t="s">
        <v>1212</v>
      </c>
      <c r="L57" s="146">
        <f>505.971+132.431780000003</f>
        <v>638.40278000000296</v>
      </c>
      <c r="M57" s="146">
        <v>1</v>
      </c>
      <c r="N57" s="150">
        <v>0.04</v>
      </c>
      <c r="O57" s="146">
        <f>L57</f>
        <v>638.40278000000296</v>
      </c>
      <c r="P57" s="147">
        <f t="shared" si="0"/>
        <v>0.98173404417704002</v>
      </c>
      <c r="Q57" s="147">
        <v>3.2572815927997434E-2</v>
      </c>
    </row>
    <row r="58" spans="1:17" s="145" customFormat="1">
      <c r="A58" s="145" t="s">
        <v>1213</v>
      </c>
      <c r="B58" s="145">
        <v>15373</v>
      </c>
      <c r="C58" s="145" t="s">
        <v>1209</v>
      </c>
      <c r="D58" s="145" t="s">
        <v>1210</v>
      </c>
      <c r="E58" s="145" t="s">
        <v>315</v>
      </c>
      <c r="F58" s="145" t="s">
        <v>936</v>
      </c>
      <c r="G58" s="145" t="s">
        <v>204</v>
      </c>
      <c r="H58" s="145" t="s">
        <v>339</v>
      </c>
      <c r="I58" s="145" t="s">
        <v>1215</v>
      </c>
      <c r="J58" s="145" t="s">
        <v>413</v>
      </c>
      <c r="K58" s="145" t="s">
        <v>1216</v>
      </c>
      <c r="L58" s="146">
        <v>3.202</v>
      </c>
      <c r="M58" s="146">
        <v>3.71</v>
      </c>
      <c r="N58" s="150">
        <v>4.7399999999999998E-2</v>
      </c>
      <c r="O58" s="146">
        <v>11.878</v>
      </c>
      <c r="P58" s="147">
        <f t="shared" si="0"/>
        <v>1.8265955822959961E-2</v>
      </c>
      <c r="Q58" s="147">
        <v>6.0604358206703261E-4</v>
      </c>
    </row>
    <row r="59" spans="1:17" s="145" customFormat="1">
      <c r="A59" s="145" t="s">
        <v>1213</v>
      </c>
      <c r="B59" s="145">
        <v>35011</v>
      </c>
      <c r="C59" s="145" t="s">
        <v>1209</v>
      </c>
      <c r="D59" s="145" t="s">
        <v>1210</v>
      </c>
      <c r="E59" s="145" t="s">
        <v>315</v>
      </c>
      <c r="F59" s="145" t="s">
        <v>936</v>
      </c>
      <c r="G59" s="145" t="s">
        <v>204</v>
      </c>
      <c r="H59" s="145" t="s">
        <v>339</v>
      </c>
      <c r="I59" s="145" t="s">
        <v>1215</v>
      </c>
      <c r="J59" s="145" t="s">
        <v>413</v>
      </c>
      <c r="K59" s="145" t="s">
        <v>1216</v>
      </c>
      <c r="L59" s="146">
        <v>217.255</v>
      </c>
      <c r="M59" s="146">
        <v>3.71</v>
      </c>
      <c r="N59" s="150">
        <v>4.7399999999999998E-2</v>
      </c>
      <c r="O59" s="146">
        <v>806.01700000000005</v>
      </c>
      <c r="P59" s="147">
        <f t="shared" si="0"/>
        <v>0.19604436541217943</v>
      </c>
      <c r="Q59" s="147">
        <v>1.167865440710031E-2</v>
      </c>
    </row>
    <row r="60" spans="1:17" s="145" customFormat="1">
      <c r="A60" s="145" t="s">
        <v>1213</v>
      </c>
      <c r="B60" s="145">
        <v>35011</v>
      </c>
      <c r="C60" s="145" t="s">
        <v>1209</v>
      </c>
      <c r="D60" s="145" t="s">
        <v>1210</v>
      </c>
      <c r="E60" s="145" t="s">
        <v>315</v>
      </c>
      <c r="F60" s="145" t="s">
        <v>934</v>
      </c>
      <c r="G60" s="145" t="s">
        <v>204</v>
      </c>
      <c r="H60" s="145" t="s">
        <v>339</v>
      </c>
      <c r="I60" s="145" t="s">
        <v>1211</v>
      </c>
      <c r="J60" s="145" t="s">
        <v>415</v>
      </c>
      <c r="K60" s="145" t="s">
        <v>1212</v>
      </c>
      <c r="L60" s="146">
        <v>623.25599999999997</v>
      </c>
      <c r="M60" s="146">
        <v>1</v>
      </c>
      <c r="N60" s="150">
        <v>0.04</v>
      </c>
      <c r="O60" s="146">
        <v>623.25599999999997</v>
      </c>
      <c r="P60" s="147">
        <f t="shared" si="0"/>
        <v>0.1515921215177016</v>
      </c>
      <c r="Q60" s="147">
        <v>9.0305681284038805E-3</v>
      </c>
    </row>
    <row r="61" spans="1:17" s="145" customFormat="1">
      <c r="A61" s="145" t="s">
        <v>1213</v>
      </c>
      <c r="B61" s="145">
        <v>35011</v>
      </c>
      <c r="C61" s="145" t="s">
        <v>1209</v>
      </c>
      <c r="D61" s="145" t="s">
        <v>1210</v>
      </c>
      <c r="E61" s="145" t="s">
        <v>315</v>
      </c>
      <c r="F61" s="145" t="s">
        <v>936</v>
      </c>
      <c r="G61" s="145" t="s">
        <v>204</v>
      </c>
      <c r="H61" s="145" t="s">
        <v>339</v>
      </c>
      <c r="I61" s="145" t="s">
        <v>1215</v>
      </c>
      <c r="J61" s="145" t="s">
        <v>413</v>
      </c>
      <c r="K61" s="145" t="s">
        <v>1218</v>
      </c>
      <c r="L61" s="146">
        <v>134.065</v>
      </c>
      <c r="M61" s="146">
        <v>4.1520000000000001</v>
      </c>
      <c r="N61" s="150">
        <v>3.0599999999999999E-2</v>
      </c>
      <c r="O61" s="146">
        <v>556.69000000000005</v>
      </c>
      <c r="P61" s="147">
        <f t="shared" si="0"/>
        <v>0.13540153344322287</v>
      </c>
      <c r="Q61" s="147">
        <v>8.0660707179732831E-3</v>
      </c>
    </row>
    <row r="62" spans="1:17" s="145" customFormat="1">
      <c r="A62" s="145" t="s">
        <v>1213</v>
      </c>
      <c r="B62" s="145">
        <v>35011</v>
      </c>
      <c r="C62" s="145" t="s">
        <v>1209</v>
      </c>
      <c r="D62" s="145" t="s">
        <v>1210</v>
      </c>
      <c r="E62" s="145" t="s">
        <v>315</v>
      </c>
      <c r="F62" s="145" t="s">
        <v>936</v>
      </c>
      <c r="G62" s="145" t="s">
        <v>204</v>
      </c>
      <c r="H62" s="145" t="s">
        <v>339</v>
      </c>
      <c r="I62" s="145" t="s">
        <v>1215</v>
      </c>
      <c r="J62" s="145" t="s">
        <v>413</v>
      </c>
      <c r="K62" s="145" t="s">
        <v>1227</v>
      </c>
      <c r="L62" s="146">
        <v>29.193999999999999</v>
      </c>
      <c r="M62" s="146">
        <v>4.9749999999999996</v>
      </c>
      <c r="N62" s="150">
        <v>0</v>
      </c>
      <c r="O62" s="146">
        <v>145.23599999999999</v>
      </c>
      <c r="P62" s="147">
        <f t="shared" si="0"/>
        <v>3.5325184772781827E-2</v>
      </c>
      <c r="Q62" s="147">
        <v>2.1043737929468242E-3</v>
      </c>
    </row>
    <row r="63" spans="1:17" s="145" customFormat="1">
      <c r="A63" s="145" t="s">
        <v>1213</v>
      </c>
      <c r="B63" s="145">
        <v>35011</v>
      </c>
      <c r="C63" s="145" t="s">
        <v>1236</v>
      </c>
      <c r="D63" s="145" t="s">
        <v>1237</v>
      </c>
      <c r="E63" s="145" t="s">
        <v>315</v>
      </c>
      <c r="F63" s="145" t="s">
        <v>934</v>
      </c>
      <c r="G63" s="145" t="s">
        <v>204</v>
      </c>
      <c r="H63" s="145" t="s">
        <v>339</v>
      </c>
      <c r="I63" s="145" t="s">
        <v>1211</v>
      </c>
      <c r="J63" s="145" t="s">
        <v>415</v>
      </c>
      <c r="K63" s="145" t="s">
        <v>1212</v>
      </c>
      <c r="L63" s="146">
        <v>19.45</v>
      </c>
      <c r="M63" s="146">
        <v>1</v>
      </c>
      <c r="N63" s="150">
        <v>0</v>
      </c>
      <c r="O63" s="146">
        <v>19.45</v>
      </c>
      <c r="P63" s="147">
        <f t="shared" si="0"/>
        <v>4.730747499453348E-3</v>
      </c>
      <c r="Q63" s="147">
        <v>2.8181766416601761E-4</v>
      </c>
    </row>
    <row r="64" spans="1:17" s="145" customFormat="1">
      <c r="A64" s="145" t="s">
        <v>1213</v>
      </c>
      <c r="B64" s="145">
        <v>35011</v>
      </c>
      <c r="C64" s="145" t="s">
        <v>1236</v>
      </c>
      <c r="D64" s="145" t="s">
        <v>1237</v>
      </c>
      <c r="E64" s="145" t="s">
        <v>315</v>
      </c>
      <c r="F64" s="145" t="s">
        <v>936</v>
      </c>
      <c r="G64" s="145" t="s">
        <v>204</v>
      </c>
      <c r="H64" s="145" t="s">
        <v>339</v>
      </c>
      <c r="I64" s="145" t="s">
        <v>1215</v>
      </c>
      <c r="J64" s="145" t="s">
        <v>413</v>
      </c>
      <c r="K64" s="145" t="s">
        <v>1216</v>
      </c>
      <c r="L64" s="146">
        <v>0.26</v>
      </c>
      <c r="M64" s="146">
        <v>3.71</v>
      </c>
      <c r="N64" s="150">
        <v>0</v>
      </c>
      <c r="O64" s="146">
        <v>0.96499999999999997</v>
      </c>
      <c r="P64" s="147">
        <f t="shared" si="0"/>
        <v>2.3471317927879082E-4</v>
      </c>
      <c r="Q64" s="147">
        <v>1.398221315785126E-5</v>
      </c>
    </row>
    <row r="65" spans="1:17" s="145" customFormat="1">
      <c r="A65" s="145" t="s">
        <v>1213</v>
      </c>
      <c r="B65" s="145">
        <v>35011</v>
      </c>
      <c r="C65" s="145" t="s">
        <v>1209</v>
      </c>
      <c r="D65" s="145" t="s">
        <v>1210</v>
      </c>
      <c r="E65" s="145" t="s">
        <v>315</v>
      </c>
      <c r="F65" s="145" t="s">
        <v>935</v>
      </c>
      <c r="G65" s="145" t="s">
        <v>205</v>
      </c>
      <c r="H65" s="145" t="s">
        <v>339</v>
      </c>
      <c r="I65" s="145" t="s">
        <v>1211</v>
      </c>
      <c r="J65" s="145" t="s">
        <v>415</v>
      </c>
      <c r="K65" s="145" t="s">
        <v>1216</v>
      </c>
      <c r="L65" s="146">
        <v>394.85899999999998</v>
      </c>
      <c r="M65" s="146">
        <v>3.71</v>
      </c>
      <c r="N65" s="150">
        <v>4.4999999999999998E-2</v>
      </c>
      <c r="O65" s="146">
        <v>1464.9269999999999</v>
      </c>
      <c r="P65" s="147">
        <f t="shared" si="0"/>
        <v>0.3563084700324779</v>
      </c>
      <c r="Q65" s="147">
        <v>2.1225825466001626E-2</v>
      </c>
    </row>
    <row r="66" spans="1:17" s="145" customFormat="1">
      <c r="A66" s="145" t="s">
        <v>1213</v>
      </c>
      <c r="B66" s="145">
        <v>35011</v>
      </c>
      <c r="C66" s="145" t="s">
        <v>1209</v>
      </c>
      <c r="D66" s="145" t="s">
        <v>1210</v>
      </c>
      <c r="E66" s="145" t="s">
        <v>315</v>
      </c>
      <c r="F66" s="145" t="s">
        <v>935</v>
      </c>
      <c r="G66" s="145" t="s">
        <v>205</v>
      </c>
      <c r="H66" s="145" t="s">
        <v>339</v>
      </c>
      <c r="I66" s="145" t="s">
        <v>1211</v>
      </c>
      <c r="J66" s="145" t="s">
        <v>415</v>
      </c>
      <c r="K66" s="145" t="s">
        <v>1218</v>
      </c>
      <c r="L66" s="146">
        <v>77.207999999999998</v>
      </c>
      <c r="M66" s="146">
        <v>4.1520000000000001</v>
      </c>
      <c r="N66" s="150">
        <v>2.7300000000000001E-2</v>
      </c>
      <c r="O66" s="146">
        <v>320.601</v>
      </c>
      <c r="P66" s="147">
        <f t="shared" ref="P66:P129" si="1">O66/SUMIF(B:B,B66,O:O)</f>
        <v>7.7978528487004775E-2</v>
      </c>
      <c r="Q66" s="147">
        <v>4.6452969125598672E-3</v>
      </c>
    </row>
    <row r="67" spans="1:17" s="145" customFormat="1">
      <c r="A67" s="145" t="s">
        <v>1213</v>
      </c>
      <c r="B67" s="145">
        <v>35011</v>
      </c>
      <c r="C67" s="145" t="s">
        <v>1209</v>
      </c>
      <c r="D67" s="145" t="s">
        <v>1210</v>
      </c>
      <c r="E67" s="145" t="s">
        <v>315</v>
      </c>
      <c r="F67" s="145" t="s">
        <v>935</v>
      </c>
      <c r="G67" s="145" t="s">
        <v>205</v>
      </c>
      <c r="H67" s="145" t="s">
        <v>339</v>
      </c>
      <c r="I67" s="145" t="s">
        <v>1211</v>
      </c>
      <c r="J67" s="145" t="s">
        <v>415</v>
      </c>
      <c r="K67" s="145" t="s">
        <v>1227</v>
      </c>
      <c r="L67" s="146">
        <v>24.33</v>
      </c>
      <c r="M67" s="146">
        <v>4.9749999999999996</v>
      </c>
      <c r="N67" s="150">
        <v>4.1700000000000001E-2</v>
      </c>
      <c r="O67" s="146">
        <v>121.03700000000001</v>
      </c>
      <c r="P67" s="147">
        <f t="shared" si="1"/>
        <v>2.943935655996581E-2</v>
      </c>
      <c r="Q67" s="147">
        <v>1.7537462528361067E-3</v>
      </c>
    </row>
    <row r="68" spans="1:17" s="145" customFormat="1">
      <c r="A68" s="145" t="s">
        <v>1213</v>
      </c>
      <c r="B68" s="145">
        <v>35011</v>
      </c>
      <c r="C68" s="145" t="s">
        <v>1209</v>
      </c>
      <c r="D68" s="145" t="s">
        <v>1210</v>
      </c>
      <c r="E68" s="145" t="s">
        <v>315</v>
      </c>
      <c r="F68" s="145" t="s">
        <v>935</v>
      </c>
      <c r="G68" s="145" t="s">
        <v>205</v>
      </c>
      <c r="H68" s="145" t="s">
        <v>339</v>
      </c>
      <c r="I68" s="145" t="s">
        <v>1211</v>
      </c>
      <c r="J68" s="145" t="s">
        <v>415</v>
      </c>
      <c r="K68" s="145" t="s">
        <v>1219</v>
      </c>
      <c r="L68" s="146">
        <v>12.09</v>
      </c>
      <c r="M68" s="146">
        <v>4.3970000000000002</v>
      </c>
      <c r="N68" s="150">
        <v>2.3999999999999998E-3</v>
      </c>
      <c r="O68" s="146">
        <v>53.152999999999999</v>
      </c>
      <c r="P68" s="147">
        <f t="shared" si="1"/>
        <v>1.2928196495549811E-2</v>
      </c>
      <c r="Q68" s="147">
        <v>7.7015189220649527E-4</v>
      </c>
    </row>
    <row r="69" spans="1:17" s="145" customFormat="1">
      <c r="A69" s="145" t="s">
        <v>1213</v>
      </c>
      <c r="B69" s="145">
        <v>35011</v>
      </c>
      <c r="C69" s="145" t="s">
        <v>1209</v>
      </c>
      <c r="D69" s="145" t="s">
        <v>1210</v>
      </c>
      <c r="E69" s="145" t="s">
        <v>315</v>
      </c>
      <c r="F69" s="145" t="s">
        <v>935</v>
      </c>
      <c r="G69" s="145" t="s">
        <v>205</v>
      </c>
      <c r="H69" s="145" t="s">
        <v>339</v>
      </c>
      <c r="I69" s="145" t="s">
        <v>1211</v>
      </c>
      <c r="J69" s="145" t="s">
        <v>415</v>
      </c>
      <c r="K69" s="145" t="s">
        <v>1229</v>
      </c>
      <c r="L69" s="146">
        <v>0.14499999999999999</v>
      </c>
      <c r="M69" s="146">
        <v>0.47799999999999998</v>
      </c>
      <c r="N69" s="150">
        <v>1.24265E-2</v>
      </c>
      <c r="O69" s="146">
        <v>6.9000000000000006E-2</v>
      </c>
      <c r="P69" s="147">
        <f t="shared" si="1"/>
        <v>1.6782600383664838E-5</v>
      </c>
      <c r="Q69" s="147">
        <v>9.9976446413651502E-7</v>
      </c>
    </row>
    <row r="70" spans="1:17" s="145" customFormat="1">
      <c r="A70" s="145" t="s">
        <v>1213</v>
      </c>
      <c r="B70" s="145">
        <v>35012</v>
      </c>
      <c r="C70" s="145" t="s">
        <v>1209</v>
      </c>
      <c r="D70" s="145" t="s">
        <v>1210</v>
      </c>
      <c r="E70" s="145" t="s">
        <v>315</v>
      </c>
      <c r="F70" s="145" t="s">
        <v>936</v>
      </c>
      <c r="G70" s="145" t="s">
        <v>204</v>
      </c>
      <c r="H70" s="145" t="s">
        <v>339</v>
      </c>
      <c r="I70" s="145" t="s">
        <v>1215</v>
      </c>
      <c r="J70" s="145" t="s">
        <v>413</v>
      </c>
      <c r="K70" s="145" t="s">
        <v>1216</v>
      </c>
      <c r="L70" s="146">
        <v>22691.97</v>
      </c>
      <c r="M70" s="146">
        <v>3.71</v>
      </c>
      <c r="N70" s="150">
        <v>4.7399999999999998E-2</v>
      </c>
      <c r="O70" s="146">
        <v>84187.209000000003</v>
      </c>
      <c r="P70" s="147">
        <f t="shared" si="1"/>
        <v>0.45839294617514137</v>
      </c>
      <c r="Q70" s="147">
        <v>4.6543938373862989E-2</v>
      </c>
    </row>
    <row r="71" spans="1:17" s="145" customFormat="1">
      <c r="A71" s="145" t="s">
        <v>1213</v>
      </c>
      <c r="B71" s="145">
        <v>35012</v>
      </c>
      <c r="C71" s="145" t="s">
        <v>1209</v>
      </c>
      <c r="D71" s="145" t="s">
        <v>1210</v>
      </c>
      <c r="E71" s="145" t="s">
        <v>315</v>
      </c>
      <c r="F71" s="145" t="s">
        <v>934</v>
      </c>
      <c r="G71" s="145" t="s">
        <v>204</v>
      </c>
      <c r="H71" s="145" t="s">
        <v>339</v>
      </c>
      <c r="I71" s="145" t="s">
        <v>1211</v>
      </c>
      <c r="J71" s="145" t="s">
        <v>415</v>
      </c>
      <c r="K71" s="145" t="s">
        <v>1212</v>
      </c>
      <c r="L71" s="146">
        <f>32755.334+9545.121</f>
        <v>42300.455000000002</v>
      </c>
      <c r="M71" s="146">
        <v>1</v>
      </c>
      <c r="N71" s="150">
        <v>0.04</v>
      </c>
      <c r="O71" s="146">
        <f>L71</f>
        <v>42300.455000000002</v>
      </c>
      <c r="P71" s="147">
        <f t="shared" si="1"/>
        <v>0.23032275831829738</v>
      </c>
      <c r="Q71" s="147">
        <v>2.3386329040868483E-2</v>
      </c>
    </row>
    <row r="72" spans="1:17" s="145" customFormat="1">
      <c r="A72" s="145" t="s">
        <v>1213</v>
      </c>
      <c r="B72" s="145">
        <v>35012</v>
      </c>
      <c r="C72" s="145" t="s">
        <v>1209</v>
      </c>
      <c r="D72" s="145" t="s">
        <v>1210</v>
      </c>
      <c r="E72" s="145" t="s">
        <v>315</v>
      </c>
      <c r="F72" s="145" t="s">
        <v>936</v>
      </c>
      <c r="G72" s="145" t="s">
        <v>204</v>
      </c>
      <c r="H72" s="145" t="s">
        <v>339</v>
      </c>
      <c r="I72" s="145" t="s">
        <v>1215</v>
      </c>
      <c r="J72" s="145" t="s">
        <v>413</v>
      </c>
      <c r="K72" s="145" t="s">
        <v>1218</v>
      </c>
      <c r="L72" s="146">
        <v>2868.01</v>
      </c>
      <c r="M72" s="146">
        <v>4.1520000000000001</v>
      </c>
      <c r="N72" s="150">
        <v>3.0599999999999999E-2</v>
      </c>
      <c r="O72" s="146">
        <v>11909.123</v>
      </c>
      <c r="P72" s="147">
        <f t="shared" si="1"/>
        <v>6.4844268424816623E-2</v>
      </c>
      <c r="Q72" s="147">
        <v>6.5841057517271335E-3</v>
      </c>
    </row>
    <row r="73" spans="1:17" s="145" customFormat="1">
      <c r="A73" s="145" t="s">
        <v>1213</v>
      </c>
      <c r="B73" s="145">
        <v>35012</v>
      </c>
      <c r="C73" s="145" t="s">
        <v>1236</v>
      </c>
      <c r="D73" s="145" t="s">
        <v>1237</v>
      </c>
      <c r="E73" s="145" t="s">
        <v>315</v>
      </c>
      <c r="F73" s="145" t="s">
        <v>936</v>
      </c>
      <c r="G73" s="145" t="s">
        <v>204</v>
      </c>
      <c r="H73" s="145" t="s">
        <v>339</v>
      </c>
      <c r="I73" s="145" t="s">
        <v>1215</v>
      </c>
      <c r="J73" s="145" t="s">
        <v>413</v>
      </c>
      <c r="K73" s="145" t="s">
        <v>1216</v>
      </c>
      <c r="L73" s="146">
        <v>618.51300000000003</v>
      </c>
      <c r="M73" s="146">
        <v>3.71</v>
      </c>
      <c r="N73" s="150">
        <v>0</v>
      </c>
      <c r="O73" s="146">
        <v>2294.681</v>
      </c>
      <c r="P73" s="147">
        <f t="shared" si="1"/>
        <v>1.2494363414780973E-2</v>
      </c>
      <c r="Q73" s="147">
        <v>1.2686427346899492E-3</v>
      </c>
    </row>
    <row r="74" spans="1:17" s="145" customFormat="1">
      <c r="A74" s="145" t="s">
        <v>1213</v>
      </c>
      <c r="B74" s="145">
        <v>35012</v>
      </c>
      <c r="C74" s="145" t="s">
        <v>1209</v>
      </c>
      <c r="D74" s="145" t="s">
        <v>1210</v>
      </c>
      <c r="E74" s="145" t="s">
        <v>315</v>
      </c>
      <c r="F74" s="145" t="s">
        <v>939</v>
      </c>
      <c r="G74" s="145" t="s">
        <v>204</v>
      </c>
      <c r="H74" s="145" t="s">
        <v>339</v>
      </c>
      <c r="I74" s="145" t="s">
        <v>1211</v>
      </c>
      <c r="J74" s="145" t="s">
        <v>415</v>
      </c>
      <c r="K74" s="145" t="s">
        <v>1216</v>
      </c>
      <c r="L74" s="146">
        <v>292.47199999999998</v>
      </c>
      <c r="M74" s="146">
        <v>3.71</v>
      </c>
      <c r="N74" s="147">
        <v>5.8500000000000003E-2</v>
      </c>
      <c r="O74" s="146">
        <v>1085.0709999999999</v>
      </c>
      <c r="P74" s="147">
        <f t="shared" si="1"/>
        <v>5.9081290187349804E-3</v>
      </c>
      <c r="Q74" s="147">
        <v>5.9989490511873226E-4</v>
      </c>
    </row>
    <row r="75" spans="1:17" s="145" customFormat="1">
      <c r="A75" s="145" t="s">
        <v>1213</v>
      </c>
      <c r="B75" s="145">
        <v>35012</v>
      </c>
      <c r="C75" s="145" t="s">
        <v>1236</v>
      </c>
      <c r="D75" s="145" t="s">
        <v>1237</v>
      </c>
      <c r="E75" s="145" t="s">
        <v>315</v>
      </c>
      <c r="F75" s="145" t="s">
        <v>934</v>
      </c>
      <c r="G75" s="145" t="s">
        <v>204</v>
      </c>
      <c r="H75" s="145" t="s">
        <v>339</v>
      </c>
      <c r="I75" s="145" t="s">
        <v>1211</v>
      </c>
      <c r="J75" s="145" t="s">
        <v>415</v>
      </c>
      <c r="K75" s="145" t="s">
        <v>1212</v>
      </c>
      <c r="L75" s="146">
        <v>1026.4849999999999</v>
      </c>
      <c r="M75" s="146">
        <v>1</v>
      </c>
      <c r="N75" s="150">
        <v>0</v>
      </c>
      <c r="O75" s="146">
        <v>1026.4849999999999</v>
      </c>
      <c r="P75" s="147">
        <f t="shared" si="1"/>
        <v>5.5891327072571072E-3</v>
      </c>
      <c r="Q75" s="147">
        <v>5.6750491136598608E-4</v>
      </c>
    </row>
    <row r="76" spans="1:17" s="145" customFormat="1">
      <c r="A76" s="145" t="s">
        <v>1213</v>
      </c>
      <c r="B76" s="145">
        <v>35012</v>
      </c>
      <c r="C76" s="145" t="s">
        <v>1239</v>
      </c>
      <c r="D76" s="145" t="s">
        <v>1240</v>
      </c>
      <c r="E76" s="145" t="s">
        <v>315</v>
      </c>
      <c r="F76" s="145" t="s">
        <v>934</v>
      </c>
      <c r="G76" s="145" t="s">
        <v>204</v>
      </c>
      <c r="H76" s="145" t="s">
        <v>339</v>
      </c>
      <c r="I76" s="145" t="s">
        <v>1211</v>
      </c>
      <c r="J76" s="145" t="s">
        <v>415</v>
      </c>
      <c r="K76" s="145" t="s">
        <v>1212</v>
      </c>
      <c r="L76" s="146">
        <v>914.86599999999999</v>
      </c>
      <c r="M76" s="146">
        <v>1</v>
      </c>
      <c r="N76" s="150">
        <v>0</v>
      </c>
      <c r="O76" s="146">
        <v>914.86599999999999</v>
      </c>
      <c r="P76" s="147">
        <f t="shared" si="1"/>
        <v>4.9813757467059737E-3</v>
      </c>
      <c r="Q76" s="147">
        <v>5.0579496850100515E-4</v>
      </c>
    </row>
    <row r="77" spans="1:17" s="145" customFormat="1">
      <c r="A77" s="145" t="s">
        <v>1213</v>
      </c>
      <c r="B77" s="145">
        <v>35012</v>
      </c>
      <c r="C77" s="145" t="s">
        <v>1239</v>
      </c>
      <c r="D77" s="145" t="s">
        <v>1240</v>
      </c>
      <c r="E77" s="145" t="s">
        <v>315</v>
      </c>
      <c r="F77" s="145" t="s">
        <v>936</v>
      </c>
      <c r="G77" s="145" t="s">
        <v>204</v>
      </c>
      <c r="H77" s="145" t="s">
        <v>339</v>
      </c>
      <c r="I77" s="145" t="s">
        <v>1215</v>
      </c>
      <c r="J77" s="145" t="s">
        <v>413</v>
      </c>
      <c r="K77" s="145" t="s">
        <v>1216</v>
      </c>
      <c r="L77" s="146">
        <v>113.652</v>
      </c>
      <c r="M77" s="146">
        <v>3.71</v>
      </c>
      <c r="N77" s="150">
        <v>0</v>
      </c>
      <c r="O77" s="146">
        <v>421.64800000000002</v>
      </c>
      <c r="P77" s="147">
        <f t="shared" si="1"/>
        <v>2.2958412716693817E-3</v>
      </c>
      <c r="Q77" s="147">
        <v>2.3311330498511457E-4</v>
      </c>
    </row>
    <row r="78" spans="1:17" s="145" customFormat="1">
      <c r="A78" s="145" t="s">
        <v>1213</v>
      </c>
      <c r="B78" s="145">
        <v>35012</v>
      </c>
      <c r="C78" s="145" t="s">
        <v>1209</v>
      </c>
      <c r="D78" s="145" t="s">
        <v>1210</v>
      </c>
      <c r="E78" s="145" t="s">
        <v>315</v>
      </c>
      <c r="F78" s="145" t="s">
        <v>936</v>
      </c>
      <c r="G78" s="145" t="s">
        <v>204</v>
      </c>
      <c r="H78" s="145" t="s">
        <v>339</v>
      </c>
      <c r="I78" s="145" t="s">
        <v>1215</v>
      </c>
      <c r="J78" s="145" t="s">
        <v>413</v>
      </c>
      <c r="K78" s="145" t="s">
        <v>1227</v>
      </c>
      <c r="L78" s="146">
        <v>36.014000000000003</v>
      </c>
      <c r="M78" s="146">
        <v>4.9749999999999996</v>
      </c>
      <c r="N78" s="150">
        <v>0</v>
      </c>
      <c r="O78" s="146">
        <v>179.16300000000001</v>
      </c>
      <c r="P78" s="147">
        <f t="shared" si="1"/>
        <v>9.7552890030570859E-4</v>
      </c>
      <c r="Q78" s="147">
        <v>9.9052477566709864E-5</v>
      </c>
    </row>
    <row r="79" spans="1:17" s="145" customFormat="1">
      <c r="A79" s="145" t="s">
        <v>1213</v>
      </c>
      <c r="B79" s="145">
        <v>35012</v>
      </c>
      <c r="C79" s="145" t="s">
        <v>1236</v>
      </c>
      <c r="D79" s="145" t="s">
        <v>1237</v>
      </c>
      <c r="E79" s="145" t="s">
        <v>315</v>
      </c>
      <c r="F79" s="145" t="s">
        <v>937</v>
      </c>
      <c r="G79" s="145" t="s">
        <v>204</v>
      </c>
      <c r="H79" s="145" t="s">
        <v>339</v>
      </c>
      <c r="I79" s="145" t="s">
        <v>1211</v>
      </c>
      <c r="J79" s="145" t="s">
        <v>415</v>
      </c>
      <c r="K79" s="145" t="s">
        <v>1212</v>
      </c>
      <c r="L79" s="146">
        <v>4.1349999999999998</v>
      </c>
      <c r="M79" s="146">
        <v>1</v>
      </c>
      <c r="N79" s="150">
        <v>0</v>
      </c>
      <c r="O79" s="146">
        <v>4.1349999999999998</v>
      </c>
      <c r="P79" s="147">
        <f t="shared" si="1"/>
        <v>2.2514760317499174E-5</v>
      </c>
      <c r="Q79" s="147">
        <v>2.2860858254123074E-6</v>
      </c>
    </row>
    <row r="80" spans="1:17" s="145" customFormat="1">
      <c r="A80" s="145" t="s">
        <v>1213</v>
      </c>
      <c r="B80" s="145">
        <v>35012</v>
      </c>
      <c r="C80" s="145" t="s">
        <v>1236</v>
      </c>
      <c r="D80" s="145" t="s">
        <v>1237</v>
      </c>
      <c r="E80" s="145" t="s">
        <v>315</v>
      </c>
      <c r="F80" s="145" t="s">
        <v>936</v>
      </c>
      <c r="G80" s="145" t="s">
        <v>204</v>
      </c>
      <c r="H80" s="145" t="s">
        <v>339</v>
      </c>
      <c r="I80" s="145" t="s">
        <v>1215</v>
      </c>
      <c r="J80" s="145" t="s">
        <v>413</v>
      </c>
      <c r="K80" s="145" t="s">
        <v>1218</v>
      </c>
      <c r="L80" s="146">
        <v>0.11899999999999999</v>
      </c>
      <c r="M80" s="146">
        <v>4.1520000000000001</v>
      </c>
      <c r="N80" s="150">
        <v>0</v>
      </c>
      <c r="O80" s="146">
        <v>0.49299999999999999</v>
      </c>
      <c r="P80" s="147">
        <f t="shared" si="1"/>
        <v>2.6843474816268667E-6</v>
      </c>
      <c r="Q80" s="147">
        <v>2.7256113952316027E-7</v>
      </c>
    </row>
    <row r="81" spans="1:17" s="145" customFormat="1">
      <c r="A81" s="145" t="s">
        <v>1213</v>
      </c>
      <c r="B81" s="145">
        <v>35012</v>
      </c>
      <c r="C81" s="145" t="s">
        <v>1209</v>
      </c>
      <c r="D81" s="145" t="s">
        <v>1210</v>
      </c>
      <c r="E81" s="145" t="s">
        <v>315</v>
      </c>
      <c r="F81" s="145" t="s">
        <v>935</v>
      </c>
      <c r="G81" s="145" t="s">
        <v>205</v>
      </c>
      <c r="H81" s="145" t="s">
        <v>339</v>
      </c>
      <c r="I81" s="145" t="s">
        <v>1211</v>
      </c>
      <c r="J81" s="145" t="s">
        <v>415</v>
      </c>
      <c r="K81" s="145" t="s">
        <v>1216</v>
      </c>
      <c r="L81" s="146">
        <v>8084.2190000000001</v>
      </c>
      <c r="M81" s="146">
        <v>3.71</v>
      </c>
      <c r="N81" s="150">
        <v>4.4999999999999998E-2</v>
      </c>
      <c r="O81" s="146">
        <v>29992.454000000002</v>
      </c>
      <c r="P81" s="147">
        <f t="shared" si="1"/>
        <v>0.1633066295389648</v>
      </c>
      <c r="Q81" s="147">
        <v>1.6581698659910684E-2</v>
      </c>
    </row>
    <row r="82" spans="1:17" s="145" customFormat="1">
      <c r="A82" s="145" t="s">
        <v>1213</v>
      </c>
      <c r="B82" s="145">
        <v>35012</v>
      </c>
      <c r="C82" s="145" t="s">
        <v>1209</v>
      </c>
      <c r="D82" s="145" t="s">
        <v>1210</v>
      </c>
      <c r="E82" s="145" t="s">
        <v>315</v>
      </c>
      <c r="F82" s="145" t="s">
        <v>935</v>
      </c>
      <c r="G82" s="145" t="s">
        <v>205</v>
      </c>
      <c r="H82" s="145" t="s">
        <v>339</v>
      </c>
      <c r="I82" s="145" t="s">
        <v>1211</v>
      </c>
      <c r="J82" s="145" t="s">
        <v>415</v>
      </c>
      <c r="K82" s="145" t="s">
        <v>1218</v>
      </c>
      <c r="L82" s="146">
        <v>1653.662</v>
      </c>
      <c r="M82" s="146">
        <v>4.1520000000000001</v>
      </c>
      <c r="N82" s="150">
        <v>2.7300000000000001E-2</v>
      </c>
      <c r="O82" s="146">
        <v>6866.6679999999997</v>
      </c>
      <c r="P82" s="147">
        <f t="shared" si="1"/>
        <v>3.7388484691618241E-2</v>
      </c>
      <c r="Q82" s="147">
        <v>3.7963222207042999E-3</v>
      </c>
    </row>
    <row r="83" spans="1:17" s="145" customFormat="1">
      <c r="A83" s="145" t="s">
        <v>1213</v>
      </c>
      <c r="B83" s="145">
        <v>35012</v>
      </c>
      <c r="C83" s="145" t="s">
        <v>1209</v>
      </c>
      <c r="D83" s="145" t="s">
        <v>1210</v>
      </c>
      <c r="E83" s="145" t="s">
        <v>315</v>
      </c>
      <c r="F83" s="145" t="s">
        <v>935</v>
      </c>
      <c r="G83" s="145" t="s">
        <v>205</v>
      </c>
      <c r="H83" s="145" t="s">
        <v>339</v>
      </c>
      <c r="I83" s="145" t="s">
        <v>1211</v>
      </c>
      <c r="J83" s="145" t="s">
        <v>415</v>
      </c>
      <c r="K83" s="145" t="s">
        <v>1227</v>
      </c>
      <c r="L83" s="146">
        <v>497.29899999999998</v>
      </c>
      <c r="M83" s="146">
        <v>4.9749999999999996</v>
      </c>
      <c r="N83" s="150">
        <v>4.1700000000000001E-2</v>
      </c>
      <c r="O83" s="146">
        <v>2473.9630000000002</v>
      </c>
      <c r="P83" s="147">
        <f t="shared" si="1"/>
        <v>1.3470540261030523E-2</v>
      </c>
      <c r="Q83" s="147">
        <v>1.3677610028765439E-3</v>
      </c>
    </row>
    <row r="84" spans="1:17" s="145" customFormat="1">
      <c r="A84" s="145" t="s">
        <v>1213</v>
      </c>
      <c r="B84" s="145">
        <v>35012</v>
      </c>
      <c r="C84" s="145" t="s">
        <v>1209</v>
      </c>
      <c r="D84" s="145" t="s">
        <v>1210</v>
      </c>
      <c r="E84" s="145" t="s">
        <v>315</v>
      </c>
      <c r="F84" s="145" t="s">
        <v>935</v>
      </c>
      <c r="G84" s="145" t="s">
        <v>205</v>
      </c>
      <c r="H84" s="145" t="s">
        <v>339</v>
      </c>
      <c r="I84" s="145" t="s">
        <v>1211</v>
      </c>
      <c r="J84" s="145" t="s">
        <v>415</v>
      </c>
      <c r="K84" s="145" t="s">
        <v>1229</v>
      </c>
      <c r="L84" s="146">
        <v>0.92800000000000005</v>
      </c>
      <c r="M84" s="146">
        <v>0.47799999999999998</v>
      </c>
      <c r="N84" s="150">
        <v>1.24265E-2</v>
      </c>
      <c r="O84" s="146">
        <v>0.443</v>
      </c>
      <c r="P84" s="147">
        <f t="shared" si="1"/>
        <v>2.4121012867357036E-6</v>
      </c>
      <c r="Q84" s="147">
        <v>2.4491802192446247E-7</v>
      </c>
    </row>
    <row r="85" spans="1:17" s="145" customFormat="1">
      <c r="A85" s="145" t="s">
        <v>1213</v>
      </c>
      <c r="B85" s="145">
        <v>35012</v>
      </c>
      <c r="C85" s="145" t="s">
        <v>1209</v>
      </c>
      <c r="D85" s="145" t="s">
        <v>1210</v>
      </c>
      <c r="E85" s="145" t="s">
        <v>315</v>
      </c>
      <c r="F85" s="145" t="s">
        <v>935</v>
      </c>
      <c r="G85" s="145" t="s">
        <v>205</v>
      </c>
      <c r="H85" s="145" t="s">
        <v>339</v>
      </c>
      <c r="I85" s="145" t="s">
        <v>1211</v>
      </c>
      <c r="J85" s="145" t="s">
        <v>415</v>
      </c>
      <c r="K85" s="145" t="s">
        <v>1219</v>
      </c>
      <c r="L85" s="146">
        <v>0.1</v>
      </c>
      <c r="M85" s="146">
        <v>4.3970000000000002</v>
      </c>
      <c r="N85" s="150">
        <v>2.3999999999999998E-3</v>
      </c>
      <c r="O85" s="146">
        <v>0.439</v>
      </c>
      <c r="P85" s="147">
        <f t="shared" si="1"/>
        <v>2.3903215911444105E-6</v>
      </c>
      <c r="Q85" s="147">
        <v>2.4270657251656663E-7</v>
      </c>
    </row>
    <row r="86" spans="1:17" s="145" customFormat="1">
      <c r="A86" s="145" t="s">
        <v>1213</v>
      </c>
      <c r="B86" s="145">
        <v>57</v>
      </c>
      <c r="C86" s="145" t="s">
        <v>1209</v>
      </c>
      <c r="D86" s="145" t="s">
        <v>1210</v>
      </c>
      <c r="E86" s="145" t="s">
        <v>315</v>
      </c>
      <c r="F86" s="145" t="s">
        <v>934</v>
      </c>
      <c r="G86" s="145" t="s">
        <v>204</v>
      </c>
      <c r="H86" s="145" t="s">
        <v>339</v>
      </c>
      <c r="I86" s="145" t="s">
        <v>1211</v>
      </c>
      <c r="J86" s="145" t="s">
        <v>415</v>
      </c>
      <c r="K86" s="145" t="s">
        <v>1212</v>
      </c>
      <c r="L86" s="146">
        <f>2051.592+3314.36480000009</f>
        <v>5365.95680000009</v>
      </c>
      <c r="M86" s="146">
        <v>1</v>
      </c>
      <c r="N86" s="150">
        <v>0.04</v>
      </c>
      <c r="O86" s="146">
        <f>L86</f>
        <v>5365.95680000009</v>
      </c>
      <c r="P86" s="147">
        <f t="shared" si="1"/>
        <v>0.47109187210028791</v>
      </c>
      <c r="Q86" s="147">
        <v>1.4147342882763861E-2</v>
      </c>
    </row>
    <row r="87" spans="1:17" s="145" customFormat="1">
      <c r="A87" s="145" t="s">
        <v>1213</v>
      </c>
      <c r="B87" s="145">
        <v>57</v>
      </c>
      <c r="C87" s="145" t="s">
        <v>1209</v>
      </c>
      <c r="D87" s="145" t="s">
        <v>1210</v>
      </c>
      <c r="E87" s="145" t="s">
        <v>315</v>
      </c>
      <c r="F87" s="145" t="s">
        <v>936</v>
      </c>
      <c r="G87" s="145" t="s">
        <v>204</v>
      </c>
      <c r="H87" s="145" t="s">
        <v>339</v>
      </c>
      <c r="I87" s="145" t="s">
        <v>1215</v>
      </c>
      <c r="J87" s="145" t="s">
        <v>413</v>
      </c>
      <c r="K87" s="145" t="s">
        <v>1216</v>
      </c>
      <c r="L87" s="146">
        <v>366.13200000000001</v>
      </c>
      <c r="M87" s="146">
        <v>3.71</v>
      </c>
      <c r="N87" s="150">
        <v>4.7399999999999998E-2</v>
      </c>
      <c r="O87" s="146">
        <v>1358.348</v>
      </c>
      <c r="P87" s="147">
        <f t="shared" si="1"/>
        <v>0.11925304771064708</v>
      </c>
      <c r="Q87" s="147">
        <v>3.5812839399147235E-3</v>
      </c>
    </row>
    <row r="88" spans="1:17" s="145" customFormat="1">
      <c r="A88" s="145" t="s">
        <v>1213</v>
      </c>
      <c r="B88" s="145">
        <v>57</v>
      </c>
      <c r="C88" s="145" t="s">
        <v>1209</v>
      </c>
      <c r="D88" s="145" t="s">
        <v>1210</v>
      </c>
      <c r="E88" s="145" t="s">
        <v>315</v>
      </c>
      <c r="F88" s="145" t="s">
        <v>939</v>
      </c>
      <c r="G88" s="145" t="s">
        <v>204</v>
      </c>
      <c r="H88" s="145" t="s">
        <v>339</v>
      </c>
      <c r="I88" s="145" t="s">
        <v>1211</v>
      </c>
      <c r="J88" s="145" t="s">
        <v>415</v>
      </c>
      <c r="K88" s="145" t="s">
        <v>1216</v>
      </c>
      <c r="L88" s="146">
        <v>103.497</v>
      </c>
      <c r="M88" s="146">
        <v>3.71</v>
      </c>
      <c r="N88" s="147">
        <v>5.8500000000000003E-2</v>
      </c>
      <c r="O88" s="146">
        <v>383.97500000000002</v>
      </c>
      <c r="P88" s="147">
        <f t="shared" si="1"/>
        <v>3.3710204597566837E-2</v>
      </c>
      <c r="Q88" s="147">
        <v>1.0123499286108981E-3</v>
      </c>
    </row>
    <row r="89" spans="1:17" s="145" customFormat="1">
      <c r="A89" s="145" t="s">
        <v>1213</v>
      </c>
      <c r="B89" s="145">
        <v>57</v>
      </c>
      <c r="C89" s="145" t="s">
        <v>1209</v>
      </c>
      <c r="D89" s="145" t="s">
        <v>1210</v>
      </c>
      <c r="E89" s="145" t="s">
        <v>315</v>
      </c>
      <c r="F89" s="145" t="s">
        <v>936</v>
      </c>
      <c r="G89" s="145" t="s">
        <v>204</v>
      </c>
      <c r="H89" s="145" t="s">
        <v>339</v>
      </c>
      <c r="I89" s="145" t="s">
        <v>1215</v>
      </c>
      <c r="J89" s="145" t="s">
        <v>413</v>
      </c>
      <c r="K89" s="145" t="s">
        <v>1227</v>
      </c>
      <c r="L89" s="146">
        <v>60.668999999999997</v>
      </c>
      <c r="M89" s="146">
        <v>4.9749999999999996</v>
      </c>
      <c r="N89" s="150">
        <v>0</v>
      </c>
      <c r="O89" s="146">
        <v>301.81599999999997</v>
      </c>
      <c r="P89" s="147">
        <f t="shared" si="1"/>
        <v>2.6497243598721871E-2</v>
      </c>
      <c r="Q89" s="147">
        <v>7.9573775910834501E-4</v>
      </c>
    </row>
    <row r="90" spans="1:17" s="145" customFormat="1">
      <c r="A90" s="145" t="s">
        <v>1213</v>
      </c>
      <c r="B90" s="145">
        <v>57</v>
      </c>
      <c r="C90" s="145" t="s">
        <v>1236</v>
      </c>
      <c r="D90" s="145" t="s">
        <v>1237</v>
      </c>
      <c r="E90" s="145" t="s">
        <v>315</v>
      </c>
      <c r="F90" s="145" t="s">
        <v>936</v>
      </c>
      <c r="G90" s="145" t="s">
        <v>204</v>
      </c>
      <c r="H90" s="145" t="s">
        <v>339</v>
      </c>
      <c r="I90" s="145" t="s">
        <v>1215</v>
      </c>
      <c r="J90" s="145" t="s">
        <v>413</v>
      </c>
      <c r="K90" s="145" t="s">
        <v>1216</v>
      </c>
      <c r="L90" s="146">
        <v>10.071999999999999</v>
      </c>
      <c r="M90" s="146">
        <v>3.71</v>
      </c>
      <c r="N90" s="150">
        <v>0</v>
      </c>
      <c r="O90" s="146">
        <v>37.369</v>
      </c>
      <c r="P90" s="147">
        <f t="shared" si="1"/>
        <v>3.2807256608020706E-3</v>
      </c>
      <c r="Q90" s="147">
        <v>9.8523353036683754E-5</v>
      </c>
    </row>
    <row r="91" spans="1:17" s="145" customFormat="1">
      <c r="A91" s="145" t="s">
        <v>1213</v>
      </c>
      <c r="B91" s="145">
        <v>57</v>
      </c>
      <c r="C91" s="145" t="s">
        <v>1209</v>
      </c>
      <c r="D91" s="145" t="s">
        <v>1210</v>
      </c>
      <c r="E91" s="145" t="s">
        <v>315</v>
      </c>
      <c r="F91" s="145" t="s">
        <v>936</v>
      </c>
      <c r="G91" s="145" t="s">
        <v>204</v>
      </c>
      <c r="H91" s="145" t="s">
        <v>339</v>
      </c>
      <c r="I91" s="145" t="s">
        <v>1215</v>
      </c>
      <c r="J91" s="145" t="s">
        <v>413</v>
      </c>
      <c r="K91" s="145" t="s">
        <v>1218</v>
      </c>
      <c r="L91" s="146">
        <v>7.6950000000000003</v>
      </c>
      <c r="M91" s="146">
        <v>4.1520000000000001</v>
      </c>
      <c r="N91" s="150">
        <v>3.0599999999999999E-2</v>
      </c>
      <c r="O91" s="146">
        <v>31.952999999999999</v>
      </c>
      <c r="P91" s="147">
        <f t="shared" si="1"/>
        <v>2.8052403607163306E-3</v>
      </c>
      <c r="Q91" s="147">
        <v>8.4244071277828043E-5</v>
      </c>
    </row>
    <row r="92" spans="1:17" s="145" customFormat="1">
      <c r="A92" s="145" t="s">
        <v>1213</v>
      </c>
      <c r="B92" s="145">
        <v>57</v>
      </c>
      <c r="C92" s="145" t="s">
        <v>1236</v>
      </c>
      <c r="D92" s="145" t="s">
        <v>1237</v>
      </c>
      <c r="E92" s="145" t="s">
        <v>315</v>
      </c>
      <c r="F92" s="145" t="s">
        <v>934</v>
      </c>
      <c r="G92" s="145" t="s">
        <v>204</v>
      </c>
      <c r="H92" s="145" t="s">
        <v>339</v>
      </c>
      <c r="I92" s="145" t="s">
        <v>1211</v>
      </c>
      <c r="J92" s="145" t="s">
        <v>415</v>
      </c>
      <c r="K92" s="145" t="s">
        <v>1212</v>
      </c>
      <c r="L92" s="146">
        <v>0.17599999999999999</v>
      </c>
      <c r="M92" s="146">
        <v>1</v>
      </c>
      <c r="N92" s="150">
        <v>0</v>
      </c>
      <c r="O92" s="146">
        <v>0.17599999999999999</v>
      </c>
      <c r="P92" s="147">
        <f t="shared" si="1"/>
        <v>1.5451516398650334E-5</v>
      </c>
      <c r="Q92" s="147">
        <v>4.6402392717108673E-7</v>
      </c>
    </row>
    <row r="93" spans="1:17" s="145" customFormat="1">
      <c r="A93" s="145" t="s">
        <v>1213</v>
      </c>
      <c r="B93" s="145">
        <v>57</v>
      </c>
      <c r="C93" s="145" t="s">
        <v>1209</v>
      </c>
      <c r="D93" s="145" t="s">
        <v>1210</v>
      </c>
      <c r="E93" s="145" t="s">
        <v>315</v>
      </c>
      <c r="F93" s="145" t="s">
        <v>935</v>
      </c>
      <c r="G93" s="145" t="s">
        <v>205</v>
      </c>
      <c r="H93" s="145" t="s">
        <v>339</v>
      </c>
      <c r="I93" s="145" t="s">
        <v>1211</v>
      </c>
      <c r="J93" s="145" t="s">
        <v>415</v>
      </c>
      <c r="K93" s="145" t="s">
        <v>1216</v>
      </c>
      <c r="L93" s="146">
        <v>1054.0429999999999</v>
      </c>
      <c r="M93" s="146">
        <v>3.71</v>
      </c>
      <c r="N93" s="150">
        <v>4.4999999999999998E-2</v>
      </c>
      <c r="O93" s="146">
        <v>3910.5</v>
      </c>
      <c r="P93" s="147">
        <f t="shared" si="1"/>
        <v>0.34331337998251216</v>
      </c>
      <c r="Q93" s="147">
        <v>1.0310031631832584E-2</v>
      </c>
    </row>
    <row r="94" spans="1:17" s="145" customFormat="1">
      <c r="A94" s="145" t="s">
        <v>1213</v>
      </c>
      <c r="B94" s="145">
        <v>57</v>
      </c>
      <c r="C94" s="145" t="s">
        <v>1209</v>
      </c>
      <c r="D94" s="145" t="s">
        <v>1210</v>
      </c>
      <c r="E94" s="145" t="s">
        <v>315</v>
      </c>
      <c r="F94" s="145" t="s">
        <v>935</v>
      </c>
      <c r="G94" s="145" t="s">
        <v>205</v>
      </c>
      <c r="H94" s="145" t="s">
        <v>339</v>
      </c>
      <c r="I94" s="145" t="s">
        <v>1211</v>
      </c>
      <c r="J94" s="145" t="s">
        <v>415</v>
      </c>
      <c r="K94" s="145" t="s">
        <v>1218</v>
      </c>
      <c r="L94" s="146">
        <v>0.09</v>
      </c>
      <c r="M94" s="146">
        <v>4.1520000000000001</v>
      </c>
      <c r="N94" s="150">
        <v>2.7300000000000001E-2</v>
      </c>
      <c r="O94" s="146">
        <v>0.374</v>
      </c>
      <c r="P94" s="147">
        <f t="shared" si="1"/>
        <v>3.2834472347131966E-5</v>
      </c>
      <c r="Q94" s="147">
        <v>9.8605084523855948E-7</v>
      </c>
    </row>
    <row r="95" spans="1:17" s="145" customFormat="1">
      <c r="A95" s="145" t="s">
        <v>1213</v>
      </c>
      <c r="B95" s="145">
        <v>58</v>
      </c>
      <c r="C95" s="145" t="s">
        <v>1209</v>
      </c>
      <c r="D95" s="145" t="s">
        <v>1210</v>
      </c>
      <c r="E95" s="145" t="s">
        <v>315</v>
      </c>
      <c r="F95" s="145" t="s">
        <v>934</v>
      </c>
      <c r="G95" s="145" t="s">
        <v>204</v>
      </c>
      <c r="H95" s="145" t="s">
        <v>339</v>
      </c>
      <c r="I95" s="145" t="s">
        <v>1211</v>
      </c>
      <c r="J95" s="145" t="s">
        <v>415</v>
      </c>
      <c r="K95" s="145" t="s">
        <v>1212</v>
      </c>
      <c r="L95" s="146">
        <f>9215.925+429.331360000011</f>
        <v>9645.2563600000103</v>
      </c>
      <c r="M95" s="146">
        <v>1</v>
      </c>
      <c r="N95" s="150">
        <v>0.04</v>
      </c>
      <c r="O95" s="146">
        <f>L95</f>
        <v>9645.2563600000103</v>
      </c>
      <c r="P95" s="147">
        <f t="shared" si="1"/>
        <v>0.38921932747192989</v>
      </c>
      <c r="Q95" s="147">
        <v>2.5206555480729375E-2</v>
      </c>
    </row>
    <row r="96" spans="1:17" s="145" customFormat="1">
      <c r="A96" s="145" t="s">
        <v>1213</v>
      </c>
      <c r="B96" s="145">
        <v>58</v>
      </c>
      <c r="C96" s="145" t="s">
        <v>1209</v>
      </c>
      <c r="D96" s="145" t="s">
        <v>1210</v>
      </c>
      <c r="E96" s="145" t="s">
        <v>315</v>
      </c>
      <c r="F96" s="145" t="s">
        <v>936</v>
      </c>
      <c r="G96" s="145" t="s">
        <v>204</v>
      </c>
      <c r="H96" s="145" t="s">
        <v>339</v>
      </c>
      <c r="I96" s="145" t="s">
        <v>1215</v>
      </c>
      <c r="J96" s="145" t="s">
        <v>413</v>
      </c>
      <c r="K96" s="145" t="s">
        <v>1216</v>
      </c>
      <c r="L96" s="146">
        <v>632.55999999999995</v>
      </c>
      <c r="M96" s="146">
        <v>3.71</v>
      </c>
      <c r="N96" s="150">
        <v>4.7399999999999998E-2</v>
      </c>
      <c r="O96" s="146">
        <v>2346.799</v>
      </c>
      <c r="P96" s="147">
        <f t="shared" si="1"/>
        <v>9.470142569562523E-2</v>
      </c>
      <c r="Q96" s="147">
        <v>6.1330375251550237E-3</v>
      </c>
    </row>
    <row r="97" spans="1:17" s="145" customFormat="1">
      <c r="A97" s="145" t="s">
        <v>1213</v>
      </c>
      <c r="B97" s="145">
        <v>58</v>
      </c>
      <c r="C97" s="145" t="s">
        <v>1236</v>
      </c>
      <c r="D97" s="145" t="s">
        <v>1237</v>
      </c>
      <c r="E97" s="145" t="s">
        <v>315</v>
      </c>
      <c r="F97" s="145" t="s">
        <v>934</v>
      </c>
      <c r="G97" s="145" t="s">
        <v>204</v>
      </c>
      <c r="H97" s="145" t="s">
        <v>339</v>
      </c>
      <c r="I97" s="145" t="s">
        <v>1211</v>
      </c>
      <c r="J97" s="145" t="s">
        <v>415</v>
      </c>
      <c r="K97" s="145" t="s">
        <v>1212</v>
      </c>
      <c r="L97" s="146">
        <v>885.37099999999998</v>
      </c>
      <c r="M97" s="146">
        <v>1</v>
      </c>
      <c r="N97" s="150">
        <v>0</v>
      </c>
      <c r="O97" s="146">
        <v>885.37099999999998</v>
      </c>
      <c r="P97" s="147">
        <f t="shared" si="1"/>
        <v>3.5727770452246399E-2</v>
      </c>
      <c r="Q97" s="147">
        <v>2.3137957561274011E-3</v>
      </c>
    </row>
    <row r="98" spans="1:17" s="145" customFormat="1">
      <c r="A98" s="145" t="s">
        <v>1213</v>
      </c>
      <c r="B98" s="145">
        <v>58</v>
      </c>
      <c r="C98" s="145" t="s">
        <v>1236</v>
      </c>
      <c r="D98" s="145" t="s">
        <v>1237</v>
      </c>
      <c r="E98" s="145" t="s">
        <v>315</v>
      </c>
      <c r="F98" s="145" t="s">
        <v>936</v>
      </c>
      <c r="G98" s="145" t="s">
        <v>204</v>
      </c>
      <c r="H98" s="145" t="s">
        <v>339</v>
      </c>
      <c r="I98" s="145" t="s">
        <v>1215</v>
      </c>
      <c r="J98" s="145" t="s">
        <v>413</v>
      </c>
      <c r="K98" s="145" t="s">
        <v>1216</v>
      </c>
      <c r="L98" s="146">
        <v>153.023</v>
      </c>
      <c r="M98" s="146">
        <v>3.71</v>
      </c>
      <c r="N98" s="150">
        <v>0</v>
      </c>
      <c r="O98" s="146">
        <v>567.71600000000001</v>
      </c>
      <c r="P98" s="147">
        <f t="shared" si="1"/>
        <v>2.2909296701684963E-2</v>
      </c>
      <c r="Q98" s="147">
        <v>1.4836479526499327E-3</v>
      </c>
    </row>
    <row r="99" spans="1:17" s="145" customFormat="1">
      <c r="A99" s="145" t="s">
        <v>1213</v>
      </c>
      <c r="B99" s="145">
        <v>58</v>
      </c>
      <c r="C99" s="145" t="s">
        <v>1209</v>
      </c>
      <c r="D99" s="145" t="s">
        <v>1210</v>
      </c>
      <c r="E99" s="145" t="s">
        <v>315</v>
      </c>
      <c r="F99" s="145" t="s">
        <v>936</v>
      </c>
      <c r="G99" s="145" t="s">
        <v>204</v>
      </c>
      <c r="H99" s="145" t="s">
        <v>339</v>
      </c>
      <c r="I99" s="145" t="s">
        <v>1215</v>
      </c>
      <c r="J99" s="145" t="s">
        <v>413</v>
      </c>
      <c r="K99" s="145" t="s">
        <v>1218</v>
      </c>
      <c r="L99" s="146">
        <v>101.583</v>
      </c>
      <c r="M99" s="146">
        <v>4.1520000000000001</v>
      </c>
      <c r="N99" s="150">
        <v>3.0599999999999999E-2</v>
      </c>
      <c r="O99" s="146">
        <v>421.81200000000001</v>
      </c>
      <c r="P99" s="147">
        <f t="shared" si="1"/>
        <v>1.7021567580147712E-2</v>
      </c>
      <c r="Q99" s="147">
        <v>1.1023478468163192E-3</v>
      </c>
    </row>
    <row r="100" spans="1:17" s="145" customFormat="1">
      <c r="A100" s="145" t="s">
        <v>1213</v>
      </c>
      <c r="B100" s="145">
        <v>58</v>
      </c>
      <c r="C100" s="145" t="s">
        <v>1209</v>
      </c>
      <c r="D100" s="145" t="s">
        <v>1210</v>
      </c>
      <c r="E100" s="145" t="s">
        <v>315</v>
      </c>
      <c r="F100" s="145" t="s">
        <v>939</v>
      </c>
      <c r="G100" s="145" t="s">
        <v>204</v>
      </c>
      <c r="H100" s="145" t="s">
        <v>339</v>
      </c>
      <c r="I100" s="145" t="s">
        <v>1211</v>
      </c>
      <c r="J100" s="145" t="s">
        <v>415</v>
      </c>
      <c r="K100" s="145" t="s">
        <v>1216</v>
      </c>
      <c r="L100" s="146">
        <v>73.619</v>
      </c>
      <c r="M100" s="146">
        <v>3.71</v>
      </c>
      <c r="N100" s="147">
        <v>5.8500000000000003E-2</v>
      </c>
      <c r="O100" s="146">
        <v>273.12799999999999</v>
      </c>
      <c r="P100" s="147">
        <f t="shared" si="1"/>
        <v>1.1021655879943158E-2</v>
      </c>
      <c r="Q100" s="147">
        <v>7.1378259202025448E-4</v>
      </c>
    </row>
    <row r="101" spans="1:17" s="145" customFormat="1">
      <c r="A101" s="145" t="s">
        <v>1213</v>
      </c>
      <c r="B101" s="145">
        <v>58</v>
      </c>
      <c r="C101" s="145" t="s">
        <v>1209</v>
      </c>
      <c r="D101" s="145" t="s">
        <v>1210</v>
      </c>
      <c r="E101" s="145" t="s">
        <v>315</v>
      </c>
      <c r="F101" s="145" t="s">
        <v>936</v>
      </c>
      <c r="G101" s="145" t="s">
        <v>204</v>
      </c>
      <c r="H101" s="145" t="s">
        <v>339</v>
      </c>
      <c r="I101" s="145" t="s">
        <v>1215</v>
      </c>
      <c r="J101" s="145" t="s">
        <v>413</v>
      </c>
      <c r="K101" s="145" t="s">
        <v>1227</v>
      </c>
      <c r="L101" s="146">
        <v>45.753999999999998</v>
      </c>
      <c r="M101" s="146">
        <v>4.9749999999999996</v>
      </c>
      <c r="N101" s="150">
        <v>0</v>
      </c>
      <c r="O101" s="146">
        <v>227.619</v>
      </c>
      <c r="P101" s="147">
        <f t="shared" si="1"/>
        <v>9.1852109257812529E-3</v>
      </c>
      <c r="Q101" s="147">
        <v>5.948510581597578E-4</v>
      </c>
    </row>
    <row r="102" spans="1:17" s="145" customFormat="1">
      <c r="A102" s="145" t="s">
        <v>1213</v>
      </c>
      <c r="B102" s="145">
        <v>58</v>
      </c>
      <c r="C102" s="145" t="s">
        <v>1209</v>
      </c>
      <c r="D102" s="145" t="s">
        <v>1210</v>
      </c>
      <c r="E102" s="145" t="s">
        <v>315</v>
      </c>
      <c r="F102" s="145" t="s">
        <v>936</v>
      </c>
      <c r="G102" s="145" t="s">
        <v>204</v>
      </c>
      <c r="H102" s="145" t="s">
        <v>339</v>
      </c>
      <c r="I102" s="145" t="s">
        <v>1211</v>
      </c>
      <c r="J102" s="145" t="s">
        <v>415</v>
      </c>
      <c r="K102" s="145" t="s">
        <v>1219</v>
      </c>
      <c r="L102" s="146">
        <v>23.96</v>
      </c>
      <c r="M102" s="146">
        <v>4.3970000000000002</v>
      </c>
      <c r="N102" s="150">
        <v>0</v>
      </c>
      <c r="O102" s="146">
        <v>105.34099999999999</v>
      </c>
      <c r="P102" s="147">
        <f t="shared" si="1"/>
        <v>4.2508723091337847E-3</v>
      </c>
      <c r="Q102" s="147">
        <v>2.7529426505523285E-4</v>
      </c>
    </row>
    <row r="103" spans="1:17" s="145" customFormat="1">
      <c r="A103" s="145" t="s">
        <v>1213</v>
      </c>
      <c r="B103" s="145">
        <v>58</v>
      </c>
      <c r="C103" s="145" t="s">
        <v>1209</v>
      </c>
      <c r="D103" s="145" t="s">
        <v>1210</v>
      </c>
      <c r="E103" s="145" t="s">
        <v>315</v>
      </c>
      <c r="F103" s="145" t="s">
        <v>936</v>
      </c>
      <c r="G103" s="145" t="s">
        <v>204</v>
      </c>
      <c r="H103" s="145" t="s">
        <v>339</v>
      </c>
      <c r="I103" s="145" t="s">
        <v>1211</v>
      </c>
      <c r="J103" s="145" t="s">
        <v>415</v>
      </c>
      <c r="K103" s="145" t="s">
        <v>1229</v>
      </c>
      <c r="L103" s="146">
        <v>28.553999999999998</v>
      </c>
      <c r="M103" s="146">
        <v>0.47799999999999998</v>
      </c>
      <c r="N103" s="150">
        <v>0</v>
      </c>
      <c r="O103" s="146">
        <v>13.643000000000001</v>
      </c>
      <c r="P103" s="147">
        <f t="shared" si="1"/>
        <v>5.5054205782660343E-4</v>
      </c>
      <c r="Q103" s="147">
        <v>3.5654110537668538E-5</v>
      </c>
    </row>
    <row r="104" spans="1:17" s="145" customFormat="1">
      <c r="A104" s="145" t="s">
        <v>1213</v>
      </c>
      <c r="B104" s="145">
        <v>58</v>
      </c>
      <c r="C104" s="145" t="s">
        <v>1209</v>
      </c>
      <c r="D104" s="145" t="s">
        <v>1210</v>
      </c>
      <c r="E104" s="145" t="s">
        <v>315</v>
      </c>
      <c r="F104" s="145" t="s">
        <v>935</v>
      </c>
      <c r="G104" s="145" t="s">
        <v>205</v>
      </c>
      <c r="H104" s="145" t="s">
        <v>339</v>
      </c>
      <c r="I104" s="145" t="s">
        <v>1211</v>
      </c>
      <c r="J104" s="145" t="s">
        <v>415</v>
      </c>
      <c r="K104" s="145" t="s">
        <v>1216</v>
      </c>
      <c r="L104" s="146">
        <v>2062.0830000000001</v>
      </c>
      <c r="M104" s="146">
        <v>3.71</v>
      </c>
      <c r="N104" s="150">
        <v>4.4999999999999998E-2</v>
      </c>
      <c r="O104" s="146">
        <v>7650.3280000000004</v>
      </c>
      <c r="P104" s="147">
        <f t="shared" si="1"/>
        <v>0.30871709449303547</v>
      </c>
      <c r="Q104" s="147">
        <v>1.999308364446388E-2</v>
      </c>
    </row>
    <row r="105" spans="1:17" s="145" customFormat="1">
      <c r="A105" s="145" t="s">
        <v>1213</v>
      </c>
      <c r="B105" s="145">
        <v>58</v>
      </c>
      <c r="C105" s="145" t="s">
        <v>1209</v>
      </c>
      <c r="D105" s="145" t="s">
        <v>1210</v>
      </c>
      <c r="E105" s="145" t="s">
        <v>315</v>
      </c>
      <c r="F105" s="145" t="s">
        <v>935</v>
      </c>
      <c r="G105" s="145" t="s">
        <v>205</v>
      </c>
      <c r="H105" s="145" t="s">
        <v>339</v>
      </c>
      <c r="I105" s="145" t="s">
        <v>1211</v>
      </c>
      <c r="J105" s="145" t="s">
        <v>415</v>
      </c>
      <c r="K105" s="145" t="s">
        <v>1218</v>
      </c>
      <c r="L105" s="146">
        <v>489.88200000000001</v>
      </c>
      <c r="M105" s="146">
        <v>4.1520000000000001</v>
      </c>
      <c r="N105" s="150">
        <v>2.7300000000000001E-2</v>
      </c>
      <c r="O105" s="146">
        <v>2034.1859999999999</v>
      </c>
      <c r="P105" s="147">
        <f t="shared" si="1"/>
        <v>8.2086414017596351E-2</v>
      </c>
      <c r="Q105" s="147">
        <v>5.3160662976015401E-3</v>
      </c>
    </row>
    <row r="106" spans="1:17" s="145" customFormat="1">
      <c r="A106" s="145" t="s">
        <v>1213</v>
      </c>
      <c r="B106" s="145">
        <v>58</v>
      </c>
      <c r="C106" s="145" t="s">
        <v>1209</v>
      </c>
      <c r="D106" s="145" t="s">
        <v>1210</v>
      </c>
      <c r="E106" s="145" t="s">
        <v>315</v>
      </c>
      <c r="F106" s="145" t="s">
        <v>935</v>
      </c>
      <c r="G106" s="145" t="s">
        <v>205</v>
      </c>
      <c r="H106" s="145" t="s">
        <v>339</v>
      </c>
      <c r="I106" s="145" t="s">
        <v>1211</v>
      </c>
      <c r="J106" s="145" t="s">
        <v>415</v>
      </c>
      <c r="K106" s="145" t="s">
        <v>1227</v>
      </c>
      <c r="L106" s="146">
        <v>122.497</v>
      </c>
      <c r="M106" s="146">
        <v>4.9749999999999996</v>
      </c>
      <c r="N106" s="150">
        <v>4.1700000000000001E-2</v>
      </c>
      <c r="O106" s="146">
        <v>609.39800000000002</v>
      </c>
      <c r="P106" s="147">
        <f t="shared" si="1"/>
        <v>2.4591309019674299E-2</v>
      </c>
      <c r="Q106" s="147">
        <v>1.5925781465538468E-3</v>
      </c>
    </row>
    <row r="107" spans="1:17" s="145" customFormat="1">
      <c r="A107" s="145" t="s">
        <v>1213</v>
      </c>
      <c r="B107" s="145">
        <v>58</v>
      </c>
      <c r="C107" s="145" t="s">
        <v>1209</v>
      </c>
      <c r="D107" s="145" t="s">
        <v>1210</v>
      </c>
      <c r="E107" s="145" t="s">
        <v>315</v>
      </c>
      <c r="F107" s="145" t="s">
        <v>935</v>
      </c>
      <c r="G107" s="145" t="s">
        <v>205</v>
      </c>
      <c r="H107" s="145" t="s">
        <v>339</v>
      </c>
      <c r="I107" s="145" t="s">
        <v>1211</v>
      </c>
      <c r="J107" s="145" t="s">
        <v>415</v>
      </c>
      <c r="K107" s="145" t="s">
        <v>1219</v>
      </c>
      <c r="L107" s="146">
        <v>9.9000000000000005E-2</v>
      </c>
      <c r="M107" s="146">
        <v>4.3970000000000002</v>
      </c>
      <c r="N107" s="150">
        <v>2.3999999999999998E-3</v>
      </c>
      <c r="O107" s="146">
        <v>0.434</v>
      </c>
      <c r="P107" s="147">
        <f t="shared" si="1"/>
        <v>1.7513395374679021E-5</v>
      </c>
      <c r="Q107" s="147">
        <v>1.1341995142819135E-6</v>
      </c>
    </row>
    <row r="108" spans="1:17" s="145" customFormat="1">
      <c r="A108" s="145" t="s">
        <v>1213</v>
      </c>
      <c r="B108" s="145">
        <v>62</v>
      </c>
      <c r="C108" s="145" t="s">
        <v>1209</v>
      </c>
      <c r="D108" s="145" t="s">
        <v>1210</v>
      </c>
      <c r="E108" s="145" t="s">
        <v>315</v>
      </c>
      <c r="F108" s="145" t="s">
        <v>936</v>
      </c>
      <c r="G108" s="145" t="s">
        <v>204</v>
      </c>
      <c r="H108" s="145" t="s">
        <v>339</v>
      </c>
      <c r="I108" s="145" t="s">
        <v>1215</v>
      </c>
      <c r="J108" s="145" t="s">
        <v>413</v>
      </c>
      <c r="K108" s="145" t="s">
        <v>1216</v>
      </c>
      <c r="L108" s="146">
        <v>49453.822999999997</v>
      </c>
      <c r="M108" s="146">
        <v>3.71</v>
      </c>
      <c r="N108" s="150">
        <v>4.7399999999999998E-2</v>
      </c>
      <c r="O108" s="146">
        <v>183473.68400000001</v>
      </c>
      <c r="P108" s="147">
        <f t="shared" si="1"/>
        <v>0.42417587406403862</v>
      </c>
      <c r="Q108" s="147">
        <v>4.1210798905869865E-2</v>
      </c>
    </row>
    <row r="109" spans="1:17" s="145" customFormat="1">
      <c r="A109" s="145" t="s">
        <v>1213</v>
      </c>
      <c r="B109" s="145">
        <v>62</v>
      </c>
      <c r="C109" s="145" t="s">
        <v>1209</v>
      </c>
      <c r="D109" s="145" t="s">
        <v>1210</v>
      </c>
      <c r="E109" s="145" t="s">
        <v>315</v>
      </c>
      <c r="F109" s="145" t="s">
        <v>934</v>
      </c>
      <c r="G109" s="145" t="s">
        <v>204</v>
      </c>
      <c r="H109" s="145" t="s">
        <v>339</v>
      </c>
      <c r="I109" s="145" t="s">
        <v>1211</v>
      </c>
      <c r="J109" s="145" t="s">
        <v>415</v>
      </c>
      <c r="K109" s="145" t="s">
        <v>1212</v>
      </c>
      <c r="L109" s="146">
        <f>81008.034+7604.24976000096</f>
        <v>88612.283760000966</v>
      </c>
      <c r="M109" s="146">
        <v>1</v>
      </c>
      <c r="N109" s="150">
        <v>0.04</v>
      </c>
      <c r="O109" s="146">
        <f>L109</f>
        <v>88612.283760000966</v>
      </c>
      <c r="P109" s="147">
        <f t="shared" si="1"/>
        <v>0.20486421865660592</v>
      </c>
      <c r="Q109" s="147">
        <v>1.9903579232775845E-2</v>
      </c>
    </row>
    <row r="110" spans="1:17" s="145" customFormat="1">
      <c r="A110" s="145" t="s">
        <v>1213</v>
      </c>
      <c r="B110" s="145">
        <v>62</v>
      </c>
      <c r="C110" s="145" t="s">
        <v>1236</v>
      </c>
      <c r="D110" s="145" t="s">
        <v>1237</v>
      </c>
      <c r="E110" s="145" t="s">
        <v>315</v>
      </c>
      <c r="F110" s="145" t="s">
        <v>934</v>
      </c>
      <c r="G110" s="145" t="s">
        <v>204</v>
      </c>
      <c r="H110" s="145" t="s">
        <v>339</v>
      </c>
      <c r="I110" s="145" t="s">
        <v>1211</v>
      </c>
      <c r="J110" s="145" t="s">
        <v>415</v>
      </c>
      <c r="K110" s="145" t="s">
        <v>1212</v>
      </c>
      <c r="L110" s="146">
        <v>32101.512999999999</v>
      </c>
      <c r="M110" s="146">
        <v>1</v>
      </c>
      <c r="N110" s="150">
        <v>0</v>
      </c>
      <c r="O110" s="146">
        <v>32101.512999999999</v>
      </c>
      <c r="P110" s="147">
        <f t="shared" si="1"/>
        <v>7.4216024002401876E-2</v>
      </c>
      <c r="Q110" s="147">
        <v>7.2104563879426282E-3</v>
      </c>
    </row>
    <row r="111" spans="1:17" s="145" customFormat="1">
      <c r="A111" s="145" t="s">
        <v>1213</v>
      </c>
      <c r="B111" s="145">
        <v>62</v>
      </c>
      <c r="C111" s="145" t="s">
        <v>1209</v>
      </c>
      <c r="D111" s="145" t="s">
        <v>1210</v>
      </c>
      <c r="E111" s="145" t="s">
        <v>315</v>
      </c>
      <c r="F111" s="145" t="s">
        <v>936</v>
      </c>
      <c r="G111" s="145" t="s">
        <v>204</v>
      </c>
      <c r="H111" s="145" t="s">
        <v>339</v>
      </c>
      <c r="I111" s="145" t="s">
        <v>1215</v>
      </c>
      <c r="J111" s="145" t="s">
        <v>413</v>
      </c>
      <c r="K111" s="145" t="s">
        <v>1218</v>
      </c>
      <c r="L111" s="146">
        <v>1997.3679999999999</v>
      </c>
      <c r="M111" s="146">
        <v>4.1520000000000001</v>
      </c>
      <c r="N111" s="150">
        <v>3.0599999999999999E-2</v>
      </c>
      <c r="O111" s="146">
        <v>8293.8719999999994</v>
      </c>
      <c r="P111" s="147">
        <f t="shared" si="1"/>
        <v>1.9174741185091458E-2</v>
      </c>
      <c r="Q111" s="147">
        <v>1.8629216119246E-3</v>
      </c>
    </row>
    <row r="112" spans="1:17" s="145" customFormat="1">
      <c r="A112" s="145" t="s">
        <v>1213</v>
      </c>
      <c r="B112" s="145">
        <v>62</v>
      </c>
      <c r="C112" s="145" t="s">
        <v>1236</v>
      </c>
      <c r="D112" s="145" t="s">
        <v>1237</v>
      </c>
      <c r="E112" s="145" t="s">
        <v>315</v>
      </c>
      <c r="F112" s="145" t="s">
        <v>936</v>
      </c>
      <c r="G112" s="145" t="s">
        <v>204</v>
      </c>
      <c r="H112" s="145" t="s">
        <v>339</v>
      </c>
      <c r="I112" s="145" t="s">
        <v>1215</v>
      </c>
      <c r="J112" s="145" t="s">
        <v>413</v>
      </c>
      <c r="K112" s="145" t="s">
        <v>1216</v>
      </c>
      <c r="L112" s="146">
        <v>1091.769</v>
      </c>
      <c r="M112" s="146">
        <v>3.71</v>
      </c>
      <c r="N112" s="150">
        <v>0</v>
      </c>
      <c r="O112" s="146">
        <v>4050.4630000000002</v>
      </c>
      <c r="P112" s="147">
        <f t="shared" si="1"/>
        <v>9.3643330527393136E-3</v>
      </c>
      <c r="Q112" s="147">
        <v>9.0979159806191267E-4</v>
      </c>
    </row>
    <row r="113" spans="1:17" s="145" customFormat="1">
      <c r="A113" s="145" t="s">
        <v>1213</v>
      </c>
      <c r="B113" s="145">
        <v>62</v>
      </c>
      <c r="C113" s="145" t="s">
        <v>1209</v>
      </c>
      <c r="D113" s="145" t="s">
        <v>1210</v>
      </c>
      <c r="E113" s="145" t="s">
        <v>315</v>
      </c>
      <c r="F113" s="145" t="s">
        <v>939</v>
      </c>
      <c r="G113" s="145" t="s">
        <v>204</v>
      </c>
      <c r="H113" s="145" t="s">
        <v>339</v>
      </c>
      <c r="I113" s="145" t="s">
        <v>1211</v>
      </c>
      <c r="J113" s="145" t="s">
        <v>415</v>
      </c>
      <c r="K113" s="145" t="s">
        <v>1216</v>
      </c>
      <c r="L113" s="146">
        <v>952.93</v>
      </c>
      <c r="M113" s="146">
        <v>3.71</v>
      </c>
      <c r="N113" s="147">
        <v>5.8500000000000003E-2</v>
      </c>
      <c r="O113" s="146">
        <v>3535.37</v>
      </c>
      <c r="P113" s="147">
        <f t="shared" si="1"/>
        <v>8.1734809439471447E-3</v>
      </c>
      <c r="Q113" s="147">
        <v>7.9409438428153624E-4</v>
      </c>
    </row>
    <row r="114" spans="1:17" s="145" customFormat="1">
      <c r="A114" s="145" t="s">
        <v>1213</v>
      </c>
      <c r="B114" s="145">
        <v>62</v>
      </c>
      <c r="C114" s="145" t="s">
        <v>1209</v>
      </c>
      <c r="D114" s="145" t="s">
        <v>1210</v>
      </c>
      <c r="E114" s="145" t="s">
        <v>315</v>
      </c>
      <c r="F114" s="145" t="s">
        <v>936</v>
      </c>
      <c r="G114" s="145" t="s">
        <v>204</v>
      </c>
      <c r="H114" s="145" t="s">
        <v>339</v>
      </c>
      <c r="I114" s="145" t="s">
        <v>1215</v>
      </c>
      <c r="J114" s="145" t="s">
        <v>413</v>
      </c>
      <c r="K114" s="145" t="s">
        <v>1227</v>
      </c>
      <c r="L114" s="146">
        <v>110.586</v>
      </c>
      <c r="M114" s="146">
        <v>4.9749999999999996</v>
      </c>
      <c r="N114" s="150">
        <v>0</v>
      </c>
      <c r="O114" s="146">
        <v>550.14400000000001</v>
      </c>
      <c r="P114" s="147">
        <f t="shared" si="1"/>
        <v>1.2718871010465264E-3</v>
      </c>
      <c r="Q114" s="147">
        <v>1.2357016689799977E-4</v>
      </c>
    </row>
    <row r="115" spans="1:17" s="145" customFormat="1">
      <c r="A115" s="145" t="s">
        <v>1213</v>
      </c>
      <c r="B115" s="145">
        <v>62</v>
      </c>
      <c r="C115" s="145" t="s">
        <v>1209</v>
      </c>
      <c r="D115" s="145" t="s">
        <v>1210</v>
      </c>
      <c r="E115" s="145" t="s">
        <v>315</v>
      </c>
      <c r="F115" s="145" t="s">
        <v>936</v>
      </c>
      <c r="G115" s="145" t="s">
        <v>204</v>
      </c>
      <c r="H115" s="145" t="s">
        <v>339</v>
      </c>
      <c r="I115" s="145" t="s">
        <v>1211</v>
      </c>
      <c r="J115" s="145" t="s">
        <v>415</v>
      </c>
      <c r="K115" s="145" t="s">
        <v>1229</v>
      </c>
      <c r="L115" s="146">
        <v>83.924000000000007</v>
      </c>
      <c r="M115" s="146">
        <v>0.47799999999999998</v>
      </c>
      <c r="N115" s="150">
        <v>0</v>
      </c>
      <c r="O115" s="146">
        <v>40.098999999999997</v>
      </c>
      <c r="P115" s="147">
        <f t="shared" si="1"/>
        <v>9.2705547756341357E-5</v>
      </c>
      <c r="Q115" s="147">
        <v>9.0068057134911815E-6</v>
      </c>
    </row>
    <row r="116" spans="1:17" s="145" customFormat="1">
      <c r="A116" s="145" t="s">
        <v>1213</v>
      </c>
      <c r="B116" s="145">
        <v>62</v>
      </c>
      <c r="C116" s="145" t="s">
        <v>1236</v>
      </c>
      <c r="D116" s="145" t="s">
        <v>1237</v>
      </c>
      <c r="E116" s="145" t="s">
        <v>315</v>
      </c>
      <c r="F116" s="145" t="s">
        <v>936</v>
      </c>
      <c r="G116" s="145" t="s">
        <v>204</v>
      </c>
      <c r="H116" s="145" t="s">
        <v>339</v>
      </c>
      <c r="I116" s="145" t="s">
        <v>1215</v>
      </c>
      <c r="J116" s="145" t="s">
        <v>413</v>
      </c>
      <c r="K116" s="145" t="s">
        <v>1218</v>
      </c>
      <c r="L116" s="146">
        <v>0.08</v>
      </c>
      <c r="M116" s="146">
        <v>4.1520000000000001</v>
      </c>
      <c r="N116" s="150">
        <v>0</v>
      </c>
      <c r="O116" s="146">
        <v>0.33200000000000002</v>
      </c>
      <c r="P116" s="147">
        <f t="shared" si="1"/>
        <v>7.67556344425181E-7</v>
      </c>
      <c r="Q116" s="147">
        <v>7.4571921915236602E-8</v>
      </c>
    </row>
    <row r="117" spans="1:17" s="145" customFormat="1">
      <c r="A117" s="145" t="s">
        <v>1213</v>
      </c>
      <c r="B117" s="145">
        <v>62</v>
      </c>
      <c r="C117" s="145" t="s">
        <v>1209</v>
      </c>
      <c r="D117" s="145" t="s">
        <v>1210</v>
      </c>
      <c r="E117" s="145" t="s">
        <v>315</v>
      </c>
      <c r="F117" s="145" t="s">
        <v>935</v>
      </c>
      <c r="G117" s="145" t="s">
        <v>205</v>
      </c>
      <c r="H117" s="145" t="s">
        <v>339</v>
      </c>
      <c r="I117" s="145" t="s">
        <v>1211</v>
      </c>
      <c r="J117" s="145" t="s">
        <v>415</v>
      </c>
      <c r="K117" s="145" t="s">
        <v>1216</v>
      </c>
      <c r="L117" s="146">
        <v>27400.94</v>
      </c>
      <c r="M117" s="146">
        <v>3.71</v>
      </c>
      <c r="N117" s="150">
        <v>4.4999999999999998E-2</v>
      </c>
      <c r="O117" s="146">
        <v>101657.488</v>
      </c>
      <c r="P117" s="147">
        <f t="shared" si="1"/>
        <v>0.23502364419495994</v>
      </c>
      <c r="Q117" s="147">
        <v>2.2833717642274404E-2</v>
      </c>
    </row>
    <row r="118" spans="1:17" s="145" customFormat="1">
      <c r="A118" s="145" t="s">
        <v>1213</v>
      </c>
      <c r="B118" s="145">
        <v>62</v>
      </c>
      <c r="C118" s="145" t="s">
        <v>1209</v>
      </c>
      <c r="D118" s="145" t="s">
        <v>1210</v>
      </c>
      <c r="E118" s="145" t="s">
        <v>315</v>
      </c>
      <c r="F118" s="145" t="s">
        <v>935</v>
      </c>
      <c r="G118" s="145" t="s">
        <v>205</v>
      </c>
      <c r="H118" s="145" t="s">
        <v>339</v>
      </c>
      <c r="I118" s="145" t="s">
        <v>1211</v>
      </c>
      <c r="J118" s="145" t="s">
        <v>415</v>
      </c>
      <c r="K118" s="145" t="s">
        <v>1218</v>
      </c>
      <c r="L118" s="146">
        <v>1416.2650000000001</v>
      </c>
      <c r="M118" s="146">
        <v>4.1520000000000001</v>
      </c>
      <c r="N118" s="150">
        <v>2.7300000000000001E-2</v>
      </c>
      <c r="O118" s="146">
        <v>5880.9009999999998</v>
      </c>
      <c r="P118" s="147">
        <f t="shared" si="1"/>
        <v>1.3596153233392744E-2</v>
      </c>
      <c r="Q118" s="147">
        <v>1.3209340065157736E-3</v>
      </c>
    </row>
    <row r="119" spans="1:17" s="145" customFormat="1">
      <c r="A119" s="145" t="s">
        <v>1213</v>
      </c>
      <c r="B119" s="145">
        <v>62</v>
      </c>
      <c r="C119" s="145" t="s">
        <v>1209</v>
      </c>
      <c r="D119" s="145" t="s">
        <v>1210</v>
      </c>
      <c r="E119" s="145" t="s">
        <v>315</v>
      </c>
      <c r="F119" s="145" t="s">
        <v>935</v>
      </c>
      <c r="G119" s="145" t="s">
        <v>205</v>
      </c>
      <c r="H119" s="145" t="s">
        <v>339</v>
      </c>
      <c r="I119" s="145" t="s">
        <v>1211</v>
      </c>
      <c r="J119" s="145" t="s">
        <v>415</v>
      </c>
      <c r="K119" s="145" t="s">
        <v>1227</v>
      </c>
      <c r="L119" s="146">
        <v>873.35799999999995</v>
      </c>
      <c r="M119" s="146">
        <v>4.9749999999999996</v>
      </c>
      <c r="N119" s="150">
        <v>4.1700000000000001E-2</v>
      </c>
      <c r="O119" s="146">
        <v>4344.7809999999999</v>
      </c>
      <c r="P119" s="147">
        <f t="shared" si="1"/>
        <v>1.0044771752072235E-2</v>
      </c>
      <c r="Q119" s="147">
        <v>9.7589960683976986E-4</v>
      </c>
    </row>
    <row r="120" spans="1:17" s="145" customFormat="1">
      <c r="A120" s="145" t="s">
        <v>1213</v>
      </c>
      <c r="B120" s="145">
        <v>62</v>
      </c>
      <c r="C120" s="145" t="s">
        <v>1209</v>
      </c>
      <c r="D120" s="145" t="s">
        <v>1210</v>
      </c>
      <c r="E120" s="145" t="s">
        <v>315</v>
      </c>
      <c r="F120" s="145" t="s">
        <v>935</v>
      </c>
      <c r="G120" s="145" t="s">
        <v>205</v>
      </c>
      <c r="H120" s="145" t="s">
        <v>339</v>
      </c>
      <c r="I120" s="145" t="s">
        <v>1211</v>
      </c>
      <c r="J120" s="145" t="s">
        <v>415</v>
      </c>
      <c r="K120" s="145" t="s">
        <v>1219</v>
      </c>
      <c r="L120" s="146">
        <v>0.1</v>
      </c>
      <c r="M120" s="146">
        <v>4.3970000000000002</v>
      </c>
      <c r="N120" s="150">
        <v>2.3999999999999998E-3</v>
      </c>
      <c r="O120" s="146">
        <v>0.439</v>
      </c>
      <c r="P120" s="147">
        <f t="shared" si="1"/>
        <v>1.0149314313332965E-6</v>
      </c>
      <c r="Q120" s="147">
        <v>9.8605643737315875E-8</v>
      </c>
    </row>
    <row r="121" spans="1:17" s="145" customFormat="1">
      <c r="A121" s="145" t="s">
        <v>1213</v>
      </c>
      <c r="B121" s="145">
        <v>62</v>
      </c>
      <c r="C121" s="145" t="s">
        <v>1209</v>
      </c>
      <c r="D121" s="145" t="s">
        <v>1210</v>
      </c>
      <c r="E121" s="145" t="s">
        <v>315</v>
      </c>
      <c r="F121" s="145" t="s">
        <v>935</v>
      </c>
      <c r="G121" s="145" t="s">
        <v>205</v>
      </c>
      <c r="H121" s="145" t="s">
        <v>339</v>
      </c>
      <c r="I121" s="145" t="s">
        <v>1211</v>
      </c>
      <c r="J121" s="145" t="s">
        <v>415</v>
      </c>
      <c r="K121" s="145" t="s">
        <v>1229</v>
      </c>
      <c r="L121" s="146">
        <v>0.34699999999999998</v>
      </c>
      <c r="M121" s="146">
        <v>0.47799999999999998</v>
      </c>
      <c r="N121" s="150">
        <v>1.24265E-2</v>
      </c>
      <c r="O121" s="146">
        <v>0.16600000000000001</v>
      </c>
      <c r="P121" s="147">
        <f t="shared" si="1"/>
        <v>3.837781722125905E-7</v>
      </c>
      <c r="Q121" s="147">
        <v>3.7285960957618301E-8</v>
      </c>
    </row>
    <row r="122" spans="1:17" s="145" customFormat="1">
      <c r="A122" s="145" t="s">
        <v>1213</v>
      </c>
      <c r="B122" s="145">
        <v>8530</v>
      </c>
      <c r="C122" s="145" t="s">
        <v>1209</v>
      </c>
      <c r="D122" s="145" t="s">
        <v>1210</v>
      </c>
      <c r="E122" s="145" t="s">
        <v>315</v>
      </c>
      <c r="F122" s="145" t="s">
        <v>934</v>
      </c>
      <c r="G122" s="145" t="s">
        <v>204</v>
      </c>
      <c r="H122" s="145" t="s">
        <v>339</v>
      </c>
      <c r="I122" s="145" t="s">
        <v>1211</v>
      </c>
      <c r="J122" s="145" t="s">
        <v>415</v>
      </c>
      <c r="K122" s="145" t="s">
        <v>1212</v>
      </c>
      <c r="L122" s="146">
        <f>6103.768+1005.17264999996</f>
        <v>7108.9406499999604</v>
      </c>
      <c r="M122" s="146">
        <v>1</v>
      </c>
      <c r="N122" s="150">
        <v>0.04</v>
      </c>
      <c r="O122" s="146">
        <f>L122</f>
        <v>7108.9406499999604</v>
      </c>
      <c r="P122" s="147">
        <f t="shared" si="1"/>
        <v>0.92260536534215332</v>
      </c>
      <c r="Q122" s="147">
        <v>2.0545083144481752E-2</v>
      </c>
    </row>
    <row r="123" spans="1:17" s="145" customFormat="1">
      <c r="A123" s="145" t="s">
        <v>1213</v>
      </c>
      <c r="B123" s="145">
        <v>8530</v>
      </c>
      <c r="C123" s="145" t="s">
        <v>1245</v>
      </c>
      <c r="D123" s="145" t="s">
        <v>1246</v>
      </c>
      <c r="E123" s="145" t="s">
        <v>315</v>
      </c>
      <c r="F123" s="145" t="s">
        <v>934</v>
      </c>
      <c r="G123" s="145" t="s">
        <v>204</v>
      </c>
      <c r="H123" s="145" t="s">
        <v>339</v>
      </c>
      <c r="I123" s="145" t="s">
        <v>1211</v>
      </c>
      <c r="J123" s="145" t="s">
        <v>415</v>
      </c>
      <c r="K123" s="145" t="s">
        <v>1212</v>
      </c>
      <c r="L123" s="146">
        <v>230.57300000000001</v>
      </c>
      <c r="M123" s="146">
        <v>1</v>
      </c>
      <c r="N123" s="149">
        <v>4.0599999999999997E-2</v>
      </c>
      <c r="O123" s="146">
        <v>230.57300000000001</v>
      </c>
      <c r="P123" s="147">
        <f t="shared" si="1"/>
        <v>2.9923992529468861E-2</v>
      </c>
      <c r="Q123" s="147">
        <v>6.6636390555217492E-4</v>
      </c>
    </row>
    <row r="124" spans="1:17" s="145" customFormat="1">
      <c r="A124" s="145" t="s">
        <v>1213</v>
      </c>
      <c r="B124" s="145">
        <v>8530</v>
      </c>
      <c r="C124" s="145" t="s">
        <v>1236</v>
      </c>
      <c r="D124" s="145" t="s">
        <v>1237</v>
      </c>
      <c r="E124" s="145" t="s">
        <v>315</v>
      </c>
      <c r="F124" s="145" t="s">
        <v>934</v>
      </c>
      <c r="G124" s="145" t="s">
        <v>204</v>
      </c>
      <c r="H124" s="145" t="s">
        <v>339</v>
      </c>
      <c r="I124" s="145" t="s">
        <v>1211</v>
      </c>
      <c r="J124" s="145" t="s">
        <v>415</v>
      </c>
      <c r="K124" s="145" t="s">
        <v>1212</v>
      </c>
      <c r="L124" s="146">
        <v>197.84299999999999</v>
      </c>
      <c r="M124" s="146">
        <v>1</v>
      </c>
      <c r="N124" s="150">
        <v>0</v>
      </c>
      <c r="O124" s="146">
        <v>197.84299999999999</v>
      </c>
      <c r="P124" s="147">
        <f t="shared" si="1"/>
        <v>2.5676260681032501E-2</v>
      </c>
      <c r="Q124" s="147">
        <v>5.7177307909494579E-4</v>
      </c>
    </row>
    <row r="125" spans="1:17" s="145" customFormat="1">
      <c r="A125" s="145" t="s">
        <v>1213</v>
      </c>
      <c r="B125" s="145">
        <v>8530</v>
      </c>
      <c r="C125" s="145" t="s">
        <v>1239</v>
      </c>
      <c r="D125" s="145" t="s">
        <v>1240</v>
      </c>
      <c r="E125" s="145" t="s">
        <v>315</v>
      </c>
      <c r="F125" s="145" t="s">
        <v>934</v>
      </c>
      <c r="G125" s="145" t="s">
        <v>204</v>
      </c>
      <c r="H125" s="145" t="s">
        <v>339</v>
      </c>
      <c r="I125" s="145" t="s">
        <v>1211</v>
      </c>
      <c r="J125" s="145" t="s">
        <v>415</v>
      </c>
      <c r="K125" s="145" t="s">
        <v>1212</v>
      </c>
      <c r="L125" s="146">
        <v>167.93199999999999</v>
      </c>
      <c r="M125" s="146">
        <v>1</v>
      </c>
      <c r="N125" s="150">
        <v>0</v>
      </c>
      <c r="O125" s="146">
        <v>167.93199999999999</v>
      </c>
      <c r="P125" s="147">
        <f t="shared" si="1"/>
        <v>2.1794381447345371E-2</v>
      </c>
      <c r="Q125" s="147">
        <v>4.8532925965827671E-4</v>
      </c>
    </row>
    <row r="126" spans="1:17" s="145" customFormat="1">
      <c r="A126" s="145" t="s">
        <v>1213</v>
      </c>
      <c r="B126" s="145">
        <v>15108</v>
      </c>
      <c r="C126" s="145" t="s">
        <v>1236</v>
      </c>
      <c r="D126" s="145" t="s">
        <v>1237</v>
      </c>
      <c r="E126" s="145" t="s">
        <v>315</v>
      </c>
      <c r="F126" s="145" t="s">
        <v>938</v>
      </c>
      <c r="G126" s="145" t="s">
        <v>204</v>
      </c>
      <c r="H126" s="145" t="s">
        <v>339</v>
      </c>
      <c r="I126" s="145" t="s">
        <v>1211</v>
      </c>
      <c r="J126" s="145" t="s">
        <v>415</v>
      </c>
      <c r="K126" s="145" t="s">
        <v>1212</v>
      </c>
      <c r="L126" s="146">
        <v>72358.032999999996</v>
      </c>
      <c r="M126" s="146">
        <v>1</v>
      </c>
      <c r="N126" s="147">
        <v>4.5499999999999999E-2</v>
      </c>
      <c r="O126" s="146">
        <v>72358.032999999996</v>
      </c>
      <c r="P126" s="147">
        <f t="shared" si="1"/>
        <v>0.29484391731816384</v>
      </c>
      <c r="Q126" s="147">
        <v>0.12252315025381187</v>
      </c>
    </row>
    <row r="127" spans="1:17" s="145" customFormat="1">
      <c r="A127" s="145" t="s">
        <v>1213</v>
      </c>
      <c r="B127" s="145">
        <v>15108</v>
      </c>
      <c r="C127" s="145" t="s">
        <v>1236</v>
      </c>
      <c r="D127" s="145" t="s">
        <v>1237</v>
      </c>
      <c r="E127" s="145" t="s">
        <v>315</v>
      </c>
      <c r="F127" s="145" t="s">
        <v>938</v>
      </c>
      <c r="G127" s="145" t="s">
        <v>204</v>
      </c>
      <c r="H127" s="145" t="s">
        <v>339</v>
      </c>
      <c r="I127" s="145" t="s">
        <v>1211</v>
      </c>
      <c r="J127" s="145" t="s">
        <v>415</v>
      </c>
      <c r="K127" s="145" t="s">
        <v>1212</v>
      </c>
      <c r="L127" s="146">
        <v>72341.508000000002</v>
      </c>
      <c r="M127" s="146">
        <v>1</v>
      </c>
      <c r="N127" s="147">
        <v>4.3400000000000001E-2</v>
      </c>
      <c r="O127" s="146">
        <v>72341.508000000002</v>
      </c>
      <c r="P127" s="147">
        <f t="shared" si="1"/>
        <v>0.29477658138417456</v>
      </c>
      <c r="Q127" s="147">
        <v>0.12249516863278102</v>
      </c>
    </row>
    <row r="128" spans="1:17" s="145" customFormat="1">
      <c r="A128" s="145" t="s">
        <v>1213</v>
      </c>
      <c r="B128" s="145">
        <v>15108</v>
      </c>
      <c r="C128" s="145" t="s">
        <v>1209</v>
      </c>
      <c r="D128" s="145" t="s">
        <v>1210</v>
      </c>
      <c r="E128" s="145" t="s">
        <v>315</v>
      </c>
      <c r="F128" s="145" t="s">
        <v>934</v>
      </c>
      <c r="G128" s="145" t="s">
        <v>204</v>
      </c>
      <c r="H128" s="145" t="s">
        <v>339</v>
      </c>
      <c r="I128" s="145" t="s">
        <v>1211</v>
      </c>
      <c r="J128" s="145" t="s">
        <v>415</v>
      </c>
      <c r="K128" s="145" t="s">
        <v>1212</v>
      </c>
      <c r="L128" s="146">
        <f>28656.275-1544.88559000007</f>
        <v>27111.389409999931</v>
      </c>
      <c r="M128" s="146">
        <v>1</v>
      </c>
      <c r="N128" s="150">
        <v>0.04</v>
      </c>
      <c r="O128" s="146">
        <f>L128</f>
        <v>27111.389409999931</v>
      </c>
      <c r="P128" s="147">
        <f t="shared" si="1"/>
        <v>0.11047326642478746</v>
      </c>
      <c r="Q128" s="147">
        <v>4.5907450777041239E-2</v>
      </c>
    </row>
    <row r="129" spans="1:17" s="145" customFormat="1">
      <c r="A129" s="145" t="s">
        <v>1213</v>
      </c>
      <c r="B129" s="145">
        <v>15108</v>
      </c>
      <c r="C129" s="145" t="s">
        <v>1236</v>
      </c>
      <c r="D129" s="145" t="s">
        <v>1237</v>
      </c>
      <c r="E129" s="145" t="s">
        <v>315</v>
      </c>
      <c r="F129" s="145" t="s">
        <v>938</v>
      </c>
      <c r="G129" s="145" t="s">
        <v>204</v>
      </c>
      <c r="H129" s="145" t="s">
        <v>339</v>
      </c>
      <c r="I129" s="145" t="s">
        <v>1211</v>
      </c>
      <c r="J129" s="145" t="s">
        <v>415</v>
      </c>
      <c r="K129" s="145" t="s">
        <v>1212</v>
      </c>
      <c r="L129" s="146">
        <v>15455</v>
      </c>
      <c r="M129" s="146">
        <v>1</v>
      </c>
      <c r="N129" s="147">
        <v>4.5499999999999999E-2</v>
      </c>
      <c r="O129" s="146">
        <v>15455</v>
      </c>
      <c r="P129" s="147">
        <f t="shared" si="1"/>
        <v>6.2975906796032197E-2</v>
      </c>
      <c r="Q129" s="147">
        <v>2.6169800486045034E-2</v>
      </c>
    </row>
    <row r="130" spans="1:17" s="145" customFormat="1">
      <c r="A130" s="145" t="s">
        <v>1213</v>
      </c>
      <c r="B130" s="145">
        <v>15108</v>
      </c>
      <c r="C130" s="145" t="s">
        <v>1209</v>
      </c>
      <c r="D130" s="145" t="s">
        <v>1210</v>
      </c>
      <c r="E130" s="145" t="s">
        <v>315</v>
      </c>
      <c r="F130" s="145" t="s">
        <v>936</v>
      </c>
      <c r="G130" s="145" t="s">
        <v>204</v>
      </c>
      <c r="H130" s="145" t="s">
        <v>339</v>
      </c>
      <c r="I130" s="145" t="s">
        <v>1215</v>
      </c>
      <c r="J130" s="145" t="s">
        <v>413</v>
      </c>
      <c r="K130" s="145" t="s">
        <v>1216</v>
      </c>
      <c r="L130" s="146">
        <v>972.74400000000003</v>
      </c>
      <c r="M130" s="146">
        <v>3.71</v>
      </c>
      <c r="N130" s="150">
        <v>4.7399999999999998E-2</v>
      </c>
      <c r="O130" s="146">
        <v>3608.8809999999999</v>
      </c>
      <c r="P130" s="147">
        <f t="shared" ref="P130:P193" si="2">O130/SUMIF(B:B,B130,O:O)</f>
        <v>1.470543859553358E-2</v>
      </c>
      <c r="Q130" s="147">
        <v>6.1108829341882031E-3</v>
      </c>
    </row>
    <row r="131" spans="1:17" s="145" customFormat="1">
      <c r="A131" s="145" t="s">
        <v>1213</v>
      </c>
      <c r="B131" s="145">
        <v>15108</v>
      </c>
      <c r="C131" s="145" t="s">
        <v>1236</v>
      </c>
      <c r="D131" s="145" t="s">
        <v>1237</v>
      </c>
      <c r="E131" s="145" t="s">
        <v>315</v>
      </c>
      <c r="F131" s="145" t="s">
        <v>934</v>
      </c>
      <c r="G131" s="145" t="s">
        <v>204</v>
      </c>
      <c r="H131" s="145" t="s">
        <v>339</v>
      </c>
      <c r="I131" s="145" t="s">
        <v>1211</v>
      </c>
      <c r="J131" s="145" t="s">
        <v>415</v>
      </c>
      <c r="K131" s="145" t="s">
        <v>1212</v>
      </c>
      <c r="L131" s="146">
        <v>2715.8870000000002</v>
      </c>
      <c r="M131" s="146">
        <v>1</v>
      </c>
      <c r="N131" s="150">
        <v>0</v>
      </c>
      <c r="O131" s="146">
        <v>2715.8870000000002</v>
      </c>
      <c r="P131" s="147">
        <f t="shared" si="2"/>
        <v>1.1066673994212586E-2</v>
      </c>
      <c r="Q131" s="147">
        <v>4.598784919614584E-3</v>
      </c>
    </row>
    <row r="132" spans="1:17" s="145" customFormat="1">
      <c r="A132" s="145" t="s">
        <v>1213</v>
      </c>
      <c r="B132" s="145">
        <v>15108</v>
      </c>
      <c r="C132" s="145" t="s">
        <v>1209</v>
      </c>
      <c r="D132" s="145" t="s">
        <v>1210</v>
      </c>
      <c r="E132" s="145" t="s">
        <v>315</v>
      </c>
      <c r="F132" s="145" t="s">
        <v>936</v>
      </c>
      <c r="G132" s="145" t="s">
        <v>204</v>
      </c>
      <c r="H132" s="145" t="s">
        <v>339</v>
      </c>
      <c r="I132" s="145" t="s">
        <v>1215</v>
      </c>
      <c r="J132" s="145" t="s">
        <v>413</v>
      </c>
      <c r="K132" s="145" t="s">
        <v>1218</v>
      </c>
      <c r="L132" s="146">
        <v>9.2999999999999999E-2</v>
      </c>
      <c r="M132" s="146">
        <v>4.1520000000000001</v>
      </c>
      <c r="N132" s="150">
        <v>3.0599999999999999E-2</v>
      </c>
      <c r="O132" s="146">
        <v>0.38700000000000001</v>
      </c>
      <c r="P132" s="147">
        <f t="shared" si="2"/>
        <v>1.5769444147566783E-6</v>
      </c>
      <c r="Q132" s="147">
        <v>6.5530331854412345E-7</v>
      </c>
    </row>
    <row r="133" spans="1:17" s="145" customFormat="1">
      <c r="A133" s="145" t="s">
        <v>1213</v>
      </c>
      <c r="B133" s="145">
        <v>15108</v>
      </c>
      <c r="C133" s="145" t="s">
        <v>1209</v>
      </c>
      <c r="D133" s="145" t="s">
        <v>1210</v>
      </c>
      <c r="E133" s="145" t="s">
        <v>315</v>
      </c>
      <c r="F133" s="145" t="s">
        <v>935</v>
      </c>
      <c r="G133" s="145" t="s">
        <v>205</v>
      </c>
      <c r="H133" s="145" t="s">
        <v>339</v>
      </c>
      <c r="I133" s="145" t="s">
        <v>1211</v>
      </c>
      <c r="J133" s="145" t="s">
        <v>415</v>
      </c>
      <c r="K133" s="145" t="s">
        <v>1216</v>
      </c>
      <c r="L133" s="146">
        <v>13967.717000000001</v>
      </c>
      <c r="M133" s="146">
        <v>3.71</v>
      </c>
      <c r="N133" s="150">
        <v>4.4999999999999998E-2</v>
      </c>
      <c r="O133" s="146">
        <v>51820.228000000003</v>
      </c>
      <c r="P133" s="147">
        <f t="shared" si="2"/>
        <v>0.21115663854268121</v>
      </c>
      <c r="Q133" s="147">
        <v>8.7746685726390453E-2</v>
      </c>
    </row>
    <row r="134" spans="1:17" s="145" customFormat="1">
      <c r="A134" s="145" t="s">
        <v>1213</v>
      </c>
      <c r="B134" s="145">
        <v>9300</v>
      </c>
      <c r="C134" s="145" t="s">
        <v>1209</v>
      </c>
      <c r="D134" s="145" t="s">
        <v>1210</v>
      </c>
      <c r="E134" s="145" t="s">
        <v>315</v>
      </c>
      <c r="F134" s="145" t="s">
        <v>934</v>
      </c>
      <c r="G134" s="145" t="s">
        <v>204</v>
      </c>
      <c r="H134" s="145" t="s">
        <v>339</v>
      </c>
      <c r="I134" s="145" t="s">
        <v>1211</v>
      </c>
      <c r="J134" s="145" t="s">
        <v>415</v>
      </c>
      <c r="K134" s="145" t="s">
        <v>1212</v>
      </c>
      <c r="L134" s="146">
        <f>9281.522+422.87242999993</f>
        <v>9704.3944299999312</v>
      </c>
      <c r="M134" s="146">
        <v>1</v>
      </c>
      <c r="N134" s="150">
        <v>0.04</v>
      </c>
      <c r="O134" s="146">
        <f>L134</f>
        <v>9704.3944299999312</v>
      </c>
      <c r="P134" s="147">
        <f t="shared" si="2"/>
        <v>0.79789442099302776</v>
      </c>
      <c r="Q134" s="147">
        <v>3.1774688272341804E-2</v>
      </c>
    </row>
    <row r="135" spans="1:17" s="145" customFormat="1">
      <c r="A135" s="145" t="s">
        <v>1213</v>
      </c>
      <c r="B135" s="145">
        <v>9300</v>
      </c>
      <c r="C135" s="145" t="s">
        <v>1209</v>
      </c>
      <c r="D135" s="145" t="s">
        <v>1210</v>
      </c>
      <c r="E135" s="145" t="s">
        <v>315</v>
      </c>
      <c r="F135" s="145" t="s">
        <v>936</v>
      </c>
      <c r="G135" s="145" t="s">
        <v>204</v>
      </c>
      <c r="H135" s="145" t="s">
        <v>339</v>
      </c>
      <c r="I135" s="145" t="s">
        <v>1215</v>
      </c>
      <c r="J135" s="145" t="s">
        <v>413</v>
      </c>
      <c r="K135" s="145" t="s">
        <v>1216</v>
      </c>
      <c r="L135" s="146">
        <v>284.21300000000002</v>
      </c>
      <c r="M135" s="146">
        <v>3.71</v>
      </c>
      <c r="N135" s="150">
        <v>4.7399999999999998E-2</v>
      </c>
      <c r="O135" s="146">
        <v>1054.4290000000001</v>
      </c>
      <c r="P135" s="147">
        <f t="shared" si="2"/>
        <v>8.6695055781369698E-2</v>
      </c>
      <c r="Q135" s="147">
        <v>3.4524722817060247E-3</v>
      </c>
    </row>
    <row r="136" spans="1:17" s="145" customFormat="1">
      <c r="A136" s="145" t="s">
        <v>1213</v>
      </c>
      <c r="B136" s="145">
        <v>9300</v>
      </c>
      <c r="C136" s="145" t="s">
        <v>1209</v>
      </c>
      <c r="D136" s="145" t="s">
        <v>1210</v>
      </c>
      <c r="E136" s="145" t="s">
        <v>315</v>
      </c>
      <c r="F136" s="145" t="s">
        <v>936</v>
      </c>
      <c r="G136" s="145" t="s">
        <v>204</v>
      </c>
      <c r="H136" s="145" t="s">
        <v>339</v>
      </c>
      <c r="I136" s="145" t="s">
        <v>1215</v>
      </c>
      <c r="J136" s="145" t="s">
        <v>413</v>
      </c>
      <c r="K136" s="145" t="s">
        <v>1218</v>
      </c>
      <c r="L136" s="146">
        <v>119.663</v>
      </c>
      <c r="M136" s="146">
        <v>4.1520000000000001</v>
      </c>
      <c r="N136" s="150">
        <v>3.0599999999999999E-2</v>
      </c>
      <c r="O136" s="146">
        <v>496.887</v>
      </c>
      <c r="P136" s="147">
        <f t="shared" si="2"/>
        <v>4.0854003619055848E-2</v>
      </c>
      <c r="Q136" s="147">
        <v>1.626936090187259E-3</v>
      </c>
    </row>
    <row r="137" spans="1:17" s="145" customFormat="1">
      <c r="A137" s="145" t="s">
        <v>1213</v>
      </c>
      <c r="B137" s="145">
        <v>9300</v>
      </c>
      <c r="C137" s="145" t="s">
        <v>1209</v>
      </c>
      <c r="D137" s="145" t="s">
        <v>1210</v>
      </c>
      <c r="E137" s="145" t="s">
        <v>315</v>
      </c>
      <c r="F137" s="145" t="s">
        <v>939</v>
      </c>
      <c r="G137" s="145" t="s">
        <v>204</v>
      </c>
      <c r="H137" s="145" t="s">
        <v>339</v>
      </c>
      <c r="I137" s="145" t="s">
        <v>1211</v>
      </c>
      <c r="J137" s="145" t="s">
        <v>415</v>
      </c>
      <c r="K137" s="145" t="s">
        <v>1216</v>
      </c>
      <c r="L137" s="146">
        <v>105.04</v>
      </c>
      <c r="M137" s="146">
        <v>3.71</v>
      </c>
      <c r="N137" s="147">
        <v>6.3E-2</v>
      </c>
      <c r="O137" s="146">
        <v>389.69799999999998</v>
      </c>
      <c r="P137" s="147">
        <f t="shared" si="2"/>
        <v>3.2040933858883056E-2</v>
      </c>
      <c r="Q137" s="147">
        <v>1.2759716806311988E-3</v>
      </c>
    </row>
    <row r="138" spans="1:17" s="145" customFormat="1">
      <c r="A138" s="145" t="s">
        <v>1213</v>
      </c>
      <c r="B138" s="145">
        <v>9300</v>
      </c>
      <c r="C138" s="145" t="s">
        <v>1209</v>
      </c>
      <c r="D138" s="145" t="s">
        <v>1210</v>
      </c>
      <c r="E138" s="145" t="s">
        <v>315</v>
      </c>
      <c r="F138" s="145" t="s">
        <v>935</v>
      </c>
      <c r="G138" s="145" t="s">
        <v>205</v>
      </c>
      <c r="H138" s="145" t="s">
        <v>339</v>
      </c>
      <c r="I138" s="145" t="s">
        <v>1211</v>
      </c>
      <c r="J138" s="145" t="s">
        <v>415</v>
      </c>
      <c r="K138" s="145" t="s">
        <v>1216</v>
      </c>
      <c r="L138" s="146">
        <v>139.37899999999999</v>
      </c>
      <c r="M138" s="146">
        <v>3.71</v>
      </c>
      <c r="N138" s="150">
        <v>4.4999999999999998E-2</v>
      </c>
      <c r="O138" s="146">
        <v>517.096</v>
      </c>
      <c r="P138" s="147">
        <f t="shared" si="2"/>
        <v>4.2515585747663558E-2</v>
      </c>
      <c r="Q138" s="147">
        <v>1.6931055642258118E-3</v>
      </c>
    </row>
    <row r="139" spans="1:17" s="145" customFormat="1">
      <c r="A139" s="145" t="s">
        <v>1213</v>
      </c>
      <c r="B139" s="145">
        <v>9301</v>
      </c>
      <c r="C139" s="145" t="s">
        <v>1209</v>
      </c>
      <c r="D139" s="145" t="s">
        <v>1210</v>
      </c>
      <c r="E139" s="145" t="s">
        <v>315</v>
      </c>
      <c r="F139" s="145" t="s">
        <v>934</v>
      </c>
      <c r="G139" s="145" t="s">
        <v>204</v>
      </c>
      <c r="H139" s="145" t="s">
        <v>339</v>
      </c>
      <c r="I139" s="145" t="s">
        <v>1211</v>
      </c>
      <c r="J139" s="145" t="s">
        <v>415</v>
      </c>
      <c r="K139" s="145" t="s">
        <v>1212</v>
      </c>
      <c r="L139" s="146">
        <f>29522.122+1787.79645000014</f>
        <v>31309.918450000139</v>
      </c>
      <c r="M139" s="146">
        <v>1</v>
      </c>
      <c r="N139" s="150">
        <v>0.04</v>
      </c>
      <c r="O139" s="146">
        <f>L139</f>
        <v>31309.918450000139</v>
      </c>
      <c r="P139" s="147">
        <f t="shared" si="2"/>
        <v>0.59285734703869808</v>
      </c>
      <c r="Q139" s="147">
        <v>4.3002008414230602E-2</v>
      </c>
    </row>
    <row r="140" spans="1:17" s="145" customFormat="1">
      <c r="A140" s="145" t="s">
        <v>1213</v>
      </c>
      <c r="B140" s="145">
        <v>9301</v>
      </c>
      <c r="C140" s="145" t="s">
        <v>1209</v>
      </c>
      <c r="D140" s="145" t="s">
        <v>1210</v>
      </c>
      <c r="E140" s="145" t="s">
        <v>315</v>
      </c>
      <c r="F140" s="145" t="s">
        <v>936</v>
      </c>
      <c r="G140" s="145" t="s">
        <v>204</v>
      </c>
      <c r="H140" s="145" t="s">
        <v>339</v>
      </c>
      <c r="I140" s="145" t="s">
        <v>1215</v>
      </c>
      <c r="J140" s="145" t="s">
        <v>413</v>
      </c>
      <c r="K140" s="145" t="s">
        <v>1216</v>
      </c>
      <c r="L140" s="146">
        <v>411.01</v>
      </c>
      <c r="M140" s="146">
        <v>3.71</v>
      </c>
      <c r="N140" s="150">
        <v>4.7399999999999998E-2</v>
      </c>
      <c r="O140" s="146">
        <v>1524.848</v>
      </c>
      <c r="P140" s="147">
        <f t="shared" si="2"/>
        <v>2.8873193692948142E-2</v>
      </c>
      <c r="Q140" s="147">
        <v>2.0942733093072753E-3</v>
      </c>
    </row>
    <row r="141" spans="1:17" s="145" customFormat="1">
      <c r="A141" s="145" t="s">
        <v>1213</v>
      </c>
      <c r="B141" s="145">
        <v>9301</v>
      </c>
      <c r="C141" s="145" t="s">
        <v>1209</v>
      </c>
      <c r="D141" s="145" t="s">
        <v>1210</v>
      </c>
      <c r="E141" s="145" t="s">
        <v>315</v>
      </c>
      <c r="F141" s="145" t="s">
        <v>939</v>
      </c>
      <c r="G141" s="145" t="s">
        <v>204</v>
      </c>
      <c r="H141" s="145" t="s">
        <v>339</v>
      </c>
      <c r="I141" s="145" t="s">
        <v>1211</v>
      </c>
      <c r="J141" s="145" t="s">
        <v>415</v>
      </c>
      <c r="K141" s="145" t="s">
        <v>1216</v>
      </c>
      <c r="L141" s="146">
        <v>315.12</v>
      </c>
      <c r="M141" s="146">
        <v>3.71</v>
      </c>
      <c r="N141" s="147">
        <v>6.3E-2</v>
      </c>
      <c r="O141" s="146">
        <v>1169.095</v>
      </c>
      <c r="P141" s="147">
        <f t="shared" si="2"/>
        <v>2.2136964720717873E-2</v>
      </c>
      <c r="Q141" s="147">
        <v>1.6056711584004366E-3</v>
      </c>
    </row>
    <row r="142" spans="1:17" s="145" customFormat="1">
      <c r="A142" s="145" t="s">
        <v>1213</v>
      </c>
      <c r="B142" s="145">
        <v>9301</v>
      </c>
      <c r="C142" s="145" t="s">
        <v>1209</v>
      </c>
      <c r="D142" s="145" t="s">
        <v>1210</v>
      </c>
      <c r="E142" s="145" t="s">
        <v>315</v>
      </c>
      <c r="F142" s="145" t="s">
        <v>936</v>
      </c>
      <c r="G142" s="145" t="s">
        <v>204</v>
      </c>
      <c r="H142" s="145" t="s">
        <v>339</v>
      </c>
      <c r="I142" s="145" t="s">
        <v>1215</v>
      </c>
      <c r="J142" s="145" t="s">
        <v>413</v>
      </c>
      <c r="K142" s="145" t="s">
        <v>1249</v>
      </c>
      <c r="L142" s="146">
        <v>167.21799999999999</v>
      </c>
      <c r="M142" s="146">
        <v>2.5659999999999998</v>
      </c>
      <c r="N142" s="150">
        <v>0</v>
      </c>
      <c r="O142" s="146">
        <v>429.09899999999999</v>
      </c>
      <c r="P142" s="147">
        <f t="shared" si="2"/>
        <v>8.1250449490377751E-3</v>
      </c>
      <c r="Q142" s="147">
        <v>5.8933781121163714E-4</v>
      </c>
    </row>
    <row r="143" spans="1:17" s="145" customFormat="1">
      <c r="A143" s="145" t="s">
        <v>1213</v>
      </c>
      <c r="B143" s="145">
        <v>9301</v>
      </c>
      <c r="C143" s="145" t="s">
        <v>1209</v>
      </c>
      <c r="D143" s="145" t="s">
        <v>1210</v>
      </c>
      <c r="E143" s="145" t="s">
        <v>315</v>
      </c>
      <c r="F143" s="145" t="s">
        <v>936</v>
      </c>
      <c r="G143" s="145" t="s">
        <v>204</v>
      </c>
      <c r="H143" s="145" t="s">
        <v>339</v>
      </c>
      <c r="I143" s="145" t="s">
        <v>1215</v>
      </c>
      <c r="J143" s="145" t="s">
        <v>413</v>
      </c>
      <c r="K143" s="145" t="s">
        <v>1218</v>
      </c>
      <c r="L143" s="146">
        <v>87.909000000000006</v>
      </c>
      <c r="M143" s="146">
        <v>4.1520000000000001</v>
      </c>
      <c r="N143" s="150">
        <v>3.0599999999999999E-2</v>
      </c>
      <c r="O143" s="146">
        <v>365.03300000000002</v>
      </c>
      <c r="P143" s="147">
        <f t="shared" si="2"/>
        <v>6.9119469700048399E-3</v>
      </c>
      <c r="Q143" s="147">
        <v>5.0134758934422487E-4</v>
      </c>
    </row>
    <row r="144" spans="1:17" s="145" customFormat="1">
      <c r="A144" s="145" t="s">
        <v>1213</v>
      </c>
      <c r="B144" s="145">
        <v>9301</v>
      </c>
      <c r="C144" s="145" t="s">
        <v>1209</v>
      </c>
      <c r="D144" s="145" t="s">
        <v>1210</v>
      </c>
      <c r="E144" s="145" t="s">
        <v>315</v>
      </c>
      <c r="F144" s="145" t="s">
        <v>936</v>
      </c>
      <c r="G144" s="145" t="s">
        <v>204</v>
      </c>
      <c r="H144" s="145" t="s">
        <v>339</v>
      </c>
      <c r="I144" s="145" t="s">
        <v>1215</v>
      </c>
      <c r="J144" s="145" t="s">
        <v>413</v>
      </c>
      <c r="K144" s="145" t="s">
        <v>1227</v>
      </c>
      <c r="L144" s="146">
        <v>45.304000000000002</v>
      </c>
      <c r="M144" s="146">
        <v>4.9749999999999996</v>
      </c>
      <c r="N144" s="150">
        <v>0</v>
      </c>
      <c r="O144" s="146">
        <v>225.37700000000001</v>
      </c>
      <c r="P144" s="147">
        <f t="shared" si="2"/>
        <v>4.2675425845301127E-3</v>
      </c>
      <c r="Q144" s="147">
        <v>3.0953972830849094E-4</v>
      </c>
    </row>
    <row r="145" spans="1:17" s="145" customFormat="1">
      <c r="A145" s="145" t="s">
        <v>1213</v>
      </c>
      <c r="B145" s="145">
        <v>9301</v>
      </c>
      <c r="C145" s="145" t="s">
        <v>1209</v>
      </c>
      <c r="D145" s="145" t="s">
        <v>1210</v>
      </c>
      <c r="E145" s="145" t="s">
        <v>315</v>
      </c>
      <c r="F145" s="145" t="s">
        <v>936</v>
      </c>
      <c r="G145" s="145" t="s">
        <v>204</v>
      </c>
      <c r="H145" s="145" t="s">
        <v>339</v>
      </c>
      <c r="I145" s="145" t="s">
        <v>1211</v>
      </c>
      <c r="J145" s="145" t="s">
        <v>415</v>
      </c>
      <c r="K145" s="145" t="s">
        <v>1229</v>
      </c>
      <c r="L145" s="146">
        <v>2.625</v>
      </c>
      <c r="M145" s="146">
        <v>0.47799999999999998</v>
      </c>
      <c r="N145" s="150">
        <v>0</v>
      </c>
      <c r="O145" s="146">
        <v>1.254</v>
      </c>
      <c r="P145" s="147">
        <f t="shared" si="2"/>
        <v>2.3744651854451701E-5</v>
      </c>
      <c r="Q145" s="147">
        <v>1.7222823060864579E-6</v>
      </c>
    </row>
    <row r="146" spans="1:17" s="145" customFormat="1">
      <c r="A146" s="145" t="s">
        <v>1213</v>
      </c>
      <c r="B146" s="145">
        <v>9301</v>
      </c>
      <c r="C146" s="145" t="s">
        <v>1209</v>
      </c>
      <c r="D146" s="145" t="s">
        <v>1210</v>
      </c>
      <c r="E146" s="145" t="s">
        <v>315</v>
      </c>
      <c r="F146" s="145" t="s">
        <v>935</v>
      </c>
      <c r="G146" s="145" t="s">
        <v>205</v>
      </c>
      <c r="H146" s="145" t="s">
        <v>339</v>
      </c>
      <c r="I146" s="145" t="s">
        <v>1211</v>
      </c>
      <c r="J146" s="145" t="s">
        <v>415</v>
      </c>
      <c r="K146" s="145" t="s">
        <v>1216</v>
      </c>
      <c r="L146" s="146">
        <v>3266.1289999999999</v>
      </c>
      <c r="M146" s="146">
        <v>3.71</v>
      </c>
      <c r="N146" s="150">
        <v>4.4999999999999998E-2</v>
      </c>
      <c r="O146" s="146">
        <v>12117.338</v>
      </c>
      <c r="P146" s="147">
        <f t="shared" si="2"/>
        <v>0.22944335902130628</v>
      </c>
      <c r="Q146" s="147">
        <v>1.6642326024138013E-2</v>
      </c>
    </row>
    <row r="147" spans="1:17" s="145" customFormat="1">
      <c r="A147" s="145" t="s">
        <v>1213</v>
      </c>
      <c r="B147" s="145">
        <v>9301</v>
      </c>
      <c r="C147" s="145" t="s">
        <v>1209</v>
      </c>
      <c r="D147" s="145" t="s">
        <v>1210</v>
      </c>
      <c r="E147" s="145" t="s">
        <v>315</v>
      </c>
      <c r="F147" s="145" t="s">
        <v>935</v>
      </c>
      <c r="G147" s="145" t="s">
        <v>205</v>
      </c>
      <c r="H147" s="145" t="s">
        <v>339</v>
      </c>
      <c r="I147" s="145" t="s">
        <v>1211</v>
      </c>
      <c r="J147" s="145" t="s">
        <v>415</v>
      </c>
      <c r="K147" s="145" t="s">
        <v>1249</v>
      </c>
      <c r="L147" s="146">
        <v>1029.261</v>
      </c>
      <c r="M147" s="146">
        <v>2.5659999999999998</v>
      </c>
      <c r="N147" s="150">
        <v>3.6900000000000002E-2</v>
      </c>
      <c r="O147" s="146">
        <v>2641.1880000000001</v>
      </c>
      <c r="P147" s="147">
        <f t="shared" si="2"/>
        <v>5.0011235679549911E-2</v>
      </c>
      <c r="Q147" s="147">
        <v>3.6274891223667303E-3</v>
      </c>
    </row>
    <row r="148" spans="1:17" s="145" customFormat="1">
      <c r="A148" s="145" t="s">
        <v>1213</v>
      </c>
      <c r="B148" s="145">
        <v>9301</v>
      </c>
      <c r="C148" s="145" t="s">
        <v>1209</v>
      </c>
      <c r="D148" s="145" t="s">
        <v>1210</v>
      </c>
      <c r="E148" s="145" t="s">
        <v>315</v>
      </c>
      <c r="F148" s="145" t="s">
        <v>935</v>
      </c>
      <c r="G148" s="145" t="s">
        <v>205</v>
      </c>
      <c r="H148" s="145" t="s">
        <v>339</v>
      </c>
      <c r="I148" s="145" t="s">
        <v>1211</v>
      </c>
      <c r="J148" s="145" t="s">
        <v>415</v>
      </c>
      <c r="K148" s="145" t="s">
        <v>1218</v>
      </c>
      <c r="L148" s="146">
        <v>431.26400000000001</v>
      </c>
      <c r="M148" s="146">
        <v>4.1520000000000001</v>
      </c>
      <c r="N148" s="150">
        <v>2.7300000000000001E-2</v>
      </c>
      <c r="O148" s="146">
        <v>1790.78</v>
      </c>
      <c r="P148" s="147">
        <f t="shared" si="2"/>
        <v>3.3908650436933828E-2</v>
      </c>
      <c r="Q148" s="147">
        <v>2.4595125263903567E-3</v>
      </c>
    </row>
    <row r="149" spans="1:17" s="145" customFormat="1">
      <c r="A149" s="145" t="s">
        <v>1213</v>
      </c>
      <c r="B149" s="145">
        <v>9301</v>
      </c>
      <c r="C149" s="145" t="s">
        <v>1209</v>
      </c>
      <c r="D149" s="145" t="s">
        <v>1210</v>
      </c>
      <c r="E149" s="145" t="s">
        <v>315</v>
      </c>
      <c r="F149" s="145" t="s">
        <v>935</v>
      </c>
      <c r="G149" s="145" t="s">
        <v>205</v>
      </c>
      <c r="H149" s="145" t="s">
        <v>339</v>
      </c>
      <c r="I149" s="145" t="s">
        <v>1211</v>
      </c>
      <c r="J149" s="145" t="s">
        <v>415</v>
      </c>
      <c r="K149" s="145" t="s">
        <v>1229</v>
      </c>
      <c r="L149" s="146">
        <v>1623.6479999999999</v>
      </c>
      <c r="M149" s="146">
        <v>0.47799999999999998</v>
      </c>
      <c r="N149" s="150">
        <v>1.24265E-2</v>
      </c>
      <c r="O149" s="146">
        <v>775.779</v>
      </c>
      <c r="P149" s="147">
        <f t="shared" si="2"/>
        <v>1.4689475495211074E-2</v>
      </c>
      <c r="Q149" s="147">
        <v>1.0654788238703718E-3</v>
      </c>
    </row>
    <row r="150" spans="1:17" s="145" customFormat="1">
      <c r="A150" s="145" t="s">
        <v>1213</v>
      </c>
      <c r="B150" s="145">
        <v>9301</v>
      </c>
      <c r="C150" s="145" t="s">
        <v>1209</v>
      </c>
      <c r="D150" s="145" t="s">
        <v>1210</v>
      </c>
      <c r="E150" s="145" t="s">
        <v>315</v>
      </c>
      <c r="F150" s="145" t="s">
        <v>935</v>
      </c>
      <c r="G150" s="145" t="s">
        <v>205</v>
      </c>
      <c r="H150" s="145" t="s">
        <v>339</v>
      </c>
      <c r="I150" s="145" t="s">
        <v>1211</v>
      </c>
      <c r="J150" s="145" t="s">
        <v>415</v>
      </c>
      <c r="K150" s="145" t="s">
        <v>1227</v>
      </c>
      <c r="L150" s="146">
        <v>92.905000000000001</v>
      </c>
      <c r="M150" s="146">
        <v>4.9749999999999996</v>
      </c>
      <c r="N150" s="150">
        <v>4.1700000000000001E-2</v>
      </c>
      <c r="O150" s="146">
        <v>462.18299999999999</v>
      </c>
      <c r="P150" s="147">
        <f t="shared" si="2"/>
        <v>8.7514947592073778E-3</v>
      </c>
      <c r="Q150" s="147">
        <v>6.347763979856119E-4</v>
      </c>
    </row>
    <row r="151" spans="1:17" s="145" customFormat="1">
      <c r="A151" s="145" t="s">
        <v>1213</v>
      </c>
      <c r="B151" s="145">
        <v>9302</v>
      </c>
      <c r="C151" s="145" t="s">
        <v>1209</v>
      </c>
      <c r="D151" s="145" t="s">
        <v>1210</v>
      </c>
      <c r="E151" s="145" t="s">
        <v>315</v>
      </c>
      <c r="F151" s="145" t="s">
        <v>934</v>
      </c>
      <c r="G151" s="145" t="s">
        <v>204</v>
      </c>
      <c r="H151" s="145" t="s">
        <v>339</v>
      </c>
      <c r="I151" s="145" t="s">
        <v>1211</v>
      </c>
      <c r="J151" s="145" t="s">
        <v>415</v>
      </c>
      <c r="K151" s="145" t="s">
        <v>1212</v>
      </c>
      <c r="L151" s="146">
        <f>102231.232+4614.39143999945</f>
        <v>106845.62343999946</v>
      </c>
      <c r="M151" s="146">
        <v>1</v>
      </c>
      <c r="N151" s="150">
        <v>0.04</v>
      </c>
      <c r="O151" s="146">
        <f>L151</f>
        <v>106845.62343999946</v>
      </c>
      <c r="P151" s="147">
        <f t="shared" si="2"/>
        <v>0.47616418625836843</v>
      </c>
      <c r="Q151" s="147">
        <v>3.1956093303225228E-2</v>
      </c>
    </row>
    <row r="152" spans="1:17" s="145" customFormat="1">
      <c r="A152" s="145" t="s">
        <v>1213</v>
      </c>
      <c r="B152" s="145">
        <v>9302</v>
      </c>
      <c r="C152" s="145" t="s">
        <v>1209</v>
      </c>
      <c r="D152" s="145" t="s">
        <v>1210</v>
      </c>
      <c r="E152" s="145" t="s">
        <v>315</v>
      </c>
      <c r="F152" s="145" t="s">
        <v>936</v>
      </c>
      <c r="G152" s="145" t="s">
        <v>204</v>
      </c>
      <c r="H152" s="145" t="s">
        <v>339</v>
      </c>
      <c r="I152" s="145" t="s">
        <v>1215</v>
      </c>
      <c r="J152" s="145" t="s">
        <v>413</v>
      </c>
      <c r="K152" s="145" t="s">
        <v>1216</v>
      </c>
      <c r="L152" s="146">
        <v>7077.9549999999999</v>
      </c>
      <c r="M152" s="146">
        <v>3.71</v>
      </c>
      <c r="N152" s="150">
        <v>4.7399999999999998E-2</v>
      </c>
      <c r="O152" s="146">
        <v>26259.213</v>
      </c>
      <c r="P152" s="147">
        <f t="shared" si="2"/>
        <v>0.11702582087465456</v>
      </c>
      <c r="Q152" s="147">
        <v>7.8537785047273906E-3</v>
      </c>
    </row>
    <row r="153" spans="1:17" s="145" customFormat="1">
      <c r="A153" s="145" t="s">
        <v>1213</v>
      </c>
      <c r="B153" s="145">
        <v>9302</v>
      </c>
      <c r="C153" s="145" t="s">
        <v>1209</v>
      </c>
      <c r="D153" s="145" t="s">
        <v>1210</v>
      </c>
      <c r="E153" s="145" t="s">
        <v>315</v>
      </c>
      <c r="F153" s="145" t="s">
        <v>939</v>
      </c>
      <c r="G153" s="145" t="s">
        <v>204</v>
      </c>
      <c r="H153" s="145" t="s">
        <v>339</v>
      </c>
      <c r="I153" s="145" t="s">
        <v>1211</v>
      </c>
      <c r="J153" s="145" t="s">
        <v>415</v>
      </c>
      <c r="K153" s="145" t="s">
        <v>1216</v>
      </c>
      <c r="L153" s="146">
        <v>630.24</v>
      </c>
      <c r="M153" s="146">
        <v>3.71</v>
      </c>
      <c r="N153" s="147">
        <v>6.3E-2</v>
      </c>
      <c r="O153" s="146">
        <v>2338.19</v>
      </c>
      <c r="P153" s="147">
        <f t="shared" si="2"/>
        <v>1.0420289599345897E-2</v>
      </c>
      <c r="Q153" s="147">
        <v>6.9932127676364632E-4</v>
      </c>
    </row>
    <row r="154" spans="1:17" s="145" customFormat="1">
      <c r="A154" s="145" t="s">
        <v>1213</v>
      </c>
      <c r="B154" s="145">
        <v>9302</v>
      </c>
      <c r="C154" s="145" t="s">
        <v>1209</v>
      </c>
      <c r="D154" s="145" t="s">
        <v>1210</v>
      </c>
      <c r="E154" s="145" t="s">
        <v>315</v>
      </c>
      <c r="F154" s="145" t="s">
        <v>936</v>
      </c>
      <c r="G154" s="145" t="s">
        <v>204</v>
      </c>
      <c r="H154" s="145" t="s">
        <v>339</v>
      </c>
      <c r="I154" s="145" t="s">
        <v>1215</v>
      </c>
      <c r="J154" s="145" t="s">
        <v>413</v>
      </c>
      <c r="K154" s="145" t="s">
        <v>1218</v>
      </c>
      <c r="L154" s="146">
        <v>254.131</v>
      </c>
      <c r="M154" s="146">
        <v>4.1520000000000001</v>
      </c>
      <c r="N154" s="150">
        <v>3.0599999999999999E-2</v>
      </c>
      <c r="O154" s="146">
        <v>1055.2529999999999</v>
      </c>
      <c r="P154" s="147">
        <f t="shared" si="2"/>
        <v>4.7028008248168694E-3</v>
      </c>
      <c r="Q154" s="147">
        <v>3.1561202266225928E-4</v>
      </c>
    </row>
    <row r="155" spans="1:17" s="145" customFormat="1">
      <c r="A155" s="145" t="s">
        <v>1213</v>
      </c>
      <c r="B155" s="145">
        <v>9302</v>
      </c>
      <c r="C155" s="145" t="s">
        <v>1209</v>
      </c>
      <c r="D155" s="145" t="s">
        <v>1210</v>
      </c>
      <c r="E155" s="145" t="s">
        <v>315</v>
      </c>
      <c r="F155" s="145" t="s">
        <v>936</v>
      </c>
      <c r="G155" s="145" t="s">
        <v>204</v>
      </c>
      <c r="H155" s="145" t="s">
        <v>339</v>
      </c>
      <c r="I155" s="145" t="s">
        <v>1215</v>
      </c>
      <c r="J155" s="145" t="s">
        <v>413</v>
      </c>
      <c r="K155" s="145" t="s">
        <v>1249</v>
      </c>
      <c r="L155" s="146">
        <v>293.60199999999998</v>
      </c>
      <c r="M155" s="146">
        <v>2.5659999999999998</v>
      </c>
      <c r="N155" s="150">
        <v>0</v>
      </c>
      <c r="O155" s="146">
        <v>753.41200000000003</v>
      </c>
      <c r="P155" s="147">
        <f t="shared" si="2"/>
        <v>3.3576275784356238E-3</v>
      </c>
      <c r="Q155" s="147">
        <v>2.2533542687679456E-4</v>
      </c>
    </row>
    <row r="156" spans="1:17" s="145" customFormat="1">
      <c r="A156" s="145" t="s">
        <v>1213</v>
      </c>
      <c r="B156" s="145">
        <v>9302</v>
      </c>
      <c r="C156" s="145" t="s">
        <v>1209</v>
      </c>
      <c r="D156" s="145" t="s">
        <v>1210</v>
      </c>
      <c r="E156" s="145" t="s">
        <v>315</v>
      </c>
      <c r="F156" s="145" t="s">
        <v>936</v>
      </c>
      <c r="G156" s="145" t="s">
        <v>204</v>
      </c>
      <c r="H156" s="145" t="s">
        <v>339</v>
      </c>
      <c r="I156" s="145" t="s">
        <v>1215</v>
      </c>
      <c r="J156" s="145" t="s">
        <v>413</v>
      </c>
      <c r="K156" s="145" t="s">
        <v>1227</v>
      </c>
      <c r="L156" s="146">
        <v>124.11799999999999</v>
      </c>
      <c r="M156" s="146">
        <v>4.9749999999999996</v>
      </c>
      <c r="N156" s="150">
        <v>0</v>
      </c>
      <c r="O156" s="146">
        <v>617.46100000000001</v>
      </c>
      <c r="P156" s="147">
        <f t="shared" si="2"/>
        <v>2.7517534658439719E-3</v>
      </c>
      <c r="Q156" s="147">
        <v>1.8467430571157938E-4</v>
      </c>
    </row>
    <row r="157" spans="1:17" s="145" customFormat="1">
      <c r="A157" s="145" t="s">
        <v>1213</v>
      </c>
      <c r="B157" s="145">
        <v>9302</v>
      </c>
      <c r="C157" s="145" t="s">
        <v>1209</v>
      </c>
      <c r="D157" s="145" t="s">
        <v>1210</v>
      </c>
      <c r="E157" s="145" t="s">
        <v>315</v>
      </c>
      <c r="F157" s="145" t="s">
        <v>936</v>
      </c>
      <c r="G157" s="145" t="s">
        <v>204</v>
      </c>
      <c r="H157" s="145" t="s">
        <v>339</v>
      </c>
      <c r="I157" s="145" t="s">
        <v>1211</v>
      </c>
      <c r="J157" s="145" t="s">
        <v>415</v>
      </c>
      <c r="K157" s="145" t="s">
        <v>1229</v>
      </c>
      <c r="L157" s="146">
        <v>98.123999999999995</v>
      </c>
      <c r="M157" s="146">
        <v>0.47799999999999998</v>
      </c>
      <c r="N157" s="150">
        <v>0</v>
      </c>
      <c r="O157" s="146">
        <v>46.884</v>
      </c>
      <c r="P157" s="147">
        <f t="shared" si="2"/>
        <v>2.0894147078540795E-4</v>
      </c>
      <c r="Q157" s="147">
        <v>1.4022375743539571E-5</v>
      </c>
    </row>
    <row r="158" spans="1:17" s="145" customFormat="1">
      <c r="A158" s="145" t="s">
        <v>1213</v>
      </c>
      <c r="B158" s="145">
        <v>9302</v>
      </c>
      <c r="C158" s="145" t="s">
        <v>1209</v>
      </c>
      <c r="D158" s="145" t="s">
        <v>1210</v>
      </c>
      <c r="E158" s="145" t="s">
        <v>315</v>
      </c>
      <c r="F158" s="145" t="s">
        <v>935</v>
      </c>
      <c r="G158" s="145" t="s">
        <v>205</v>
      </c>
      <c r="H158" s="145" t="s">
        <v>339</v>
      </c>
      <c r="I158" s="145" t="s">
        <v>1211</v>
      </c>
      <c r="J158" s="145" t="s">
        <v>415</v>
      </c>
      <c r="K158" s="145" t="s">
        <v>1216</v>
      </c>
      <c r="L158" s="146">
        <v>18903.659</v>
      </c>
      <c r="M158" s="146">
        <v>3.71</v>
      </c>
      <c r="N158" s="150">
        <v>4.4999999999999998E-2</v>
      </c>
      <c r="O158" s="146">
        <v>70132.573999999993</v>
      </c>
      <c r="P158" s="147">
        <f t="shared" si="2"/>
        <v>0.3125501911425318</v>
      </c>
      <c r="Q158" s="147">
        <v>2.0975712492312813E-2</v>
      </c>
    </row>
    <row r="159" spans="1:17" s="145" customFormat="1">
      <c r="A159" s="145" t="s">
        <v>1213</v>
      </c>
      <c r="B159" s="145">
        <v>9302</v>
      </c>
      <c r="C159" s="145" t="s">
        <v>1209</v>
      </c>
      <c r="D159" s="145" t="s">
        <v>1210</v>
      </c>
      <c r="E159" s="145" t="s">
        <v>315</v>
      </c>
      <c r="F159" s="145" t="s">
        <v>935</v>
      </c>
      <c r="G159" s="145" t="s">
        <v>205</v>
      </c>
      <c r="H159" s="145" t="s">
        <v>339</v>
      </c>
      <c r="I159" s="145" t="s">
        <v>1211</v>
      </c>
      <c r="J159" s="145" t="s">
        <v>415</v>
      </c>
      <c r="K159" s="145" t="s">
        <v>1249</v>
      </c>
      <c r="L159" s="146">
        <v>2825.3</v>
      </c>
      <c r="M159" s="146">
        <v>2.5659999999999998</v>
      </c>
      <c r="N159" s="150">
        <v>3.6900000000000002E-2</v>
      </c>
      <c r="O159" s="146">
        <v>7250.0020000000004</v>
      </c>
      <c r="P159" s="147">
        <f t="shared" si="2"/>
        <v>3.2310086193096776E-2</v>
      </c>
      <c r="Q159" s="147">
        <v>2.1683783846389681E-3</v>
      </c>
    </row>
    <row r="160" spans="1:17" s="145" customFormat="1">
      <c r="A160" s="145" t="s">
        <v>1213</v>
      </c>
      <c r="B160" s="145">
        <v>9302</v>
      </c>
      <c r="C160" s="145" t="s">
        <v>1209</v>
      </c>
      <c r="D160" s="145" t="s">
        <v>1210</v>
      </c>
      <c r="E160" s="145" t="s">
        <v>315</v>
      </c>
      <c r="F160" s="145" t="s">
        <v>935</v>
      </c>
      <c r="G160" s="145" t="s">
        <v>205</v>
      </c>
      <c r="H160" s="145" t="s">
        <v>339</v>
      </c>
      <c r="I160" s="145" t="s">
        <v>1211</v>
      </c>
      <c r="J160" s="145" t="s">
        <v>415</v>
      </c>
      <c r="K160" s="145" t="s">
        <v>1218</v>
      </c>
      <c r="L160" s="146">
        <v>1550.23</v>
      </c>
      <c r="M160" s="146">
        <v>4.1520000000000001</v>
      </c>
      <c r="N160" s="150">
        <v>2.7300000000000001E-2</v>
      </c>
      <c r="O160" s="146">
        <v>6437.1769999999997</v>
      </c>
      <c r="P160" s="147">
        <f t="shared" si="2"/>
        <v>2.8687680873773568E-2</v>
      </c>
      <c r="Q160" s="147">
        <v>1.9252733261170298E-3</v>
      </c>
    </row>
    <row r="161" spans="1:17" s="145" customFormat="1">
      <c r="A161" s="145" t="s">
        <v>1213</v>
      </c>
      <c r="B161" s="145">
        <v>9302</v>
      </c>
      <c r="C161" s="145" t="s">
        <v>1209</v>
      </c>
      <c r="D161" s="145" t="s">
        <v>1210</v>
      </c>
      <c r="E161" s="145" t="s">
        <v>315</v>
      </c>
      <c r="F161" s="145" t="s">
        <v>935</v>
      </c>
      <c r="G161" s="145" t="s">
        <v>205</v>
      </c>
      <c r="H161" s="145" t="s">
        <v>339</v>
      </c>
      <c r="I161" s="145" t="s">
        <v>1211</v>
      </c>
      <c r="J161" s="145" t="s">
        <v>415</v>
      </c>
      <c r="K161" s="145" t="s">
        <v>1229</v>
      </c>
      <c r="L161" s="146">
        <v>3120.27</v>
      </c>
      <c r="M161" s="146">
        <v>0.47799999999999998</v>
      </c>
      <c r="N161" s="150">
        <v>1.24265E-2</v>
      </c>
      <c r="O161" s="146">
        <v>1490.865</v>
      </c>
      <c r="P161" s="147">
        <f t="shared" si="2"/>
        <v>6.6441328777938581E-3</v>
      </c>
      <c r="Q161" s="147">
        <v>4.4589773084404327E-4</v>
      </c>
    </row>
    <row r="162" spans="1:17" s="145" customFormat="1">
      <c r="A162" s="145" t="s">
        <v>1213</v>
      </c>
      <c r="B162" s="145">
        <v>9302</v>
      </c>
      <c r="C162" s="145" t="s">
        <v>1209</v>
      </c>
      <c r="D162" s="145" t="s">
        <v>1210</v>
      </c>
      <c r="E162" s="145" t="s">
        <v>315</v>
      </c>
      <c r="F162" s="145" t="s">
        <v>935</v>
      </c>
      <c r="G162" s="145" t="s">
        <v>205</v>
      </c>
      <c r="H162" s="145" t="s">
        <v>339</v>
      </c>
      <c r="I162" s="145" t="s">
        <v>1211</v>
      </c>
      <c r="J162" s="145" t="s">
        <v>415</v>
      </c>
      <c r="K162" s="145" t="s">
        <v>1227</v>
      </c>
      <c r="L162" s="146">
        <v>233.48500000000001</v>
      </c>
      <c r="M162" s="146">
        <v>4.9749999999999996</v>
      </c>
      <c r="N162" s="150">
        <v>4.1700000000000001E-2</v>
      </c>
      <c r="O162" s="146">
        <v>1161.5429999999999</v>
      </c>
      <c r="P162" s="147">
        <f t="shared" si="2"/>
        <v>5.1764888405531756E-3</v>
      </c>
      <c r="Q162" s="147">
        <v>3.4740193644480387E-4</v>
      </c>
    </row>
    <row r="163" spans="1:17" s="145" customFormat="1">
      <c r="A163" s="145" t="s">
        <v>1213</v>
      </c>
      <c r="B163" s="145">
        <v>9629</v>
      </c>
      <c r="C163" s="145" t="s">
        <v>1209</v>
      </c>
      <c r="D163" s="145" t="s">
        <v>1210</v>
      </c>
      <c r="E163" s="145" t="s">
        <v>315</v>
      </c>
      <c r="F163" s="145" t="s">
        <v>936</v>
      </c>
      <c r="G163" s="145" t="s">
        <v>204</v>
      </c>
      <c r="H163" s="145" t="s">
        <v>339</v>
      </c>
      <c r="I163" s="145" t="s">
        <v>1215</v>
      </c>
      <c r="J163" s="145" t="s">
        <v>413</v>
      </c>
      <c r="K163" s="145" t="s">
        <v>1216</v>
      </c>
      <c r="L163" s="146">
        <v>2096.5239999999999</v>
      </c>
      <c r="M163" s="146">
        <v>3.71</v>
      </c>
      <c r="N163" s="150">
        <v>4.7399999999999998E-2</v>
      </c>
      <c r="O163" s="146">
        <v>7778.1049999999996</v>
      </c>
      <c r="P163" s="147">
        <f t="shared" si="2"/>
        <v>0.38032455842588647</v>
      </c>
      <c r="Q163" s="147">
        <v>2.8038853109346E-2</v>
      </c>
    </row>
    <row r="164" spans="1:17" s="145" customFormat="1">
      <c r="A164" s="145" t="s">
        <v>1213</v>
      </c>
      <c r="B164" s="145">
        <v>9629</v>
      </c>
      <c r="C164" s="145" t="s">
        <v>1236</v>
      </c>
      <c r="D164" s="145" t="s">
        <v>1237</v>
      </c>
      <c r="E164" s="145" t="s">
        <v>315</v>
      </c>
      <c r="F164" s="145" t="s">
        <v>934</v>
      </c>
      <c r="G164" s="145" t="s">
        <v>204</v>
      </c>
      <c r="H164" s="145" t="s">
        <v>339</v>
      </c>
      <c r="I164" s="145" t="s">
        <v>1211</v>
      </c>
      <c r="J164" s="145" t="s">
        <v>415</v>
      </c>
      <c r="K164" s="145" t="s">
        <v>1212</v>
      </c>
      <c r="L164" s="146">
        <v>4071.7330000000002</v>
      </c>
      <c r="M164" s="146">
        <v>1</v>
      </c>
      <c r="N164" s="150">
        <v>0</v>
      </c>
      <c r="O164" s="146">
        <v>4071.7330000000002</v>
      </c>
      <c r="P164" s="147">
        <f t="shared" si="2"/>
        <v>0.199094773759561</v>
      </c>
      <c r="Q164" s="147">
        <v>1.4677961211307475E-2</v>
      </c>
    </row>
    <row r="165" spans="1:17" s="145" customFormat="1">
      <c r="A165" s="145" t="s">
        <v>1213</v>
      </c>
      <c r="B165" s="145">
        <v>9629</v>
      </c>
      <c r="C165" s="145" t="s">
        <v>1209</v>
      </c>
      <c r="D165" s="145" t="s">
        <v>1210</v>
      </c>
      <c r="E165" s="145" t="s">
        <v>315</v>
      </c>
      <c r="F165" s="145" t="s">
        <v>934</v>
      </c>
      <c r="G165" s="145" t="s">
        <v>204</v>
      </c>
      <c r="H165" s="145" t="s">
        <v>339</v>
      </c>
      <c r="I165" s="145" t="s">
        <v>1211</v>
      </c>
      <c r="J165" s="145" t="s">
        <v>415</v>
      </c>
      <c r="K165" s="145" t="s">
        <v>1212</v>
      </c>
      <c r="L165" s="146">
        <f>850.697+196.418949999963</f>
        <v>1047.115949999963</v>
      </c>
      <c r="M165" s="146">
        <v>1</v>
      </c>
      <c r="N165" s="150">
        <v>0.04</v>
      </c>
      <c r="O165" s="146">
        <f>L165</f>
        <v>1047.115949999963</v>
      </c>
      <c r="P165" s="147">
        <f t="shared" si="2"/>
        <v>5.120063451244726E-2</v>
      </c>
      <c r="Q165" s="147">
        <v>3.7746893762043909E-3</v>
      </c>
    </row>
    <row r="166" spans="1:17" s="145" customFormat="1">
      <c r="A166" s="145" t="s">
        <v>1213</v>
      </c>
      <c r="B166" s="145">
        <v>9629</v>
      </c>
      <c r="C166" s="145" t="s">
        <v>1236</v>
      </c>
      <c r="D166" s="145" t="s">
        <v>1237</v>
      </c>
      <c r="E166" s="145" t="s">
        <v>315</v>
      </c>
      <c r="F166" s="145" t="s">
        <v>936</v>
      </c>
      <c r="G166" s="145" t="s">
        <v>204</v>
      </c>
      <c r="H166" s="145" t="s">
        <v>339</v>
      </c>
      <c r="I166" s="145" t="s">
        <v>1215</v>
      </c>
      <c r="J166" s="145" t="s">
        <v>413</v>
      </c>
      <c r="K166" s="145" t="s">
        <v>1216</v>
      </c>
      <c r="L166" s="146">
        <v>132.23099999999999</v>
      </c>
      <c r="M166" s="146">
        <v>3.71</v>
      </c>
      <c r="N166" s="150">
        <v>0</v>
      </c>
      <c r="O166" s="146">
        <v>490.577</v>
      </c>
      <c r="P166" s="147">
        <f t="shared" si="2"/>
        <v>2.3987652635043641E-2</v>
      </c>
      <c r="Q166" s="147">
        <v>1.7684534268724364E-3</v>
      </c>
    </row>
    <row r="167" spans="1:17" s="145" customFormat="1">
      <c r="A167" s="145" t="s">
        <v>1213</v>
      </c>
      <c r="B167" s="145">
        <v>9629</v>
      </c>
      <c r="C167" s="145" t="s">
        <v>1209</v>
      </c>
      <c r="D167" s="145" t="s">
        <v>1210</v>
      </c>
      <c r="E167" s="145" t="s">
        <v>315</v>
      </c>
      <c r="F167" s="145" t="s">
        <v>936</v>
      </c>
      <c r="G167" s="145" t="s">
        <v>204</v>
      </c>
      <c r="H167" s="145" t="s">
        <v>339</v>
      </c>
      <c r="I167" s="145" t="s">
        <v>1215</v>
      </c>
      <c r="J167" s="145" t="s">
        <v>413</v>
      </c>
      <c r="K167" s="145" t="s">
        <v>1218</v>
      </c>
      <c r="L167" s="146">
        <v>87.957999999999998</v>
      </c>
      <c r="M167" s="146">
        <v>4.1520000000000001</v>
      </c>
      <c r="N167" s="150">
        <v>3.0599999999999999E-2</v>
      </c>
      <c r="O167" s="146">
        <v>365.23700000000002</v>
      </c>
      <c r="P167" s="147">
        <f t="shared" si="2"/>
        <v>1.7858925888220269E-2</v>
      </c>
      <c r="Q167" s="147">
        <v>1.3166223126453301E-3</v>
      </c>
    </row>
    <row r="168" spans="1:17" s="145" customFormat="1">
      <c r="A168" s="145" t="s">
        <v>1213</v>
      </c>
      <c r="B168" s="145">
        <v>9629</v>
      </c>
      <c r="C168" s="145" t="s">
        <v>1209</v>
      </c>
      <c r="D168" s="145" t="s">
        <v>1210</v>
      </c>
      <c r="E168" s="145" t="s">
        <v>315</v>
      </c>
      <c r="F168" s="145" t="s">
        <v>939</v>
      </c>
      <c r="G168" s="145" t="s">
        <v>204</v>
      </c>
      <c r="H168" s="145" t="s">
        <v>339</v>
      </c>
      <c r="I168" s="145" t="s">
        <v>1211</v>
      </c>
      <c r="J168" s="145" t="s">
        <v>415</v>
      </c>
      <c r="K168" s="145" t="s">
        <v>1216</v>
      </c>
      <c r="L168" s="146">
        <v>56.515000000000001</v>
      </c>
      <c r="M168" s="146">
        <v>3.71</v>
      </c>
      <c r="N168" s="147">
        <v>5.8500000000000003E-2</v>
      </c>
      <c r="O168" s="146">
        <v>209.672</v>
      </c>
      <c r="P168" s="147">
        <f t="shared" si="2"/>
        <v>1.0252292918940085E-2</v>
      </c>
      <c r="Q168" s="147">
        <v>7.5583479641156738E-4</v>
      </c>
    </row>
    <row r="169" spans="1:17" s="145" customFormat="1">
      <c r="A169" s="145" t="s">
        <v>1213</v>
      </c>
      <c r="B169" s="145">
        <v>9629</v>
      </c>
      <c r="C169" s="145" t="s">
        <v>1209</v>
      </c>
      <c r="D169" s="145" t="s">
        <v>1210</v>
      </c>
      <c r="E169" s="145" t="s">
        <v>315</v>
      </c>
      <c r="F169" s="145" t="s">
        <v>936</v>
      </c>
      <c r="G169" s="145" t="s">
        <v>204</v>
      </c>
      <c r="H169" s="145" t="s">
        <v>339</v>
      </c>
      <c r="I169" s="145" t="s">
        <v>1215</v>
      </c>
      <c r="J169" s="145" t="s">
        <v>413</v>
      </c>
      <c r="K169" s="145" t="s">
        <v>1227</v>
      </c>
      <c r="L169" s="146">
        <v>5.4359999999999999</v>
      </c>
      <c r="M169" s="146">
        <v>4.9749999999999996</v>
      </c>
      <c r="N169" s="150">
        <v>0</v>
      </c>
      <c r="O169" s="146">
        <v>27.042000000000002</v>
      </c>
      <c r="P169" s="147">
        <f t="shared" si="2"/>
        <v>1.3222676614616058E-3</v>
      </c>
      <c r="Q169" s="147">
        <v>9.7482184385905645E-5</v>
      </c>
    </row>
    <row r="170" spans="1:17" s="145" customFormat="1">
      <c r="A170" s="145" t="s">
        <v>1213</v>
      </c>
      <c r="B170" s="145">
        <v>9629</v>
      </c>
      <c r="C170" s="145" t="s">
        <v>1209</v>
      </c>
      <c r="D170" s="145" t="s">
        <v>1210</v>
      </c>
      <c r="E170" s="145" t="s">
        <v>315</v>
      </c>
      <c r="F170" s="145" t="s">
        <v>935</v>
      </c>
      <c r="G170" s="145" t="s">
        <v>205</v>
      </c>
      <c r="H170" s="145" t="s">
        <v>339</v>
      </c>
      <c r="I170" s="145" t="s">
        <v>1211</v>
      </c>
      <c r="J170" s="145" t="s">
        <v>415</v>
      </c>
      <c r="K170" s="145" t="s">
        <v>1216</v>
      </c>
      <c r="L170" s="146">
        <v>1274.6590000000001</v>
      </c>
      <c r="M170" s="146">
        <v>3.71</v>
      </c>
      <c r="N170" s="150">
        <v>4.4999999999999998E-2</v>
      </c>
      <c r="O170" s="146">
        <v>4728.9849999999997</v>
      </c>
      <c r="P170" s="147">
        <f t="shared" si="2"/>
        <v>0.23123230297452152</v>
      </c>
      <c r="Q170" s="147">
        <v>1.7047251968352262E-2</v>
      </c>
    </row>
    <row r="171" spans="1:17" s="145" customFormat="1">
      <c r="A171" s="145" t="s">
        <v>1213</v>
      </c>
      <c r="B171" s="145">
        <v>9629</v>
      </c>
      <c r="C171" s="145" t="s">
        <v>1209</v>
      </c>
      <c r="D171" s="145" t="s">
        <v>1210</v>
      </c>
      <c r="E171" s="145" t="s">
        <v>315</v>
      </c>
      <c r="F171" s="145" t="s">
        <v>935</v>
      </c>
      <c r="G171" s="145" t="s">
        <v>205</v>
      </c>
      <c r="H171" s="145" t="s">
        <v>339</v>
      </c>
      <c r="I171" s="145" t="s">
        <v>1211</v>
      </c>
      <c r="J171" s="145" t="s">
        <v>415</v>
      </c>
      <c r="K171" s="145" t="s">
        <v>1218</v>
      </c>
      <c r="L171" s="146">
        <v>202.40299999999999</v>
      </c>
      <c r="M171" s="146">
        <v>4.1520000000000001</v>
      </c>
      <c r="N171" s="150">
        <v>2.7300000000000001E-2</v>
      </c>
      <c r="O171" s="146">
        <v>840.45600000000002</v>
      </c>
      <c r="P171" s="147">
        <f t="shared" si="2"/>
        <v>4.1095621244041688E-2</v>
      </c>
      <c r="Q171" s="147">
        <v>3.0297125493765516E-3</v>
      </c>
    </row>
    <row r="172" spans="1:17" s="145" customFormat="1">
      <c r="A172" s="145" t="s">
        <v>1213</v>
      </c>
      <c r="B172" s="145">
        <v>9629</v>
      </c>
      <c r="C172" s="145" t="s">
        <v>1209</v>
      </c>
      <c r="D172" s="145" t="s">
        <v>1210</v>
      </c>
      <c r="E172" s="145" t="s">
        <v>315</v>
      </c>
      <c r="F172" s="145" t="s">
        <v>935</v>
      </c>
      <c r="G172" s="145" t="s">
        <v>205</v>
      </c>
      <c r="H172" s="145" t="s">
        <v>339</v>
      </c>
      <c r="I172" s="145" t="s">
        <v>1211</v>
      </c>
      <c r="J172" s="145" t="s">
        <v>415</v>
      </c>
      <c r="K172" s="145" t="s">
        <v>1227</v>
      </c>
      <c r="L172" s="146">
        <v>136.65</v>
      </c>
      <c r="M172" s="146">
        <v>4.9749999999999996</v>
      </c>
      <c r="N172" s="150">
        <v>4.1700000000000001E-2</v>
      </c>
      <c r="O172" s="146">
        <v>679.80700000000002</v>
      </c>
      <c r="P172" s="147">
        <f t="shared" si="2"/>
        <v>3.3240396869138003E-2</v>
      </c>
      <c r="Q172" s="147">
        <v>2.4505980075744897E-3</v>
      </c>
    </row>
    <row r="173" spans="1:17" s="145" customFormat="1">
      <c r="A173" s="145" t="s">
        <v>1213</v>
      </c>
      <c r="B173" s="145">
        <v>9629</v>
      </c>
      <c r="C173" s="145" t="s">
        <v>1209</v>
      </c>
      <c r="D173" s="145" t="s">
        <v>1210</v>
      </c>
      <c r="E173" s="145" t="s">
        <v>315</v>
      </c>
      <c r="F173" s="145" t="s">
        <v>935</v>
      </c>
      <c r="G173" s="145" t="s">
        <v>205</v>
      </c>
      <c r="H173" s="145" t="s">
        <v>339</v>
      </c>
      <c r="I173" s="145" t="s">
        <v>1211</v>
      </c>
      <c r="J173" s="145" t="s">
        <v>415</v>
      </c>
      <c r="K173" s="145" t="s">
        <v>1219</v>
      </c>
      <c r="L173" s="146">
        <v>48.319000000000003</v>
      </c>
      <c r="M173" s="146">
        <v>4.3970000000000002</v>
      </c>
      <c r="N173" s="150">
        <v>2.3999999999999998E-3</v>
      </c>
      <c r="O173" s="146">
        <v>212.435</v>
      </c>
      <c r="P173" s="147">
        <f t="shared" si="2"/>
        <v>1.0387394817787006E-2</v>
      </c>
      <c r="Q173" s="147">
        <v>7.6579497966200222E-4</v>
      </c>
    </row>
    <row r="174" spans="1:17" s="145" customFormat="1">
      <c r="A174" s="145" t="s">
        <v>1213</v>
      </c>
      <c r="B174" s="145">
        <v>9629</v>
      </c>
      <c r="C174" s="145" t="s">
        <v>1209</v>
      </c>
      <c r="D174" s="145" t="s">
        <v>1210</v>
      </c>
      <c r="E174" s="145" t="s">
        <v>315</v>
      </c>
      <c r="F174" s="145" t="s">
        <v>935</v>
      </c>
      <c r="G174" s="145" t="s">
        <v>205</v>
      </c>
      <c r="H174" s="145" t="s">
        <v>339</v>
      </c>
      <c r="I174" s="145" t="s">
        <v>1211</v>
      </c>
      <c r="J174" s="145" t="s">
        <v>415</v>
      </c>
      <c r="K174" s="145" t="s">
        <v>1229</v>
      </c>
      <c r="L174" s="146">
        <v>0.13500000000000001</v>
      </c>
      <c r="M174" s="146">
        <v>0.47799999999999998</v>
      </c>
      <c r="N174" s="150">
        <v>1.24265E-2</v>
      </c>
      <c r="O174" s="146">
        <v>6.5000000000000002E-2</v>
      </c>
      <c r="P174" s="147">
        <f t="shared" si="2"/>
        <v>3.1782929515200199E-6</v>
      </c>
      <c r="Q174" s="147">
        <v>2.3431484302506718E-7</v>
      </c>
    </row>
    <row r="175" spans="1:17" s="145" customFormat="1">
      <c r="A175" s="145" t="s">
        <v>1213</v>
      </c>
      <c r="B175" s="145">
        <v>9630</v>
      </c>
      <c r="C175" s="145" t="s">
        <v>1209</v>
      </c>
      <c r="D175" s="145" t="s">
        <v>1210</v>
      </c>
      <c r="E175" s="145" t="s">
        <v>315</v>
      </c>
      <c r="F175" s="145" t="s">
        <v>934</v>
      </c>
      <c r="G175" s="145" t="s">
        <v>204</v>
      </c>
      <c r="H175" s="145" t="s">
        <v>339</v>
      </c>
      <c r="I175" s="145" t="s">
        <v>1211</v>
      </c>
      <c r="J175" s="145" t="s">
        <v>415</v>
      </c>
      <c r="K175" s="145" t="s">
        <v>1212</v>
      </c>
      <c r="L175" s="146">
        <f>13179.208+348.261699999974</f>
        <v>13527.469699999974</v>
      </c>
      <c r="M175" s="146">
        <v>1</v>
      </c>
      <c r="N175" s="150">
        <v>0.04</v>
      </c>
      <c r="O175" s="146">
        <f>L175</f>
        <v>13527.469699999974</v>
      </c>
      <c r="P175" s="147">
        <f t="shared" si="2"/>
        <v>0.64192016306094601</v>
      </c>
      <c r="Q175" s="147">
        <v>7.7146295956267485E-2</v>
      </c>
    </row>
    <row r="176" spans="1:17" s="145" customFormat="1">
      <c r="A176" s="145" t="s">
        <v>1213</v>
      </c>
      <c r="B176" s="145">
        <v>9630</v>
      </c>
      <c r="C176" s="145" t="s">
        <v>1209</v>
      </c>
      <c r="D176" s="145" t="s">
        <v>1210</v>
      </c>
      <c r="E176" s="145" t="s">
        <v>315</v>
      </c>
      <c r="F176" s="145" t="s">
        <v>936</v>
      </c>
      <c r="G176" s="145" t="s">
        <v>204</v>
      </c>
      <c r="H176" s="145" t="s">
        <v>339</v>
      </c>
      <c r="I176" s="145" t="s">
        <v>1215</v>
      </c>
      <c r="J176" s="145" t="s">
        <v>413</v>
      </c>
      <c r="K176" s="145" t="s">
        <v>1216</v>
      </c>
      <c r="L176" s="146">
        <v>443.38900000000001</v>
      </c>
      <c r="M176" s="146">
        <v>3.71</v>
      </c>
      <c r="N176" s="150">
        <v>4.7399999999999998E-2</v>
      </c>
      <c r="O176" s="146">
        <v>1644.9749999999999</v>
      </c>
      <c r="P176" s="147">
        <f t="shared" si="2"/>
        <v>7.8059137713772278E-2</v>
      </c>
      <c r="Q176" s="147">
        <v>9.3811873916569439E-3</v>
      </c>
    </row>
    <row r="177" spans="1:17" s="145" customFormat="1">
      <c r="A177" s="145" t="s">
        <v>1213</v>
      </c>
      <c r="B177" s="145">
        <v>9630</v>
      </c>
      <c r="C177" s="145" t="s">
        <v>1236</v>
      </c>
      <c r="D177" s="145" t="s">
        <v>1237</v>
      </c>
      <c r="E177" s="145" t="s">
        <v>315</v>
      </c>
      <c r="F177" s="145" t="s">
        <v>934</v>
      </c>
      <c r="G177" s="145" t="s">
        <v>204</v>
      </c>
      <c r="H177" s="145" t="s">
        <v>339</v>
      </c>
      <c r="I177" s="145" t="s">
        <v>1211</v>
      </c>
      <c r="J177" s="145" t="s">
        <v>415</v>
      </c>
      <c r="K177" s="145" t="s">
        <v>1212</v>
      </c>
      <c r="L177" s="146">
        <v>1279.529</v>
      </c>
      <c r="M177" s="146">
        <v>1</v>
      </c>
      <c r="N177" s="150">
        <v>0</v>
      </c>
      <c r="O177" s="146">
        <v>1279.529</v>
      </c>
      <c r="P177" s="147">
        <f t="shared" si="2"/>
        <v>6.0717597787057757E-2</v>
      </c>
      <c r="Q177" s="147">
        <v>7.2970721877593393E-3</v>
      </c>
    </row>
    <row r="178" spans="1:17" s="145" customFormat="1">
      <c r="A178" s="145" t="s">
        <v>1213</v>
      </c>
      <c r="B178" s="145">
        <v>9630</v>
      </c>
      <c r="C178" s="145" t="s">
        <v>1209</v>
      </c>
      <c r="D178" s="145" t="s">
        <v>1210</v>
      </c>
      <c r="E178" s="145" t="s">
        <v>315</v>
      </c>
      <c r="F178" s="145" t="s">
        <v>936</v>
      </c>
      <c r="G178" s="145" t="s">
        <v>204</v>
      </c>
      <c r="H178" s="145" t="s">
        <v>339</v>
      </c>
      <c r="I178" s="145" t="s">
        <v>1215</v>
      </c>
      <c r="J178" s="145" t="s">
        <v>413</v>
      </c>
      <c r="K178" s="145" t="s">
        <v>1218</v>
      </c>
      <c r="L178" s="146">
        <v>52.612000000000002</v>
      </c>
      <c r="M178" s="146">
        <v>4.1520000000000001</v>
      </c>
      <c r="N178" s="150">
        <v>3.0599999999999999E-2</v>
      </c>
      <c r="O178" s="146">
        <v>218.46600000000001</v>
      </c>
      <c r="P178" s="147">
        <f t="shared" si="2"/>
        <v>1.036688556347481E-2</v>
      </c>
      <c r="Q178" s="147">
        <v>1.2458976487215467E-3</v>
      </c>
    </row>
    <row r="179" spans="1:17" s="145" customFormat="1">
      <c r="A179" s="145" t="s">
        <v>1213</v>
      </c>
      <c r="B179" s="145">
        <v>9630</v>
      </c>
      <c r="C179" s="145" t="s">
        <v>1236</v>
      </c>
      <c r="D179" s="145" t="s">
        <v>1237</v>
      </c>
      <c r="E179" s="145" t="s">
        <v>315</v>
      </c>
      <c r="F179" s="145" t="s">
        <v>936</v>
      </c>
      <c r="G179" s="145" t="s">
        <v>204</v>
      </c>
      <c r="H179" s="145" t="s">
        <v>339</v>
      </c>
      <c r="I179" s="145" t="s">
        <v>1215</v>
      </c>
      <c r="J179" s="145" t="s">
        <v>413</v>
      </c>
      <c r="K179" s="145" t="s">
        <v>1216</v>
      </c>
      <c r="L179" s="146">
        <v>43.457999999999998</v>
      </c>
      <c r="M179" s="146">
        <v>3.71</v>
      </c>
      <c r="N179" s="150">
        <v>0</v>
      </c>
      <c r="O179" s="146">
        <v>161.22900000000001</v>
      </c>
      <c r="P179" s="147">
        <f t="shared" si="2"/>
        <v>7.6508133646127092E-3</v>
      </c>
      <c r="Q179" s="147">
        <v>9.1947869236277621E-4</v>
      </c>
    </row>
    <row r="180" spans="1:17" s="145" customFormat="1">
      <c r="A180" s="145" t="s">
        <v>1213</v>
      </c>
      <c r="B180" s="145">
        <v>9630</v>
      </c>
      <c r="C180" s="145" t="s">
        <v>1209</v>
      </c>
      <c r="D180" s="145" t="s">
        <v>1210</v>
      </c>
      <c r="E180" s="145" t="s">
        <v>315</v>
      </c>
      <c r="F180" s="145" t="s">
        <v>939</v>
      </c>
      <c r="G180" s="145" t="s">
        <v>204</v>
      </c>
      <c r="H180" s="145" t="s">
        <v>339</v>
      </c>
      <c r="I180" s="145" t="s">
        <v>1211</v>
      </c>
      <c r="J180" s="145" t="s">
        <v>415</v>
      </c>
      <c r="K180" s="145" t="s">
        <v>1216</v>
      </c>
      <c r="L180" s="146">
        <v>24.9</v>
      </c>
      <c r="M180" s="146">
        <v>3.71</v>
      </c>
      <c r="N180" s="147">
        <v>5.8500000000000003E-2</v>
      </c>
      <c r="O180" s="146">
        <v>92.38</v>
      </c>
      <c r="P180" s="147">
        <f t="shared" si="2"/>
        <v>4.3837159482656473E-3</v>
      </c>
      <c r="Q180" s="147">
        <v>5.2683724144213045E-4</v>
      </c>
    </row>
    <row r="181" spans="1:17" s="145" customFormat="1">
      <c r="A181" s="145" t="s">
        <v>1213</v>
      </c>
      <c r="B181" s="145">
        <v>9630</v>
      </c>
      <c r="C181" s="145" t="s">
        <v>1209</v>
      </c>
      <c r="D181" s="145" t="s">
        <v>1210</v>
      </c>
      <c r="E181" s="145" t="s">
        <v>315</v>
      </c>
      <c r="F181" s="145" t="s">
        <v>936</v>
      </c>
      <c r="G181" s="145" t="s">
        <v>204</v>
      </c>
      <c r="H181" s="145" t="s">
        <v>339</v>
      </c>
      <c r="I181" s="145" t="s">
        <v>1215</v>
      </c>
      <c r="J181" s="145" t="s">
        <v>413</v>
      </c>
      <c r="K181" s="145" t="s">
        <v>1227</v>
      </c>
      <c r="L181" s="146">
        <v>2.6739999999999999</v>
      </c>
      <c r="M181" s="146">
        <v>4.9749999999999996</v>
      </c>
      <c r="N181" s="150">
        <v>0</v>
      </c>
      <c r="O181" s="146">
        <v>13.305</v>
      </c>
      <c r="P181" s="147">
        <f t="shared" si="2"/>
        <v>6.3136328958296635E-4</v>
      </c>
      <c r="Q181" s="147">
        <v>7.5877565462086449E-5</v>
      </c>
    </row>
    <row r="182" spans="1:17" s="145" customFormat="1">
      <c r="A182" s="145" t="s">
        <v>1213</v>
      </c>
      <c r="B182" s="145">
        <v>9630</v>
      </c>
      <c r="C182" s="145" t="s">
        <v>1209</v>
      </c>
      <c r="D182" s="145" t="s">
        <v>1210</v>
      </c>
      <c r="E182" s="145" t="s">
        <v>315</v>
      </c>
      <c r="F182" s="145" t="s">
        <v>935</v>
      </c>
      <c r="G182" s="145" t="s">
        <v>205</v>
      </c>
      <c r="H182" s="145" t="s">
        <v>339</v>
      </c>
      <c r="I182" s="145" t="s">
        <v>1211</v>
      </c>
      <c r="J182" s="145" t="s">
        <v>415</v>
      </c>
      <c r="K182" s="145" t="s">
        <v>1216</v>
      </c>
      <c r="L182" s="146">
        <v>933.80799999999999</v>
      </c>
      <c r="M182" s="146">
        <v>3.71</v>
      </c>
      <c r="N182" s="150">
        <v>4.4999999999999998E-2</v>
      </c>
      <c r="O182" s="146">
        <v>3464.4290000000001</v>
      </c>
      <c r="P182" s="147">
        <f t="shared" si="2"/>
        <v>0.16439784216209144</v>
      </c>
      <c r="Q182" s="147">
        <v>1.975741737965056E-2</v>
      </c>
    </row>
    <row r="183" spans="1:17" s="145" customFormat="1">
      <c r="A183" s="145" t="s">
        <v>1213</v>
      </c>
      <c r="B183" s="145">
        <v>9630</v>
      </c>
      <c r="C183" s="145" t="s">
        <v>1209</v>
      </c>
      <c r="D183" s="145" t="s">
        <v>1210</v>
      </c>
      <c r="E183" s="145" t="s">
        <v>315</v>
      </c>
      <c r="F183" s="145" t="s">
        <v>935</v>
      </c>
      <c r="G183" s="145" t="s">
        <v>205</v>
      </c>
      <c r="H183" s="145" t="s">
        <v>339</v>
      </c>
      <c r="I183" s="145" t="s">
        <v>1211</v>
      </c>
      <c r="J183" s="145" t="s">
        <v>415</v>
      </c>
      <c r="K183" s="145" t="s">
        <v>1218</v>
      </c>
      <c r="L183" s="146">
        <v>87.593999999999994</v>
      </c>
      <c r="M183" s="146">
        <v>4.1520000000000001</v>
      </c>
      <c r="N183" s="150">
        <v>2.7300000000000001E-2</v>
      </c>
      <c r="O183" s="146">
        <v>363.72399999999999</v>
      </c>
      <c r="P183" s="147">
        <f t="shared" si="2"/>
        <v>1.7259825715165343E-2</v>
      </c>
      <c r="Q183" s="147">
        <v>2.0742947478490739E-3</v>
      </c>
    </row>
    <row r="184" spans="1:17" s="145" customFormat="1">
      <c r="A184" s="145" t="s">
        <v>1213</v>
      </c>
      <c r="B184" s="145">
        <v>9630</v>
      </c>
      <c r="C184" s="145" t="s">
        <v>1209</v>
      </c>
      <c r="D184" s="145" t="s">
        <v>1210</v>
      </c>
      <c r="E184" s="145" t="s">
        <v>315</v>
      </c>
      <c r="F184" s="145" t="s">
        <v>935</v>
      </c>
      <c r="G184" s="145" t="s">
        <v>205</v>
      </c>
      <c r="H184" s="145" t="s">
        <v>339</v>
      </c>
      <c r="I184" s="145" t="s">
        <v>1211</v>
      </c>
      <c r="J184" s="145" t="s">
        <v>415</v>
      </c>
      <c r="K184" s="145" t="s">
        <v>1227</v>
      </c>
      <c r="L184" s="146">
        <v>51.215000000000003</v>
      </c>
      <c r="M184" s="146">
        <v>4.9749999999999996</v>
      </c>
      <c r="N184" s="150">
        <v>4.1700000000000001E-2</v>
      </c>
      <c r="O184" s="146">
        <v>254.786</v>
      </c>
      <c r="P184" s="147">
        <f t="shared" si="2"/>
        <v>1.209038159336232E-2</v>
      </c>
      <c r="Q184" s="147">
        <v>1.4530282896522478E-3</v>
      </c>
    </row>
    <row r="185" spans="1:17" s="145" customFormat="1">
      <c r="A185" s="145" t="s">
        <v>1213</v>
      </c>
      <c r="B185" s="145">
        <v>9630</v>
      </c>
      <c r="C185" s="145" t="s">
        <v>1209</v>
      </c>
      <c r="D185" s="145" t="s">
        <v>1210</v>
      </c>
      <c r="E185" s="145" t="s">
        <v>315</v>
      </c>
      <c r="F185" s="145" t="s">
        <v>935</v>
      </c>
      <c r="G185" s="145" t="s">
        <v>205</v>
      </c>
      <c r="H185" s="145" t="s">
        <v>339</v>
      </c>
      <c r="I185" s="145" t="s">
        <v>1211</v>
      </c>
      <c r="J185" s="145" t="s">
        <v>415</v>
      </c>
      <c r="K185" s="145" t="s">
        <v>1219</v>
      </c>
      <c r="L185" s="146">
        <v>12.09</v>
      </c>
      <c r="M185" s="146">
        <v>4.3970000000000002</v>
      </c>
      <c r="N185" s="150">
        <v>2.3999999999999998E-3</v>
      </c>
      <c r="O185" s="146">
        <v>53.152999999999999</v>
      </c>
      <c r="P185" s="147">
        <f t="shared" si="2"/>
        <v>2.5222738016688023E-3</v>
      </c>
      <c r="Q185" s="147">
        <v>3.0312816512636457E-4</v>
      </c>
    </row>
    <row r="186" spans="1:17" s="145" customFormat="1">
      <c r="A186" s="145" t="s">
        <v>1213</v>
      </c>
      <c r="B186" s="145">
        <v>9631</v>
      </c>
      <c r="C186" s="145" t="s">
        <v>1209</v>
      </c>
      <c r="D186" s="145" t="s">
        <v>1210</v>
      </c>
      <c r="E186" s="145" t="s">
        <v>315</v>
      </c>
      <c r="F186" s="145" t="s">
        <v>936</v>
      </c>
      <c r="G186" s="145" t="s">
        <v>204</v>
      </c>
      <c r="H186" s="145" t="s">
        <v>339</v>
      </c>
      <c r="I186" s="145" t="s">
        <v>1215</v>
      </c>
      <c r="J186" s="145" t="s">
        <v>413</v>
      </c>
      <c r="K186" s="145" t="s">
        <v>1216</v>
      </c>
      <c r="L186" s="146">
        <v>1869.905</v>
      </c>
      <c r="M186" s="146">
        <v>3.71</v>
      </c>
      <c r="N186" s="150">
        <v>4.7399999999999998E-2</v>
      </c>
      <c r="O186" s="146">
        <v>6937.348</v>
      </c>
      <c r="P186" s="147">
        <f t="shared" si="2"/>
        <v>0.42671366395567839</v>
      </c>
      <c r="Q186" s="147">
        <v>5.9187772880660863E-2</v>
      </c>
    </row>
    <row r="187" spans="1:17" s="145" customFormat="1">
      <c r="A187" s="145" t="s">
        <v>1213</v>
      </c>
      <c r="B187" s="145">
        <v>9631</v>
      </c>
      <c r="C187" s="145" t="s">
        <v>1209</v>
      </c>
      <c r="D187" s="145" t="s">
        <v>1210</v>
      </c>
      <c r="E187" s="145" t="s">
        <v>315</v>
      </c>
      <c r="F187" s="145" t="s">
        <v>934</v>
      </c>
      <c r="G187" s="145" t="s">
        <v>204</v>
      </c>
      <c r="H187" s="145" t="s">
        <v>339</v>
      </c>
      <c r="I187" s="145" t="s">
        <v>1211</v>
      </c>
      <c r="J187" s="145" t="s">
        <v>415</v>
      </c>
      <c r="K187" s="145" t="s">
        <v>1212</v>
      </c>
      <c r="L187" s="146">
        <f>5359.564+1509.87860000003</f>
        <v>6869.4426000000303</v>
      </c>
      <c r="M187" s="146">
        <v>1</v>
      </c>
      <c r="N187" s="150">
        <v>0.04</v>
      </c>
      <c r="O187" s="146">
        <f>L187</f>
        <v>6869.4426000000303</v>
      </c>
      <c r="P187" s="147">
        <f t="shared" si="2"/>
        <v>0.42253682836427331</v>
      </c>
      <c r="Q187" s="147">
        <v>5.8608420454839265E-2</v>
      </c>
    </row>
    <row r="188" spans="1:17" s="145" customFormat="1">
      <c r="A188" s="145" t="s">
        <v>1213</v>
      </c>
      <c r="B188" s="145">
        <v>9631</v>
      </c>
      <c r="C188" s="145" t="s">
        <v>1236</v>
      </c>
      <c r="D188" s="145" t="s">
        <v>1237</v>
      </c>
      <c r="E188" s="145" t="s">
        <v>315</v>
      </c>
      <c r="F188" s="145" t="s">
        <v>934</v>
      </c>
      <c r="G188" s="145" t="s">
        <v>204</v>
      </c>
      <c r="H188" s="145" t="s">
        <v>339</v>
      </c>
      <c r="I188" s="145" t="s">
        <v>1211</v>
      </c>
      <c r="J188" s="145" t="s">
        <v>415</v>
      </c>
      <c r="K188" s="145" t="s">
        <v>1212</v>
      </c>
      <c r="L188" s="146">
        <v>732.30200000000002</v>
      </c>
      <c r="M188" s="146">
        <v>1</v>
      </c>
      <c r="N188" s="150">
        <v>0</v>
      </c>
      <c r="O188" s="146">
        <v>732.30200000000002</v>
      </c>
      <c r="P188" s="147">
        <f t="shared" si="2"/>
        <v>4.504362034916963E-2</v>
      </c>
      <c r="Q188" s="147">
        <v>6.2478232973253922E-3</v>
      </c>
    </row>
    <row r="189" spans="1:17" s="145" customFormat="1">
      <c r="A189" s="145" t="s">
        <v>1213</v>
      </c>
      <c r="B189" s="145">
        <v>9631</v>
      </c>
      <c r="C189" s="145" t="s">
        <v>1236</v>
      </c>
      <c r="D189" s="145" t="s">
        <v>1237</v>
      </c>
      <c r="E189" s="145" t="s">
        <v>315</v>
      </c>
      <c r="F189" s="145" t="s">
        <v>936</v>
      </c>
      <c r="G189" s="145" t="s">
        <v>204</v>
      </c>
      <c r="H189" s="145" t="s">
        <v>339</v>
      </c>
      <c r="I189" s="145" t="s">
        <v>1215</v>
      </c>
      <c r="J189" s="145" t="s">
        <v>413</v>
      </c>
      <c r="K189" s="145" t="s">
        <v>1216</v>
      </c>
      <c r="L189" s="146">
        <v>38.956000000000003</v>
      </c>
      <c r="M189" s="146">
        <v>3.71</v>
      </c>
      <c r="N189" s="150">
        <v>0</v>
      </c>
      <c r="O189" s="146">
        <v>144.52699999999999</v>
      </c>
      <c r="P189" s="147">
        <f t="shared" si="2"/>
        <v>8.8898013636511137E-3</v>
      </c>
      <c r="Q189" s="147">
        <v>1.2330693589428226E-3</v>
      </c>
    </row>
    <row r="190" spans="1:17" s="145" customFormat="1">
      <c r="A190" s="145" t="s">
        <v>1213</v>
      </c>
      <c r="B190" s="145">
        <v>9631</v>
      </c>
      <c r="C190" s="145" t="s">
        <v>1209</v>
      </c>
      <c r="D190" s="145" t="s">
        <v>1210</v>
      </c>
      <c r="E190" s="145" t="s">
        <v>315</v>
      </c>
      <c r="F190" s="145" t="s">
        <v>939</v>
      </c>
      <c r="G190" s="145" t="s">
        <v>204</v>
      </c>
      <c r="H190" s="145" t="s">
        <v>339</v>
      </c>
      <c r="I190" s="145" t="s">
        <v>1211</v>
      </c>
      <c r="J190" s="145" t="s">
        <v>415</v>
      </c>
      <c r="K190" s="145" t="s">
        <v>1216</v>
      </c>
      <c r="L190" s="146">
        <v>18.404</v>
      </c>
      <c r="M190" s="146">
        <v>3.71</v>
      </c>
      <c r="N190" s="147">
        <v>5.8500000000000003E-2</v>
      </c>
      <c r="O190" s="146">
        <v>68.278999999999996</v>
      </c>
      <c r="P190" s="147">
        <f t="shared" si="2"/>
        <v>4.1998155867674167E-3</v>
      </c>
      <c r="Q190" s="147">
        <v>5.8253989053434296E-4</v>
      </c>
    </row>
    <row r="191" spans="1:17" s="145" customFormat="1">
      <c r="A191" s="145" t="s">
        <v>1213</v>
      </c>
      <c r="B191" s="145">
        <v>9631</v>
      </c>
      <c r="C191" s="145" t="s">
        <v>1209</v>
      </c>
      <c r="D191" s="145" t="s">
        <v>1210</v>
      </c>
      <c r="E191" s="145" t="s">
        <v>315</v>
      </c>
      <c r="F191" s="145" t="s">
        <v>936</v>
      </c>
      <c r="G191" s="145" t="s">
        <v>204</v>
      </c>
      <c r="H191" s="145" t="s">
        <v>339</v>
      </c>
      <c r="I191" s="145" t="s">
        <v>1215</v>
      </c>
      <c r="J191" s="145" t="s">
        <v>413</v>
      </c>
      <c r="K191" s="145" t="s">
        <v>1218</v>
      </c>
      <c r="L191" s="146">
        <v>7.1879999999999997</v>
      </c>
      <c r="M191" s="146">
        <v>4.1520000000000001</v>
      </c>
      <c r="N191" s="150">
        <v>3.0599999999999999E-2</v>
      </c>
      <c r="O191" s="146">
        <v>29.846</v>
      </c>
      <c r="P191" s="147">
        <f t="shared" si="2"/>
        <v>1.8358162246468214E-3</v>
      </c>
      <c r="Q191" s="147">
        <v>2.5463884317122393E-4</v>
      </c>
    </row>
    <row r="192" spans="1:17" s="145" customFormat="1">
      <c r="A192" s="145" t="s">
        <v>1213</v>
      </c>
      <c r="B192" s="145">
        <v>9631</v>
      </c>
      <c r="C192" s="145" t="s">
        <v>1209</v>
      </c>
      <c r="D192" s="145" t="s">
        <v>1210</v>
      </c>
      <c r="E192" s="145" t="s">
        <v>315</v>
      </c>
      <c r="F192" s="145" t="s">
        <v>936</v>
      </c>
      <c r="G192" s="145" t="s">
        <v>204</v>
      </c>
      <c r="H192" s="145" t="s">
        <v>339</v>
      </c>
      <c r="I192" s="145" t="s">
        <v>1215</v>
      </c>
      <c r="J192" s="145" t="s">
        <v>413</v>
      </c>
      <c r="K192" s="145" t="s">
        <v>1227</v>
      </c>
      <c r="L192" s="146">
        <v>2.968</v>
      </c>
      <c r="M192" s="146">
        <v>4.9749999999999996</v>
      </c>
      <c r="N192" s="150">
        <v>0</v>
      </c>
      <c r="O192" s="146">
        <v>14.763</v>
      </c>
      <c r="P192" s="147">
        <f t="shared" si="2"/>
        <v>9.0806657255448051E-4</v>
      </c>
      <c r="Q192" s="147">
        <v>1.2595434033829588E-4</v>
      </c>
    </row>
    <row r="193" spans="1:17" s="145" customFormat="1">
      <c r="A193" s="145" t="s">
        <v>1213</v>
      </c>
      <c r="B193" s="145">
        <v>9631</v>
      </c>
      <c r="C193" s="145" t="s">
        <v>1209</v>
      </c>
      <c r="D193" s="145" t="s">
        <v>1210</v>
      </c>
      <c r="E193" s="145" t="s">
        <v>315</v>
      </c>
      <c r="F193" s="145" t="s">
        <v>935</v>
      </c>
      <c r="G193" s="145" t="s">
        <v>205</v>
      </c>
      <c r="H193" s="145" t="s">
        <v>339</v>
      </c>
      <c r="I193" s="145" t="s">
        <v>1211</v>
      </c>
      <c r="J193" s="145" t="s">
        <v>415</v>
      </c>
      <c r="K193" s="145" t="s">
        <v>1216</v>
      </c>
      <c r="L193" s="146">
        <v>289.81799999999998</v>
      </c>
      <c r="M193" s="146">
        <v>3.71</v>
      </c>
      <c r="N193" s="150">
        <v>4.4999999999999998E-2</v>
      </c>
      <c r="O193" s="146">
        <v>1075.2260000000001</v>
      </c>
      <c r="P193" s="147">
        <f t="shared" si="2"/>
        <v>6.6136746497423557E-2</v>
      </c>
      <c r="Q193" s="147">
        <v>9.1735678076667725E-3</v>
      </c>
    </row>
    <row r="194" spans="1:17" s="145" customFormat="1">
      <c r="A194" s="145" t="s">
        <v>1213</v>
      </c>
      <c r="B194" s="145">
        <v>9631</v>
      </c>
      <c r="C194" s="145" t="s">
        <v>1209</v>
      </c>
      <c r="D194" s="145" t="s">
        <v>1210</v>
      </c>
      <c r="E194" s="145" t="s">
        <v>315</v>
      </c>
      <c r="F194" s="145" t="s">
        <v>935</v>
      </c>
      <c r="G194" s="145" t="s">
        <v>205</v>
      </c>
      <c r="H194" s="145" t="s">
        <v>339</v>
      </c>
      <c r="I194" s="145" t="s">
        <v>1211</v>
      </c>
      <c r="J194" s="145" t="s">
        <v>415</v>
      </c>
      <c r="K194" s="145" t="s">
        <v>1218</v>
      </c>
      <c r="L194" s="146">
        <v>63.798999999999999</v>
      </c>
      <c r="M194" s="146">
        <v>4.1520000000000001</v>
      </c>
      <c r="N194" s="150">
        <v>2.7300000000000001E-2</v>
      </c>
      <c r="O194" s="146">
        <v>264.91899999999998</v>
      </c>
      <c r="P194" s="147">
        <f t="shared" ref="P194:P219" si="3">O194/SUMIF(B:B,B194,O:O)</f>
        <v>1.6295067962782659E-2</v>
      </c>
      <c r="Q194" s="147">
        <v>2.2602247434858097E-3</v>
      </c>
    </row>
    <row r="195" spans="1:17" s="145" customFormat="1">
      <c r="A195" s="145" t="s">
        <v>1213</v>
      </c>
      <c r="B195" s="145">
        <v>9631</v>
      </c>
      <c r="C195" s="145" t="s">
        <v>1209</v>
      </c>
      <c r="D195" s="145" t="s">
        <v>1210</v>
      </c>
      <c r="E195" s="145" t="s">
        <v>315</v>
      </c>
      <c r="F195" s="145" t="s">
        <v>935</v>
      </c>
      <c r="G195" s="145" t="s">
        <v>205</v>
      </c>
      <c r="H195" s="145" t="s">
        <v>339</v>
      </c>
      <c r="I195" s="145" t="s">
        <v>1211</v>
      </c>
      <c r="J195" s="145" t="s">
        <v>415</v>
      </c>
      <c r="K195" s="145" t="s">
        <v>1227</v>
      </c>
      <c r="L195" s="146">
        <v>13.631</v>
      </c>
      <c r="M195" s="146">
        <v>4.9749999999999996</v>
      </c>
      <c r="N195" s="150">
        <v>4.1700000000000001E-2</v>
      </c>
      <c r="O195" s="146">
        <v>67.813000000000002</v>
      </c>
      <c r="P195" s="147">
        <f t="shared" si="3"/>
        <v>4.1711521021904081E-3</v>
      </c>
      <c r="Q195" s="147">
        <v>5.7856409140153494E-4</v>
      </c>
    </row>
    <row r="196" spans="1:17" s="145" customFormat="1">
      <c r="A196" s="145" t="s">
        <v>1213</v>
      </c>
      <c r="B196" s="145">
        <v>9631</v>
      </c>
      <c r="C196" s="145" t="s">
        <v>1209</v>
      </c>
      <c r="D196" s="145" t="s">
        <v>1210</v>
      </c>
      <c r="E196" s="145" t="s">
        <v>315</v>
      </c>
      <c r="F196" s="145" t="s">
        <v>935</v>
      </c>
      <c r="G196" s="145" t="s">
        <v>205</v>
      </c>
      <c r="H196" s="145" t="s">
        <v>339</v>
      </c>
      <c r="I196" s="145" t="s">
        <v>1211</v>
      </c>
      <c r="J196" s="145" t="s">
        <v>415</v>
      </c>
      <c r="K196" s="145" t="s">
        <v>1219</v>
      </c>
      <c r="L196" s="146">
        <v>12.09</v>
      </c>
      <c r="M196" s="146">
        <v>4.3970000000000002</v>
      </c>
      <c r="N196" s="150">
        <v>2.3999999999999998E-3</v>
      </c>
      <c r="O196" s="146">
        <v>53.152999999999999</v>
      </c>
      <c r="P196" s="147">
        <f t="shared" si="3"/>
        <v>3.2694210208621759E-3</v>
      </c>
      <c r="Q196" s="147">
        <v>4.5348852211619868E-4</v>
      </c>
    </row>
    <row r="197" spans="1:17" s="145" customFormat="1">
      <c r="A197" s="145" t="s">
        <v>1213</v>
      </c>
      <c r="B197" s="145">
        <v>9719</v>
      </c>
      <c r="C197" s="145" t="s">
        <v>1209</v>
      </c>
      <c r="D197" s="145" t="s">
        <v>1210</v>
      </c>
      <c r="E197" s="145" t="s">
        <v>315</v>
      </c>
      <c r="F197" s="145" t="s">
        <v>934</v>
      </c>
      <c r="G197" s="145" t="s">
        <v>204</v>
      </c>
      <c r="H197" s="145" t="s">
        <v>339</v>
      </c>
      <c r="I197" s="145" t="s">
        <v>1211</v>
      </c>
      <c r="J197" s="145" t="s">
        <v>415</v>
      </c>
      <c r="K197" s="145" t="s">
        <v>1212</v>
      </c>
      <c r="L197" s="146">
        <f>83399.415+2688.29887999966</f>
        <v>86087.713879999646</v>
      </c>
      <c r="M197" s="146">
        <v>1</v>
      </c>
      <c r="N197" s="150">
        <v>0.04</v>
      </c>
      <c r="O197" s="146">
        <f>L197</f>
        <v>86087.713879999646</v>
      </c>
      <c r="P197" s="147">
        <f t="shared" si="3"/>
        <v>0.62186982429153237</v>
      </c>
      <c r="Q197" s="147">
        <v>2.8429166146171643E-2</v>
      </c>
    </row>
    <row r="198" spans="1:17" s="145" customFormat="1">
      <c r="A198" s="145" t="s">
        <v>1213</v>
      </c>
      <c r="B198" s="145">
        <v>9719</v>
      </c>
      <c r="C198" s="145" t="s">
        <v>1209</v>
      </c>
      <c r="D198" s="145" t="s">
        <v>1210</v>
      </c>
      <c r="E198" s="145" t="s">
        <v>315</v>
      </c>
      <c r="F198" s="145" t="s">
        <v>936</v>
      </c>
      <c r="G198" s="145" t="s">
        <v>204</v>
      </c>
      <c r="H198" s="145" t="s">
        <v>339</v>
      </c>
      <c r="I198" s="145" t="s">
        <v>1215</v>
      </c>
      <c r="J198" s="145" t="s">
        <v>413</v>
      </c>
      <c r="K198" s="145" t="s">
        <v>1216</v>
      </c>
      <c r="L198" s="146">
        <v>13677.691999999999</v>
      </c>
      <c r="M198" s="146">
        <v>3.71</v>
      </c>
      <c r="N198" s="150">
        <v>4.7399999999999998E-2</v>
      </c>
      <c r="O198" s="146">
        <v>50744.235999999997</v>
      </c>
      <c r="P198" s="147">
        <f t="shared" si="3"/>
        <v>0.36655996196060425</v>
      </c>
      <c r="Q198" s="147">
        <v>1.6757516853281203E-2</v>
      </c>
    </row>
    <row r="199" spans="1:17" s="145" customFormat="1">
      <c r="A199" s="145" t="s">
        <v>1213</v>
      </c>
      <c r="B199" s="145">
        <v>9719</v>
      </c>
      <c r="C199" s="145" t="s">
        <v>1209</v>
      </c>
      <c r="D199" s="145" t="s">
        <v>1210</v>
      </c>
      <c r="E199" s="145" t="s">
        <v>315</v>
      </c>
      <c r="F199" s="145" t="s">
        <v>936</v>
      </c>
      <c r="G199" s="145" t="s">
        <v>204</v>
      </c>
      <c r="H199" s="145" t="s">
        <v>339</v>
      </c>
      <c r="I199" s="145" t="s">
        <v>1215</v>
      </c>
      <c r="J199" s="145" t="s">
        <v>413</v>
      </c>
      <c r="K199" s="145" t="s">
        <v>1218</v>
      </c>
      <c r="L199" s="146">
        <v>5.7869999999999999</v>
      </c>
      <c r="M199" s="146">
        <v>4.1520000000000001</v>
      </c>
      <c r="N199" s="150">
        <v>3.0599999999999999E-2</v>
      </c>
      <c r="O199" s="146">
        <v>24.030999999999999</v>
      </c>
      <c r="P199" s="147">
        <f t="shared" si="3"/>
        <v>1.7359217795446326E-4</v>
      </c>
      <c r="Q199" s="147">
        <v>7.9358744804276994E-6</v>
      </c>
    </row>
    <row r="200" spans="1:17" s="145" customFormat="1">
      <c r="A200" s="145" t="s">
        <v>1213</v>
      </c>
      <c r="B200" s="145">
        <v>9719</v>
      </c>
      <c r="C200" s="145" t="s">
        <v>1209</v>
      </c>
      <c r="D200" s="145" t="s">
        <v>1210</v>
      </c>
      <c r="E200" s="145" t="s">
        <v>315</v>
      </c>
      <c r="F200" s="145" t="s">
        <v>936</v>
      </c>
      <c r="G200" s="145" t="s">
        <v>204</v>
      </c>
      <c r="H200" s="145" t="s">
        <v>339</v>
      </c>
      <c r="I200" s="145" t="s">
        <v>1215</v>
      </c>
      <c r="J200" s="145" t="s">
        <v>413</v>
      </c>
      <c r="K200" s="145" t="s">
        <v>1227</v>
      </c>
      <c r="L200" s="146">
        <v>1.9179999999999999</v>
      </c>
      <c r="M200" s="146">
        <v>4.9749999999999996</v>
      </c>
      <c r="N200" s="150">
        <v>0</v>
      </c>
      <c r="O200" s="146">
        <v>9.5389999999999997</v>
      </c>
      <c r="P200" s="147">
        <f t="shared" si="3"/>
        <v>6.8906653302302237E-5</v>
      </c>
      <c r="Q200" s="147">
        <v>3.1501105517373324E-6</v>
      </c>
    </row>
    <row r="201" spans="1:17" s="145" customFormat="1">
      <c r="A201" s="145" t="s">
        <v>1213</v>
      </c>
      <c r="B201" s="145">
        <v>9719</v>
      </c>
      <c r="C201" s="145" t="s">
        <v>1209</v>
      </c>
      <c r="D201" s="145" t="s">
        <v>1210</v>
      </c>
      <c r="E201" s="145" t="s">
        <v>315</v>
      </c>
      <c r="F201" s="145" t="s">
        <v>935</v>
      </c>
      <c r="G201" s="145" t="s">
        <v>205</v>
      </c>
      <c r="H201" s="145" t="s">
        <v>339</v>
      </c>
      <c r="I201" s="145" t="s">
        <v>1211</v>
      </c>
      <c r="J201" s="145" t="s">
        <v>415</v>
      </c>
      <c r="K201" s="145" t="s">
        <v>1216</v>
      </c>
      <c r="L201" s="146">
        <v>422.678</v>
      </c>
      <c r="M201" s="146">
        <v>3.71</v>
      </c>
      <c r="N201" s="150">
        <v>4.4999999999999998E-2</v>
      </c>
      <c r="O201" s="146">
        <v>1568.1369999999999</v>
      </c>
      <c r="P201" s="147">
        <f t="shared" si="3"/>
        <v>1.1327714916606805E-2</v>
      </c>
      <c r="Q201" s="147">
        <v>5.1785353918332372E-4</v>
      </c>
    </row>
    <row r="202" spans="1:17" s="145" customFormat="1">
      <c r="A202" s="145" t="s">
        <v>1213</v>
      </c>
      <c r="B202" s="145">
        <v>9720</v>
      </c>
      <c r="C202" s="145" t="s">
        <v>1209</v>
      </c>
      <c r="D202" s="145" t="s">
        <v>1210</v>
      </c>
      <c r="E202" s="145" t="s">
        <v>315</v>
      </c>
      <c r="F202" s="145" t="s">
        <v>936</v>
      </c>
      <c r="G202" s="145" t="s">
        <v>204</v>
      </c>
      <c r="H202" s="145" t="s">
        <v>339</v>
      </c>
      <c r="I202" s="145" t="s">
        <v>1215</v>
      </c>
      <c r="J202" s="145" t="s">
        <v>413</v>
      </c>
      <c r="K202" s="145" t="s">
        <v>1216</v>
      </c>
      <c r="L202" s="146">
        <v>12832.727999999999</v>
      </c>
      <c r="M202" s="146">
        <v>3.71</v>
      </c>
      <c r="N202" s="150">
        <v>4.7399999999999998E-2</v>
      </c>
      <c r="O202" s="146">
        <v>47609.421000000002</v>
      </c>
      <c r="P202" s="147">
        <f t="shared" si="3"/>
        <v>0.52407213636852412</v>
      </c>
      <c r="Q202" s="147">
        <v>4.8054429285907252E-2</v>
      </c>
    </row>
    <row r="203" spans="1:17" s="145" customFormat="1">
      <c r="A203" s="145" t="s">
        <v>1213</v>
      </c>
      <c r="B203" s="145">
        <v>9720</v>
      </c>
      <c r="C203" s="145" t="s">
        <v>1209</v>
      </c>
      <c r="D203" s="145" t="s">
        <v>1210</v>
      </c>
      <c r="E203" s="145" t="s">
        <v>315</v>
      </c>
      <c r="F203" s="145" t="s">
        <v>934</v>
      </c>
      <c r="G203" s="145" t="s">
        <v>204</v>
      </c>
      <c r="H203" s="145" t="s">
        <v>339</v>
      </c>
      <c r="I203" s="145" t="s">
        <v>1211</v>
      </c>
      <c r="J203" s="145" t="s">
        <v>415</v>
      </c>
      <c r="K203" s="145" t="s">
        <v>1212</v>
      </c>
      <c r="L203" s="146">
        <f>18899.063+1679.52748000005</f>
        <v>20578.59048000005</v>
      </c>
      <c r="M203" s="146">
        <v>1</v>
      </c>
      <c r="N203" s="150">
        <v>0.04</v>
      </c>
      <c r="O203" s="146">
        <f>L203</f>
        <v>20578.59048000005</v>
      </c>
      <c r="P203" s="147">
        <f t="shared" si="3"/>
        <v>0.22652377722271813</v>
      </c>
      <c r="Q203" s="147">
        <v>2.0770939873954914E-2</v>
      </c>
    </row>
    <row r="204" spans="1:17" s="145" customFormat="1">
      <c r="A204" s="145" t="s">
        <v>1213</v>
      </c>
      <c r="B204" s="145">
        <v>9720</v>
      </c>
      <c r="C204" s="145" t="s">
        <v>1209</v>
      </c>
      <c r="D204" s="145" t="s">
        <v>1210</v>
      </c>
      <c r="E204" s="145" t="s">
        <v>315</v>
      </c>
      <c r="F204" s="145" t="s">
        <v>936</v>
      </c>
      <c r="G204" s="145" t="s">
        <v>204</v>
      </c>
      <c r="H204" s="145" t="s">
        <v>339</v>
      </c>
      <c r="I204" s="145" t="s">
        <v>1215</v>
      </c>
      <c r="J204" s="145" t="s">
        <v>413</v>
      </c>
      <c r="K204" s="145" t="s">
        <v>1218</v>
      </c>
      <c r="L204" s="146">
        <v>719.678</v>
      </c>
      <c r="M204" s="146">
        <v>4.1520000000000001</v>
      </c>
      <c r="N204" s="150">
        <v>3.0599999999999999E-2</v>
      </c>
      <c r="O204" s="146">
        <v>2988.3910000000001</v>
      </c>
      <c r="P204" s="147">
        <f t="shared" si="3"/>
        <v>3.2895431676736211E-2</v>
      </c>
      <c r="Q204" s="147">
        <v>3.0163236807299472E-3</v>
      </c>
    </row>
    <row r="205" spans="1:17" s="145" customFormat="1">
      <c r="A205" s="145" t="s">
        <v>1213</v>
      </c>
      <c r="B205" s="145">
        <v>9720</v>
      </c>
      <c r="C205" s="145" t="s">
        <v>1209</v>
      </c>
      <c r="D205" s="145" t="s">
        <v>1210</v>
      </c>
      <c r="E205" s="145" t="s">
        <v>315</v>
      </c>
      <c r="F205" s="145" t="s">
        <v>935</v>
      </c>
      <c r="G205" s="145" t="s">
        <v>205</v>
      </c>
      <c r="H205" s="145" t="s">
        <v>339</v>
      </c>
      <c r="I205" s="145" t="s">
        <v>1211</v>
      </c>
      <c r="J205" s="145" t="s">
        <v>415</v>
      </c>
      <c r="K205" s="145" t="s">
        <v>1216</v>
      </c>
      <c r="L205" s="146">
        <v>5301.5540000000001</v>
      </c>
      <c r="M205" s="146">
        <v>3.71</v>
      </c>
      <c r="N205" s="150">
        <v>4.4999999999999998E-2</v>
      </c>
      <c r="O205" s="146">
        <v>19668.764999999999</v>
      </c>
      <c r="P205" s="147">
        <f t="shared" si="3"/>
        <v>0.21650865473202152</v>
      </c>
      <c r="Q205" s="147">
        <v>1.9852610197331057E-2</v>
      </c>
    </row>
    <row r="206" spans="1:17" s="145" customFormat="1">
      <c r="A206" s="145" t="s">
        <v>1213</v>
      </c>
      <c r="B206" s="145">
        <v>9721</v>
      </c>
      <c r="C206" s="145" t="s">
        <v>1209</v>
      </c>
      <c r="D206" s="145" t="s">
        <v>1210</v>
      </c>
      <c r="E206" s="145" t="s">
        <v>315</v>
      </c>
      <c r="F206" s="145" t="s">
        <v>936</v>
      </c>
      <c r="G206" s="145" t="s">
        <v>204</v>
      </c>
      <c r="H206" s="145" t="s">
        <v>339</v>
      </c>
      <c r="I206" s="145" t="s">
        <v>1215</v>
      </c>
      <c r="J206" s="145" t="s">
        <v>413</v>
      </c>
      <c r="K206" s="145" t="s">
        <v>1216</v>
      </c>
      <c r="L206" s="146">
        <v>1129.0419999999999</v>
      </c>
      <c r="M206" s="146">
        <v>3.71</v>
      </c>
      <c r="N206" s="150">
        <v>4.7399999999999998E-2</v>
      </c>
      <c r="O206" s="146">
        <v>4188.7460000000001</v>
      </c>
      <c r="P206" s="147">
        <f t="shared" si="3"/>
        <v>0.55298291646511721</v>
      </c>
      <c r="Q206" s="147">
        <v>2.1588185251380024E-2</v>
      </c>
    </row>
    <row r="207" spans="1:17" s="145" customFormat="1">
      <c r="A207" s="145" t="s">
        <v>1213</v>
      </c>
      <c r="B207" s="145">
        <v>9721</v>
      </c>
      <c r="C207" s="145" t="s">
        <v>1209</v>
      </c>
      <c r="D207" s="145" t="s">
        <v>1210</v>
      </c>
      <c r="E207" s="145" t="s">
        <v>315</v>
      </c>
      <c r="F207" s="145" t="s">
        <v>934</v>
      </c>
      <c r="G207" s="145" t="s">
        <v>204</v>
      </c>
      <c r="H207" s="145" t="s">
        <v>339</v>
      </c>
      <c r="I207" s="145" t="s">
        <v>1211</v>
      </c>
      <c r="J207" s="145" t="s">
        <v>415</v>
      </c>
      <c r="K207" s="145" t="s">
        <v>1212</v>
      </c>
      <c r="L207" s="146">
        <f>2360.448+-36.1351000000141</f>
        <v>2324.3128999999858</v>
      </c>
      <c r="M207" s="146">
        <v>1</v>
      </c>
      <c r="N207" s="150">
        <v>0.04</v>
      </c>
      <c r="O207" s="146">
        <f>L207</f>
        <v>2324.3128999999858</v>
      </c>
      <c r="P207" s="147">
        <f t="shared" si="3"/>
        <v>0.30684728227003655</v>
      </c>
      <c r="Q207" s="147">
        <v>1.1979169294908791E-2</v>
      </c>
    </row>
    <row r="208" spans="1:17" s="145" customFormat="1">
      <c r="A208" s="145" t="s">
        <v>1213</v>
      </c>
      <c r="B208" s="145">
        <v>9721</v>
      </c>
      <c r="C208" s="145" t="s">
        <v>1209</v>
      </c>
      <c r="D208" s="145" t="s">
        <v>1210</v>
      </c>
      <c r="E208" s="145" t="s">
        <v>315</v>
      </c>
      <c r="F208" s="145" t="s">
        <v>935</v>
      </c>
      <c r="G208" s="145" t="s">
        <v>205</v>
      </c>
      <c r="H208" s="145" t="s">
        <v>339</v>
      </c>
      <c r="I208" s="145" t="s">
        <v>1211</v>
      </c>
      <c r="J208" s="145" t="s">
        <v>415</v>
      </c>
      <c r="K208" s="145" t="s">
        <v>1216</v>
      </c>
      <c r="L208" s="146">
        <v>286.18900000000002</v>
      </c>
      <c r="M208" s="146">
        <v>3.71</v>
      </c>
      <c r="N208" s="150">
        <v>4.4999999999999998E-2</v>
      </c>
      <c r="O208" s="146">
        <v>1061.761</v>
      </c>
      <c r="P208" s="147">
        <f t="shared" si="3"/>
        <v>0.14016980126484618</v>
      </c>
      <c r="Q208" s="147">
        <v>5.4721611577045973E-3</v>
      </c>
    </row>
    <row r="209" spans="1:17" s="145" customFormat="1">
      <c r="A209" s="145" t="s">
        <v>1213</v>
      </c>
      <c r="B209" s="145">
        <v>9888</v>
      </c>
      <c r="C209" s="145" t="s">
        <v>1209</v>
      </c>
      <c r="D209" s="145" t="s">
        <v>1210</v>
      </c>
      <c r="E209" s="145" t="s">
        <v>315</v>
      </c>
      <c r="F209" s="145" t="s">
        <v>934</v>
      </c>
      <c r="G209" s="145" t="s">
        <v>204</v>
      </c>
      <c r="H209" s="145" t="s">
        <v>339</v>
      </c>
      <c r="I209" s="145" t="s">
        <v>1211</v>
      </c>
      <c r="J209" s="145" t="s">
        <v>415</v>
      </c>
      <c r="K209" s="145" t="s">
        <v>1212</v>
      </c>
      <c r="L209" s="146">
        <f>20326.031+2015.19446165545</f>
        <v>22341.225461655449</v>
      </c>
      <c r="M209" s="146">
        <v>1</v>
      </c>
      <c r="N209" s="150">
        <v>0.04</v>
      </c>
      <c r="O209" s="146">
        <f>L209</f>
        <v>22341.225461655449</v>
      </c>
      <c r="P209" s="147">
        <f t="shared" si="3"/>
        <v>0.72189173110904847</v>
      </c>
      <c r="Q209" s="147">
        <v>8.2019463159153955E-2</v>
      </c>
    </row>
    <row r="210" spans="1:17" s="145" customFormat="1">
      <c r="A210" s="145" t="s">
        <v>1213</v>
      </c>
      <c r="B210" s="145">
        <v>9888</v>
      </c>
      <c r="C210" s="145" t="s">
        <v>1209</v>
      </c>
      <c r="D210" s="145" t="s">
        <v>1210</v>
      </c>
      <c r="E210" s="145" t="s">
        <v>315</v>
      </c>
      <c r="F210" s="145" t="s">
        <v>936</v>
      </c>
      <c r="G210" s="145" t="s">
        <v>204</v>
      </c>
      <c r="H210" s="145" t="s">
        <v>339</v>
      </c>
      <c r="I210" s="145" t="s">
        <v>1215</v>
      </c>
      <c r="J210" s="145" t="s">
        <v>413</v>
      </c>
      <c r="K210" s="145" t="s">
        <v>1216</v>
      </c>
      <c r="L210" s="146">
        <v>1260.8910000000001</v>
      </c>
      <c r="M210" s="146">
        <v>3.71</v>
      </c>
      <c r="N210" s="150">
        <v>4.7399999999999998E-2</v>
      </c>
      <c r="O210" s="146">
        <v>4677.9070000000002</v>
      </c>
      <c r="P210" s="147">
        <f t="shared" si="3"/>
        <v>0.15115296105815806</v>
      </c>
      <c r="Q210" s="147">
        <v>1.7173606770450559E-2</v>
      </c>
    </row>
    <row r="211" spans="1:17" s="145" customFormat="1">
      <c r="A211" s="145" t="s">
        <v>1213</v>
      </c>
      <c r="B211" s="145">
        <v>9888</v>
      </c>
      <c r="C211" s="145" t="s">
        <v>1209</v>
      </c>
      <c r="D211" s="145" t="s">
        <v>1210</v>
      </c>
      <c r="E211" s="145" t="s">
        <v>315</v>
      </c>
      <c r="F211" s="145" t="s">
        <v>939</v>
      </c>
      <c r="G211" s="145" t="s">
        <v>204</v>
      </c>
      <c r="H211" s="145" t="s">
        <v>339</v>
      </c>
      <c r="I211" s="145" t="s">
        <v>1211</v>
      </c>
      <c r="J211" s="145" t="s">
        <v>415</v>
      </c>
      <c r="K211" s="145" t="s">
        <v>1216</v>
      </c>
      <c r="L211" s="146">
        <v>54.131</v>
      </c>
      <c r="M211" s="146">
        <v>3.71</v>
      </c>
      <c r="N211" s="147">
        <v>5.8500000000000003E-2</v>
      </c>
      <c r="O211" s="146">
        <v>200.82499999999999</v>
      </c>
      <c r="P211" s="147">
        <f t="shared" si="3"/>
        <v>6.4890758633090809E-3</v>
      </c>
      <c r="Q211" s="147">
        <v>7.3727194227583685E-4</v>
      </c>
    </row>
    <row r="212" spans="1:17" s="145" customFormat="1">
      <c r="A212" s="145" t="s">
        <v>1213</v>
      </c>
      <c r="B212" s="145">
        <v>9888</v>
      </c>
      <c r="C212" s="145" t="s">
        <v>1236</v>
      </c>
      <c r="D212" s="145" t="s">
        <v>1237</v>
      </c>
      <c r="E212" s="145" t="s">
        <v>315</v>
      </c>
      <c r="F212" s="145" t="s">
        <v>936</v>
      </c>
      <c r="G212" s="145" t="s">
        <v>204</v>
      </c>
      <c r="H212" s="145" t="s">
        <v>339</v>
      </c>
      <c r="I212" s="145" t="s">
        <v>1215</v>
      </c>
      <c r="J212" s="145" t="s">
        <v>413</v>
      </c>
      <c r="K212" s="145" t="s">
        <v>1216</v>
      </c>
      <c r="L212" s="146">
        <v>27.515000000000001</v>
      </c>
      <c r="M212" s="146">
        <v>3.71</v>
      </c>
      <c r="N212" s="150">
        <v>0</v>
      </c>
      <c r="O212" s="146">
        <v>102.08</v>
      </c>
      <c r="P212" s="147">
        <f t="shared" si="3"/>
        <v>3.298418344959995E-3</v>
      </c>
      <c r="Q212" s="147">
        <v>3.7475772372721236E-4</v>
      </c>
    </row>
    <row r="213" spans="1:17" s="145" customFormat="1">
      <c r="A213" s="145" t="s">
        <v>1213</v>
      </c>
      <c r="B213" s="145">
        <v>9888</v>
      </c>
      <c r="C213" s="145" t="s">
        <v>1236</v>
      </c>
      <c r="D213" s="145" t="s">
        <v>1237</v>
      </c>
      <c r="E213" s="145" t="s">
        <v>315</v>
      </c>
      <c r="F213" s="145" t="s">
        <v>934</v>
      </c>
      <c r="G213" s="145" t="s">
        <v>204</v>
      </c>
      <c r="H213" s="145" t="s">
        <v>339</v>
      </c>
      <c r="I213" s="145" t="s">
        <v>1211</v>
      </c>
      <c r="J213" s="145" t="s">
        <v>415</v>
      </c>
      <c r="K213" s="145" t="s">
        <v>1212</v>
      </c>
      <c r="L213" s="146">
        <v>49.485999999999997</v>
      </c>
      <c r="M213" s="146">
        <v>1</v>
      </c>
      <c r="N213" s="150">
        <v>0</v>
      </c>
      <c r="O213" s="146">
        <v>49.485999999999997</v>
      </c>
      <c r="P213" s="147">
        <f t="shared" si="3"/>
        <v>1.598996181609427E-3</v>
      </c>
      <c r="Q213" s="147">
        <v>1.8167379228413823E-4</v>
      </c>
    </row>
    <row r="214" spans="1:17" s="145" customFormat="1">
      <c r="A214" s="145" t="s">
        <v>1213</v>
      </c>
      <c r="B214" s="145">
        <v>9888</v>
      </c>
      <c r="C214" s="145" t="s">
        <v>1209</v>
      </c>
      <c r="D214" s="145" t="s">
        <v>1210</v>
      </c>
      <c r="E214" s="145" t="s">
        <v>315</v>
      </c>
      <c r="F214" s="145" t="s">
        <v>936</v>
      </c>
      <c r="G214" s="145" t="s">
        <v>204</v>
      </c>
      <c r="H214" s="145" t="s">
        <v>339</v>
      </c>
      <c r="I214" s="145" t="s">
        <v>1215</v>
      </c>
      <c r="J214" s="145" t="s">
        <v>413</v>
      </c>
      <c r="K214" s="145" t="s">
        <v>1218</v>
      </c>
      <c r="L214" s="146">
        <v>4.9939999999999998</v>
      </c>
      <c r="M214" s="146">
        <v>4.1520000000000001</v>
      </c>
      <c r="N214" s="150">
        <v>3.0599999999999999E-2</v>
      </c>
      <c r="O214" s="146">
        <v>20.736000000000001</v>
      </c>
      <c r="P214" s="147">
        <f t="shared" si="3"/>
        <v>6.700235384119363E-4</v>
      </c>
      <c r="Q214" s="147">
        <v>7.6126333848035624E-5</v>
      </c>
    </row>
    <row r="215" spans="1:17" s="145" customFormat="1">
      <c r="A215" s="145" t="s">
        <v>1213</v>
      </c>
      <c r="B215" s="145">
        <v>9888</v>
      </c>
      <c r="C215" s="145" t="s">
        <v>1209</v>
      </c>
      <c r="D215" s="145" t="s">
        <v>1210</v>
      </c>
      <c r="E215" s="145" t="s">
        <v>315</v>
      </c>
      <c r="F215" s="145" t="s">
        <v>936</v>
      </c>
      <c r="G215" s="145" t="s">
        <v>204</v>
      </c>
      <c r="H215" s="145" t="s">
        <v>339</v>
      </c>
      <c r="I215" s="145" t="s">
        <v>1215</v>
      </c>
      <c r="J215" s="145" t="s">
        <v>413</v>
      </c>
      <c r="K215" s="145" t="s">
        <v>1227</v>
      </c>
      <c r="L215" s="146">
        <v>2.7610000000000001</v>
      </c>
      <c r="M215" s="146">
        <v>4.9749999999999996</v>
      </c>
      <c r="N215" s="150">
        <v>0</v>
      </c>
      <c r="O215" s="146">
        <v>13.733000000000001</v>
      </c>
      <c r="P215" s="147">
        <f t="shared" si="3"/>
        <v>4.4374195857499623E-4</v>
      </c>
      <c r="Q215" s="147">
        <v>5.0416808580973824E-5</v>
      </c>
    </row>
    <row r="216" spans="1:17" s="145" customFormat="1">
      <c r="A216" s="145" t="s">
        <v>1213</v>
      </c>
      <c r="B216" s="145">
        <v>9888</v>
      </c>
      <c r="C216" s="145" t="s">
        <v>1209</v>
      </c>
      <c r="D216" s="145" t="s">
        <v>1210</v>
      </c>
      <c r="E216" s="145" t="s">
        <v>315</v>
      </c>
      <c r="F216" s="145" t="s">
        <v>935</v>
      </c>
      <c r="G216" s="145" t="s">
        <v>205</v>
      </c>
      <c r="H216" s="145" t="s">
        <v>339</v>
      </c>
      <c r="I216" s="145" t="s">
        <v>1211</v>
      </c>
      <c r="J216" s="145" t="s">
        <v>415</v>
      </c>
      <c r="K216" s="145" t="s">
        <v>1216</v>
      </c>
      <c r="L216" s="146">
        <v>823.55200000000002</v>
      </c>
      <c r="M216" s="146">
        <v>3.71</v>
      </c>
      <c r="N216" s="150">
        <v>4.4999999999999998E-2</v>
      </c>
      <c r="O216" s="146">
        <v>3055.3789999999999</v>
      </c>
      <c r="P216" s="147">
        <f t="shared" si="3"/>
        <v>9.8725687151308042E-2</v>
      </c>
      <c r="Q216" s="147">
        <v>1.1216956104662288E-2</v>
      </c>
    </row>
    <row r="217" spans="1:17" s="145" customFormat="1">
      <c r="A217" s="145" t="s">
        <v>1213</v>
      </c>
      <c r="B217" s="145">
        <v>9888</v>
      </c>
      <c r="C217" s="145" t="s">
        <v>1209</v>
      </c>
      <c r="D217" s="145" t="s">
        <v>1210</v>
      </c>
      <c r="E217" s="145" t="s">
        <v>315</v>
      </c>
      <c r="F217" s="145" t="s">
        <v>935</v>
      </c>
      <c r="G217" s="145" t="s">
        <v>205</v>
      </c>
      <c r="H217" s="145" t="s">
        <v>339</v>
      </c>
      <c r="I217" s="145" t="s">
        <v>1211</v>
      </c>
      <c r="J217" s="145" t="s">
        <v>415</v>
      </c>
      <c r="K217" s="145" t="s">
        <v>1218</v>
      </c>
      <c r="L217" s="146">
        <v>84.058000000000007</v>
      </c>
      <c r="M217" s="146">
        <v>4.1520000000000001</v>
      </c>
      <c r="N217" s="150">
        <v>2.7300000000000001E-2</v>
      </c>
      <c r="O217" s="146">
        <v>349.041</v>
      </c>
      <c r="P217" s="147">
        <f t="shared" si="3"/>
        <v>1.1278244881888534E-2</v>
      </c>
      <c r="Q217" s="147">
        <v>1.2814048848694155E-3</v>
      </c>
    </row>
    <row r="218" spans="1:17" s="145" customFormat="1">
      <c r="A218" s="145" t="s">
        <v>1213</v>
      </c>
      <c r="B218" s="145">
        <v>9888</v>
      </c>
      <c r="C218" s="145" t="s">
        <v>1209</v>
      </c>
      <c r="D218" s="145" t="s">
        <v>1210</v>
      </c>
      <c r="E218" s="145" t="s">
        <v>315</v>
      </c>
      <c r="F218" s="145" t="s">
        <v>935</v>
      </c>
      <c r="G218" s="145" t="s">
        <v>205</v>
      </c>
      <c r="H218" s="145" t="s">
        <v>339</v>
      </c>
      <c r="I218" s="145" t="s">
        <v>1211</v>
      </c>
      <c r="J218" s="145" t="s">
        <v>415</v>
      </c>
      <c r="K218" s="145" t="s">
        <v>1227</v>
      </c>
      <c r="L218" s="146">
        <v>17.006</v>
      </c>
      <c r="M218" s="146">
        <v>4.9749999999999996</v>
      </c>
      <c r="N218" s="150">
        <v>4.1700000000000001E-2</v>
      </c>
      <c r="O218" s="146">
        <v>84.600999999999999</v>
      </c>
      <c r="P218" s="147">
        <f t="shared" si="3"/>
        <v>2.7336352899878578E-3</v>
      </c>
      <c r="Q218" s="147">
        <v>3.1058854021400758E-4</v>
      </c>
    </row>
    <row r="219" spans="1:17" s="145" customFormat="1">
      <c r="A219" s="145" t="s">
        <v>1213</v>
      </c>
      <c r="B219" s="145">
        <v>9888</v>
      </c>
      <c r="C219" s="145" t="s">
        <v>1209</v>
      </c>
      <c r="D219" s="145" t="s">
        <v>1210</v>
      </c>
      <c r="E219" s="145" t="s">
        <v>315</v>
      </c>
      <c r="F219" s="145" t="s">
        <v>935</v>
      </c>
      <c r="G219" s="145" t="s">
        <v>205</v>
      </c>
      <c r="H219" s="145" t="s">
        <v>339</v>
      </c>
      <c r="I219" s="145" t="s">
        <v>1211</v>
      </c>
      <c r="J219" s="145" t="s">
        <v>415</v>
      </c>
      <c r="K219" s="145" t="s">
        <v>1219</v>
      </c>
      <c r="L219" s="146">
        <v>12.09</v>
      </c>
      <c r="M219" s="146">
        <v>4.3970000000000002</v>
      </c>
      <c r="N219" s="150">
        <v>2.3999999999999998E-3</v>
      </c>
      <c r="O219" s="146">
        <v>53.152999999999999</v>
      </c>
      <c r="P219" s="147">
        <f t="shared" si="3"/>
        <v>1.7174846227435208E-3</v>
      </c>
      <c r="Q219" s="147">
        <v>1.9513614115666651E-4</v>
      </c>
    </row>
    <row r="220" spans="1:17" s="145" customFormat="1">
      <c r="E220" s="148"/>
    </row>
    <row r="221" spans="1:17" s="145" customFormat="1">
      <c r="E221" s="148"/>
    </row>
    <row r="222" spans="1:17" s="145" customFormat="1">
      <c r="E222" s="148"/>
    </row>
  </sheetData>
  <sheetProtection formatColumns="0"/>
  <autoFilter ref="A1:Q219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dataValidations count="4">
    <dataValidation type="list" allowBlank="1" showInputMessage="1" showErrorMessage="1" sqref="G2:G19">
      <formula1>israel_abroad</formula1>
    </dataValidation>
    <dataValidation type="list" allowBlank="1" showInputMessage="1" showErrorMessage="1" sqref="H2:H19">
      <formula1>Holding_interest</formula1>
    </dataValidation>
    <dataValidation type="list" allowBlank="1" showInputMessage="1" showErrorMessage="1" sqref="J2:J20">
      <formula1>Rating_Agency</formula1>
    </dataValidation>
    <dataValidation type="list" allowBlank="1" showInputMessage="1" showErrorMessage="1" sqref="E2:E19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546"/>
  <sheetViews>
    <sheetView rightToLeft="1" topLeftCell="B1" workbookViewId="0">
      <selection activeCell="H563" sqref="H563"/>
    </sheetView>
  </sheetViews>
  <sheetFormatPr defaultColWidth="9" defaultRowHeight="14.25"/>
  <cols>
    <col min="1" max="17" width="11.625" style="4" customWidth="1"/>
    <col min="18" max="18" width="14.5" style="4" bestFit="1" customWidth="1"/>
    <col min="19" max="27" width="11.625" style="4" customWidth="1"/>
    <col min="28" max="16384" width="9" style="4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54</v>
      </c>
      <c r="G1" s="17" t="s">
        <v>55</v>
      </c>
      <c r="H1" s="17" t="s">
        <v>69</v>
      </c>
      <c r="I1" s="17" t="s">
        <v>70</v>
      </c>
      <c r="J1" s="17" t="s">
        <v>71</v>
      </c>
      <c r="K1" s="17" t="s">
        <v>58</v>
      </c>
      <c r="L1" s="17" t="s">
        <v>59</v>
      </c>
      <c r="M1" s="17" t="s">
        <v>72</v>
      </c>
      <c r="N1" s="17" t="s">
        <v>73</v>
      </c>
      <c r="O1" s="17" t="s">
        <v>62</v>
      </c>
      <c r="P1" s="17" t="s">
        <v>74</v>
      </c>
      <c r="Q1" s="17" t="s">
        <v>75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79</v>
      </c>
      <c r="Y1" s="17" t="s">
        <v>64</v>
      </c>
      <c r="Z1" s="17" t="s">
        <v>65</v>
      </c>
    </row>
    <row r="2" spans="1:26">
      <c r="A2" t="s">
        <v>1213</v>
      </c>
      <c r="B2" t="s">
        <v>1214</v>
      </c>
      <c r="C2" t="s">
        <v>1258</v>
      </c>
      <c r="D2" t="s">
        <v>1259</v>
      </c>
      <c r="E2" t="s">
        <v>1260</v>
      </c>
      <c r="F2" t="s">
        <v>943</v>
      </c>
      <c r="G2" t="s">
        <v>204</v>
      </c>
      <c r="H2" t="s">
        <v>204</v>
      </c>
      <c r="I2" t="s">
        <v>340</v>
      </c>
      <c r="J2" t="s">
        <v>1261</v>
      </c>
      <c r="K2" t="s">
        <v>413</v>
      </c>
      <c r="L2" t="s">
        <v>1212</v>
      </c>
      <c r="M2" s="131">
        <v>1.07</v>
      </c>
      <c r="N2" t="s">
        <v>1262</v>
      </c>
      <c r="O2" s="132">
        <v>5.0400000000000002E-3</v>
      </c>
      <c r="P2" s="132">
        <v>1.2999999999999999E-2</v>
      </c>
      <c r="Q2"/>
      <c r="R2" s="131">
        <v>19500000</v>
      </c>
      <c r="S2" s="131">
        <v>1</v>
      </c>
      <c r="T2" s="131">
        <v>116.02</v>
      </c>
      <c r="U2" s="131">
        <v>22623.9</v>
      </c>
      <c r="V2"/>
      <c r="W2" s="16" t="s">
        <v>15</v>
      </c>
      <c r="X2" s="132">
        <v>8.9999999999999998E-4</v>
      </c>
      <c r="Y2" s="132">
        <v>0.27615000000000001</v>
      </c>
      <c r="Z2" s="132">
        <v>0.21264</v>
      </c>
    </row>
    <row r="3" spans="1:26">
      <c r="A3" t="s">
        <v>1213</v>
      </c>
      <c r="B3" t="s">
        <v>1214</v>
      </c>
      <c r="C3" t="s">
        <v>1258</v>
      </c>
      <c r="D3" t="s">
        <v>1263</v>
      </c>
      <c r="E3" t="s">
        <v>1264</v>
      </c>
      <c r="F3" t="s">
        <v>943</v>
      </c>
      <c r="G3" t="s">
        <v>204</v>
      </c>
      <c r="H3" t="s">
        <v>204</v>
      </c>
      <c r="I3" t="s">
        <v>340</v>
      </c>
      <c r="J3" t="s">
        <v>1265</v>
      </c>
      <c r="K3" t="s">
        <v>415</v>
      </c>
      <c r="L3" t="s">
        <v>1212</v>
      </c>
      <c r="M3" s="131">
        <v>3.97</v>
      </c>
      <c r="N3" t="s">
        <v>1266</v>
      </c>
      <c r="O3" s="132">
        <v>1.026E-2</v>
      </c>
      <c r="P3" s="132">
        <v>1.7999999999999999E-2</v>
      </c>
      <c r="Q3"/>
      <c r="R3" s="131">
        <v>12500000</v>
      </c>
      <c r="S3" s="131">
        <v>1</v>
      </c>
      <c r="T3" s="131">
        <v>102.6</v>
      </c>
      <c r="U3" s="131">
        <v>12825</v>
      </c>
      <c r="V3"/>
      <c r="W3" s="16" t="s">
        <v>15</v>
      </c>
      <c r="X3" s="132">
        <v>6.0999999999999997E-4</v>
      </c>
      <c r="Y3" s="132">
        <v>0.15654000000000001</v>
      </c>
      <c r="Z3" s="132">
        <v>0.12053999999999999</v>
      </c>
    </row>
    <row r="4" spans="1:26">
      <c r="A4" t="s">
        <v>1213</v>
      </c>
      <c r="B4" t="s">
        <v>1214</v>
      </c>
      <c r="C4" t="s">
        <v>1267</v>
      </c>
      <c r="D4" t="s">
        <v>1268</v>
      </c>
      <c r="E4" t="s">
        <v>1269</v>
      </c>
      <c r="F4" t="s">
        <v>945</v>
      </c>
      <c r="G4" t="s">
        <v>204</v>
      </c>
      <c r="H4" t="s">
        <v>204</v>
      </c>
      <c r="I4" t="s">
        <v>340</v>
      </c>
      <c r="J4" t="s">
        <v>1265</v>
      </c>
      <c r="K4" t="s">
        <v>415</v>
      </c>
      <c r="L4" t="s">
        <v>1212</v>
      </c>
      <c r="M4" s="131">
        <v>0.57999999999999996</v>
      </c>
      <c r="N4" t="s">
        <v>1270</v>
      </c>
      <c r="O4" s="132">
        <v>-1.6900000000000001E-3</v>
      </c>
      <c r="P4" s="132">
        <v>3.9600000000000003E-2</v>
      </c>
      <c r="Q4"/>
      <c r="R4" s="131">
        <v>11689889</v>
      </c>
      <c r="S4" s="131">
        <v>1</v>
      </c>
      <c r="T4" s="131">
        <v>98.27</v>
      </c>
      <c r="U4" s="131">
        <v>11487.654</v>
      </c>
      <c r="V4"/>
      <c r="W4" s="16" t="s">
        <v>15</v>
      </c>
      <c r="X4" s="132">
        <v>7.3999999999999999E-4</v>
      </c>
      <c r="Y4" s="132">
        <v>0.14022000000000001</v>
      </c>
      <c r="Z4" s="132">
        <v>0.10797</v>
      </c>
    </row>
    <row r="5" spans="1:26">
      <c r="A5" t="s">
        <v>1213</v>
      </c>
      <c r="B5" t="s">
        <v>1214</v>
      </c>
      <c r="C5" t="s">
        <v>1267</v>
      </c>
      <c r="D5" t="s">
        <v>1271</v>
      </c>
      <c r="E5" t="s">
        <v>1272</v>
      </c>
      <c r="F5" t="s">
        <v>945</v>
      </c>
      <c r="G5" t="s">
        <v>204</v>
      </c>
      <c r="H5" t="s">
        <v>204</v>
      </c>
      <c r="I5" t="s">
        <v>340</v>
      </c>
      <c r="J5" t="s">
        <v>1261</v>
      </c>
      <c r="K5" t="s">
        <v>413</v>
      </c>
      <c r="L5" t="s">
        <v>1212</v>
      </c>
      <c r="M5" s="131">
        <v>11.32</v>
      </c>
      <c r="N5" t="s">
        <v>1273</v>
      </c>
      <c r="O5" s="132">
        <v>3.6729999999999999E-2</v>
      </c>
      <c r="P5" s="132">
        <v>5.1700000000000003E-2</v>
      </c>
      <c r="Q5"/>
      <c r="R5" s="131">
        <v>7227442</v>
      </c>
      <c r="S5" s="131">
        <v>1</v>
      </c>
      <c r="T5" s="131">
        <v>107.34</v>
      </c>
      <c r="U5" s="131">
        <v>7757.9359999999997</v>
      </c>
      <c r="V5"/>
      <c r="W5" s="16" t="s">
        <v>15</v>
      </c>
      <c r="X5" s="132">
        <v>3.3E-4</v>
      </c>
      <c r="Y5" s="132">
        <v>9.4689999999999996E-2</v>
      </c>
      <c r="Z5" s="132">
        <v>7.2910000000000003E-2</v>
      </c>
    </row>
    <row r="6" spans="1:26">
      <c r="A6" t="s">
        <v>1213</v>
      </c>
      <c r="B6" t="s">
        <v>1214</v>
      </c>
      <c r="C6" t="s">
        <v>1267</v>
      </c>
      <c r="D6" t="s">
        <v>1274</v>
      </c>
      <c r="E6" t="s">
        <v>1275</v>
      </c>
      <c r="F6" t="s">
        <v>945</v>
      </c>
      <c r="G6" t="s">
        <v>204</v>
      </c>
      <c r="H6" t="s">
        <v>204</v>
      </c>
      <c r="I6" t="s">
        <v>340</v>
      </c>
      <c r="J6" t="s">
        <v>1265</v>
      </c>
      <c r="K6" t="s">
        <v>415</v>
      </c>
      <c r="L6" t="s">
        <v>1212</v>
      </c>
      <c r="M6" s="131">
        <v>1.4</v>
      </c>
      <c r="N6" t="s">
        <v>1276</v>
      </c>
      <c r="O6" s="132">
        <v>3.9660000000000001E-2</v>
      </c>
      <c r="P6" s="132">
        <v>4.3799999999999999E-2</v>
      </c>
      <c r="Q6"/>
      <c r="R6" s="131">
        <v>4685000</v>
      </c>
      <c r="S6" s="131">
        <v>1</v>
      </c>
      <c r="T6" s="131">
        <v>95.1</v>
      </c>
      <c r="U6" s="131">
        <v>4455.4350000000004</v>
      </c>
      <c r="V6"/>
      <c r="W6" s="16" t="s">
        <v>15</v>
      </c>
      <c r="X6" s="132">
        <v>1.7000000000000001E-4</v>
      </c>
      <c r="Y6" s="132">
        <v>5.4379999999999998E-2</v>
      </c>
      <c r="Z6" s="132">
        <v>4.1880000000000001E-2</v>
      </c>
    </row>
    <row r="7" spans="1:26">
      <c r="A7" t="s">
        <v>1213</v>
      </c>
      <c r="B7" t="s">
        <v>1214</v>
      </c>
      <c r="C7" t="s">
        <v>1277</v>
      </c>
      <c r="D7" t="s">
        <v>1278</v>
      </c>
      <c r="E7" t="s">
        <v>1279</v>
      </c>
      <c r="F7" t="s">
        <v>946</v>
      </c>
      <c r="G7" t="s">
        <v>204</v>
      </c>
      <c r="H7" t="s">
        <v>204</v>
      </c>
      <c r="I7" t="s">
        <v>340</v>
      </c>
      <c r="J7" t="s">
        <v>1261</v>
      </c>
      <c r="K7" t="s">
        <v>413</v>
      </c>
      <c r="L7" t="s">
        <v>1212</v>
      </c>
      <c r="M7" s="131">
        <v>5.42</v>
      </c>
      <c r="N7" t="s">
        <v>1280</v>
      </c>
      <c r="O7" s="132">
        <v>4.9500000000000004E-3</v>
      </c>
      <c r="P7" s="132">
        <v>4.8399999999999999E-2</v>
      </c>
      <c r="Q7"/>
      <c r="R7" s="131">
        <v>4397500</v>
      </c>
      <c r="S7" s="131">
        <v>1</v>
      </c>
      <c r="T7" s="131">
        <v>97.9</v>
      </c>
      <c r="U7" s="131">
        <v>4305.1530000000002</v>
      </c>
      <c r="V7"/>
      <c r="W7" s="16" t="s">
        <v>15</v>
      </c>
      <c r="X7" s="132">
        <v>1.3999999999999999E-4</v>
      </c>
      <c r="Y7" s="132">
        <v>5.2549999999999999E-2</v>
      </c>
      <c r="Z7" s="132">
        <v>4.0460000000000003E-2</v>
      </c>
    </row>
    <row r="8" spans="1:26">
      <c r="A8" t="s">
        <v>1213</v>
      </c>
      <c r="B8" t="s">
        <v>1214</v>
      </c>
      <c r="C8" t="s">
        <v>1267</v>
      </c>
      <c r="D8" t="s">
        <v>1281</v>
      </c>
      <c r="E8" t="s">
        <v>1282</v>
      </c>
      <c r="F8" t="s">
        <v>945</v>
      </c>
      <c r="G8" t="s">
        <v>204</v>
      </c>
      <c r="H8" t="s">
        <v>204</v>
      </c>
      <c r="I8" t="s">
        <v>340</v>
      </c>
      <c r="J8" t="s">
        <v>1261</v>
      </c>
      <c r="K8" t="s">
        <v>413</v>
      </c>
      <c r="L8" t="s">
        <v>1212</v>
      </c>
      <c r="M8" s="131">
        <v>5.33</v>
      </c>
      <c r="N8" t="s">
        <v>1283</v>
      </c>
      <c r="O8" s="132">
        <v>3.4610000000000002E-2</v>
      </c>
      <c r="P8" s="132">
        <v>4.6300000000000001E-2</v>
      </c>
      <c r="Q8"/>
      <c r="R8" s="131">
        <v>3650000</v>
      </c>
      <c r="S8" s="131">
        <v>1</v>
      </c>
      <c r="T8" s="131">
        <v>83.24</v>
      </c>
      <c r="U8" s="131">
        <v>3038.26</v>
      </c>
      <c r="V8"/>
      <c r="W8" s="16" t="s">
        <v>15</v>
      </c>
      <c r="X8" s="132">
        <v>1E-4</v>
      </c>
      <c r="Y8" s="132">
        <v>3.7089999999999998E-2</v>
      </c>
      <c r="Z8" s="132">
        <v>2.8559999999999999E-2</v>
      </c>
    </row>
    <row r="9" spans="1:26">
      <c r="A9" t="s">
        <v>1213</v>
      </c>
      <c r="B9" t="s">
        <v>1214</v>
      </c>
      <c r="C9" t="s">
        <v>1277</v>
      </c>
      <c r="D9" t="s">
        <v>1284</v>
      </c>
      <c r="E9" t="s">
        <v>1285</v>
      </c>
      <c r="F9" t="s">
        <v>946</v>
      </c>
      <c r="G9" t="s">
        <v>204</v>
      </c>
      <c r="H9" t="s">
        <v>204</v>
      </c>
      <c r="I9" t="s">
        <v>340</v>
      </c>
      <c r="J9" t="s">
        <v>1261</v>
      </c>
      <c r="K9" t="s">
        <v>413</v>
      </c>
      <c r="L9" t="s">
        <v>1212</v>
      </c>
      <c r="M9" s="131">
        <v>1.61</v>
      </c>
      <c r="N9" t="s">
        <v>1286</v>
      </c>
      <c r="O9" s="132">
        <v>2.4599999999999999E-3</v>
      </c>
      <c r="P9" s="132">
        <v>4.7E-2</v>
      </c>
      <c r="Q9"/>
      <c r="R9" s="131">
        <v>2380000</v>
      </c>
      <c r="S9" s="131">
        <v>1</v>
      </c>
      <c r="T9" s="131">
        <v>99.82</v>
      </c>
      <c r="U9" s="131">
        <v>2375.7159999999999</v>
      </c>
      <c r="V9"/>
      <c r="W9" s="16" t="s">
        <v>15</v>
      </c>
      <c r="X9" s="132">
        <v>1.1E-4</v>
      </c>
      <c r="Y9" s="132">
        <v>2.9000000000000001E-2</v>
      </c>
      <c r="Z9" s="132">
        <v>2.2329999999999999E-2</v>
      </c>
    </row>
    <row r="10" spans="1:26">
      <c r="A10" t="s">
        <v>1213</v>
      </c>
      <c r="B10" t="s">
        <v>1214</v>
      </c>
      <c r="C10" t="s">
        <v>1267</v>
      </c>
      <c r="D10" t="s">
        <v>1287</v>
      </c>
      <c r="E10" t="s">
        <v>1288</v>
      </c>
      <c r="F10" t="s">
        <v>945</v>
      </c>
      <c r="G10" t="s">
        <v>204</v>
      </c>
      <c r="H10" t="s">
        <v>204</v>
      </c>
      <c r="I10" t="s">
        <v>340</v>
      </c>
      <c r="J10" t="s">
        <v>1261</v>
      </c>
      <c r="K10" t="s">
        <v>413</v>
      </c>
      <c r="L10" t="s">
        <v>1212</v>
      </c>
      <c r="M10" s="131">
        <v>0.92</v>
      </c>
      <c r="N10" t="s">
        <v>1289</v>
      </c>
      <c r="O10" s="132">
        <v>-3.65E-3</v>
      </c>
      <c r="P10" s="132">
        <v>4.1700000000000001E-2</v>
      </c>
      <c r="Q10"/>
      <c r="R10" s="131">
        <v>1958268</v>
      </c>
      <c r="S10" s="131">
        <v>1</v>
      </c>
      <c r="T10" s="131">
        <v>98.02</v>
      </c>
      <c r="U10" s="131">
        <v>1919.4939999999999</v>
      </c>
      <c r="V10"/>
      <c r="W10" s="16" t="s">
        <v>15</v>
      </c>
      <c r="X10" s="132">
        <v>8.0000000000000007E-5</v>
      </c>
      <c r="Y10" s="132">
        <v>2.3429999999999999E-2</v>
      </c>
      <c r="Z10" s="132">
        <v>1.804E-2</v>
      </c>
    </row>
    <row r="11" spans="1:26">
      <c r="A11" t="s">
        <v>1213</v>
      </c>
      <c r="B11" t="s">
        <v>1214</v>
      </c>
      <c r="C11" t="s">
        <v>1290</v>
      </c>
      <c r="D11" t="s">
        <v>1291</v>
      </c>
      <c r="E11" t="s">
        <v>1292</v>
      </c>
      <c r="F11" t="s">
        <v>949</v>
      </c>
      <c r="G11" t="s">
        <v>204</v>
      </c>
      <c r="H11" t="s">
        <v>204</v>
      </c>
      <c r="I11" t="s">
        <v>340</v>
      </c>
      <c r="J11" t="s">
        <v>1261</v>
      </c>
      <c r="K11" t="s">
        <v>413</v>
      </c>
      <c r="L11" t="s">
        <v>1212</v>
      </c>
      <c r="M11" s="131">
        <v>0.42</v>
      </c>
      <c r="N11" t="s">
        <v>1293</v>
      </c>
      <c r="O11" s="132">
        <v>4.0719999999999999E-2</v>
      </c>
      <c r="P11" s="132">
        <v>4.3200000000000002E-2</v>
      </c>
      <c r="Q11"/>
      <c r="R11" s="131">
        <v>1590000</v>
      </c>
      <c r="S11" s="131">
        <v>1</v>
      </c>
      <c r="T11" s="131">
        <v>98.22</v>
      </c>
      <c r="U11" s="131">
        <v>1561.6980000000001</v>
      </c>
      <c r="V11"/>
      <c r="W11" s="16" t="s">
        <v>15</v>
      </c>
      <c r="X11" s="132">
        <v>1.2999999999999999E-4</v>
      </c>
      <c r="Y11" s="132">
        <v>1.9060000000000001E-2</v>
      </c>
      <c r="Z11" s="132">
        <v>1.468E-2</v>
      </c>
    </row>
    <row r="12" spans="1:26">
      <c r="A12" t="s">
        <v>1213</v>
      </c>
      <c r="B12" t="s">
        <v>1214</v>
      </c>
      <c r="C12" t="s">
        <v>1290</v>
      </c>
      <c r="D12" t="s">
        <v>1294</v>
      </c>
      <c r="E12" t="s">
        <v>1295</v>
      </c>
      <c r="F12" t="s">
        <v>949</v>
      </c>
      <c r="G12" t="s">
        <v>204</v>
      </c>
      <c r="H12" t="s">
        <v>204</v>
      </c>
      <c r="I12" t="s">
        <v>340</v>
      </c>
      <c r="J12" t="s">
        <v>1265</v>
      </c>
      <c r="K12" t="s">
        <v>415</v>
      </c>
      <c r="L12" t="s">
        <v>1212</v>
      </c>
      <c r="M12" s="131">
        <v>0.85</v>
      </c>
      <c r="N12" t="s">
        <v>1296</v>
      </c>
      <c r="O12" s="132">
        <v>4.1209999999999997E-2</v>
      </c>
      <c r="P12" s="132">
        <v>4.3200000000000002E-2</v>
      </c>
      <c r="Q12"/>
      <c r="R12" s="131">
        <v>1343000</v>
      </c>
      <c r="S12" s="131">
        <v>1</v>
      </c>
      <c r="T12" s="131">
        <v>96.48</v>
      </c>
      <c r="U12" s="131">
        <v>1295.7260000000001</v>
      </c>
      <c r="V12"/>
      <c r="W12" s="16" t="s">
        <v>15</v>
      </c>
      <c r="X12" s="132">
        <v>1.1E-4</v>
      </c>
      <c r="Y12" s="132">
        <v>1.5820000000000001E-2</v>
      </c>
      <c r="Z12" s="132">
        <v>1.218E-2</v>
      </c>
    </row>
    <row r="13" spans="1:26">
      <c r="A13" t="s">
        <v>1213</v>
      </c>
      <c r="B13">
        <v>12936</v>
      </c>
      <c r="C13" t="s">
        <v>1258</v>
      </c>
      <c r="D13" t="s">
        <v>1297</v>
      </c>
      <c r="E13" t="s">
        <v>1298</v>
      </c>
      <c r="F13" t="s">
        <v>943</v>
      </c>
      <c r="G13" t="s">
        <v>204</v>
      </c>
      <c r="H13" t="s">
        <v>204</v>
      </c>
      <c r="I13" t="s">
        <v>340</v>
      </c>
      <c r="J13" t="s">
        <v>1265</v>
      </c>
      <c r="K13" t="s">
        <v>415</v>
      </c>
      <c r="L13" t="s">
        <v>1212</v>
      </c>
      <c r="M13" s="131">
        <v>7.14</v>
      </c>
      <c r="N13" t="s">
        <v>1299</v>
      </c>
      <c r="O13" s="132">
        <v>-9.1400000000000006E-3</v>
      </c>
      <c r="P13" s="132">
        <v>1.9900000000000001E-2</v>
      </c>
      <c r="Q13"/>
      <c r="R13" s="131">
        <v>1120000</v>
      </c>
      <c r="S13" s="131">
        <v>1</v>
      </c>
      <c r="T13" s="131">
        <v>101.1</v>
      </c>
      <c r="U13" s="131">
        <v>1132.32</v>
      </c>
      <c r="V13"/>
      <c r="W13" s="16" t="s">
        <v>15</v>
      </c>
      <c r="X13" s="132">
        <v>4.0000000000000003E-5</v>
      </c>
      <c r="Y13" s="132">
        <v>1.3820000000000001E-2</v>
      </c>
      <c r="Z13" s="132">
        <v>1.064E-2</v>
      </c>
    </row>
    <row r="14" spans="1:26">
      <c r="A14" t="s">
        <v>1213</v>
      </c>
      <c r="B14" t="s">
        <v>1214</v>
      </c>
      <c r="C14" t="s">
        <v>1258</v>
      </c>
      <c r="D14" t="s">
        <v>1300</v>
      </c>
      <c r="E14" t="s">
        <v>1301</v>
      </c>
      <c r="F14" t="s">
        <v>943</v>
      </c>
      <c r="G14" t="s">
        <v>204</v>
      </c>
      <c r="H14" t="s">
        <v>204</v>
      </c>
      <c r="I14" t="s">
        <v>340</v>
      </c>
      <c r="J14" t="s">
        <v>1265</v>
      </c>
      <c r="K14" t="s">
        <v>415</v>
      </c>
      <c r="L14" t="s">
        <v>1212</v>
      </c>
      <c r="M14" s="131">
        <v>4.6100000000000003</v>
      </c>
      <c r="N14" t="s">
        <v>1302</v>
      </c>
      <c r="O14" s="132">
        <v>-1.7350000000000001E-2</v>
      </c>
      <c r="P14" s="132">
        <v>1.83E-2</v>
      </c>
      <c r="Q14"/>
      <c r="R14" s="131">
        <v>969270</v>
      </c>
      <c r="S14" s="131">
        <v>1</v>
      </c>
      <c r="T14" s="131">
        <v>108.85</v>
      </c>
      <c r="U14" s="131">
        <v>1055.05</v>
      </c>
      <c r="V14"/>
      <c r="W14" s="16" t="s">
        <v>15</v>
      </c>
      <c r="X14" s="132">
        <v>4.0000000000000003E-5</v>
      </c>
      <c r="Y14" s="132">
        <v>1.2880000000000001E-2</v>
      </c>
      <c r="Z14" s="132">
        <v>9.92E-3</v>
      </c>
    </row>
    <row r="15" spans="1:26">
      <c r="A15" t="s">
        <v>1213</v>
      </c>
      <c r="B15" t="s">
        <v>1214</v>
      </c>
      <c r="C15" t="s">
        <v>1290</v>
      </c>
      <c r="D15" t="s">
        <v>1303</v>
      </c>
      <c r="E15" t="s">
        <v>1304</v>
      </c>
      <c r="F15" t="s">
        <v>949</v>
      </c>
      <c r="G15" t="s">
        <v>204</v>
      </c>
      <c r="H15" t="s">
        <v>204</v>
      </c>
      <c r="I15" t="s">
        <v>340</v>
      </c>
      <c r="J15" t="s">
        <v>1265</v>
      </c>
      <c r="K15" t="s">
        <v>415</v>
      </c>
      <c r="L15" t="s">
        <v>1212</v>
      </c>
      <c r="M15" s="131">
        <v>0.92</v>
      </c>
      <c r="N15" t="s">
        <v>1305</v>
      </c>
      <c r="O15" s="132">
        <v>4.2529999999999998E-2</v>
      </c>
      <c r="P15" s="132">
        <v>4.2900000000000001E-2</v>
      </c>
      <c r="Q15"/>
      <c r="R15" s="131">
        <v>780000</v>
      </c>
      <c r="S15" s="131">
        <v>1</v>
      </c>
      <c r="T15" s="131">
        <v>96.2</v>
      </c>
      <c r="U15" s="131">
        <v>750.36</v>
      </c>
      <c r="V15"/>
      <c r="W15" s="16" t="s">
        <v>15</v>
      </c>
      <c r="X15" s="132">
        <v>6.0000000000000002E-5</v>
      </c>
      <c r="Y15" s="132">
        <v>9.1599999999999997E-3</v>
      </c>
      <c r="Z15" s="132">
        <v>7.0499999999999998E-3</v>
      </c>
    </row>
    <row r="16" spans="1:26">
      <c r="A16" t="s">
        <v>1213</v>
      </c>
      <c r="B16" t="s">
        <v>1214</v>
      </c>
      <c r="C16" t="s">
        <v>1267</v>
      </c>
      <c r="D16" t="s">
        <v>1306</v>
      </c>
      <c r="E16" t="s">
        <v>1307</v>
      </c>
      <c r="F16" t="s">
        <v>945</v>
      </c>
      <c r="G16" t="s">
        <v>204</v>
      </c>
      <c r="H16" t="s">
        <v>204</v>
      </c>
      <c r="I16" t="s">
        <v>340</v>
      </c>
      <c r="J16" t="s">
        <v>1265</v>
      </c>
      <c r="K16" t="s">
        <v>415</v>
      </c>
      <c r="L16" t="s">
        <v>1212</v>
      </c>
      <c r="M16" s="131">
        <v>4.0599999999999996</v>
      </c>
      <c r="N16" t="s">
        <v>1308</v>
      </c>
      <c r="O16" s="132">
        <v>3.5040000000000002E-2</v>
      </c>
      <c r="P16" s="132">
        <v>4.5600000000000002E-2</v>
      </c>
      <c r="Q16"/>
      <c r="R16" s="131">
        <v>600000</v>
      </c>
      <c r="S16" s="131">
        <v>1</v>
      </c>
      <c r="T16" s="131">
        <v>99.02</v>
      </c>
      <c r="U16" s="131">
        <v>594.12</v>
      </c>
      <c r="V16"/>
      <c r="W16" s="16" t="s">
        <v>15</v>
      </c>
      <c r="X16" s="132">
        <v>2.0000000000000002E-5</v>
      </c>
      <c r="Y16" s="132">
        <v>7.2500000000000004E-3</v>
      </c>
      <c r="Z16" s="132">
        <v>5.5799999999999999E-3</v>
      </c>
    </row>
    <row r="17" spans="1:26">
      <c r="A17" t="s">
        <v>1213</v>
      </c>
      <c r="B17" t="s">
        <v>1214</v>
      </c>
      <c r="C17" t="s">
        <v>1258</v>
      </c>
      <c r="D17" t="s">
        <v>1309</v>
      </c>
      <c r="E17" t="s">
        <v>1310</v>
      </c>
      <c r="F17" t="s">
        <v>943</v>
      </c>
      <c r="G17" t="s">
        <v>204</v>
      </c>
      <c r="H17" t="s">
        <v>204</v>
      </c>
      <c r="I17" t="s">
        <v>340</v>
      </c>
      <c r="J17" t="s">
        <v>1265</v>
      </c>
      <c r="K17" t="s">
        <v>415</v>
      </c>
      <c r="L17" t="s">
        <v>1212</v>
      </c>
      <c r="M17" s="131">
        <v>1.83</v>
      </c>
      <c r="N17" t="s">
        <v>1311</v>
      </c>
      <c r="O17" s="132">
        <v>1.508E-2</v>
      </c>
      <c r="P17" s="132">
        <v>1.5699999999999999E-2</v>
      </c>
      <c r="Q17"/>
      <c r="R17" s="131">
        <v>500000</v>
      </c>
      <c r="S17" s="131">
        <v>1</v>
      </c>
      <c r="T17" s="131">
        <v>112.44</v>
      </c>
      <c r="U17" s="131">
        <v>562.20000000000005</v>
      </c>
      <c r="V17"/>
      <c r="W17" s="16" t="s">
        <v>15</v>
      </c>
      <c r="X17" s="132">
        <v>2.0000000000000002E-5</v>
      </c>
      <c r="Y17" s="132">
        <v>6.8599999999999998E-3</v>
      </c>
      <c r="Z17" s="132">
        <v>5.28E-3</v>
      </c>
    </row>
    <row r="18" spans="1:26">
      <c r="A18" t="s">
        <v>1213</v>
      </c>
      <c r="B18" t="s">
        <v>1214</v>
      </c>
      <c r="C18" t="s">
        <v>1267</v>
      </c>
      <c r="D18" t="s">
        <v>1312</v>
      </c>
      <c r="E18" t="s">
        <v>1313</v>
      </c>
      <c r="F18" t="s">
        <v>945</v>
      </c>
      <c r="G18" t="s">
        <v>204</v>
      </c>
      <c r="H18" t="s">
        <v>204</v>
      </c>
      <c r="I18" t="s">
        <v>340</v>
      </c>
      <c r="J18" t="s">
        <v>1261</v>
      </c>
      <c r="K18" t="s">
        <v>413</v>
      </c>
      <c r="L18" t="s">
        <v>1212</v>
      </c>
      <c r="M18" s="131">
        <v>1.91</v>
      </c>
      <c r="N18" t="s">
        <v>1314</v>
      </c>
      <c r="O18" s="132">
        <v>3.7080000000000002E-2</v>
      </c>
      <c r="P18" s="132">
        <v>4.3200000000000002E-2</v>
      </c>
      <c r="Q18"/>
      <c r="R18" s="131">
        <v>500000</v>
      </c>
      <c r="S18" s="131">
        <v>1</v>
      </c>
      <c r="T18" s="131">
        <v>109.5</v>
      </c>
      <c r="U18" s="131">
        <v>547.5</v>
      </c>
      <c r="V18"/>
      <c r="W18" s="16" t="s">
        <v>15</v>
      </c>
      <c r="X18" s="132">
        <v>3.0000000000000001E-5</v>
      </c>
      <c r="Y18" s="132">
        <v>6.6800000000000002E-3</v>
      </c>
      <c r="Z18" s="132">
        <v>5.1500000000000001E-3</v>
      </c>
    </row>
    <row r="19" spans="1:26">
      <c r="A19" t="s">
        <v>1213</v>
      </c>
      <c r="B19" t="s">
        <v>1214</v>
      </c>
      <c r="C19" t="s">
        <v>1290</v>
      </c>
      <c r="D19" t="s">
        <v>1315</v>
      </c>
      <c r="E19" t="s">
        <v>1316</v>
      </c>
      <c r="F19" t="s">
        <v>949</v>
      </c>
      <c r="G19" t="s">
        <v>204</v>
      </c>
      <c r="H19" t="s">
        <v>204</v>
      </c>
      <c r="I19" t="s">
        <v>340</v>
      </c>
      <c r="J19" t="s">
        <v>1261</v>
      </c>
      <c r="K19" t="s">
        <v>413</v>
      </c>
      <c r="L19" t="s">
        <v>1212</v>
      </c>
      <c r="M19" s="131">
        <v>0.5</v>
      </c>
      <c r="N19" t="s">
        <v>1317</v>
      </c>
      <c r="O19" s="132">
        <v>4.2410000000000003E-2</v>
      </c>
      <c r="P19" s="132">
        <v>4.3200000000000002E-2</v>
      </c>
      <c r="Q19"/>
      <c r="R19" s="131">
        <v>500000</v>
      </c>
      <c r="S19" s="131">
        <v>1</v>
      </c>
      <c r="T19" s="131">
        <v>97.9</v>
      </c>
      <c r="U19" s="131">
        <v>489.5</v>
      </c>
      <c r="V19"/>
      <c r="W19" s="16" t="s">
        <v>15</v>
      </c>
      <c r="X19" s="132">
        <v>4.0000000000000003E-5</v>
      </c>
      <c r="Y19" s="132">
        <v>5.9699999999999996E-3</v>
      </c>
      <c r="Z19" s="132">
        <v>4.5999999999999999E-3</v>
      </c>
    </row>
    <row r="20" spans="1:26">
      <c r="A20" t="s">
        <v>1213</v>
      </c>
      <c r="B20" t="s">
        <v>1214</v>
      </c>
      <c r="C20" t="s">
        <v>1290</v>
      </c>
      <c r="D20" t="s">
        <v>1318</v>
      </c>
      <c r="E20" t="s">
        <v>1319</v>
      </c>
      <c r="F20" t="s">
        <v>949</v>
      </c>
      <c r="G20" t="s">
        <v>204</v>
      </c>
      <c r="H20" t="s">
        <v>204</v>
      </c>
      <c r="I20" t="s">
        <v>340</v>
      </c>
      <c r="J20" t="s">
        <v>1261</v>
      </c>
      <c r="K20" t="s">
        <v>413</v>
      </c>
      <c r="L20" t="s">
        <v>1212</v>
      </c>
      <c r="M20" s="131">
        <v>0.27</v>
      </c>
      <c r="N20" t="s">
        <v>1320</v>
      </c>
      <c r="O20" s="132">
        <v>3.9800000000000002E-2</v>
      </c>
      <c r="P20" s="132">
        <v>4.3200000000000002E-2</v>
      </c>
      <c r="Q20"/>
      <c r="R20" s="131">
        <v>300000</v>
      </c>
      <c r="S20" s="131">
        <v>1</v>
      </c>
      <c r="T20" s="131">
        <v>98.86</v>
      </c>
      <c r="U20" s="131">
        <v>296.58</v>
      </c>
      <c r="V20"/>
      <c r="W20" s="16" t="s">
        <v>15</v>
      </c>
      <c r="X20" s="132">
        <v>2.0000000000000002E-5</v>
      </c>
      <c r="Y20" s="132">
        <v>3.62E-3</v>
      </c>
      <c r="Z20" s="132">
        <v>2.7899999999999999E-3</v>
      </c>
    </row>
    <row r="21" spans="1:26">
      <c r="A21" t="s">
        <v>1213</v>
      </c>
      <c r="B21" t="s">
        <v>1214</v>
      </c>
      <c r="C21" t="s">
        <v>1321</v>
      </c>
      <c r="D21" t="s">
        <v>1322</v>
      </c>
      <c r="E21" t="s">
        <v>1323</v>
      </c>
      <c r="F21" t="s">
        <v>950</v>
      </c>
      <c r="G21" t="s">
        <v>205</v>
      </c>
      <c r="H21" t="s">
        <v>224</v>
      </c>
      <c r="I21" t="s">
        <v>314</v>
      </c>
      <c r="J21" t="s">
        <v>1324</v>
      </c>
      <c r="K21" t="s">
        <v>423</v>
      </c>
      <c r="L21" t="s">
        <v>1216</v>
      </c>
      <c r="M21" s="131">
        <v>7.7359999999999998</v>
      </c>
      <c r="N21" t="s">
        <v>1325</v>
      </c>
      <c r="O21" s="132">
        <v>3.8420000000000003E-2</v>
      </c>
      <c r="P21" s="132">
        <v>3.7659999999999999E-2</v>
      </c>
      <c r="R21" s="131">
        <v>750000</v>
      </c>
      <c r="S21" s="131">
        <v>3.71</v>
      </c>
      <c r="T21" s="131">
        <f>U21*1000/R21/S21*100</f>
        <v>102.51561545372864</v>
      </c>
      <c r="U21" s="131">
        <v>2852.4969999999998</v>
      </c>
      <c r="W21" s="16" t="s">
        <v>15</v>
      </c>
      <c r="X21" s="132">
        <v>1.0000000000000001E-5</v>
      </c>
      <c r="Y21" s="132">
        <v>3.4819999999999997E-2</v>
      </c>
      <c r="Z21" s="132">
        <v>2.681E-2</v>
      </c>
    </row>
    <row r="22" spans="1:26">
      <c r="A22" t="s">
        <v>1213</v>
      </c>
      <c r="B22" t="s">
        <v>1217</v>
      </c>
      <c r="C22" t="s">
        <v>1258</v>
      </c>
      <c r="D22" t="s">
        <v>1259</v>
      </c>
      <c r="E22" t="s">
        <v>1260</v>
      </c>
      <c r="F22" t="s">
        <v>943</v>
      </c>
      <c r="G22" t="s">
        <v>204</v>
      </c>
      <c r="H22" t="s">
        <v>204</v>
      </c>
      <c r="I22" t="s">
        <v>340</v>
      </c>
      <c r="J22" t="s">
        <v>1261</v>
      </c>
      <c r="K22" t="s">
        <v>413</v>
      </c>
      <c r="L22" t="s">
        <v>1212</v>
      </c>
      <c r="M22" s="131">
        <v>1.07</v>
      </c>
      <c r="N22" t="s">
        <v>1262</v>
      </c>
      <c r="O22" s="132">
        <v>1.31E-3</v>
      </c>
      <c r="P22" s="132">
        <v>1.2999999999999999E-2</v>
      </c>
      <c r="R22" s="131">
        <v>102560594</v>
      </c>
      <c r="S22" s="131">
        <v>1</v>
      </c>
      <c r="T22" s="131">
        <v>116.02</v>
      </c>
      <c r="U22" s="131">
        <v>118990.80100000001</v>
      </c>
      <c r="W22" s="16" t="s">
        <v>15</v>
      </c>
      <c r="X22" s="132">
        <v>4.7299999999999998E-3</v>
      </c>
      <c r="Y22" s="132">
        <v>0.39822999999999997</v>
      </c>
      <c r="Z22" s="132">
        <v>0.11007</v>
      </c>
    </row>
    <row r="23" spans="1:26">
      <c r="A23" t="s">
        <v>1213</v>
      </c>
      <c r="B23" t="s">
        <v>1217</v>
      </c>
      <c r="C23" t="s">
        <v>1290</v>
      </c>
      <c r="D23" t="s">
        <v>1303</v>
      </c>
      <c r="E23" t="s">
        <v>1304</v>
      </c>
      <c r="F23" t="s">
        <v>949</v>
      </c>
      <c r="G23" t="s">
        <v>204</v>
      </c>
      <c r="H23" t="s">
        <v>204</v>
      </c>
      <c r="I23" t="s">
        <v>340</v>
      </c>
      <c r="J23" t="s">
        <v>1265</v>
      </c>
      <c r="K23" t="s">
        <v>415</v>
      </c>
      <c r="L23" t="s">
        <v>1212</v>
      </c>
      <c r="M23" s="131">
        <v>0.92</v>
      </c>
      <c r="N23" t="s">
        <v>1305</v>
      </c>
      <c r="O23" s="132">
        <v>4.2410000000000003E-2</v>
      </c>
      <c r="P23" s="132">
        <v>4.2900000000000001E-2</v>
      </c>
      <c r="R23" s="131">
        <v>49386000</v>
      </c>
      <c r="S23" s="131">
        <v>1</v>
      </c>
      <c r="T23" s="131">
        <v>96.2</v>
      </c>
      <c r="U23" s="131">
        <v>47509.332000000002</v>
      </c>
      <c r="W23" s="16" t="s">
        <v>15</v>
      </c>
      <c r="X23" s="132">
        <v>4.1200000000000004E-3</v>
      </c>
      <c r="Y23" s="132">
        <v>0.159</v>
      </c>
      <c r="Z23" s="132">
        <v>4.3950000000000003E-2</v>
      </c>
    </row>
    <row r="24" spans="1:26">
      <c r="A24" t="s">
        <v>1213</v>
      </c>
      <c r="B24" t="s">
        <v>1217</v>
      </c>
      <c r="C24" t="s">
        <v>1277</v>
      </c>
      <c r="D24" t="s">
        <v>1284</v>
      </c>
      <c r="E24" t="s">
        <v>1285</v>
      </c>
      <c r="F24" t="s">
        <v>946</v>
      </c>
      <c r="G24" t="s">
        <v>204</v>
      </c>
      <c r="H24" t="s">
        <v>204</v>
      </c>
      <c r="I24" t="s">
        <v>340</v>
      </c>
      <c r="J24" t="s">
        <v>1261</v>
      </c>
      <c r="K24" t="s">
        <v>413</v>
      </c>
      <c r="L24" t="s">
        <v>1212</v>
      </c>
      <c r="M24" s="131">
        <v>1.61</v>
      </c>
      <c r="N24" t="s">
        <v>1286</v>
      </c>
      <c r="O24" s="132">
        <v>5.0000000000000001E-4</v>
      </c>
      <c r="P24" s="132">
        <v>4.7E-2</v>
      </c>
      <c r="R24" s="131">
        <v>44252501</v>
      </c>
      <c r="S24" s="131">
        <v>1</v>
      </c>
      <c r="T24" s="131">
        <v>99.82</v>
      </c>
      <c r="U24" s="131">
        <v>44172.845999999998</v>
      </c>
      <c r="W24" s="16" t="s">
        <v>15</v>
      </c>
      <c r="X24" s="132">
        <v>2.0899999999999998E-3</v>
      </c>
      <c r="Y24" s="132">
        <v>0.14782999999999999</v>
      </c>
      <c r="Z24" s="132">
        <v>4.086E-2</v>
      </c>
    </row>
    <row r="25" spans="1:26">
      <c r="A25" t="s">
        <v>1213</v>
      </c>
      <c r="B25" t="s">
        <v>1217</v>
      </c>
      <c r="C25" t="s">
        <v>1267</v>
      </c>
      <c r="D25" t="s">
        <v>1271</v>
      </c>
      <c r="E25" t="s">
        <v>1272</v>
      </c>
      <c r="F25" t="s">
        <v>945</v>
      </c>
      <c r="G25" t="s">
        <v>204</v>
      </c>
      <c r="H25" t="s">
        <v>204</v>
      </c>
      <c r="I25" t="s">
        <v>340</v>
      </c>
      <c r="J25" t="s">
        <v>1261</v>
      </c>
      <c r="K25" t="s">
        <v>413</v>
      </c>
      <c r="L25" t="s">
        <v>1212</v>
      </c>
      <c r="M25" s="131">
        <v>11.32</v>
      </c>
      <c r="N25" t="s">
        <v>1273</v>
      </c>
      <c r="O25" s="132">
        <v>3.7690000000000001E-2</v>
      </c>
      <c r="P25" s="132">
        <v>5.1700000000000003E-2</v>
      </c>
      <c r="R25" s="131">
        <v>22673998</v>
      </c>
      <c r="S25" s="131">
        <v>1</v>
      </c>
      <c r="T25" s="131">
        <v>107.34</v>
      </c>
      <c r="U25" s="131">
        <v>24338.269</v>
      </c>
      <c r="W25" s="16" t="s">
        <v>15</v>
      </c>
      <c r="X25" s="132">
        <v>1.0300000000000001E-3</v>
      </c>
      <c r="Y25" s="132">
        <v>8.1449999999999995E-2</v>
      </c>
      <c r="Z25" s="132">
        <v>2.2509999999999999E-2</v>
      </c>
    </row>
    <row r="26" spans="1:26">
      <c r="A26" t="s">
        <v>1213</v>
      </c>
      <c r="B26" t="s">
        <v>1217</v>
      </c>
      <c r="C26" t="s">
        <v>1290</v>
      </c>
      <c r="D26" t="s">
        <v>1326</v>
      </c>
      <c r="E26" t="s">
        <v>1327</v>
      </c>
      <c r="F26" t="s">
        <v>949</v>
      </c>
      <c r="G26" t="s">
        <v>204</v>
      </c>
      <c r="H26" t="s">
        <v>204</v>
      </c>
      <c r="I26" t="s">
        <v>340</v>
      </c>
      <c r="J26" t="s">
        <v>1261</v>
      </c>
      <c r="K26" t="s">
        <v>413</v>
      </c>
      <c r="L26" t="s">
        <v>1212</v>
      </c>
      <c r="M26" s="131">
        <v>0.6</v>
      </c>
      <c r="N26" t="s">
        <v>1328</v>
      </c>
      <c r="O26" s="132">
        <v>4.2180000000000002E-2</v>
      </c>
      <c r="P26" s="132">
        <v>4.2900000000000001E-2</v>
      </c>
      <c r="R26" s="131">
        <v>13163000</v>
      </c>
      <c r="S26" s="131">
        <v>1</v>
      </c>
      <c r="T26" s="131">
        <v>97.52</v>
      </c>
      <c r="U26" s="131">
        <v>12836.558000000001</v>
      </c>
      <c r="W26" s="16" t="s">
        <v>15</v>
      </c>
      <c r="X26" s="132">
        <v>9.3999999999999997E-4</v>
      </c>
      <c r="Y26" s="132">
        <v>4.2959999999999998E-2</v>
      </c>
      <c r="Z26" s="132">
        <v>1.187E-2</v>
      </c>
    </row>
    <row r="27" spans="1:26">
      <c r="A27" t="s">
        <v>1213</v>
      </c>
      <c r="B27" t="s">
        <v>1217</v>
      </c>
      <c r="C27" t="s">
        <v>1267</v>
      </c>
      <c r="D27" t="s">
        <v>1287</v>
      </c>
      <c r="E27" t="s">
        <v>1288</v>
      </c>
      <c r="F27" t="s">
        <v>945</v>
      </c>
      <c r="G27" t="s">
        <v>204</v>
      </c>
      <c r="H27" t="s">
        <v>204</v>
      </c>
      <c r="I27" t="s">
        <v>340</v>
      </c>
      <c r="J27" t="s">
        <v>1261</v>
      </c>
      <c r="K27" t="s">
        <v>413</v>
      </c>
      <c r="L27" t="s">
        <v>1212</v>
      </c>
      <c r="M27" s="131">
        <v>0.92</v>
      </c>
      <c r="N27" t="s">
        <v>1289</v>
      </c>
      <c r="O27" s="132">
        <v>3.1730000000000001E-2</v>
      </c>
      <c r="P27" s="132">
        <v>4.1700000000000001E-2</v>
      </c>
      <c r="R27" s="131">
        <v>12745000</v>
      </c>
      <c r="S27" s="131">
        <v>1</v>
      </c>
      <c r="T27" s="131">
        <v>98.02</v>
      </c>
      <c r="U27" s="131">
        <v>12492.648999999999</v>
      </c>
      <c r="W27" s="16" t="s">
        <v>15</v>
      </c>
      <c r="X27" s="132">
        <v>5.4000000000000001E-4</v>
      </c>
      <c r="Y27" s="132">
        <v>4.181E-2</v>
      </c>
      <c r="Z27" s="132">
        <v>1.1560000000000001E-2</v>
      </c>
    </row>
    <row r="28" spans="1:26">
      <c r="A28" t="s">
        <v>1213</v>
      </c>
      <c r="B28" t="s">
        <v>1217</v>
      </c>
      <c r="C28" t="s">
        <v>1290</v>
      </c>
      <c r="D28" t="s">
        <v>1291</v>
      </c>
      <c r="E28" t="s">
        <v>1292</v>
      </c>
      <c r="F28" t="s">
        <v>949</v>
      </c>
      <c r="G28" t="s">
        <v>204</v>
      </c>
      <c r="H28" t="s">
        <v>204</v>
      </c>
      <c r="I28" t="s">
        <v>340</v>
      </c>
      <c r="J28" t="s">
        <v>1261</v>
      </c>
      <c r="K28" t="s">
        <v>413</v>
      </c>
      <c r="L28" t="s">
        <v>1212</v>
      </c>
      <c r="M28" s="131">
        <v>0.42</v>
      </c>
      <c r="N28" t="s">
        <v>1293</v>
      </c>
      <c r="O28" s="132">
        <v>4.0710000000000003E-2</v>
      </c>
      <c r="P28" s="132">
        <v>4.3200000000000002E-2</v>
      </c>
      <c r="R28" s="131">
        <v>12250000</v>
      </c>
      <c r="S28" s="131">
        <v>1</v>
      </c>
      <c r="T28" s="131">
        <v>98.22</v>
      </c>
      <c r="U28" s="131">
        <v>12031.95</v>
      </c>
      <c r="W28" s="16" t="s">
        <v>15</v>
      </c>
      <c r="X28" s="132">
        <v>1.0200000000000001E-3</v>
      </c>
      <c r="Y28" s="132">
        <v>4.027E-2</v>
      </c>
      <c r="Z28" s="132">
        <v>1.1129999999999999E-2</v>
      </c>
    </row>
    <row r="29" spans="1:26">
      <c r="A29" t="s">
        <v>1213</v>
      </c>
      <c r="B29" t="s">
        <v>1217</v>
      </c>
      <c r="C29" t="s">
        <v>1258</v>
      </c>
      <c r="D29" t="s">
        <v>1329</v>
      </c>
      <c r="E29" t="s">
        <v>1330</v>
      </c>
      <c r="F29" t="s">
        <v>943</v>
      </c>
      <c r="G29" t="s">
        <v>204</v>
      </c>
      <c r="H29" t="s">
        <v>204</v>
      </c>
      <c r="I29" t="s">
        <v>340</v>
      </c>
      <c r="J29" t="s">
        <v>1265</v>
      </c>
      <c r="K29" t="s">
        <v>415</v>
      </c>
      <c r="L29" t="s">
        <v>1212</v>
      </c>
      <c r="M29" s="131">
        <v>2.64</v>
      </c>
      <c r="N29" t="s">
        <v>1331</v>
      </c>
      <c r="O29" s="132">
        <v>-3.6069999999999998E-2</v>
      </c>
      <c r="P29" s="132">
        <v>1.6299999999999999E-2</v>
      </c>
      <c r="R29" s="131">
        <v>10000000</v>
      </c>
      <c r="S29" s="131">
        <v>1</v>
      </c>
      <c r="T29" s="131">
        <v>114.25</v>
      </c>
      <c r="U29" s="131">
        <v>11425</v>
      </c>
      <c r="W29" s="16" t="s">
        <v>15</v>
      </c>
      <c r="X29" s="132">
        <v>4.4999999999999999E-4</v>
      </c>
      <c r="Y29" s="132">
        <v>3.8240000000000003E-2</v>
      </c>
      <c r="Z29" s="132">
        <v>1.057E-2</v>
      </c>
    </row>
    <row r="30" spans="1:26">
      <c r="A30" t="s">
        <v>1213</v>
      </c>
      <c r="B30" t="s">
        <v>1217</v>
      </c>
      <c r="C30" t="s">
        <v>1267</v>
      </c>
      <c r="D30" t="s">
        <v>1306</v>
      </c>
      <c r="E30" t="s">
        <v>1307</v>
      </c>
      <c r="F30" t="s">
        <v>945</v>
      </c>
      <c r="G30" t="s">
        <v>204</v>
      </c>
      <c r="H30" t="s">
        <v>204</v>
      </c>
      <c r="I30" t="s">
        <v>340</v>
      </c>
      <c r="J30" t="s">
        <v>1265</v>
      </c>
      <c r="K30" t="s">
        <v>415</v>
      </c>
      <c r="L30" t="s">
        <v>1212</v>
      </c>
      <c r="M30" s="131">
        <v>4.0599999999999996</v>
      </c>
      <c r="N30" t="s">
        <v>1308</v>
      </c>
      <c r="O30" s="132">
        <v>3.8699999999999998E-2</v>
      </c>
      <c r="P30" s="132">
        <v>4.5600000000000002E-2</v>
      </c>
      <c r="R30" s="131">
        <v>4500000</v>
      </c>
      <c r="S30" s="131">
        <v>1</v>
      </c>
      <c r="T30" s="131">
        <v>99.02</v>
      </c>
      <c r="U30" s="131">
        <v>4455.8999999999996</v>
      </c>
      <c r="W30" s="16" t="s">
        <v>15</v>
      </c>
      <c r="X30" s="132">
        <v>1.3999999999999999E-4</v>
      </c>
      <c r="Y30" s="132">
        <v>1.491E-2</v>
      </c>
      <c r="Z30" s="132">
        <v>4.1200000000000004E-3</v>
      </c>
    </row>
    <row r="31" spans="1:26">
      <c r="A31" t="s">
        <v>1213</v>
      </c>
      <c r="B31" t="s">
        <v>1217</v>
      </c>
      <c r="C31" t="s">
        <v>1258</v>
      </c>
      <c r="D31" t="s">
        <v>1332</v>
      </c>
      <c r="E31" t="s">
        <v>1333</v>
      </c>
      <c r="F31" t="s">
        <v>943</v>
      </c>
      <c r="G31" t="s">
        <v>204</v>
      </c>
      <c r="H31" t="s">
        <v>204</v>
      </c>
      <c r="I31" t="s">
        <v>340</v>
      </c>
      <c r="J31" t="s">
        <v>1261</v>
      </c>
      <c r="K31" t="s">
        <v>413</v>
      </c>
      <c r="L31" t="s">
        <v>1212</v>
      </c>
      <c r="M31" s="131">
        <v>8.43</v>
      </c>
      <c r="N31" t="s">
        <v>1334</v>
      </c>
      <c r="O31" s="132">
        <v>1.7999999999999999E-2</v>
      </c>
      <c r="P31" s="132">
        <v>2.1299999999999999E-2</v>
      </c>
      <c r="R31" s="131">
        <v>2800000</v>
      </c>
      <c r="S31" s="131">
        <v>1</v>
      </c>
      <c r="T31" s="131">
        <v>100.1</v>
      </c>
      <c r="U31" s="131">
        <v>2802.8</v>
      </c>
      <c r="W31" s="16" t="s">
        <v>15</v>
      </c>
      <c r="X31" s="132">
        <v>2.7E-4</v>
      </c>
      <c r="Y31" s="132">
        <v>9.3799999999999994E-3</v>
      </c>
      <c r="Z31" s="132">
        <v>2.5899999999999999E-3</v>
      </c>
    </row>
    <row r="32" spans="1:26">
      <c r="A32" t="s">
        <v>1213</v>
      </c>
      <c r="B32" t="s">
        <v>1217</v>
      </c>
      <c r="C32" t="s">
        <v>1277</v>
      </c>
      <c r="D32" t="s">
        <v>1278</v>
      </c>
      <c r="E32" t="s">
        <v>1279</v>
      </c>
      <c r="F32" t="s">
        <v>946</v>
      </c>
      <c r="G32" t="s">
        <v>204</v>
      </c>
      <c r="H32" t="s">
        <v>204</v>
      </c>
      <c r="I32" t="s">
        <v>340</v>
      </c>
      <c r="J32" t="s">
        <v>1261</v>
      </c>
      <c r="K32" t="s">
        <v>413</v>
      </c>
      <c r="L32" t="s">
        <v>1212</v>
      </c>
      <c r="M32" s="131">
        <v>5.42</v>
      </c>
      <c r="N32" t="s">
        <v>1280</v>
      </c>
      <c r="O32" s="132">
        <v>5.1500000000000001E-3</v>
      </c>
      <c r="P32" s="132">
        <v>4.8399999999999999E-2</v>
      </c>
      <c r="R32" s="131">
        <v>2861000</v>
      </c>
      <c r="S32" s="131">
        <v>1</v>
      </c>
      <c r="T32" s="131">
        <v>97.9</v>
      </c>
      <c r="U32" s="131">
        <v>2800.9189999999999</v>
      </c>
      <c r="W32" s="16" t="s">
        <v>15</v>
      </c>
      <c r="X32" s="132">
        <v>9.0000000000000006E-5</v>
      </c>
      <c r="Y32" s="132">
        <v>9.3699999999999999E-3</v>
      </c>
      <c r="Z32" s="132">
        <v>2.5899999999999999E-3</v>
      </c>
    </row>
    <row r="33" spans="1:26">
      <c r="A33" t="s">
        <v>1213</v>
      </c>
      <c r="B33" t="s">
        <v>1217</v>
      </c>
      <c r="C33" t="s">
        <v>1258</v>
      </c>
      <c r="D33" t="s">
        <v>1263</v>
      </c>
      <c r="E33" t="s">
        <v>1264</v>
      </c>
      <c r="F33" t="s">
        <v>943</v>
      </c>
      <c r="G33" t="s">
        <v>204</v>
      </c>
      <c r="H33" t="s">
        <v>204</v>
      </c>
      <c r="I33" t="s">
        <v>340</v>
      </c>
      <c r="J33" t="s">
        <v>1265</v>
      </c>
      <c r="K33" t="s">
        <v>415</v>
      </c>
      <c r="L33" t="s">
        <v>1212</v>
      </c>
      <c r="M33" s="131">
        <v>3.97</v>
      </c>
      <c r="N33" t="s">
        <v>1266</v>
      </c>
      <c r="O33" s="132">
        <v>9.1800000000000007E-3</v>
      </c>
      <c r="P33" s="132">
        <v>1.7999999999999999E-2</v>
      </c>
      <c r="R33" s="131">
        <v>2235000</v>
      </c>
      <c r="S33" s="131">
        <v>1</v>
      </c>
      <c r="T33" s="131">
        <v>102.6</v>
      </c>
      <c r="U33" s="131">
        <v>2293.11</v>
      </c>
      <c r="W33" s="16" t="s">
        <v>15</v>
      </c>
      <c r="X33" s="132">
        <v>1.1E-4</v>
      </c>
      <c r="Y33" s="132">
        <v>7.6699999999999997E-3</v>
      </c>
      <c r="Z33" s="132">
        <v>2.1199999999999999E-3</v>
      </c>
    </row>
    <row r="34" spans="1:26">
      <c r="A34" t="s">
        <v>1213</v>
      </c>
      <c r="B34" t="s">
        <v>1217</v>
      </c>
      <c r="C34" t="s">
        <v>1267</v>
      </c>
      <c r="D34" t="s">
        <v>1281</v>
      </c>
      <c r="E34" t="s">
        <v>1282</v>
      </c>
      <c r="F34" t="s">
        <v>945</v>
      </c>
      <c r="G34" t="s">
        <v>204</v>
      </c>
      <c r="H34" t="s">
        <v>204</v>
      </c>
      <c r="I34" t="s">
        <v>340</v>
      </c>
      <c r="J34" t="s">
        <v>1261</v>
      </c>
      <c r="K34" t="s">
        <v>413</v>
      </c>
      <c r="L34" t="s">
        <v>1212</v>
      </c>
      <c r="M34" s="131">
        <v>5.33</v>
      </c>
      <c r="N34" t="s">
        <v>1283</v>
      </c>
      <c r="O34" s="132">
        <v>3.3480000000000003E-2</v>
      </c>
      <c r="P34" s="132">
        <v>4.6300000000000001E-2</v>
      </c>
      <c r="R34" s="131">
        <v>2000000</v>
      </c>
      <c r="S34" s="131">
        <v>1</v>
      </c>
      <c r="T34" s="131">
        <v>83.24</v>
      </c>
      <c r="U34" s="131">
        <v>1664.8</v>
      </c>
      <c r="W34" s="16" t="s">
        <v>15</v>
      </c>
      <c r="X34" s="132">
        <v>5.0000000000000002E-5</v>
      </c>
      <c r="Y34" s="132">
        <v>5.5700000000000003E-3</v>
      </c>
      <c r="Z34" s="132">
        <v>1.5399999999999999E-3</v>
      </c>
    </row>
    <row r="35" spans="1:26">
      <c r="A35" t="s">
        <v>1213</v>
      </c>
      <c r="B35" t="s">
        <v>1217</v>
      </c>
      <c r="C35" t="s">
        <v>1290</v>
      </c>
      <c r="D35" t="s">
        <v>1335</v>
      </c>
      <c r="E35" t="s">
        <v>1336</v>
      </c>
      <c r="F35" t="s">
        <v>949</v>
      </c>
      <c r="G35" t="s">
        <v>204</v>
      </c>
      <c r="H35" t="s">
        <v>204</v>
      </c>
      <c r="I35" t="s">
        <v>340</v>
      </c>
      <c r="J35" t="s">
        <v>1261</v>
      </c>
      <c r="K35" t="s">
        <v>413</v>
      </c>
      <c r="L35" t="s">
        <v>1212</v>
      </c>
      <c r="M35" s="131">
        <v>0.35</v>
      </c>
      <c r="N35" t="s">
        <v>1337</v>
      </c>
      <c r="O35" s="132">
        <v>3.9960000000000002E-2</v>
      </c>
      <c r="P35" s="132">
        <v>4.2599999999999999E-2</v>
      </c>
      <c r="R35" s="131">
        <v>1000000</v>
      </c>
      <c r="S35" s="131">
        <v>1</v>
      </c>
      <c r="T35" s="131">
        <v>98.56</v>
      </c>
      <c r="U35" s="131">
        <v>985.6</v>
      </c>
      <c r="W35" s="16" t="s">
        <v>15</v>
      </c>
      <c r="X35" s="132">
        <v>8.0000000000000007E-5</v>
      </c>
      <c r="Y35" s="132">
        <v>3.3E-3</v>
      </c>
      <c r="Z35" s="132">
        <v>9.1E-4</v>
      </c>
    </row>
    <row r="36" spans="1:26">
      <c r="A36" t="s">
        <v>1213</v>
      </c>
      <c r="B36" t="s">
        <v>1220</v>
      </c>
      <c r="C36" t="s">
        <v>1290</v>
      </c>
      <c r="D36" t="s">
        <v>1291</v>
      </c>
      <c r="E36" t="s">
        <v>1292</v>
      </c>
      <c r="F36" t="s">
        <v>949</v>
      </c>
      <c r="G36" t="s">
        <v>204</v>
      </c>
      <c r="H36" t="s">
        <v>204</v>
      </c>
      <c r="I36" t="s">
        <v>340</v>
      </c>
      <c r="J36" t="s">
        <v>1261</v>
      </c>
      <c r="K36" t="s">
        <v>413</v>
      </c>
      <c r="L36" t="s">
        <v>1212</v>
      </c>
      <c r="M36" s="131">
        <v>0.42</v>
      </c>
      <c r="N36" t="s">
        <v>1293</v>
      </c>
      <c r="O36" s="132">
        <v>4.0710000000000003E-2</v>
      </c>
      <c r="P36" s="132">
        <v>4.3200000000000002E-2</v>
      </c>
      <c r="R36" s="131">
        <v>11000000</v>
      </c>
      <c r="S36" s="131">
        <v>1</v>
      </c>
      <c r="T36" s="131">
        <v>98.22</v>
      </c>
      <c r="U36" s="131">
        <v>10804.2</v>
      </c>
      <c r="W36" s="16" t="s">
        <v>15</v>
      </c>
      <c r="X36" s="132">
        <v>9.2000000000000003E-4</v>
      </c>
      <c r="Y36" s="132">
        <v>0.72724999999999995</v>
      </c>
      <c r="Z36" s="132">
        <v>4.7550000000000002E-2</v>
      </c>
    </row>
    <row r="37" spans="1:26">
      <c r="A37" t="s">
        <v>1213</v>
      </c>
      <c r="B37" t="s">
        <v>1220</v>
      </c>
      <c r="C37" t="s">
        <v>1290</v>
      </c>
      <c r="D37" t="s">
        <v>1326</v>
      </c>
      <c r="E37" t="s">
        <v>1327</v>
      </c>
      <c r="F37" t="s">
        <v>949</v>
      </c>
      <c r="G37" t="s">
        <v>204</v>
      </c>
      <c r="H37" t="s">
        <v>204</v>
      </c>
      <c r="I37" t="s">
        <v>340</v>
      </c>
      <c r="J37" t="s">
        <v>1261</v>
      </c>
      <c r="K37" t="s">
        <v>413</v>
      </c>
      <c r="L37" t="s">
        <v>1212</v>
      </c>
      <c r="M37" s="131">
        <v>0.6</v>
      </c>
      <c r="N37" t="s">
        <v>1328</v>
      </c>
      <c r="O37" s="132">
        <v>4.2180000000000002E-2</v>
      </c>
      <c r="P37" s="132">
        <v>4.2900000000000001E-2</v>
      </c>
      <c r="R37" s="131">
        <v>4155000</v>
      </c>
      <c r="S37" s="131">
        <v>1</v>
      </c>
      <c r="T37" s="131">
        <v>97.52</v>
      </c>
      <c r="U37" s="131">
        <v>4051.9560000000001</v>
      </c>
      <c r="W37" s="16" t="s">
        <v>15</v>
      </c>
      <c r="X37" s="132">
        <v>2.9999999999999997E-4</v>
      </c>
      <c r="Y37" s="132">
        <v>0.27274999999999999</v>
      </c>
      <c r="Z37" s="132">
        <v>1.7829999999999999E-2</v>
      </c>
    </row>
    <row r="38" spans="1:26">
      <c r="A38" t="s">
        <v>1213</v>
      </c>
      <c r="B38" t="s">
        <v>1221</v>
      </c>
      <c r="C38" t="s">
        <v>1258</v>
      </c>
      <c r="D38" t="s">
        <v>1329</v>
      </c>
      <c r="E38" t="s">
        <v>1330</v>
      </c>
      <c r="F38" t="s">
        <v>943</v>
      </c>
      <c r="G38" t="s">
        <v>204</v>
      </c>
      <c r="H38" t="s">
        <v>204</v>
      </c>
      <c r="I38" t="s">
        <v>340</v>
      </c>
      <c r="J38" t="s">
        <v>1265</v>
      </c>
      <c r="K38" t="s">
        <v>415</v>
      </c>
      <c r="L38" t="s">
        <v>1212</v>
      </c>
      <c r="M38" s="131">
        <v>2.64</v>
      </c>
      <c r="N38" t="s">
        <v>1331</v>
      </c>
      <c r="O38" s="132">
        <v>-2.349E-2</v>
      </c>
      <c r="P38" s="132">
        <v>1.6299999999999999E-2</v>
      </c>
      <c r="R38" s="131">
        <v>13546687</v>
      </c>
      <c r="S38" s="131">
        <v>1</v>
      </c>
      <c r="T38" s="131">
        <v>114.25</v>
      </c>
      <c r="U38" s="131">
        <v>15477.09</v>
      </c>
      <c r="W38" s="16" t="s">
        <v>15</v>
      </c>
      <c r="X38" s="132">
        <v>6.0999999999999997E-4</v>
      </c>
      <c r="Y38" s="132">
        <v>6.275E-2</v>
      </c>
      <c r="Z38" s="132">
        <v>1.942E-2</v>
      </c>
    </row>
    <row r="39" spans="1:26">
      <c r="A39" t="s">
        <v>1213</v>
      </c>
      <c r="B39" t="s">
        <v>1221</v>
      </c>
      <c r="C39" t="s">
        <v>1258</v>
      </c>
      <c r="D39" t="s">
        <v>1263</v>
      </c>
      <c r="E39" t="s">
        <v>1264</v>
      </c>
      <c r="F39" t="s">
        <v>943</v>
      </c>
      <c r="G39" t="s">
        <v>204</v>
      </c>
      <c r="H39" t="s">
        <v>204</v>
      </c>
      <c r="I39" t="s">
        <v>340</v>
      </c>
      <c r="J39" t="s">
        <v>1265</v>
      </c>
      <c r="K39" t="s">
        <v>415</v>
      </c>
      <c r="L39" t="s">
        <v>1212</v>
      </c>
      <c r="M39" s="131">
        <v>3.97</v>
      </c>
      <c r="N39" t="s">
        <v>1266</v>
      </c>
      <c r="O39" s="132">
        <v>1.259E-2</v>
      </c>
      <c r="P39" s="132">
        <v>1.7999999999999999E-2</v>
      </c>
      <c r="R39" s="131">
        <v>13785210</v>
      </c>
      <c r="S39" s="131">
        <v>1</v>
      </c>
      <c r="T39" s="131">
        <v>102.6</v>
      </c>
      <c r="U39" s="131">
        <v>14143.625</v>
      </c>
      <c r="W39" s="16" t="s">
        <v>15</v>
      </c>
      <c r="X39" s="132">
        <v>6.8000000000000005E-4</v>
      </c>
      <c r="Y39" s="132">
        <v>5.7340000000000002E-2</v>
      </c>
      <c r="Z39" s="132">
        <v>1.7749999999999998E-2</v>
      </c>
    </row>
    <row r="40" spans="1:26">
      <c r="A40" t="s">
        <v>1213</v>
      </c>
      <c r="B40" t="s">
        <v>1221</v>
      </c>
      <c r="C40" t="s">
        <v>1258</v>
      </c>
      <c r="D40" t="s">
        <v>1300</v>
      </c>
      <c r="E40" t="s">
        <v>1301</v>
      </c>
      <c r="F40" t="s">
        <v>943</v>
      </c>
      <c r="G40" t="s">
        <v>204</v>
      </c>
      <c r="H40" t="s">
        <v>204</v>
      </c>
      <c r="I40" t="s">
        <v>340</v>
      </c>
      <c r="J40" t="s">
        <v>1265</v>
      </c>
      <c r="K40" t="s">
        <v>415</v>
      </c>
      <c r="L40" t="s">
        <v>1212</v>
      </c>
      <c r="M40" s="131">
        <v>4.6100000000000003</v>
      </c>
      <c r="N40" t="s">
        <v>1302</v>
      </c>
      <c r="O40" s="132">
        <v>1.2189999999999999E-2</v>
      </c>
      <c r="P40" s="132">
        <v>1.83E-2</v>
      </c>
      <c r="R40" s="131">
        <v>12640343</v>
      </c>
      <c r="S40" s="131">
        <v>1</v>
      </c>
      <c r="T40" s="131">
        <v>108.85</v>
      </c>
      <c r="U40" s="131">
        <v>13759.013000000001</v>
      </c>
      <c r="W40" s="16" t="s">
        <v>15</v>
      </c>
      <c r="X40" s="132">
        <v>4.6999999999999999E-4</v>
      </c>
      <c r="Y40" s="132">
        <v>5.5780000000000003E-2</v>
      </c>
      <c r="Z40" s="132">
        <v>1.7270000000000001E-2</v>
      </c>
    </row>
    <row r="41" spans="1:26">
      <c r="A41" t="s">
        <v>1213</v>
      </c>
      <c r="B41" t="s">
        <v>1221</v>
      </c>
      <c r="C41" t="s">
        <v>1290</v>
      </c>
      <c r="D41" t="s">
        <v>1338</v>
      </c>
      <c r="E41" t="s">
        <v>1339</v>
      </c>
      <c r="F41" t="s">
        <v>949</v>
      </c>
      <c r="G41" t="s">
        <v>204</v>
      </c>
      <c r="H41" t="s">
        <v>204</v>
      </c>
      <c r="I41" t="s">
        <v>340</v>
      </c>
      <c r="J41" t="s">
        <v>1261</v>
      </c>
      <c r="K41" t="s">
        <v>413</v>
      </c>
      <c r="L41" t="s">
        <v>1212</v>
      </c>
      <c r="M41" s="131">
        <v>0.18</v>
      </c>
      <c r="N41" t="s">
        <v>1340</v>
      </c>
      <c r="O41" s="132">
        <v>4.0559999999999999E-2</v>
      </c>
      <c r="P41" s="132">
        <v>4.2700000000000002E-2</v>
      </c>
      <c r="R41" s="131">
        <v>12700000</v>
      </c>
      <c r="S41" s="131">
        <v>1</v>
      </c>
      <c r="T41" s="131">
        <v>99.27</v>
      </c>
      <c r="U41" s="131">
        <v>12607.29</v>
      </c>
      <c r="W41" s="16" t="s">
        <v>15</v>
      </c>
      <c r="X41" s="132">
        <v>3.2000000000000003E-4</v>
      </c>
      <c r="Y41" s="132">
        <v>5.1110000000000003E-2</v>
      </c>
      <c r="Z41" s="132">
        <v>1.5820000000000001E-2</v>
      </c>
    </row>
    <row r="42" spans="1:26">
      <c r="A42" t="s">
        <v>1213</v>
      </c>
      <c r="B42" t="s">
        <v>1221</v>
      </c>
      <c r="C42" t="s">
        <v>1290</v>
      </c>
      <c r="D42" t="s">
        <v>1335</v>
      </c>
      <c r="E42" t="s">
        <v>1336</v>
      </c>
      <c r="F42" t="s">
        <v>949</v>
      </c>
      <c r="G42" t="s">
        <v>204</v>
      </c>
      <c r="H42" t="s">
        <v>204</v>
      </c>
      <c r="I42" t="s">
        <v>340</v>
      </c>
      <c r="J42" t="s">
        <v>1261</v>
      </c>
      <c r="K42" t="s">
        <v>413</v>
      </c>
      <c r="L42" t="s">
        <v>1212</v>
      </c>
      <c r="M42" s="131">
        <v>0.35</v>
      </c>
      <c r="N42" t="s">
        <v>1337</v>
      </c>
      <c r="O42" s="132">
        <v>3.9660000000000001E-2</v>
      </c>
      <c r="P42" s="132">
        <v>4.2599999999999999E-2</v>
      </c>
      <c r="R42" s="131">
        <v>12660000</v>
      </c>
      <c r="S42" s="131">
        <v>1</v>
      </c>
      <c r="T42" s="131">
        <v>98.56</v>
      </c>
      <c r="U42" s="131">
        <v>12477.696</v>
      </c>
      <c r="W42" s="16" t="s">
        <v>15</v>
      </c>
      <c r="X42" s="132">
        <v>1.06E-3</v>
      </c>
      <c r="Y42" s="132">
        <v>5.0590000000000003E-2</v>
      </c>
      <c r="Z42" s="132">
        <v>1.566E-2</v>
      </c>
    </row>
    <row r="43" spans="1:26">
      <c r="A43" t="s">
        <v>1213</v>
      </c>
      <c r="B43" t="s">
        <v>1221</v>
      </c>
      <c r="C43" t="s">
        <v>1290</v>
      </c>
      <c r="D43" t="s">
        <v>1303</v>
      </c>
      <c r="E43" t="s">
        <v>1304</v>
      </c>
      <c r="F43" t="s">
        <v>949</v>
      </c>
      <c r="G43" t="s">
        <v>204</v>
      </c>
      <c r="H43" t="s">
        <v>204</v>
      </c>
      <c r="I43" t="s">
        <v>340</v>
      </c>
      <c r="J43" t="s">
        <v>1265</v>
      </c>
      <c r="K43" t="s">
        <v>415</v>
      </c>
      <c r="L43" t="s">
        <v>1212</v>
      </c>
      <c r="M43" s="131">
        <v>0.92</v>
      </c>
      <c r="N43" t="s">
        <v>1305</v>
      </c>
      <c r="O43" s="132">
        <v>4.1669999999999999E-2</v>
      </c>
      <c r="P43" s="132">
        <v>4.2900000000000001E-2</v>
      </c>
      <c r="R43" s="131">
        <v>12000000</v>
      </c>
      <c r="S43" s="131">
        <v>1</v>
      </c>
      <c r="T43" s="131">
        <v>96.2</v>
      </c>
      <c r="U43" s="131">
        <v>11544</v>
      </c>
      <c r="W43" s="16" t="s">
        <v>15</v>
      </c>
      <c r="X43" s="132">
        <v>1E-3</v>
      </c>
      <c r="Y43" s="132">
        <v>4.6800000000000001E-2</v>
      </c>
      <c r="Z43" s="132">
        <v>1.4489999999999999E-2</v>
      </c>
    </row>
    <row r="44" spans="1:26">
      <c r="A44" t="s">
        <v>1213</v>
      </c>
      <c r="B44" t="s">
        <v>1221</v>
      </c>
      <c r="C44" t="s">
        <v>1258</v>
      </c>
      <c r="D44" t="s">
        <v>1297</v>
      </c>
      <c r="E44" t="s">
        <v>1298</v>
      </c>
      <c r="F44" t="s">
        <v>943</v>
      </c>
      <c r="G44" t="s">
        <v>204</v>
      </c>
      <c r="H44" t="s">
        <v>204</v>
      </c>
      <c r="I44" t="s">
        <v>340</v>
      </c>
      <c r="J44" t="s">
        <v>1265</v>
      </c>
      <c r="K44" t="s">
        <v>415</v>
      </c>
      <c r="L44" t="s">
        <v>1212</v>
      </c>
      <c r="M44" s="131">
        <v>7.14</v>
      </c>
      <c r="N44" t="s">
        <v>1299</v>
      </c>
      <c r="O44" s="132">
        <v>1.4959999999999999E-2</v>
      </c>
      <c r="P44" s="132">
        <v>1.9900000000000001E-2</v>
      </c>
      <c r="R44" s="131">
        <v>11395458</v>
      </c>
      <c r="S44" s="131">
        <v>1</v>
      </c>
      <c r="T44" s="131">
        <v>101.1</v>
      </c>
      <c r="U44" s="131">
        <v>11520.808000000001</v>
      </c>
      <c r="W44" s="16" t="s">
        <v>15</v>
      </c>
      <c r="X44" s="132">
        <v>3.6999999999999999E-4</v>
      </c>
      <c r="Y44" s="132">
        <v>4.6710000000000002E-2</v>
      </c>
      <c r="Z44" s="132">
        <v>1.4460000000000001E-2</v>
      </c>
    </row>
    <row r="45" spans="1:26">
      <c r="A45" t="s">
        <v>1213</v>
      </c>
      <c r="B45" t="s">
        <v>1221</v>
      </c>
      <c r="C45" t="s">
        <v>1267</v>
      </c>
      <c r="D45" t="s">
        <v>1274</v>
      </c>
      <c r="E45" t="s">
        <v>1275</v>
      </c>
      <c r="F45" t="s">
        <v>945</v>
      </c>
      <c r="G45" t="s">
        <v>204</v>
      </c>
      <c r="H45" t="s">
        <v>204</v>
      </c>
      <c r="I45" t="s">
        <v>340</v>
      </c>
      <c r="J45" t="s">
        <v>1265</v>
      </c>
      <c r="K45" t="s">
        <v>415</v>
      </c>
      <c r="L45" t="s">
        <v>1212</v>
      </c>
      <c r="M45" s="131">
        <v>1.4</v>
      </c>
      <c r="N45" t="s">
        <v>1276</v>
      </c>
      <c r="O45" s="132">
        <v>3.2239999999999998E-2</v>
      </c>
      <c r="P45" s="132">
        <v>4.3799999999999999E-2</v>
      </c>
      <c r="R45" s="131">
        <v>11156712</v>
      </c>
      <c r="S45" s="131">
        <v>1</v>
      </c>
      <c r="T45" s="131">
        <v>95.1</v>
      </c>
      <c r="U45" s="131">
        <v>10610.032999999999</v>
      </c>
      <c r="W45" s="16" t="s">
        <v>15</v>
      </c>
      <c r="X45" s="132">
        <v>4.0000000000000002E-4</v>
      </c>
      <c r="Y45" s="132">
        <v>4.3020000000000003E-2</v>
      </c>
      <c r="Z45" s="132">
        <v>1.332E-2</v>
      </c>
    </row>
    <row r="46" spans="1:26">
      <c r="A46" t="s">
        <v>1213</v>
      </c>
      <c r="B46" t="s">
        <v>1221</v>
      </c>
      <c r="C46" t="s">
        <v>1267</v>
      </c>
      <c r="D46" t="s">
        <v>1271</v>
      </c>
      <c r="E46" t="s">
        <v>1272</v>
      </c>
      <c r="F46" t="s">
        <v>945</v>
      </c>
      <c r="G46" t="s">
        <v>204</v>
      </c>
      <c r="H46" t="s">
        <v>204</v>
      </c>
      <c r="I46" t="s">
        <v>340</v>
      </c>
      <c r="J46" t="s">
        <v>1261</v>
      </c>
      <c r="K46" t="s">
        <v>413</v>
      </c>
      <c r="L46" t="s">
        <v>1212</v>
      </c>
      <c r="M46" s="131">
        <v>11.32</v>
      </c>
      <c r="N46" t="s">
        <v>1273</v>
      </c>
      <c r="O46" s="132">
        <v>3.44E-2</v>
      </c>
      <c r="P46" s="132">
        <v>5.1700000000000003E-2</v>
      </c>
      <c r="R46" s="131">
        <v>9747252</v>
      </c>
      <c r="S46" s="131">
        <v>1</v>
      </c>
      <c r="T46" s="131">
        <v>107.34</v>
      </c>
      <c r="U46" s="131">
        <v>10462.700000000001</v>
      </c>
      <c r="W46" s="16" t="s">
        <v>15</v>
      </c>
      <c r="X46" s="132">
        <v>4.4000000000000002E-4</v>
      </c>
      <c r="Y46" s="132">
        <v>4.2419999999999999E-2</v>
      </c>
      <c r="Z46" s="132">
        <v>1.3129999999999999E-2</v>
      </c>
    </row>
    <row r="47" spans="1:26">
      <c r="A47" t="s">
        <v>1213</v>
      </c>
      <c r="B47" t="s">
        <v>1221</v>
      </c>
      <c r="C47" t="s">
        <v>1267</v>
      </c>
      <c r="D47" t="s">
        <v>1341</v>
      </c>
      <c r="E47" t="s">
        <v>1342</v>
      </c>
      <c r="F47" t="s">
        <v>945</v>
      </c>
      <c r="G47" t="s">
        <v>204</v>
      </c>
      <c r="H47" t="s">
        <v>204</v>
      </c>
      <c r="I47" t="s">
        <v>340</v>
      </c>
      <c r="J47" t="s">
        <v>1261</v>
      </c>
      <c r="K47" t="s">
        <v>413</v>
      </c>
      <c r="L47" t="s">
        <v>1212</v>
      </c>
      <c r="M47" s="131">
        <v>2.44</v>
      </c>
      <c r="N47" t="s">
        <v>1343</v>
      </c>
      <c r="O47" s="132">
        <v>3.6330000000000001E-2</v>
      </c>
      <c r="P47" s="132">
        <v>4.3999999999999997E-2</v>
      </c>
      <c r="R47" s="131">
        <v>10850300</v>
      </c>
      <c r="S47" s="131">
        <v>1</v>
      </c>
      <c r="T47" s="131">
        <v>95.44</v>
      </c>
      <c r="U47" s="131">
        <v>10355.526</v>
      </c>
      <c r="W47" s="16" t="s">
        <v>15</v>
      </c>
      <c r="X47" s="132">
        <v>4.2000000000000002E-4</v>
      </c>
      <c r="Y47" s="132">
        <v>4.1980000000000003E-2</v>
      </c>
      <c r="Z47" s="132">
        <v>1.2999999999999999E-2</v>
      </c>
    </row>
    <row r="48" spans="1:26">
      <c r="A48" t="s">
        <v>1213</v>
      </c>
      <c r="B48" t="s">
        <v>1221</v>
      </c>
      <c r="C48" t="s">
        <v>1267</v>
      </c>
      <c r="D48" t="s">
        <v>1281</v>
      </c>
      <c r="E48" t="s">
        <v>1282</v>
      </c>
      <c r="F48" t="s">
        <v>945</v>
      </c>
      <c r="G48" t="s">
        <v>204</v>
      </c>
      <c r="H48" t="s">
        <v>204</v>
      </c>
      <c r="I48" t="s">
        <v>340</v>
      </c>
      <c r="J48" t="s">
        <v>1261</v>
      </c>
      <c r="K48" t="s">
        <v>413</v>
      </c>
      <c r="L48" t="s">
        <v>1212</v>
      </c>
      <c r="M48" s="131">
        <v>5.33</v>
      </c>
      <c r="N48" t="s">
        <v>1283</v>
      </c>
      <c r="O48" s="132">
        <v>3.8129999999999997E-2</v>
      </c>
      <c r="P48" s="132">
        <v>4.6300000000000001E-2</v>
      </c>
      <c r="R48" s="131">
        <v>12328737</v>
      </c>
      <c r="S48" s="131">
        <v>1</v>
      </c>
      <c r="T48" s="131">
        <v>83.24</v>
      </c>
      <c r="U48" s="131">
        <v>10262.441000000001</v>
      </c>
      <c r="W48" s="16" t="s">
        <v>15</v>
      </c>
      <c r="X48" s="132">
        <v>3.3E-4</v>
      </c>
      <c r="Y48" s="132">
        <v>4.1610000000000001E-2</v>
      </c>
      <c r="Z48" s="132">
        <v>1.2880000000000001E-2</v>
      </c>
    </row>
    <row r="49" spans="1:26">
      <c r="A49" t="s">
        <v>1213</v>
      </c>
      <c r="B49" t="s">
        <v>1221</v>
      </c>
      <c r="C49" t="s">
        <v>1290</v>
      </c>
      <c r="D49" t="s">
        <v>1294</v>
      </c>
      <c r="E49" t="s">
        <v>1295</v>
      </c>
      <c r="F49" t="s">
        <v>949</v>
      </c>
      <c r="G49" t="s">
        <v>204</v>
      </c>
      <c r="H49" t="s">
        <v>204</v>
      </c>
      <c r="I49" t="s">
        <v>340</v>
      </c>
      <c r="J49" t="s">
        <v>1265</v>
      </c>
      <c r="K49" t="s">
        <v>415</v>
      </c>
      <c r="L49" t="s">
        <v>1212</v>
      </c>
      <c r="M49" s="131">
        <v>0.85</v>
      </c>
      <c r="N49" t="s">
        <v>1296</v>
      </c>
      <c r="O49" s="132">
        <v>4.0759999999999998E-2</v>
      </c>
      <c r="P49" s="132">
        <v>4.3200000000000002E-2</v>
      </c>
      <c r="R49" s="131">
        <v>10542400</v>
      </c>
      <c r="S49" s="131">
        <v>1</v>
      </c>
      <c r="T49" s="131">
        <v>96.48</v>
      </c>
      <c r="U49" s="131">
        <v>10171.308000000001</v>
      </c>
      <c r="W49" s="16" t="s">
        <v>15</v>
      </c>
      <c r="X49" s="132">
        <v>8.8000000000000003E-4</v>
      </c>
      <c r="Y49" s="132">
        <v>4.1239999999999999E-2</v>
      </c>
      <c r="Z49" s="132">
        <v>1.277E-2</v>
      </c>
    </row>
    <row r="50" spans="1:26">
      <c r="A50" t="s">
        <v>1213</v>
      </c>
      <c r="B50" t="s">
        <v>1221</v>
      </c>
      <c r="C50" t="s">
        <v>1290</v>
      </c>
      <c r="D50" t="s">
        <v>1344</v>
      </c>
      <c r="E50" t="s">
        <v>1345</v>
      </c>
      <c r="F50" t="s">
        <v>949</v>
      </c>
      <c r="G50" t="s">
        <v>204</v>
      </c>
      <c r="H50" t="s">
        <v>204</v>
      </c>
      <c r="I50" t="s">
        <v>340</v>
      </c>
      <c r="J50" t="s">
        <v>1261</v>
      </c>
      <c r="K50" t="s">
        <v>413</v>
      </c>
      <c r="L50" t="s">
        <v>1212</v>
      </c>
      <c r="M50" s="131">
        <v>0.75</v>
      </c>
      <c r="N50" t="s">
        <v>1346</v>
      </c>
      <c r="O50" s="132">
        <v>4.3479999999999998E-2</v>
      </c>
      <c r="P50" s="132">
        <v>4.2799999999999998E-2</v>
      </c>
      <c r="R50" s="131">
        <v>10000000</v>
      </c>
      <c r="S50" s="131">
        <v>1</v>
      </c>
      <c r="T50" s="131">
        <v>96.9</v>
      </c>
      <c r="U50" s="131">
        <v>9690</v>
      </c>
      <c r="W50" s="16" t="s">
        <v>15</v>
      </c>
      <c r="X50" s="132">
        <v>8.3000000000000001E-4</v>
      </c>
      <c r="Y50" s="132">
        <v>3.9289999999999999E-2</v>
      </c>
      <c r="Z50" s="132">
        <v>1.2160000000000001E-2</v>
      </c>
    </row>
    <row r="51" spans="1:26">
      <c r="A51" t="s">
        <v>1213</v>
      </c>
      <c r="B51" t="s">
        <v>1221</v>
      </c>
      <c r="C51" t="s">
        <v>1290</v>
      </c>
      <c r="D51" t="s">
        <v>1318</v>
      </c>
      <c r="E51" t="s">
        <v>1319</v>
      </c>
      <c r="F51" t="s">
        <v>949</v>
      </c>
      <c r="G51" t="s">
        <v>204</v>
      </c>
      <c r="H51" t="s">
        <v>204</v>
      </c>
      <c r="I51" t="s">
        <v>340</v>
      </c>
      <c r="J51" t="s">
        <v>1261</v>
      </c>
      <c r="K51" t="s">
        <v>413</v>
      </c>
      <c r="L51" t="s">
        <v>1212</v>
      </c>
      <c r="M51" s="131">
        <v>0.27</v>
      </c>
      <c r="N51" t="s">
        <v>1320</v>
      </c>
      <c r="O51" s="132">
        <v>4.0099999999999997E-2</v>
      </c>
      <c r="P51" s="132">
        <v>4.3200000000000002E-2</v>
      </c>
      <c r="R51" s="131">
        <v>9350000</v>
      </c>
      <c r="S51" s="131">
        <v>1</v>
      </c>
      <c r="T51" s="131">
        <v>98.86</v>
      </c>
      <c r="U51" s="131">
        <v>9243.41</v>
      </c>
      <c r="W51" s="16" t="s">
        <v>15</v>
      </c>
      <c r="X51" s="132">
        <v>7.7999999999999999E-4</v>
      </c>
      <c r="Y51" s="132">
        <v>3.7479999999999999E-2</v>
      </c>
      <c r="Z51" s="132">
        <v>1.1599999999999999E-2</v>
      </c>
    </row>
    <row r="52" spans="1:26">
      <c r="A52" t="s">
        <v>1213</v>
      </c>
      <c r="B52" t="s">
        <v>1221</v>
      </c>
      <c r="C52" t="s">
        <v>1267</v>
      </c>
      <c r="D52" t="s">
        <v>1347</v>
      </c>
      <c r="E52" t="s">
        <v>1348</v>
      </c>
      <c r="F52" t="s">
        <v>945</v>
      </c>
      <c r="G52" t="s">
        <v>204</v>
      </c>
      <c r="H52" t="s">
        <v>204</v>
      </c>
      <c r="I52" t="s">
        <v>340</v>
      </c>
      <c r="J52" t="s">
        <v>1261</v>
      </c>
      <c r="K52" t="s">
        <v>413</v>
      </c>
      <c r="L52" t="s">
        <v>1212</v>
      </c>
      <c r="M52" s="131">
        <v>3.86</v>
      </c>
      <c r="N52" t="s">
        <v>1349</v>
      </c>
      <c r="O52" s="132">
        <v>3.4669999999999999E-2</v>
      </c>
      <c r="P52" s="132">
        <v>4.5100000000000001E-2</v>
      </c>
      <c r="R52" s="131">
        <v>9815842</v>
      </c>
      <c r="S52" s="131">
        <v>1</v>
      </c>
      <c r="T52" s="131">
        <v>91.9</v>
      </c>
      <c r="U52" s="131">
        <v>9020.759</v>
      </c>
      <c r="W52" s="16" t="s">
        <v>15</v>
      </c>
      <c r="X52" s="132">
        <v>2.9E-4</v>
      </c>
      <c r="Y52" s="132">
        <v>3.6569999999999998E-2</v>
      </c>
      <c r="Z52" s="132">
        <v>1.132E-2</v>
      </c>
    </row>
    <row r="53" spans="1:26">
      <c r="A53" t="s">
        <v>1213</v>
      </c>
      <c r="B53" t="s">
        <v>1221</v>
      </c>
      <c r="C53" t="s">
        <v>1290</v>
      </c>
      <c r="D53" t="s">
        <v>1315</v>
      </c>
      <c r="E53" t="s">
        <v>1316</v>
      </c>
      <c r="F53" t="s">
        <v>949</v>
      </c>
      <c r="G53" t="s">
        <v>204</v>
      </c>
      <c r="H53" t="s">
        <v>204</v>
      </c>
      <c r="I53" t="s">
        <v>340</v>
      </c>
      <c r="J53" t="s">
        <v>1261</v>
      </c>
      <c r="K53" t="s">
        <v>413</v>
      </c>
      <c r="L53" t="s">
        <v>1212</v>
      </c>
      <c r="M53" s="131">
        <v>0.5</v>
      </c>
      <c r="N53" t="s">
        <v>1317</v>
      </c>
      <c r="O53" s="132">
        <v>4.1459999999999997E-2</v>
      </c>
      <c r="P53" s="132">
        <v>4.3200000000000002E-2</v>
      </c>
      <c r="R53" s="131">
        <v>8800000</v>
      </c>
      <c r="S53" s="131">
        <v>1</v>
      </c>
      <c r="T53" s="131">
        <v>97.9</v>
      </c>
      <c r="U53" s="131">
        <v>8615.2000000000007</v>
      </c>
      <c r="W53" s="16" t="s">
        <v>15</v>
      </c>
      <c r="X53" s="132">
        <v>7.2999999999999996E-4</v>
      </c>
      <c r="Y53" s="132">
        <v>3.4930000000000003E-2</v>
      </c>
      <c r="Z53" s="132">
        <v>1.081E-2</v>
      </c>
    </row>
    <row r="54" spans="1:26">
      <c r="A54" t="s">
        <v>1213</v>
      </c>
      <c r="B54" t="s">
        <v>1221</v>
      </c>
      <c r="C54" t="s">
        <v>1290</v>
      </c>
      <c r="D54" t="s">
        <v>1350</v>
      </c>
      <c r="E54" t="s">
        <v>1351</v>
      </c>
      <c r="F54" t="s">
        <v>949</v>
      </c>
      <c r="G54" t="s">
        <v>204</v>
      </c>
      <c r="H54" t="s">
        <v>204</v>
      </c>
      <c r="I54" t="s">
        <v>340</v>
      </c>
      <c r="J54" t="s">
        <v>1261</v>
      </c>
      <c r="K54" t="s">
        <v>413</v>
      </c>
      <c r="L54" t="s">
        <v>1212</v>
      </c>
      <c r="M54" s="131">
        <v>0.67</v>
      </c>
      <c r="N54" t="s">
        <v>1352</v>
      </c>
      <c r="O54" s="132">
        <v>4.3430000000000003E-2</v>
      </c>
      <c r="P54" s="132">
        <v>4.2700000000000002E-2</v>
      </c>
      <c r="R54" s="131">
        <v>8400000</v>
      </c>
      <c r="S54" s="131">
        <v>1</v>
      </c>
      <c r="T54" s="131">
        <v>97.22</v>
      </c>
      <c r="U54" s="131">
        <v>8166.48</v>
      </c>
      <c r="W54" s="16" t="s">
        <v>15</v>
      </c>
      <c r="X54" s="132">
        <v>6.9999999999999999E-4</v>
      </c>
      <c r="Y54" s="132">
        <v>3.3110000000000001E-2</v>
      </c>
      <c r="Z54" s="132">
        <v>1.025E-2</v>
      </c>
    </row>
    <row r="55" spans="1:26">
      <c r="A55" t="s">
        <v>1213</v>
      </c>
      <c r="B55" t="s">
        <v>1221</v>
      </c>
      <c r="C55" t="s">
        <v>1258</v>
      </c>
      <c r="D55" t="s">
        <v>1259</v>
      </c>
      <c r="E55" t="s">
        <v>1260</v>
      </c>
      <c r="F55" t="s">
        <v>943</v>
      </c>
      <c r="G55" t="s">
        <v>204</v>
      </c>
      <c r="H55" t="s">
        <v>204</v>
      </c>
      <c r="I55" t="s">
        <v>340</v>
      </c>
      <c r="J55" t="s">
        <v>1261</v>
      </c>
      <c r="K55" t="s">
        <v>413</v>
      </c>
      <c r="L55" t="s">
        <v>1212</v>
      </c>
      <c r="M55" s="131">
        <v>1.07</v>
      </c>
      <c r="N55" t="s">
        <v>1262</v>
      </c>
      <c r="O55" s="132">
        <v>1.8000000000000001E-4</v>
      </c>
      <c r="P55" s="132">
        <v>1.2999999999999999E-2</v>
      </c>
      <c r="R55" s="131">
        <v>6431528</v>
      </c>
      <c r="S55" s="131">
        <v>1</v>
      </c>
      <c r="T55" s="131">
        <v>116.02</v>
      </c>
      <c r="U55" s="131">
        <v>7461.8590000000004</v>
      </c>
      <c r="W55" s="16" t="s">
        <v>15</v>
      </c>
      <c r="X55" s="132">
        <v>2.9999999999999997E-4</v>
      </c>
      <c r="Y55" s="132">
        <v>3.0249999999999999E-2</v>
      </c>
      <c r="Z55" s="132">
        <v>9.3600000000000003E-3</v>
      </c>
    </row>
    <row r="56" spans="1:26">
      <c r="A56" t="s">
        <v>1213</v>
      </c>
      <c r="B56" t="s">
        <v>1221</v>
      </c>
      <c r="C56" t="s">
        <v>1258</v>
      </c>
      <c r="D56" t="s">
        <v>1309</v>
      </c>
      <c r="E56" t="s">
        <v>1310</v>
      </c>
      <c r="F56" t="s">
        <v>943</v>
      </c>
      <c r="G56" t="s">
        <v>204</v>
      </c>
      <c r="H56" t="s">
        <v>204</v>
      </c>
      <c r="I56" t="s">
        <v>340</v>
      </c>
      <c r="J56" t="s">
        <v>1265</v>
      </c>
      <c r="K56" t="s">
        <v>415</v>
      </c>
      <c r="L56" t="s">
        <v>1212</v>
      </c>
      <c r="M56" s="131">
        <v>1.83</v>
      </c>
      <c r="N56" t="s">
        <v>1311</v>
      </c>
      <c r="O56" s="132">
        <v>7.5399999999999998E-3</v>
      </c>
      <c r="P56" s="132">
        <v>1.5699999999999999E-2</v>
      </c>
      <c r="R56" s="131">
        <v>5568755</v>
      </c>
      <c r="S56" s="131">
        <v>1</v>
      </c>
      <c r="T56" s="131">
        <v>112.44</v>
      </c>
      <c r="U56" s="131">
        <v>6261.5079999999998</v>
      </c>
      <c r="W56" s="16" t="s">
        <v>15</v>
      </c>
      <c r="X56" s="132">
        <v>2.7999999999999998E-4</v>
      </c>
      <c r="Y56" s="132">
        <v>2.5389999999999999E-2</v>
      </c>
      <c r="Z56" s="132">
        <v>7.8600000000000007E-3</v>
      </c>
    </row>
    <row r="57" spans="1:26">
      <c r="A57" t="s">
        <v>1213</v>
      </c>
      <c r="B57" t="s">
        <v>1221</v>
      </c>
      <c r="C57" t="s">
        <v>1267</v>
      </c>
      <c r="D57" t="s">
        <v>1353</v>
      </c>
      <c r="E57" t="s">
        <v>1354</v>
      </c>
      <c r="F57" t="s">
        <v>945</v>
      </c>
      <c r="G57" t="s">
        <v>204</v>
      </c>
      <c r="H57" t="s">
        <v>204</v>
      </c>
      <c r="I57" t="s">
        <v>340</v>
      </c>
      <c r="J57" t="s">
        <v>1261</v>
      </c>
      <c r="K57" t="s">
        <v>413</v>
      </c>
      <c r="L57" t="s">
        <v>1212</v>
      </c>
      <c r="M57" s="131">
        <v>8.52</v>
      </c>
      <c r="N57" t="s">
        <v>1355</v>
      </c>
      <c r="O57" s="132">
        <v>4.1419999999999998E-2</v>
      </c>
      <c r="P57" s="132">
        <v>4.8800000000000003E-2</v>
      </c>
      <c r="R57" s="131">
        <v>5798690</v>
      </c>
      <c r="S57" s="131">
        <v>1</v>
      </c>
      <c r="T57" s="131">
        <v>94.93</v>
      </c>
      <c r="U57" s="131">
        <v>5504.6959999999999</v>
      </c>
      <c r="W57" s="16" t="s">
        <v>15</v>
      </c>
      <c r="X57" s="132">
        <v>3.4000000000000002E-4</v>
      </c>
      <c r="Y57" s="132">
        <v>2.232E-2</v>
      </c>
      <c r="Z57" s="132">
        <v>6.9100000000000003E-3</v>
      </c>
    </row>
    <row r="58" spans="1:26">
      <c r="A58" t="s">
        <v>1213</v>
      </c>
      <c r="B58" t="s">
        <v>1221</v>
      </c>
      <c r="C58" t="s">
        <v>1290</v>
      </c>
      <c r="D58" t="s">
        <v>1291</v>
      </c>
      <c r="E58" t="s">
        <v>1292</v>
      </c>
      <c r="F58" t="s">
        <v>949</v>
      </c>
      <c r="G58" t="s">
        <v>204</v>
      </c>
      <c r="H58" t="s">
        <v>204</v>
      </c>
      <c r="I58" t="s">
        <v>340</v>
      </c>
      <c r="J58" t="s">
        <v>1261</v>
      </c>
      <c r="K58" t="s">
        <v>413</v>
      </c>
      <c r="L58" t="s">
        <v>1212</v>
      </c>
      <c r="M58" s="131">
        <v>0.42</v>
      </c>
      <c r="N58" t="s">
        <v>1293</v>
      </c>
      <c r="O58" s="132">
        <v>3.9910000000000001E-2</v>
      </c>
      <c r="P58" s="132">
        <v>4.3200000000000002E-2</v>
      </c>
      <c r="R58" s="131">
        <v>5500000</v>
      </c>
      <c r="S58" s="131">
        <v>1</v>
      </c>
      <c r="T58" s="131">
        <v>98.22</v>
      </c>
      <c r="U58" s="131">
        <v>5402.1</v>
      </c>
      <c r="W58" s="16" t="s">
        <v>15</v>
      </c>
      <c r="X58" s="132">
        <v>4.6000000000000001E-4</v>
      </c>
      <c r="Y58" s="132">
        <v>2.1899999999999999E-2</v>
      </c>
      <c r="Z58" s="132">
        <v>6.7799999999999996E-3</v>
      </c>
    </row>
    <row r="59" spans="1:26">
      <c r="A59" t="s">
        <v>1213</v>
      </c>
      <c r="B59" t="s">
        <v>1221</v>
      </c>
      <c r="C59" t="s">
        <v>1267</v>
      </c>
      <c r="D59" t="s">
        <v>1356</v>
      </c>
      <c r="E59" t="s">
        <v>1357</v>
      </c>
      <c r="F59" t="s">
        <v>945</v>
      </c>
      <c r="G59" t="s">
        <v>204</v>
      </c>
      <c r="H59" t="s">
        <v>204</v>
      </c>
      <c r="I59" t="s">
        <v>340</v>
      </c>
      <c r="J59" t="s">
        <v>1261</v>
      </c>
      <c r="K59" t="s">
        <v>413</v>
      </c>
      <c r="L59" t="s">
        <v>1212</v>
      </c>
      <c r="M59" s="131">
        <v>7.17</v>
      </c>
      <c r="N59" t="s">
        <v>1358</v>
      </c>
      <c r="O59" s="132">
        <v>3.9969999999999999E-2</v>
      </c>
      <c r="P59" s="132">
        <v>4.7500000000000001E-2</v>
      </c>
      <c r="R59" s="131">
        <v>6635620</v>
      </c>
      <c r="S59" s="131">
        <v>1</v>
      </c>
      <c r="T59" s="131">
        <v>78.98</v>
      </c>
      <c r="U59" s="131">
        <v>5240.8130000000001</v>
      </c>
      <c r="W59" s="16" t="s">
        <v>15</v>
      </c>
      <c r="X59" s="132">
        <v>2.2000000000000001E-4</v>
      </c>
      <c r="Y59" s="132">
        <v>2.1250000000000002E-2</v>
      </c>
      <c r="Z59" s="132">
        <v>6.5799999999999999E-3</v>
      </c>
    </row>
    <row r="60" spans="1:26">
      <c r="A60" t="s">
        <v>1213</v>
      </c>
      <c r="B60" t="s">
        <v>1221</v>
      </c>
      <c r="C60" t="s">
        <v>1267</v>
      </c>
      <c r="D60" t="s">
        <v>1306</v>
      </c>
      <c r="E60" t="s">
        <v>1307</v>
      </c>
      <c r="F60" t="s">
        <v>945</v>
      </c>
      <c r="G60" t="s">
        <v>204</v>
      </c>
      <c r="H60" t="s">
        <v>204</v>
      </c>
      <c r="I60" t="s">
        <v>340</v>
      </c>
      <c r="J60" t="s">
        <v>1265</v>
      </c>
      <c r="K60" t="s">
        <v>415</v>
      </c>
      <c r="L60" t="s">
        <v>1212</v>
      </c>
      <c r="M60" s="131">
        <v>4.0599999999999996</v>
      </c>
      <c r="N60" t="s">
        <v>1308</v>
      </c>
      <c r="O60" s="132">
        <v>3.5319999999999997E-2</v>
      </c>
      <c r="P60" s="132">
        <v>4.5600000000000002E-2</v>
      </c>
      <c r="R60" s="131">
        <v>4979713</v>
      </c>
      <c r="S60" s="131">
        <v>1</v>
      </c>
      <c r="T60" s="131">
        <v>99.02</v>
      </c>
      <c r="U60" s="131">
        <v>4930.9120000000003</v>
      </c>
      <c r="W60" s="16" t="s">
        <v>15</v>
      </c>
      <c r="X60" s="132">
        <v>1.4999999999999999E-4</v>
      </c>
      <c r="Y60" s="132">
        <v>1.9990000000000001E-2</v>
      </c>
      <c r="Z60" s="132">
        <v>6.1900000000000002E-3</v>
      </c>
    </row>
    <row r="61" spans="1:26">
      <c r="A61" t="s">
        <v>1213</v>
      </c>
      <c r="B61" t="s">
        <v>1221</v>
      </c>
      <c r="C61" t="s">
        <v>1267</v>
      </c>
      <c r="D61" t="s">
        <v>1359</v>
      </c>
      <c r="E61" t="s">
        <v>1360</v>
      </c>
      <c r="F61" t="s">
        <v>945</v>
      </c>
      <c r="G61" t="s">
        <v>204</v>
      </c>
      <c r="H61" t="s">
        <v>204</v>
      </c>
      <c r="I61" t="s">
        <v>340</v>
      </c>
      <c r="J61" t="s">
        <v>1261</v>
      </c>
      <c r="K61" t="s">
        <v>413</v>
      </c>
      <c r="L61" t="s">
        <v>1212</v>
      </c>
      <c r="M61" s="131">
        <v>11.26</v>
      </c>
      <c r="N61" t="s">
        <v>1361</v>
      </c>
      <c r="O61" s="132">
        <v>3.8609999999999998E-2</v>
      </c>
      <c r="P61" s="132">
        <v>5.04E-2</v>
      </c>
      <c r="R61" s="131">
        <v>6427421</v>
      </c>
      <c r="S61" s="131">
        <v>1</v>
      </c>
      <c r="T61" s="131">
        <v>67.92</v>
      </c>
      <c r="U61" s="131">
        <v>4365.5039999999999</v>
      </c>
      <c r="W61" s="16" t="s">
        <v>15</v>
      </c>
      <c r="X61" s="132">
        <v>2.0000000000000001E-4</v>
      </c>
      <c r="Y61" s="132">
        <v>1.77E-2</v>
      </c>
      <c r="Z61" s="132">
        <v>5.4799999999999996E-3</v>
      </c>
    </row>
    <row r="62" spans="1:26">
      <c r="A62" t="s">
        <v>1213</v>
      </c>
      <c r="B62" t="s">
        <v>1221</v>
      </c>
      <c r="C62" t="s">
        <v>1258</v>
      </c>
      <c r="D62" t="s">
        <v>1332</v>
      </c>
      <c r="E62" t="s">
        <v>1333</v>
      </c>
      <c r="F62" t="s">
        <v>943</v>
      </c>
      <c r="G62" t="s">
        <v>204</v>
      </c>
      <c r="H62" t="s">
        <v>204</v>
      </c>
      <c r="I62" t="s">
        <v>340</v>
      </c>
      <c r="J62" t="s">
        <v>1261</v>
      </c>
      <c r="K62" t="s">
        <v>413</v>
      </c>
      <c r="L62" t="s">
        <v>1212</v>
      </c>
      <c r="M62" s="131">
        <v>8.43</v>
      </c>
      <c r="N62" t="s">
        <v>1334</v>
      </c>
      <c r="O62" s="132">
        <v>1.6789999999999999E-2</v>
      </c>
      <c r="P62" s="132">
        <v>2.1299999999999999E-2</v>
      </c>
      <c r="R62" s="131">
        <v>3761415</v>
      </c>
      <c r="S62" s="131">
        <v>1</v>
      </c>
      <c r="T62" s="131">
        <v>100.1</v>
      </c>
      <c r="U62" s="131">
        <v>3765.1759999999999</v>
      </c>
      <c r="W62" s="16" t="s">
        <v>15</v>
      </c>
      <c r="X62" s="132">
        <v>3.6999999999999999E-4</v>
      </c>
      <c r="Y62" s="132">
        <v>1.5270000000000001E-2</v>
      </c>
      <c r="Z62" s="132">
        <v>4.7299999999999998E-3</v>
      </c>
    </row>
    <row r="63" spans="1:26">
      <c r="A63" t="s">
        <v>1213</v>
      </c>
      <c r="B63" t="s">
        <v>1221</v>
      </c>
      <c r="C63" t="s">
        <v>1290</v>
      </c>
      <c r="D63" t="s">
        <v>1326</v>
      </c>
      <c r="E63" t="s">
        <v>1327</v>
      </c>
      <c r="F63" t="s">
        <v>949</v>
      </c>
      <c r="G63" t="s">
        <v>204</v>
      </c>
      <c r="H63" t="s">
        <v>204</v>
      </c>
      <c r="I63" t="s">
        <v>340</v>
      </c>
      <c r="J63" t="s">
        <v>1261</v>
      </c>
      <c r="K63" t="s">
        <v>413</v>
      </c>
      <c r="L63" t="s">
        <v>1212</v>
      </c>
      <c r="M63" s="131">
        <v>0.6</v>
      </c>
      <c r="N63" t="s">
        <v>1328</v>
      </c>
      <c r="O63" s="132">
        <v>4.2810000000000001E-2</v>
      </c>
      <c r="P63" s="132">
        <v>4.2900000000000001E-2</v>
      </c>
      <c r="R63" s="131">
        <v>3800000</v>
      </c>
      <c r="S63" s="131">
        <v>1</v>
      </c>
      <c r="T63" s="131">
        <v>97.52</v>
      </c>
      <c r="U63" s="131">
        <v>3705.76</v>
      </c>
      <c r="W63" s="16" t="s">
        <v>15</v>
      </c>
      <c r="X63" s="132">
        <v>2.7E-4</v>
      </c>
      <c r="Y63" s="132">
        <v>1.502E-2</v>
      </c>
      <c r="Z63" s="132">
        <v>4.6499999999999996E-3</v>
      </c>
    </row>
    <row r="64" spans="1:26">
      <c r="A64" t="s">
        <v>1213</v>
      </c>
      <c r="B64" t="s">
        <v>1221</v>
      </c>
      <c r="C64" t="s">
        <v>1267</v>
      </c>
      <c r="D64" t="s">
        <v>1287</v>
      </c>
      <c r="E64" t="s">
        <v>1288</v>
      </c>
      <c r="F64" t="s">
        <v>945</v>
      </c>
      <c r="G64" t="s">
        <v>204</v>
      </c>
      <c r="H64" t="s">
        <v>204</v>
      </c>
      <c r="I64" t="s">
        <v>340</v>
      </c>
      <c r="J64" t="s">
        <v>1261</v>
      </c>
      <c r="K64" t="s">
        <v>413</v>
      </c>
      <c r="L64" t="s">
        <v>1212</v>
      </c>
      <c r="M64" s="131">
        <v>0.92</v>
      </c>
      <c r="N64" t="s">
        <v>1289</v>
      </c>
      <c r="O64" s="132">
        <v>2.3619999999999999E-2</v>
      </c>
      <c r="P64" s="132">
        <v>4.1700000000000001E-2</v>
      </c>
      <c r="R64" s="131">
        <v>3444738</v>
      </c>
      <c r="S64" s="131">
        <v>1</v>
      </c>
      <c r="T64" s="131">
        <v>98.02</v>
      </c>
      <c r="U64" s="131">
        <v>3376.5320000000002</v>
      </c>
      <c r="W64" s="16" t="s">
        <v>15</v>
      </c>
      <c r="X64" s="132">
        <v>1.3999999999999999E-4</v>
      </c>
      <c r="Y64" s="132">
        <v>1.3690000000000001E-2</v>
      </c>
      <c r="Z64" s="132">
        <v>4.2399999999999998E-3</v>
      </c>
    </row>
    <row r="65" spans="1:26">
      <c r="A65" t="s">
        <v>1213</v>
      </c>
      <c r="B65" t="s">
        <v>1221</v>
      </c>
      <c r="C65" t="s">
        <v>1290</v>
      </c>
      <c r="D65" t="s">
        <v>1362</v>
      </c>
      <c r="E65" t="s">
        <v>1363</v>
      </c>
      <c r="F65" t="s">
        <v>949</v>
      </c>
      <c r="G65" t="s">
        <v>204</v>
      </c>
      <c r="H65" t="s">
        <v>204</v>
      </c>
      <c r="I65" t="s">
        <v>340</v>
      </c>
      <c r="J65" t="s">
        <v>1261</v>
      </c>
      <c r="K65" t="s">
        <v>413</v>
      </c>
      <c r="L65" t="s">
        <v>1212</v>
      </c>
      <c r="M65" s="131">
        <v>0.1</v>
      </c>
      <c r="N65" t="s">
        <v>1364</v>
      </c>
      <c r="O65" s="132">
        <v>4.079E-2</v>
      </c>
      <c r="P65" s="132">
        <v>4.36E-2</v>
      </c>
      <c r="R65" s="131">
        <v>2000000</v>
      </c>
      <c r="S65" s="131">
        <v>1</v>
      </c>
      <c r="T65" s="131">
        <v>99.58</v>
      </c>
      <c r="U65" s="131">
        <v>1991.6</v>
      </c>
      <c r="W65" s="16" t="s">
        <v>15</v>
      </c>
      <c r="X65" s="132">
        <v>5.0000000000000002E-5</v>
      </c>
      <c r="Y65" s="132">
        <v>8.0700000000000008E-3</v>
      </c>
      <c r="Z65" s="132">
        <v>2.5000000000000001E-3</v>
      </c>
    </row>
    <row r="66" spans="1:26">
      <c r="A66" t="s">
        <v>1213</v>
      </c>
      <c r="B66" t="s">
        <v>1221</v>
      </c>
      <c r="C66" t="s">
        <v>1258</v>
      </c>
      <c r="D66" t="s">
        <v>1365</v>
      </c>
      <c r="E66" t="s">
        <v>1366</v>
      </c>
      <c r="F66" t="s">
        <v>943</v>
      </c>
      <c r="G66" t="s">
        <v>204</v>
      </c>
      <c r="H66" t="s">
        <v>204</v>
      </c>
      <c r="I66" t="s">
        <v>340</v>
      </c>
      <c r="J66" t="s">
        <v>1261</v>
      </c>
      <c r="K66" t="s">
        <v>413</v>
      </c>
      <c r="L66" t="s">
        <v>1212</v>
      </c>
      <c r="M66" s="131">
        <v>9.64</v>
      </c>
      <c r="N66" t="s">
        <v>1367</v>
      </c>
      <c r="O66" s="132">
        <v>7.6600000000000001E-3</v>
      </c>
      <c r="P66" s="132">
        <v>2.1700000000000001E-2</v>
      </c>
      <c r="R66" s="131">
        <v>942289</v>
      </c>
      <c r="S66" s="131">
        <v>1</v>
      </c>
      <c r="T66" s="131">
        <v>164.63</v>
      </c>
      <c r="U66" s="131">
        <v>1551.29</v>
      </c>
      <c r="W66" s="16" t="s">
        <v>15</v>
      </c>
      <c r="X66" s="132">
        <v>6.0000000000000002E-5</v>
      </c>
      <c r="Y66" s="132">
        <v>6.2899999999999996E-3</v>
      </c>
      <c r="Z66" s="132">
        <v>1.9499999999999999E-3</v>
      </c>
    </row>
    <row r="67" spans="1:26">
      <c r="A67" t="s">
        <v>1213</v>
      </c>
      <c r="B67" t="s">
        <v>1221</v>
      </c>
      <c r="C67" t="s">
        <v>1267</v>
      </c>
      <c r="D67" t="s">
        <v>1368</v>
      </c>
      <c r="E67" t="s">
        <v>1369</v>
      </c>
      <c r="F67" t="s">
        <v>945</v>
      </c>
      <c r="G67" t="s">
        <v>204</v>
      </c>
      <c r="H67" t="s">
        <v>204</v>
      </c>
      <c r="I67" t="s">
        <v>340</v>
      </c>
      <c r="J67" t="s">
        <v>1261</v>
      </c>
      <c r="K67" t="s">
        <v>413</v>
      </c>
      <c r="L67" t="s">
        <v>1212</v>
      </c>
      <c r="M67" s="131">
        <v>2.89</v>
      </c>
      <c r="N67" t="s">
        <v>1370</v>
      </c>
      <c r="O67" s="132">
        <v>4.0829999999999998E-2</v>
      </c>
      <c r="P67" s="132">
        <v>4.4499999999999998E-2</v>
      </c>
      <c r="R67" s="131">
        <v>1550000</v>
      </c>
      <c r="S67" s="131">
        <v>1</v>
      </c>
      <c r="T67" s="131">
        <v>98.09</v>
      </c>
      <c r="U67" s="131">
        <v>1520.395</v>
      </c>
      <c r="W67" s="16" t="s">
        <v>15</v>
      </c>
      <c r="X67" s="132">
        <v>9.0000000000000006E-5</v>
      </c>
      <c r="Y67" s="132">
        <v>6.1599999999999997E-3</v>
      </c>
      <c r="Z67" s="132">
        <v>1.91E-3</v>
      </c>
    </row>
    <row r="68" spans="1:26">
      <c r="A68" t="s">
        <v>1213</v>
      </c>
      <c r="B68" t="s">
        <v>1221</v>
      </c>
      <c r="C68" t="s">
        <v>1290</v>
      </c>
      <c r="D68" t="s">
        <v>1371</v>
      </c>
      <c r="E68" t="s">
        <v>1372</v>
      </c>
      <c r="F68" t="s">
        <v>949</v>
      </c>
      <c r="G68" t="s">
        <v>204</v>
      </c>
      <c r="H68" t="s">
        <v>204</v>
      </c>
      <c r="I68" t="s">
        <v>340</v>
      </c>
      <c r="J68" t="s">
        <v>1261</v>
      </c>
      <c r="K68" t="s">
        <v>413</v>
      </c>
      <c r="L68" t="s">
        <v>1212</v>
      </c>
      <c r="M68" s="131">
        <v>0.01</v>
      </c>
      <c r="N68" t="s">
        <v>1373</v>
      </c>
      <c r="O68" s="132">
        <v>4.1160000000000002E-2</v>
      </c>
      <c r="P68" s="132">
        <v>0.1157</v>
      </c>
      <c r="R68" s="131">
        <v>1059508</v>
      </c>
      <c r="S68" s="131">
        <v>1</v>
      </c>
      <c r="T68" s="131">
        <v>99.97</v>
      </c>
      <c r="U68" s="131">
        <v>1059.19</v>
      </c>
      <c r="W68" s="16" t="s">
        <v>15</v>
      </c>
      <c r="X68" s="132">
        <v>2.0000000000000002E-5</v>
      </c>
      <c r="Y68" s="132">
        <v>4.2900000000000004E-3</v>
      </c>
      <c r="Z68" s="132">
        <v>1.33E-3</v>
      </c>
    </row>
    <row r="69" spans="1:26">
      <c r="A69" t="s">
        <v>1213</v>
      </c>
      <c r="B69" t="s">
        <v>1221</v>
      </c>
      <c r="C69" t="s">
        <v>1267</v>
      </c>
      <c r="D69" t="s">
        <v>1374</v>
      </c>
      <c r="E69" t="s">
        <v>1375</v>
      </c>
      <c r="F69" t="s">
        <v>945</v>
      </c>
      <c r="G69" t="s">
        <v>204</v>
      </c>
      <c r="H69" t="s">
        <v>204</v>
      </c>
      <c r="I69" t="s">
        <v>340</v>
      </c>
      <c r="J69" t="s">
        <v>1265</v>
      </c>
      <c r="K69" t="s">
        <v>415</v>
      </c>
      <c r="L69" t="s">
        <v>1212</v>
      </c>
      <c r="M69" s="131">
        <v>0.08</v>
      </c>
      <c r="N69" t="s">
        <v>1376</v>
      </c>
      <c r="O69" s="132">
        <v>2.98E-2</v>
      </c>
      <c r="P69" s="132">
        <v>4.3499999999999997E-2</v>
      </c>
      <c r="R69" s="131">
        <v>1000000</v>
      </c>
      <c r="S69" s="131">
        <v>1</v>
      </c>
      <c r="T69" s="131">
        <v>100.05</v>
      </c>
      <c r="U69" s="131">
        <v>1000.5</v>
      </c>
      <c r="W69" s="16" t="s">
        <v>15</v>
      </c>
      <c r="X69" s="132">
        <v>1.2E-4</v>
      </c>
      <c r="Y69" s="132">
        <v>4.0600000000000002E-3</v>
      </c>
      <c r="Z69" s="132">
        <v>1.2600000000000001E-3</v>
      </c>
    </row>
    <row r="70" spans="1:26">
      <c r="A70" t="s">
        <v>1213</v>
      </c>
      <c r="B70" t="s">
        <v>1221</v>
      </c>
      <c r="C70" t="s">
        <v>1267</v>
      </c>
      <c r="D70" t="s">
        <v>1377</v>
      </c>
      <c r="E70" t="s">
        <v>1378</v>
      </c>
      <c r="F70" t="s">
        <v>945</v>
      </c>
      <c r="G70" t="s">
        <v>204</v>
      </c>
      <c r="H70" t="s">
        <v>204</v>
      </c>
      <c r="I70" t="s">
        <v>340</v>
      </c>
      <c r="J70" t="s">
        <v>1261</v>
      </c>
      <c r="K70" t="s">
        <v>413</v>
      </c>
      <c r="L70" t="s">
        <v>1212</v>
      </c>
      <c r="M70" s="131">
        <v>14.32</v>
      </c>
      <c r="N70" t="s">
        <v>1379</v>
      </c>
      <c r="O70" s="132">
        <v>4.7759999999999997E-2</v>
      </c>
      <c r="P70" s="132">
        <v>5.3400000000000003E-2</v>
      </c>
      <c r="R70" s="131">
        <v>900000</v>
      </c>
      <c r="S70" s="131">
        <v>1</v>
      </c>
      <c r="T70" s="131">
        <v>81.36</v>
      </c>
      <c r="U70" s="131">
        <v>732.24</v>
      </c>
      <c r="W70" s="16" t="s">
        <v>15</v>
      </c>
      <c r="X70" s="132">
        <v>3.0000000000000001E-5</v>
      </c>
      <c r="Y70" s="132">
        <v>2.97E-3</v>
      </c>
      <c r="Z70" s="132">
        <v>9.2000000000000003E-4</v>
      </c>
    </row>
    <row r="71" spans="1:26">
      <c r="A71" t="s">
        <v>1213</v>
      </c>
      <c r="B71" t="s">
        <v>1221</v>
      </c>
      <c r="C71" t="s">
        <v>1267</v>
      </c>
      <c r="D71" t="s">
        <v>1312</v>
      </c>
      <c r="E71" t="s">
        <v>1313</v>
      </c>
      <c r="F71" t="s">
        <v>945</v>
      </c>
      <c r="G71" t="s">
        <v>204</v>
      </c>
      <c r="H71" t="s">
        <v>204</v>
      </c>
      <c r="I71" t="s">
        <v>340</v>
      </c>
      <c r="J71" t="s">
        <v>1261</v>
      </c>
      <c r="K71" t="s">
        <v>413</v>
      </c>
      <c r="L71" t="s">
        <v>1212</v>
      </c>
      <c r="M71" s="131">
        <v>1.91</v>
      </c>
      <c r="N71" t="s">
        <v>1314</v>
      </c>
      <c r="O71" s="132">
        <v>3.3419999999999998E-2</v>
      </c>
      <c r="P71" s="132">
        <v>4.3200000000000002E-2</v>
      </c>
      <c r="R71" s="131">
        <v>374089</v>
      </c>
      <c r="S71" s="131">
        <v>1</v>
      </c>
      <c r="T71" s="131">
        <v>109.5</v>
      </c>
      <c r="U71" s="131">
        <v>409.62700000000001</v>
      </c>
      <c r="W71" s="16" t="s">
        <v>15</v>
      </c>
      <c r="X71" s="132">
        <v>3.0000000000000001E-5</v>
      </c>
      <c r="Y71" s="132">
        <v>1.66E-3</v>
      </c>
      <c r="Z71" s="132">
        <v>5.1000000000000004E-4</v>
      </c>
    </row>
    <row r="72" spans="1:26">
      <c r="A72" t="s">
        <v>1213</v>
      </c>
      <c r="B72" t="s">
        <v>1221</v>
      </c>
      <c r="C72" t="s">
        <v>1267</v>
      </c>
      <c r="D72" t="s">
        <v>1268</v>
      </c>
      <c r="E72" t="s">
        <v>1269</v>
      </c>
      <c r="F72" t="s">
        <v>945</v>
      </c>
      <c r="G72" t="s">
        <v>204</v>
      </c>
      <c r="H72" t="s">
        <v>204</v>
      </c>
      <c r="I72" t="s">
        <v>340</v>
      </c>
      <c r="J72" t="s">
        <v>1265</v>
      </c>
      <c r="K72" t="s">
        <v>415</v>
      </c>
      <c r="L72" t="s">
        <v>1212</v>
      </c>
      <c r="M72" s="131">
        <v>0.57999999999999996</v>
      </c>
      <c r="N72" t="s">
        <v>1270</v>
      </c>
      <c r="O72" s="132">
        <v>3.006E-2</v>
      </c>
      <c r="P72" s="132">
        <v>3.9600000000000003E-2</v>
      </c>
      <c r="R72" s="131">
        <v>250000</v>
      </c>
      <c r="S72" s="131">
        <v>1</v>
      </c>
      <c r="T72" s="131">
        <v>98.27</v>
      </c>
      <c r="U72" s="131">
        <v>245.67500000000001</v>
      </c>
      <c r="W72" s="16" t="s">
        <v>15</v>
      </c>
      <c r="X72" s="132">
        <v>2.0000000000000002E-5</v>
      </c>
      <c r="Y72" s="132">
        <v>1E-3</v>
      </c>
      <c r="Z72" s="132">
        <v>3.1E-4</v>
      </c>
    </row>
    <row r="73" spans="1:26">
      <c r="A73" t="s">
        <v>1213</v>
      </c>
      <c r="B73" t="s">
        <v>1222</v>
      </c>
      <c r="C73" t="s">
        <v>1258</v>
      </c>
      <c r="D73" t="s">
        <v>1329</v>
      </c>
      <c r="E73" t="s">
        <v>1330</v>
      </c>
      <c r="F73" t="s">
        <v>943</v>
      </c>
      <c r="G73" t="s">
        <v>204</v>
      </c>
      <c r="H73" t="s">
        <v>204</v>
      </c>
      <c r="I73" t="s">
        <v>340</v>
      </c>
      <c r="J73" t="s">
        <v>1265</v>
      </c>
      <c r="K73" t="s">
        <v>415</v>
      </c>
      <c r="L73" t="s">
        <v>1212</v>
      </c>
      <c r="M73" s="131">
        <v>2.64</v>
      </c>
      <c r="N73" t="s">
        <v>1331</v>
      </c>
      <c r="O73" s="132">
        <v>-2.034E-2</v>
      </c>
      <c r="P73" s="132">
        <v>1.6299999999999999E-2</v>
      </c>
      <c r="R73" s="131">
        <v>2350000</v>
      </c>
      <c r="S73" s="131">
        <v>1</v>
      </c>
      <c r="T73" s="131">
        <v>114.25</v>
      </c>
      <c r="U73" s="131">
        <v>2684.875</v>
      </c>
      <c r="W73" s="16" t="s">
        <v>15</v>
      </c>
      <c r="X73" s="132">
        <v>1.1E-4</v>
      </c>
      <c r="Y73" s="132">
        <v>0.10199999999999999</v>
      </c>
      <c r="Z73" s="132">
        <v>8.5169999999999996E-2</v>
      </c>
    </row>
    <row r="74" spans="1:26">
      <c r="A74" t="s">
        <v>1213</v>
      </c>
      <c r="B74" t="s">
        <v>1222</v>
      </c>
      <c r="C74" t="s">
        <v>1258</v>
      </c>
      <c r="D74" t="s">
        <v>1300</v>
      </c>
      <c r="E74" t="s">
        <v>1301</v>
      </c>
      <c r="F74" t="s">
        <v>943</v>
      </c>
      <c r="G74" t="s">
        <v>204</v>
      </c>
      <c r="H74" t="s">
        <v>204</v>
      </c>
      <c r="I74" t="s">
        <v>340</v>
      </c>
      <c r="J74" t="s">
        <v>1265</v>
      </c>
      <c r="K74" t="s">
        <v>415</v>
      </c>
      <c r="L74" t="s">
        <v>1212</v>
      </c>
      <c r="M74" s="131">
        <v>4.6100000000000003</v>
      </c>
      <c r="N74" t="s">
        <v>1302</v>
      </c>
      <c r="O74" s="132">
        <v>7.9900000000000006E-3</v>
      </c>
      <c r="P74" s="132">
        <v>1.83E-2</v>
      </c>
      <c r="R74" s="131">
        <v>2349360</v>
      </c>
      <c r="S74" s="131">
        <v>1</v>
      </c>
      <c r="T74" s="131">
        <v>108.85</v>
      </c>
      <c r="U74" s="131">
        <v>2557.2779999999998</v>
      </c>
      <c r="W74" s="16" t="s">
        <v>15</v>
      </c>
      <c r="X74" s="132">
        <v>9.0000000000000006E-5</v>
      </c>
      <c r="Y74" s="132">
        <v>9.715E-2</v>
      </c>
      <c r="Z74" s="132">
        <v>8.1119999999999998E-2</v>
      </c>
    </row>
    <row r="75" spans="1:26">
      <c r="A75" t="s">
        <v>1213</v>
      </c>
      <c r="B75" t="s">
        <v>1222</v>
      </c>
      <c r="C75" t="s">
        <v>1258</v>
      </c>
      <c r="D75" t="s">
        <v>1263</v>
      </c>
      <c r="E75" t="s">
        <v>1264</v>
      </c>
      <c r="F75" t="s">
        <v>943</v>
      </c>
      <c r="G75" t="s">
        <v>204</v>
      </c>
      <c r="H75" t="s">
        <v>204</v>
      </c>
      <c r="I75" t="s">
        <v>340</v>
      </c>
      <c r="J75" t="s">
        <v>1265</v>
      </c>
      <c r="K75" t="s">
        <v>415</v>
      </c>
      <c r="L75" t="s">
        <v>1212</v>
      </c>
      <c r="M75" s="131">
        <v>3.97</v>
      </c>
      <c r="N75" t="s">
        <v>1266</v>
      </c>
      <c r="O75" s="132">
        <v>1.3610000000000001E-2</v>
      </c>
      <c r="P75" s="132">
        <v>1.7999999999999999E-2</v>
      </c>
      <c r="R75" s="131">
        <v>2011162</v>
      </c>
      <c r="S75" s="131">
        <v>1</v>
      </c>
      <c r="T75" s="131">
        <v>102.6</v>
      </c>
      <c r="U75" s="131">
        <v>2063.4520000000002</v>
      </c>
      <c r="W75" s="16" t="s">
        <v>15</v>
      </c>
      <c r="X75" s="132">
        <v>1E-4</v>
      </c>
      <c r="Y75" s="132">
        <v>7.8390000000000001E-2</v>
      </c>
      <c r="Z75" s="132">
        <v>6.5460000000000004E-2</v>
      </c>
    </row>
    <row r="76" spans="1:26">
      <c r="A76" t="s">
        <v>1213</v>
      </c>
      <c r="B76" t="s">
        <v>1222</v>
      </c>
      <c r="C76" t="s">
        <v>1258</v>
      </c>
      <c r="D76" t="s">
        <v>1259</v>
      </c>
      <c r="E76" t="s">
        <v>1260</v>
      </c>
      <c r="F76" t="s">
        <v>943</v>
      </c>
      <c r="G76" t="s">
        <v>204</v>
      </c>
      <c r="H76" t="s">
        <v>204</v>
      </c>
      <c r="I76" t="s">
        <v>340</v>
      </c>
      <c r="J76" t="s">
        <v>1261</v>
      </c>
      <c r="K76" t="s">
        <v>413</v>
      </c>
      <c r="L76" t="s">
        <v>1212</v>
      </c>
      <c r="M76" s="131">
        <v>1.07</v>
      </c>
      <c r="N76" t="s">
        <v>1262</v>
      </c>
      <c r="O76" s="132">
        <v>-1.4999999999999999E-4</v>
      </c>
      <c r="P76" s="132">
        <v>1.2999999999999999E-2</v>
      </c>
      <c r="R76" s="131">
        <v>1768000</v>
      </c>
      <c r="S76" s="131">
        <v>1</v>
      </c>
      <c r="T76" s="131">
        <v>116.02</v>
      </c>
      <c r="U76" s="131">
        <v>2051.2339999999999</v>
      </c>
      <c r="W76" s="16" t="s">
        <v>15</v>
      </c>
      <c r="X76" s="132">
        <v>8.0000000000000007E-5</v>
      </c>
      <c r="Y76" s="132">
        <v>7.7929999999999999E-2</v>
      </c>
      <c r="Z76" s="132">
        <v>6.5070000000000003E-2</v>
      </c>
    </row>
    <row r="77" spans="1:26">
      <c r="A77" t="s">
        <v>1213</v>
      </c>
      <c r="B77" t="s">
        <v>1222</v>
      </c>
      <c r="C77" t="s">
        <v>1258</v>
      </c>
      <c r="D77" t="s">
        <v>1309</v>
      </c>
      <c r="E77" t="s">
        <v>1310</v>
      </c>
      <c r="F77" t="s">
        <v>943</v>
      </c>
      <c r="G77" t="s">
        <v>204</v>
      </c>
      <c r="H77" t="s">
        <v>204</v>
      </c>
      <c r="I77" t="s">
        <v>340</v>
      </c>
      <c r="J77" t="s">
        <v>1265</v>
      </c>
      <c r="K77" t="s">
        <v>415</v>
      </c>
      <c r="L77" t="s">
        <v>1212</v>
      </c>
      <c r="M77" s="131">
        <v>1.83</v>
      </c>
      <c r="N77" t="s">
        <v>1311</v>
      </c>
      <c r="O77" s="132">
        <v>9.5200000000000007E-3</v>
      </c>
      <c r="P77" s="132">
        <v>1.5699999999999999E-2</v>
      </c>
      <c r="R77" s="131">
        <v>1614193</v>
      </c>
      <c r="S77" s="131">
        <v>1</v>
      </c>
      <c r="T77" s="131">
        <v>112.44</v>
      </c>
      <c r="U77" s="131">
        <v>1814.999</v>
      </c>
      <c r="W77" s="16" t="s">
        <v>15</v>
      </c>
      <c r="X77" s="132">
        <v>8.0000000000000007E-5</v>
      </c>
      <c r="Y77" s="132">
        <v>6.8949999999999997E-2</v>
      </c>
      <c r="Z77" s="132">
        <v>5.7579999999999999E-2</v>
      </c>
    </row>
    <row r="78" spans="1:26">
      <c r="A78" t="s">
        <v>1213</v>
      </c>
      <c r="B78" t="s">
        <v>1222</v>
      </c>
      <c r="C78" t="s">
        <v>1267</v>
      </c>
      <c r="D78" t="s">
        <v>1347</v>
      </c>
      <c r="E78" t="s">
        <v>1348</v>
      </c>
      <c r="F78" t="s">
        <v>945</v>
      </c>
      <c r="G78" t="s">
        <v>204</v>
      </c>
      <c r="H78" t="s">
        <v>204</v>
      </c>
      <c r="I78" t="s">
        <v>340</v>
      </c>
      <c r="J78" t="s">
        <v>1261</v>
      </c>
      <c r="K78" t="s">
        <v>413</v>
      </c>
      <c r="L78" t="s">
        <v>1212</v>
      </c>
      <c r="M78" s="131">
        <v>3.86</v>
      </c>
      <c r="N78" t="s">
        <v>1349</v>
      </c>
      <c r="O78" s="132">
        <v>3.288E-2</v>
      </c>
      <c r="P78" s="132">
        <v>4.5100000000000001E-2</v>
      </c>
      <c r="R78" s="131">
        <v>1633644</v>
      </c>
      <c r="S78" s="131">
        <v>1</v>
      </c>
      <c r="T78" s="131">
        <v>91.9</v>
      </c>
      <c r="U78" s="131">
        <v>1501.319</v>
      </c>
      <c r="W78" s="16" t="s">
        <v>15</v>
      </c>
      <c r="X78" s="132">
        <v>5.0000000000000002E-5</v>
      </c>
      <c r="Y78" s="132">
        <v>5.704E-2</v>
      </c>
      <c r="Z78" s="132">
        <v>4.7629999999999999E-2</v>
      </c>
    </row>
    <row r="79" spans="1:26">
      <c r="A79" t="s">
        <v>1213</v>
      </c>
      <c r="B79" t="s">
        <v>1222</v>
      </c>
      <c r="C79" t="s">
        <v>1267</v>
      </c>
      <c r="D79" t="s">
        <v>1341</v>
      </c>
      <c r="E79" t="s">
        <v>1342</v>
      </c>
      <c r="F79" t="s">
        <v>945</v>
      </c>
      <c r="G79" t="s">
        <v>204</v>
      </c>
      <c r="H79" t="s">
        <v>204</v>
      </c>
      <c r="I79" t="s">
        <v>340</v>
      </c>
      <c r="J79" t="s">
        <v>1261</v>
      </c>
      <c r="K79" t="s">
        <v>413</v>
      </c>
      <c r="L79" t="s">
        <v>1212</v>
      </c>
      <c r="M79" s="131">
        <v>2.44</v>
      </c>
      <c r="N79" t="s">
        <v>1343</v>
      </c>
      <c r="O79" s="132">
        <v>3.7440000000000001E-2</v>
      </c>
      <c r="P79" s="132">
        <v>4.3999999999999997E-2</v>
      </c>
      <c r="R79" s="131">
        <v>1350000</v>
      </c>
      <c r="S79" s="131">
        <v>1</v>
      </c>
      <c r="T79" s="131">
        <v>95.44</v>
      </c>
      <c r="U79" s="131">
        <v>1288.44</v>
      </c>
      <c r="W79" s="16" t="s">
        <v>15</v>
      </c>
      <c r="X79" s="132">
        <v>5.0000000000000002E-5</v>
      </c>
      <c r="Y79" s="132">
        <v>4.895E-2</v>
      </c>
      <c r="Z79" s="132">
        <v>4.0869999999999997E-2</v>
      </c>
    </row>
    <row r="80" spans="1:26">
      <c r="A80" t="s">
        <v>1213</v>
      </c>
      <c r="B80" t="s">
        <v>1222</v>
      </c>
      <c r="C80" t="s">
        <v>1267</v>
      </c>
      <c r="D80" t="s">
        <v>1281</v>
      </c>
      <c r="E80" t="s">
        <v>1282</v>
      </c>
      <c r="F80" t="s">
        <v>945</v>
      </c>
      <c r="G80" t="s">
        <v>204</v>
      </c>
      <c r="H80" t="s">
        <v>204</v>
      </c>
      <c r="I80" t="s">
        <v>340</v>
      </c>
      <c r="J80" t="s">
        <v>1261</v>
      </c>
      <c r="K80" t="s">
        <v>413</v>
      </c>
      <c r="L80" t="s">
        <v>1212</v>
      </c>
      <c r="M80" s="131">
        <v>5.33</v>
      </c>
      <c r="N80" t="s">
        <v>1283</v>
      </c>
      <c r="O80" s="132">
        <v>3.8300000000000001E-2</v>
      </c>
      <c r="P80" s="132">
        <v>4.6300000000000001E-2</v>
      </c>
      <c r="R80" s="131">
        <v>1391823</v>
      </c>
      <c r="S80" s="131">
        <v>1</v>
      </c>
      <c r="T80" s="131">
        <v>83.24</v>
      </c>
      <c r="U80" s="131">
        <v>1158.5530000000001</v>
      </c>
      <c r="W80" s="16" t="s">
        <v>15</v>
      </c>
      <c r="X80" s="132">
        <v>4.0000000000000003E-5</v>
      </c>
      <c r="Y80" s="132">
        <v>4.4019999999999997E-2</v>
      </c>
      <c r="Z80" s="132">
        <v>3.6749999999999998E-2</v>
      </c>
    </row>
    <row r="81" spans="1:26">
      <c r="A81" t="s">
        <v>1213</v>
      </c>
      <c r="B81" t="s">
        <v>1222</v>
      </c>
      <c r="C81" t="s">
        <v>1267</v>
      </c>
      <c r="D81" t="s">
        <v>1274</v>
      </c>
      <c r="E81" t="s">
        <v>1275</v>
      </c>
      <c r="F81" t="s">
        <v>945</v>
      </c>
      <c r="G81" t="s">
        <v>204</v>
      </c>
      <c r="H81" t="s">
        <v>204</v>
      </c>
      <c r="I81" t="s">
        <v>340</v>
      </c>
      <c r="J81" t="s">
        <v>1265</v>
      </c>
      <c r="K81" t="s">
        <v>415</v>
      </c>
      <c r="L81" t="s">
        <v>1212</v>
      </c>
      <c r="M81" s="131">
        <v>1.4</v>
      </c>
      <c r="N81" t="s">
        <v>1276</v>
      </c>
      <c r="O81" s="132">
        <v>3.3869999999999997E-2</v>
      </c>
      <c r="P81" s="132">
        <v>4.3799999999999999E-2</v>
      </c>
      <c r="R81" s="131">
        <v>1160000</v>
      </c>
      <c r="S81" s="131">
        <v>1</v>
      </c>
      <c r="T81" s="131">
        <v>95.1</v>
      </c>
      <c r="U81" s="131">
        <v>1103.1600000000001</v>
      </c>
      <c r="W81" s="16" t="s">
        <v>15</v>
      </c>
      <c r="X81" s="132">
        <v>4.0000000000000003E-5</v>
      </c>
      <c r="Y81" s="132">
        <v>4.1910000000000003E-2</v>
      </c>
      <c r="Z81" s="132">
        <v>3.499E-2</v>
      </c>
    </row>
    <row r="82" spans="1:26">
      <c r="A82" t="s">
        <v>1213</v>
      </c>
      <c r="B82" t="s">
        <v>1222</v>
      </c>
      <c r="C82" t="s">
        <v>1267</v>
      </c>
      <c r="D82" t="s">
        <v>1271</v>
      </c>
      <c r="E82" t="s">
        <v>1272</v>
      </c>
      <c r="F82" t="s">
        <v>945</v>
      </c>
      <c r="G82" t="s">
        <v>204</v>
      </c>
      <c r="H82" t="s">
        <v>204</v>
      </c>
      <c r="I82" t="s">
        <v>340</v>
      </c>
      <c r="J82" t="s">
        <v>1261</v>
      </c>
      <c r="K82" t="s">
        <v>413</v>
      </c>
      <c r="L82" t="s">
        <v>1212</v>
      </c>
      <c r="M82" s="131">
        <v>11.32</v>
      </c>
      <c r="N82" t="s">
        <v>1273</v>
      </c>
      <c r="O82" s="132">
        <v>3.5220000000000001E-2</v>
      </c>
      <c r="P82" s="132">
        <v>5.1700000000000003E-2</v>
      </c>
      <c r="R82" s="131">
        <v>970000</v>
      </c>
      <c r="S82" s="131">
        <v>1</v>
      </c>
      <c r="T82" s="131">
        <v>107.34</v>
      </c>
      <c r="U82" s="131">
        <v>1041.1980000000001</v>
      </c>
      <c r="W82" s="16" t="s">
        <v>15</v>
      </c>
      <c r="X82" s="132">
        <v>4.0000000000000003E-5</v>
      </c>
      <c r="Y82" s="132">
        <v>3.9559999999999998E-2</v>
      </c>
      <c r="Z82" s="132">
        <v>3.3029999999999997E-2</v>
      </c>
    </row>
    <row r="83" spans="1:26">
      <c r="A83" t="s">
        <v>1213</v>
      </c>
      <c r="B83" t="s">
        <v>1222</v>
      </c>
      <c r="C83" t="s">
        <v>1258</v>
      </c>
      <c r="D83" t="s">
        <v>1332</v>
      </c>
      <c r="E83" t="s">
        <v>1333</v>
      </c>
      <c r="F83" t="s">
        <v>943</v>
      </c>
      <c r="G83" t="s">
        <v>204</v>
      </c>
      <c r="H83" t="s">
        <v>204</v>
      </c>
      <c r="I83" t="s">
        <v>340</v>
      </c>
      <c r="J83" t="s">
        <v>1261</v>
      </c>
      <c r="K83" t="s">
        <v>413</v>
      </c>
      <c r="L83" t="s">
        <v>1212</v>
      </c>
      <c r="M83" s="131">
        <v>8.43</v>
      </c>
      <c r="N83" t="s">
        <v>1334</v>
      </c>
      <c r="O83" s="132">
        <v>1.8800000000000001E-2</v>
      </c>
      <c r="P83" s="132">
        <v>2.1299999999999999E-2</v>
      </c>
      <c r="R83" s="131">
        <v>970000</v>
      </c>
      <c r="S83" s="131">
        <v>1</v>
      </c>
      <c r="T83" s="131">
        <v>100.1</v>
      </c>
      <c r="U83" s="131">
        <v>970.97</v>
      </c>
      <c r="W83" s="16" t="s">
        <v>15</v>
      </c>
      <c r="X83" s="132">
        <v>1E-4</v>
      </c>
      <c r="Y83" s="132">
        <v>3.6889999999999999E-2</v>
      </c>
      <c r="Z83" s="132">
        <v>3.0800000000000001E-2</v>
      </c>
    </row>
    <row r="84" spans="1:26">
      <c r="A84" t="s">
        <v>1213</v>
      </c>
      <c r="B84" t="s">
        <v>1222</v>
      </c>
      <c r="C84" t="s">
        <v>1290</v>
      </c>
      <c r="D84" t="s">
        <v>1335</v>
      </c>
      <c r="E84" t="s">
        <v>1336</v>
      </c>
      <c r="F84" t="s">
        <v>949</v>
      </c>
      <c r="G84" t="s">
        <v>204</v>
      </c>
      <c r="H84" t="s">
        <v>204</v>
      </c>
      <c r="I84" t="s">
        <v>340</v>
      </c>
      <c r="J84" t="s">
        <v>1261</v>
      </c>
      <c r="K84" t="s">
        <v>413</v>
      </c>
      <c r="L84" t="s">
        <v>1212</v>
      </c>
      <c r="M84" s="131">
        <v>0.35</v>
      </c>
      <c r="N84" t="s">
        <v>1337</v>
      </c>
      <c r="O84" s="132">
        <v>4.163E-2</v>
      </c>
      <c r="P84" s="132">
        <v>4.2599999999999999E-2</v>
      </c>
      <c r="R84" s="131">
        <v>900000</v>
      </c>
      <c r="S84" s="131">
        <v>1</v>
      </c>
      <c r="T84" s="131">
        <v>98.56</v>
      </c>
      <c r="U84" s="131">
        <v>887.04</v>
      </c>
      <c r="W84" s="16" t="s">
        <v>15</v>
      </c>
      <c r="X84" s="132">
        <v>8.0000000000000007E-5</v>
      </c>
      <c r="Y84" s="132">
        <v>3.3700000000000001E-2</v>
      </c>
      <c r="Z84" s="132">
        <v>2.8139999999999998E-2</v>
      </c>
    </row>
    <row r="85" spans="1:26">
      <c r="A85" t="s">
        <v>1213</v>
      </c>
      <c r="B85" t="s">
        <v>1222</v>
      </c>
      <c r="C85" t="s">
        <v>1267</v>
      </c>
      <c r="D85" t="s">
        <v>1306</v>
      </c>
      <c r="E85" t="s">
        <v>1307</v>
      </c>
      <c r="F85" t="s">
        <v>945</v>
      </c>
      <c r="G85" t="s">
        <v>204</v>
      </c>
      <c r="H85" t="s">
        <v>204</v>
      </c>
      <c r="I85" t="s">
        <v>340</v>
      </c>
      <c r="J85" t="s">
        <v>1265</v>
      </c>
      <c r="K85" t="s">
        <v>415</v>
      </c>
      <c r="L85" t="s">
        <v>1212</v>
      </c>
      <c r="M85" s="131">
        <v>4.0599999999999996</v>
      </c>
      <c r="N85" t="s">
        <v>1308</v>
      </c>
      <c r="O85" s="132">
        <v>3.27E-2</v>
      </c>
      <c r="P85" s="132">
        <v>4.5600000000000002E-2</v>
      </c>
      <c r="R85" s="131">
        <v>874858</v>
      </c>
      <c r="S85" s="131">
        <v>1</v>
      </c>
      <c r="T85" s="131">
        <v>99.02</v>
      </c>
      <c r="U85" s="131">
        <v>866.28399999999999</v>
      </c>
      <c r="W85" s="16" t="s">
        <v>15</v>
      </c>
      <c r="X85" s="132">
        <v>3.0000000000000001E-5</v>
      </c>
      <c r="Y85" s="132">
        <v>3.2910000000000002E-2</v>
      </c>
      <c r="Z85" s="132">
        <v>2.7480000000000001E-2</v>
      </c>
    </row>
    <row r="86" spans="1:26">
      <c r="A86" t="s">
        <v>1213</v>
      </c>
      <c r="B86" t="s">
        <v>1222</v>
      </c>
      <c r="C86" t="s">
        <v>1290</v>
      </c>
      <c r="D86" t="s">
        <v>1318</v>
      </c>
      <c r="E86" t="s">
        <v>1319</v>
      </c>
      <c r="F86" t="s">
        <v>949</v>
      </c>
      <c r="G86" t="s">
        <v>204</v>
      </c>
      <c r="H86" t="s">
        <v>204</v>
      </c>
      <c r="I86" t="s">
        <v>340</v>
      </c>
      <c r="J86" t="s">
        <v>1261</v>
      </c>
      <c r="K86" t="s">
        <v>413</v>
      </c>
      <c r="L86" t="s">
        <v>1212</v>
      </c>
      <c r="M86" s="131">
        <v>0.27</v>
      </c>
      <c r="N86" t="s">
        <v>1320</v>
      </c>
      <c r="O86" s="132">
        <v>4.0079999999999998E-2</v>
      </c>
      <c r="P86" s="132">
        <v>4.3200000000000002E-2</v>
      </c>
      <c r="R86" s="131">
        <v>875000</v>
      </c>
      <c r="S86" s="131">
        <v>1</v>
      </c>
      <c r="T86" s="131">
        <v>98.86</v>
      </c>
      <c r="U86" s="131">
        <v>865.02499999999998</v>
      </c>
      <c r="W86" s="16" t="s">
        <v>15</v>
      </c>
      <c r="X86" s="132">
        <v>6.9999999999999994E-5</v>
      </c>
      <c r="Y86" s="132">
        <v>3.286E-2</v>
      </c>
      <c r="Z86" s="132">
        <v>2.7439999999999999E-2</v>
      </c>
    </row>
    <row r="87" spans="1:26">
      <c r="A87" t="s">
        <v>1213</v>
      </c>
      <c r="B87" t="s">
        <v>1222</v>
      </c>
      <c r="C87" t="s">
        <v>1267</v>
      </c>
      <c r="D87" t="s">
        <v>1287</v>
      </c>
      <c r="E87" t="s">
        <v>1288</v>
      </c>
      <c r="F87" t="s">
        <v>945</v>
      </c>
      <c r="G87" t="s">
        <v>204</v>
      </c>
      <c r="H87" t="s">
        <v>204</v>
      </c>
      <c r="I87" t="s">
        <v>340</v>
      </c>
      <c r="J87" t="s">
        <v>1261</v>
      </c>
      <c r="K87" t="s">
        <v>413</v>
      </c>
      <c r="L87" t="s">
        <v>1212</v>
      </c>
      <c r="M87" s="131">
        <v>0.92</v>
      </c>
      <c r="N87" t="s">
        <v>1289</v>
      </c>
      <c r="O87" s="132">
        <v>2.2790000000000001E-2</v>
      </c>
      <c r="P87" s="132">
        <v>4.1700000000000001E-2</v>
      </c>
      <c r="R87" s="131">
        <v>868160</v>
      </c>
      <c r="S87" s="131">
        <v>1</v>
      </c>
      <c r="T87" s="131">
        <v>98.02</v>
      </c>
      <c r="U87" s="131">
        <v>850.97</v>
      </c>
      <c r="W87" s="16" t="s">
        <v>15</v>
      </c>
      <c r="X87" s="132">
        <v>4.0000000000000003E-5</v>
      </c>
      <c r="Y87" s="132">
        <v>3.2329999999999998E-2</v>
      </c>
      <c r="Z87" s="132">
        <v>2.699E-2</v>
      </c>
    </row>
    <row r="88" spans="1:26">
      <c r="A88" t="s">
        <v>1213</v>
      </c>
      <c r="B88" t="s">
        <v>1222</v>
      </c>
      <c r="C88" t="s">
        <v>1290</v>
      </c>
      <c r="D88" t="s">
        <v>1291</v>
      </c>
      <c r="E88" t="s">
        <v>1292</v>
      </c>
      <c r="F88" t="s">
        <v>949</v>
      </c>
      <c r="G88" t="s">
        <v>204</v>
      </c>
      <c r="H88" t="s">
        <v>204</v>
      </c>
      <c r="I88" t="s">
        <v>340</v>
      </c>
      <c r="J88" t="s">
        <v>1261</v>
      </c>
      <c r="K88" t="s">
        <v>413</v>
      </c>
      <c r="L88" t="s">
        <v>1212</v>
      </c>
      <c r="M88" s="131">
        <v>0.42</v>
      </c>
      <c r="N88" t="s">
        <v>1293</v>
      </c>
      <c r="O88" s="132">
        <v>4.3520000000000003E-2</v>
      </c>
      <c r="P88" s="132">
        <v>4.3200000000000002E-2</v>
      </c>
      <c r="R88" s="131">
        <v>800000</v>
      </c>
      <c r="S88" s="131">
        <v>1</v>
      </c>
      <c r="T88" s="131">
        <v>98.22</v>
      </c>
      <c r="U88" s="131">
        <v>785.76</v>
      </c>
      <c r="W88" s="16" t="s">
        <v>15</v>
      </c>
      <c r="X88" s="132">
        <v>6.9999999999999994E-5</v>
      </c>
      <c r="Y88" s="132">
        <v>2.9850000000000002E-2</v>
      </c>
      <c r="Z88" s="132">
        <v>2.4930000000000001E-2</v>
      </c>
    </row>
    <row r="89" spans="1:26">
      <c r="A89" t="s">
        <v>1213</v>
      </c>
      <c r="B89" t="s">
        <v>1222</v>
      </c>
      <c r="C89" t="s">
        <v>1267</v>
      </c>
      <c r="D89" t="s">
        <v>1368</v>
      </c>
      <c r="E89" t="s">
        <v>1369</v>
      </c>
      <c r="F89" t="s">
        <v>945</v>
      </c>
      <c r="G89" t="s">
        <v>204</v>
      </c>
      <c r="H89" t="s">
        <v>204</v>
      </c>
      <c r="I89" t="s">
        <v>340</v>
      </c>
      <c r="J89" t="s">
        <v>1261</v>
      </c>
      <c r="K89" t="s">
        <v>413</v>
      </c>
      <c r="L89" t="s">
        <v>1212</v>
      </c>
      <c r="M89" s="131">
        <v>2.89</v>
      </c>
      <c r="N89" t="s">
        <v>1370</v>
      </c>
      <c r="O89" s="132">
        <v>4.3400000000000001E-2</v>
      </c>
      <c r="P89" s="132">
        <v>4.4499999999999998E-2</v>
      </c>
      <c r="R89" s="131">
        <v>700000</v>
      </c>
      <c r="S89" s="131">
        <v>1</v>
      </c>
      <c r="T89" s="131">
        <v>98.09</v>
      </c>
      <c r="U89" s="131">
        <v>686.63</v>
      </c>
      <c r="W89" s="16" t="s">
        <v>15</v>
      </c>
      <c r="X89" s="132">
        <v>4.0000000000000003E-5</v>
      </c>
      <c r="Y89" s="132">
        <v>2.6089999999999999E-2</v>
      </c>
      <c r="Z89" s="132">
        <v>2.1780000000000001E-2</v>
      </c>
    </row>
    <row r="90" spans="1:26">
      <c r="A90" t="s">
        <v>1213</v>
      </c>
      <c r="B90" t="s">
        <v>1222</v>
      </c>
      <c r="C90" t="s">
        <v>1267</v>
      </c>
      <c r="D90" t="s">
        <v>1353</v>
      </c>
      <c r="E90" t="s">
        <v>1354</v>
      </c>
      <c r="F90" t="s">
        <v>945</v>
      </c>
      <c r="G90" t="s">
        <v>204</v>
      </c>
      <c r="H90" t="s">
        <v>204</v>
      </c>
      <c r="I90" t="s">
        <v>340</v>
      </c>
      <c r="J90" t="s">
        <v>1261</v>
      </c>
      <c r="K90" t="s">
        <v>413</v>
      </c>
      <c r="L90" t="s">
        <v>1212</v>
      </c>
      <c r="M90" s="131">
        <v>8.52</v>
      </c>
      <c r="N90" t="s">
        <v>1355</v>
      </c>
      <c r="O90" s="132">
        <v>4.1230000000000003E-2</v>
      </c>
      <c r="P90" s="132">
        <v>4.8800000000000003E-2</v>
      </c>
      <c r="R90" s="131">
        <v>420000</v>
      </c>
      <c r="S90" s="131">
        <v>1</v>
      </c>
      <c r="T90" s="131">
        <v>94.93</v>
      </c>
      <c r="U90" s="131">
        <v>398.70600000000002</v>
      </c>
      <c r="W90" s="16" t="s">
        <v>15</v>
      </c>
      <c r="X90" s="132">
        <v>2.0000000000000002E-5</v>
      </c>
      <c r="Y90" s="132">
        <v>1.515E-2</v>
      </c>
      <c r="Z90" s="132">
        <v>1.265E-2</v>
      </c>
    </row>
    <row r="91" spans="1:26">
      <c r="A91" t="s">
        <v>1213</v>
      </c>
      <c r="B91" t="s">
        <v>1222</v>
      </c>
      <c r="C91" t="s">
        <v>1267</v>
      </c>
      <c r="D91" t="s">
        <v>1356</v>
      </c>
      <c r="E91" t="s">
        <v>1357</v>
      </c>
      <c r="F91" t="s">
        <v>945</v>
      </c>
      <c r="G91" t="s">
        <v>204</v>
      </c>
      <c r="H91" t="s">
        <v>204</v>
      </c>
      <c r="I91" t="s">
        <v>340</v>
      </c>
      <c r="J91" t="s">
        <v>1261</v>
      </c>
      <c r="K91" t="s">
        <v>413</v>
      </c>
      <c r="L91" t="s">
        <v>1212</v>
      </c>
      <c r="M91" s="131">
        <v>7.17</v>
      </c>
      <c r="N91" t="s">
        <v>1358</v>
      </c>
      <c r="O91" s="132">
        <v>3.7449999999999997E-2</v>
      </c>
      <c r="P91" s="132">
        <v>4.7500000000000001E-2</v>
      </c>
      <c r="R91" s="131">
        <v>500000</v>
      </c>
      <c r="S91" s="131">
        <v>1</v>
      </c>
      <c r="T91" s="131">
        <v>78.98</v>
      </c>
      <c r="U91" s="131">
        <v>394.9</v>
      </c>
      <c r="W91" s="16" t="s">
        <v>15</v>
      </c>
      <c r="X91" s="132">
        <v>2.0000000000000002E-5</v>
      </c>
      <c r="Y91" s="132">
        <v>1.4999999999999999E-2</v>
      </c>
      <c r="Z91" s="132">
        <v>1.2529999999999999E-2</v>
      </c>
    </row>
    <row r="92" spans="1:26">
      <c r="A92" t="s">
        <v>1213</v>
      </c>
      <c r="B92" t="s">
        <v>1222</v>
      </c>
      <c r="C92" t="s">
        <v>1258</v>
      </c>
      <c r="D92" t="s">
        <v>1297</v>
      </c>
      <c r="E92" t="s">
        <v>1298</v>
      </c>
      <c r="F92" t="s">
        <v>943</v>
      </c>
      <c r="G92" t="s">
        <v>204</v>
      </c>
      <c r="H92" t="s">
        <v>204</v>
      </c>
      <c r="I92" t="s">
        <v>340</v>
      </c>
      <c r="J92" t="s">
        <v>1265</v>
      </c>
      <c r="K92" t="s">
        <v>415</v>
      </c>
      <c r="L92" t="s">
        <v>1212</v>
      </c>
      <c r="M92" s="131">
        <v>7.14</v>
      </c>
      <c r="N92" t="s">
        <v>1299</v>
      </c>
      <c r="O92" s="132">
        <v>8.7100000000000007E-3</v>
      </c>
      <c r="P92" s="132">
        <v>1.9900000000000001E-2</v>
      </c>
      <c r="R92" s="131">
        <v>388122</v>
      </c>
      <c r="S92" s="131">
        <v>1</v>
      </c>
      <c r="T92" s="131">
        <v>101.1</v>
      </c>
      <c r="U92" s="131">
        <v>392.39100000000002</v>
      </c>
      <c r="W92" s="16" t="s">
        <v>15</v>
      </c>
      <c r="X92" s="132">
        <v>1.0000000000000001E-5</v>
      </c>
      <c r="Y92" s="132">
        <v>1.491E-2</v>
      </c>
      <c r="Z92" s="132">
        <v>1.2449999999999999E-2</v>
      </c>
    </row>
    <row r="93" spans="1:26">
      <c r="A93" t="s">
        <v>1213</v>
      </c>
      <c r="B93" t="s">
        <v>1222</v>
      </c>
      <c r="C93" t="s">
        <v>1290</v>
      </c>
      <c r="D93" t="s">
        <v>1294</v>
      </c>
      <c r="E93" t="s">
        <v>1295</v>
      </c>
      <c r="F93" t="s">
        <v>949</v>
      </c>
      <c r="G93" t="s">
        <v>204</v>
      </c>
      <c r="H93" t="s">
        <v>204</v>
      </c>
      <c r="I93" t="s">
        <v>340</v>
      </c>
      <c r="J93" t="s">
        <v>1265</v>
      </c>
      <c r="K93" t="s">
        <v>415</v>
      </c>
      <c r="L93" t="s">
        <v>1212</v>
      </c>
      <c r="M93" s="131">
        <v>0.85</v>
      </c>
      <c r="N93" t="s">
        <v>1296</v>
      </c>
      <c r="O93" s="132">
        <v>4.0590000000000001E-2</v>
      </c>
      <c r="P93" s="132">
        <v>4.3200000000000002E-2</v>
      </c>
      <c r="R93" s="131">
        <v>400000</v>
      </c>
      <c r="S93" s="131">
        <v>1</v>
      </c>
      <c r="T93" s="131">
        <v>96.48</v>
      </c>
      <c r="U93" s="131">
        <v>385.92</v>
      </c>
      <c r="W93" s="16" t="s">
        <v>15</v>
      </c>
      <c r="X93" s="132">
        <v>3.0000000000000001E-5</v>
      </c>
      <c r="Y93" s="132">
        <v>1.4659999999999999E-2</v>
      </c>
      <c r="Z93" s="132">
        <v>1.2239999999999999E-2</v>
      </c>
    </row>
    <row r="94" spans="1:26">
      <c r="A94" t="s">
        <v>1213</v>
      </c>
      <c r="B94" t="s">
        <v>1222</v>
      </c>
      <c r="C94" t="s">
        <v>1258</v>
      </c>
      <c r="D94" t="s">
        <v>1365</v>
      </c>
      <c r="E94" t="s">
        <v>1366</v>
      </c>
      <c r="F94" t="s">
        <v>943</v>
      </c>
      <c r="G94" t="s">
        <v>204</v>
      </c>
      <c r="H94" t="s">
        <v>204</v>
      </c>
      <c r="I94" t="s">
        <v>340</v>
      </c>
      <c r="J94" t="s">
        <v>1261</v>
      </c>
      <c r="K94" t="s">
        <v>413</v>
      </c>
      <c r="L94" t="s">
        <v>1212</v>
      </c>
      <c r="M94" s="131">
        <v>9.64</v>
      </c>
      <c r="N94" t="s">
        <v>1367</v>
      </c>
      <c r="O94" s="132">
        <v>5.6499999999999996E-3</v>
      </c>
      <c r="P94" s="132">
        <v>2.1700000000000001E-2</v>
      </c>
      <c r="R94" s="131">
        <v>185000</v>
      </c>
      <c r="S94" s="131">
        <v>1</v>
      </c>
      <c r="T94" s="131">
        <v>164.63</v>
      </c>
      <c r="U94" s="131">
        <v>304.56599999999997</v>
      </c>
      <c r="W94" s="16" t="s">
        <v>15</v>
      </c>
      <c r="X94" s="132">
        <v>1.0000000000000001E-5</v>
      </c>
      <c r="Y94" s="132">
        <v>1.157E-2</v>
      </c>
      <c r="Z94" s="132">
        <v>9.6600000000000002E-3</v>
      </c>
    </row>
    <row r="95" spans="1:26">
      <c r="A95" t="s">
        <v>1213</v>
      </c>
      <c r="B95" t="s">
        <v>1222</v>
      </c>
      <c r="C95" t="s">
        <v>1290</v>
      </c>
      <c r="D95" t="s">
        <v>1315</v>
      </c>
      <c r="E95" t="s">
        <v>1316</v>
      </c>
      <c r="F95" t="s">
        <v>949</v>
      </c>
      <c r="G95" t="s">
        <v>204</v>
      </c>
      <c r="H95" t="s">
        <v>204</v>
      </c>
      <c r="I95" t="s">
        <v>340</v>
      </c>
      <c r="J95" t="s">
        <v>1261</v>
      </c>
      <c r="K95" t="s">
        <v>413</v>
      </c>
      <c r="L95" t="s">
        <v>1212</v>
      </c>
      <c r="M95" s="131">
        <v>0.5</v>
      </c>
      <c r="N95" t="s">
        <v>1317</v>
      </c>
      <c r="O95" s="132">
        <v>4.2360000000000002E-2</v>
      </c>
      <c r="P95" s="132">
        <v>4.3200000000000002E-2</v>
      </c>
      <c r="R95" s="131">
        <v>270000</v>
      </c>
      <c r="S95" s="131">
        <v>1</v>
      </c>
      <c r="T95" s="131">
        <v>97.9</v>
      </c>
      <c r="U95" s="131">
        <v>264.33</v>
      </c>
      <c r="W95" s="16" t="s">
        <v>15</v>
      </c>
      <c r="X95" s="132">
        <v>2.0000000000000002E-5</v>
      </c>
      <c r="Y95" s="132">
        <v>1.004E-2</v>
      </c>
      <c r="Z95" s="132">
        <v>8.3899999999999999E-3</v>
      </c>
    </row>
    <row r="96" spans="1:26">
      <c r="A96" t="s">
        <v>1213</v>
      </c>
      <c r="B96" t="s">
        <v>1222</v>
      </c>
      <c r="C96" t="s">
        <v>1290</v>
      </c>
      <c r="D96" t="s">
        <v>1350</v>
      </c>
      <c r="E96" t="s">
        <v>1351</v>
      </c>
      <c r="F96" t="s">
        <v>949</v>
      </c>
      <c r="G96" t="s">
        <v>204</v>
      </c>
      <c r="H96" t="s">
        <v>204</v>
      </c>
      <c r="I96" t="s">
        <v>340</v>
      </c>
      <c r="J96" t="s">
        <v>1261</v>
      </c>
      <c r="K96" t="s">
        <v>413</v>
      </c>
      <c r="L96" t="s">
        <v>1212</v>
      </c>
      <c r="M96" s="131">
        <v>0.67</v>
      </c>
      <c r="N96" t="s">
        <v>1352</v>
      </c>
      <c r="O96" s="132">
        <v>4.2200000000000001E-2</v>
      </c>
      <c r="P96" s="132">
        <v>4.2700000000000002E-2</v>
      </c>
      <c r="R96" s="131">
        <v>190000</v>
      </c>
      <c r="S96" s="131">
        <v>1</v>
      </c>
      <c r="T96" s="131">
        <v>97.22</v>
      </c>
      <c r="U96" s="131">
        <v>184.71799999999999</v>
      </c>
      <c r="W96" s="16" t="s">
        <v>15</v>
      </c>
      <c r="X96" s="132">
        <v>2.0000000000000002E-5</v>
      </c>
      <c r="Y96" s="132">
        <v>7.0200000000000002E-3</v>
      </c>
      <c r="Z96" s="132">
        <v>5.8599999999999998E-3</v>
      </c>
    </row>
    <row r="97" spans="1:26">
      <c r="A97" t="s">
        <v>1213</v>
      </c>
      <c r="B97" t="s">
        <v>1222</v>
      </c>
      <c r="C97" t="s">
        <v>1267</v>
      </c>
      <c r="D97" t="s">
        <v>1312</v>
      </c>
      <c r="E97" t="s">
        <v>1313</v>
      </c>
      <c r="F97" t="s">
        <v>945</v>
      </c>
      <c r="G97" t="s">
        <v>204</v>
      </c>
      <c r="H97" t="s">
        <v>204</v>
      </c>
      <c r="I97" t="s">
        <v>340</v>
      </c>
      <c r="J97" t="s">
        <v>1261</v>
      </c>
      <c r="K97" t="s">
        <v>413</v>
      </c>
      <c r="L97" t="s">
        <v>1212</v>
      </c>
      <c r="M97" s="131">
        <v>1.91</v>
      </c>
      <c r="N97" t="s">
        <v>1314</v>
      </c>
      <c r="O97" s="132">
        <v>3.7420000000000002E-2</v>
      </c>
      <c r="P97" s="132">
        <v>4.3200000000000002E-2</v>
      </c>
      <c r="R97" s="131">
        <v>85668</v>
      </c>
      <c r="S97" s="131">
        <v>1</v>
      </c>
      <c r="T97" s="131">
        <v>109.5</v>
      </c>
      <c r="U97" s="131">
        <v>93.805999999999997</v>
      </c>
      <c r="W97" s="16" t="s">
        <v>15</v>
      </c>
      <c r="X97" s="132">
        <v>1.0000000000000001E-5</v>
      </c>
      <c r="Y97" s="132">
        <v>3.5599999999999998E-3</v>
      </c>
      <c r="Z97" s="132">
        <v>2.98E-3</v>
      </c>
    </row>
    <row r="98" spans="1:26">
      <c r="A98" t="s">
        <v>1213</v>
      </c>
      <c r="B98" t="s">
        <v>1222</v>
      </c>
      <c r="C98" t="s">
        <v>1321</v>
      </c>
      <c r="D98" t="s">
        <v>1380</v>
      </c>
      <c r="E98" t="s">
        <v>1381</v>
      </c>
      <c r="F98" t="s">
        <v>950</v>
      </c>
      <c r="G98" t="s">
        <v>205</v>
      </c>
      <c r="H98" t="s">
        <v>224</v>
      </c>
      <c r="I98" t="s">
        <v>314</v>
      </c>
      <c r="J98" t="s">
        <v>1324</v>
      </c>
      <c r="K98" t="s">
        <v>423</v>
      </c>
      <c r="L98" t="s">
        <v>1216</v>
      </c>
      <c r="M98" s="131">
        <v>3.4980000000000002</v>
      </c>
      <c r="N98" t="s">
        <v>1382</v>
      </c>
      <c r="O98" s="132">
        <v>4.5420000000000002E-2</v>
      </c>
      <c r="P98" s="132">
        <v>3.56E-2</v>
      </c>
      <c r="R98" s="131">
        <v>190000</v>
      </c>
      <c r="S98" s="131">
        <v>3.71</v>
      </c>
      <c r="T98" s="131">
        <v>102.883</v>
      </c>
      <c r="U98" s="131">
        <v>725.221</v>
      </c>
      <c r="W98" s="16" t="s">
        <v>15</v>
      </c>
      <c r="X98" s="132">
        <v>0</v>
      </c>
      <c r="Y98" s="132">
        <v>2.7550000000000002E-2</v>
      </c>
      <c r="Z98" s="132">
        <v>2.3009999999999999E-2</v>
      </c>
    </row>
    <row r="99" spans="1:26">
      <c r="A99" t="s">
        <v>1213</v>
      </c>
      <c r="B99" t="s">
        <v>1223</v>
      </c>
      <c r="C99" t="s">
        <v>1290</v>
      </c>
      <c r="D99" t="s">
        <v>1338</v>
      </c>
      <c r="E99" t="s">
        <v>1339</v>
      </c>
      <c r="F99" t="s">
        <v>949</v>
      </c>
      <c r="G99" t="s">
        <v>204</v>
      </c>
      <c r="H99" t="s">
        <v>204</v>
      </c>
      <c r="I99" t="s">
        <v>340</v>
      </c>
      <c r="J99" t="s">
        <v>1261</v>
      </c>
      <c r="K99" t="s">
        <v>413</v>
      </c>
      <c r="L99" t="s">
        <v>1212</v>
      </c>
      <c r="M99" s="131">
        <v>0.18</v>
      </c>
      <c r="N99" t="s">
        <v>1340</v>
      </c>
      <c r="O99" s="132">
        <v>4.0160000000000001E-2</v>
      </c>
      <c r="P99" s="132">
        <v>4.2700000000000002E-2</v>
      </c>
      <c r="R99" s="131">
        <v>4500000</v>
      </c>
      <c r="S99" s="131">
        <v>1</v>
      </c>
      <c r="T99" s="131">
        <v>99.27</v>
      </c>
      <c r="U99" s="131">
        <v>4467.1499999999996</v>
      </c>
      <c r="W99" s="16" t="s">
        <v>15</v>
      </c>
      <c r="X99" s="132">
        <v>1.1E-4</v>
      </c>
      <c r="Y99" s="132">
        <v>0.15303</v>
      </c>
      <c r="Z99" s="132">
        <v>1.502E-2</v>
      </c>
    </row>
    <row r="100" spans="1:26">
      <c r="A100" t="s">
        <v>1213</v>
      </c>
      <c r="B100" t="s">
        <v>1223</v>
      </c>
      <c r="C100" t="s">
        <v>1290</v>
      </c>
      <c r="D100" t="s">
        <v>1294</v>
      </c>
      <c r="E100" t="s">
        <v>1295</v>
      </c>
      <c r="F100" t="s">
        <v>949</v>
      </c>
      <c r="G100" t="s">
        <v>204</v>
      </c>
      <c r="H100" t="s">
        <v>204</v>
      </c>
      <c r="I100" t="s">
        <v>340</v>
      </c>
      <c r="J100" t="s">
        <v>1265</v>
      </c>
      <c r="K100" t="s">
        <v>415</v>
      </c>
      <c r="L100" t="s">
        <v>1212</v>
      </c>
      <c r="M100" s="131">
        <v>0.85</v>
      </c>
      <c r="N100" t="s">
        <v>1296</v>
      </c>
      <c r="O100" s="132">
        <v>4.0559999999999999E-2</v>
      </c>
      <c r="P100" s="132">
        <v>4.3200000000000002E-2</v>
      </c>
      <c r="R100" s="131">
        <v>3700000</v>
      </c>
      <c r="S100" s="131">
        <v>1</v>
      </c>
      <c r="T100" s="131">
        <v>96.48</v>
      </c>
      <c r="U100" s="131">
        <v>3569.76</v>
      </c>
      <c r="W100" s="16" t="s">
        <v>15</v>
      </c>
      <c r="X100" s="132">
        <v>3.1E-4</v>
      </c>
      <c r="Y100" s="132">
        <v>0.12229</v>
      </c>
      <c r="Z100" s="132">
        <v>1.201E-2</v>
      </c>
    </row>
    <row r="101" spans="1:26">
      <c r="A101" t="s">
        <v>1213</v>
      </c>
      <c r="B101" t="s">
        <v>1223</v>
      </c>
      <c r="C101" t="s">
        <v>1290</v>
      </c>
      <c r="D101" t="s">
        <v>1344</v>
      </c>
      <c r="E101" t="s">
        <v>1345</v>
      </c>
      <c r="F101" t="s">
        <v>949</v>
      </c>
      <c r="G101" t="s">
        <v>204</v>
      </c>
      <c r="H101" t="s">
        <v>204</v>
      </c>
      <c r="I101" t="s">
        <v>340</v>
      </c>
      <c r="J101" t="s">
        <v>1261</v>
      </c>
      <c r="K101" t="s">
        <v>413</v>
      </c>
      <c r="L101" t="s">
        <v>1212</v>
      </c>
      <c r="M101" s="131">
        <v>0.75</v>
      </c>
      <c r="N101" t="s">
        <v>1346</v>
      </c>
      <c r="O101" s="132">
        <v>4.2970000000000001E-2</v>
      </c>
      <c r="P101" s="132">
        <v>4.2799999999999998E-2</v>
      </c>
      <c r="R101" s="131">
        <v>3346232</v>
      </c>
      <c r="S101" s="131">
        <v>1</v>
      </c>
      <c r="T101" s="131">
        <v>96.9</v>
      </c>
      <c r="U101" s="131">
        <v>3242.4989999999998</v>
      </c>
      <c r="W101" s="16" t="s">
        <v>15</v>
      </c>
      <c r="X101" s="132">
        <v>2.7999999999999998E-4</v>
      </c>
      <c r="Y101" s="132">
        <v>0.11107</v>
      </c>
      <c r="Z101" s="132">
        <v>1.091E-2</v>
      </c>
    </row>
    <row r="102" spans="1:26">
      <c r="A102" t="s">
        <v>1213</v>
      </c>
      <c r="B102" t="s">
        <v>1223</v>
      </c>
      <c r="C102" t="s">
        <v>1290</v>
      </c>
      <c r="D102" t="s">
        <v>1315</v>
      </c>
      <c r="E102" t="s">
        <v>1316</v>
      </c>
      <c r="F102" t="s">
        <v>949</v>
      </c>
      <c r="G102" t="s">
        <v>204</v>
      </c>
      <c r="H102" t="s">
        <v>204</v>
      </c>
      <c r="I102" t="s">
        <v>340</v>
      </c>
      <c r="J102" t="s">
        <v>1261</v>
      </c>
      <c r="K102" t="s">
        <v>413</v>
      </c>
      <c r="L102" t="s">
        <v>1212</v>
      </c>
      <c r="M102" s="131">
        <v>0.5</v>
      </c>
      <c r="N102" t="s">
        <v>1317</v>
      </c>
      <c r="O102" s="132">
        <v>4.1750000000000002E-2</v>
      </c>
      <c r="P102" s="132">
        <v>4.3200000000000002E-2</v>
      </c>
      <c r="R102" s="131">
        <v>3000000</v>
      </c>
      <c r="S102" s="131">
        <v>1</v>
      </c>
      <c r="T102" s="131">
        <v>97.9</v>
      </c>
      <c r="U102" s="131">
        <v>2937</v>
      </c>
      <c r="W102" s="16" t="s">
        <v>15</v>
      </c>
      <c r="X102" s="132">
        <v>2.5000000000000001E-4</v>
      </c>
      <c r="Y102" s="132">
        <v>0.10061</v>
      </c>
      <c r="Z102" s="132">
        <v>9.8799999999999999E-3</v>
      </c>
    </row>
    <row r="103" spans="1:26">
      <c r="A103" t="s">
        <v>1213</v>
      </c>
      <c r="B103" t="s">
        <v>1223</v>
      </c>
      <c r="C103" t="s">
        <v>1290</v>
      </c>
      <c r="D103" t="s">
        <v>1303</v>
      </c>
      <c r="E103" t="s">
        <v>1304</v>
      </c>
      <c r="F103" t="s">
        <v>949</v>
      </c>
      <c r="G103" t="s">
        <v>204</v>
      </c>
      <c r="H103" t="s">
        <v>204</v>
      </c>
      <c r="I103" t="s">
        <v>340</v>
      </c>
      <c r="J103" t="s">
        <v>1265</v>
      </c>
      <c r="K103" t="s">
        <v>415</v>
      </c>
      <c r="L103" t="s">
        <v>1212</v>
      </c>
      <c r="M103" s="131">
        <v>0.92</v>
      </c>
      <c r="N103" t="s">
        <v>1305</v>
      </c>
      <c r="O103" s="132">
        <v>4.1619999999999997E-2</v>
      </c>
      <c r="P103" s="132">
        <v>4.2900000000000001E-2</v>
      </c>
      <c r="R103" s="131">
        <v>3000000</v>
      </c>
      <c r="S103" s="131">
        <v>1</v>
      </c>
      <c r="T103" s="131">
        <v>96.2</v>
      </c>
      <c r="U103" s="131">
        <v>2886</v>
      </c>
      <c r="W103" s="16" t="s">
        <v>15</v>
      </c>
      <c r="X103" s="132">
        <v>2.5000000000000001E-4</v>
      </c>
      <c r="Y103" s="132">
        <v>9.8860000000000003E-2</v>
      </c>
      <c r="Z103" s="132">
        <v>9.7099999999999999E-3</v>
      </c>
    </row>
    <row r="104" spans="1:26">
      <c r="A104" t="s">
        <v>1213</v>
      </c>
      <c r="B104" t="s">
        <v>1223</v>
      </c>
      <c r="C104" t="s">
        <v>1290</v>
      </c>
      <c r="D104" t="s">
        <v>1350</v>
      </c>
      <c r="E104" t="s">
        <v>1351</v>
      </c>
      <c r="F104" t="s">
        <v>949</v>
      </c>
      <c r="G104" t="s">
        <v>204</v>
      </c>
      <c r="H104" t="s">
        <v>204</v>
      </c>
      <c r="I104" t="s">
        <v>340</v>
      </c>
      <c r="J104" t="s">
        <v>1261</v>
      </c>
      <c r="K104" t="s">
        <v>413</v>
      </c>
      <c r="L104" t="s">
        <v>1212</v>
      </c>
      <c r="M104" s="131">
        <v>0.67</v>
      </c>
      <c r="N104" t="s">
        <v>1352</v>
      </c>
      <c r="O104" s="132">
        <v>4.3040000000000002E-2</v>
      </c>
      <c r="P104" s="132">
        <v>4.2700000000000002E-2</v>
      </c>
      <c r="R104" s="131">
        <v>2500000</v>
      </c>
      <c r="S104" s="131">
        <v>1</v>
      </c>
      <c r="T104" s="131">
        <v>97.22</v>
      </c>
      <c r="U104" s="131">
        <v>2430.5</v>
      </c>
      <c r="W104" s="16" t="s">
        <v>15</v>
      </c>
      <c r="X104" s="132">
        <v>2.1000000000000001E-4</v>
      </c>
      <c r="Y104" s="132">
        <v>8.3260000000000001E-2</v>
      </c>
      <c r="Z104" s="132">
        <v>8.1700000000000002E-3</v>
      </c>
    </row>
    <row r="105" spans="1:26">
      <c r="A105" t="s">
        <v>1213</v>
      </c>
      <c r="B105" t="s">
        <v>1223</v>
      </c>
      <c r="C105" t="s">
        <v>1290</v>
      </c>
      <c r="D105" t="s">
        <v>1291</v>
      </c>
      <c r="E105" t="s">
        <v>1292</v>
      </c>
      <c r="F105" t="s">
        <v>949</v>
      </c>
      <c r="G105" t="s">
        <v>204</v>
      </c>
      <c r="H105" t="s">
        <v>204</v>
      </c>
      <c r="I105" t="s">
        <v>340</v>
      </c>
      <c r="J105" t="s">
        <v>1261</v>
      </c>
      <c r="K105" t="s">
        <v>413</v>
      </c>
      <c r="L105" t="s">
        <v>1212</v>
      </c>
      <c r="M105" s="131">
        <v>0.42</v>
      </c>
      <c r="N105" t="s">
        <v>1293</v>
      </c>
      <c r="O105" s="132">
        <v>4.061E-2</v>
      </c>
      <c r="P105" s="132">
        <v>4.3200000000000002E-2</v>
      </c>
      <c r="R105" s="131">
        <v>1900000</v>
      </c>
      <c r="S105" s="131">
        <v>1</v>
      </c>
      <c r="T105" s="131">
        <v>98.22</v>
      </c>
      <c r="U105" s="131">
        <v>1866.18</v>
      </c>
      <c r="W105" s="16" t="s">
        <v>15</v>
      </c>
      <c r="X105" s="132">
        <v>1.6000000000000001E-4</v>
      </c>
      <c r="Y105" s="132">
        <v>6.3930000000000001E-2</v>
      </c>
      <c r="Z105" s="132">
        <v>6.28E-3</v>
      </c>
    </row>
    <row r="106" spans="1:26">
      <c r="A106" t="s">
        <v>1213</v>
      </c>
      <c r="B106" t="s">
        <v>1223</v>
      </c>
      <c r="C106" t="s">
        <v>1267</v>
      </c>
      <c r="D106" t="s">
        <v>1341</v>
      </c>
      <c r="E106" t="s">
        <v>1342</v>
      </c>
      <c r="F106" t="s">
        <v>945</v>
      </c>
      <c r="G106" t="s">
        <v>204</v>
      </c>
      <c r="H106" t="s">
        <v>204</v>
      </c>
      <c r="I106" t="s">
        <v>340</v>
      </c>
      <c r="J106" t="s">
        <v>1261</v>
      </c>
      <c r="K106" t="s">
        <v>413</v>
      </c>
      <c r="L106" t="s">
        <v>1212</v>
      </c>
      <c r="M106" s="131">
        <v>2.44</v>
      </c>
      <c r="N106" t="s">
        <v>1343</v>
      </c>
      <c r="O106" s="132">
        <v>4.1739999999999999E-2</v>
      </c>
      <c r="P106" s="132">
        <v>4.3999999999999997E-2</v>
      </c>
      <c r="R106" s="131">
        <v>1750000</v>
      </c>
      <c r="S106" s="131">
        <v>1</v>
      </c>
      <c r="T106" s="131">
        <v>95.44</v>
      </c>
      <c r="U106" s="131">
        <v>1670.2</v>
      </c>
      <c r="W106" s="16" t="s">
        <v>15</v>
      </c>
      <c r="X106" s="132">
        <v>6.9999999999999994E-5</v>
      </c>
      <c r="Y106" s="132">
        <v>5.7209999999999997E-2</v>
      </c>
      <c r="Z106" s="132">
        <v>5.62E-3</v>
      </c>
    </row>
    <row r="107" spans="1:26">
      <c r="A107" t="s">
        <v>1213</v>
      </c>
      <c r="B107" t="s">
        <v>1223</v>
      </c>
      <c r="C107" t="s">
        <v>1267</v>
      </c>
      <c r="D107" t="s">
        <v>1274</v>
      </c>
      <c r="E107" t="s">
        <v>1275</v>
      </c>
      <c r="F107" t="s">
        <v>945</v>
      </c>
      <c r="G107" t="s">
        <v>204</v>
      </c>
      <c r="H107" t="s">
        <v>204</v>
      </c>
      <c r="I107" t="s">
        <v>340</v>
      </c>
      <c r="J107" t="s">
        <v>1265</v>
      </c>
      <c r="K107" t="s">
        <v>415</v>
      </c>
      <c r="L107" t="s">
        <v>1212</v>
      </c>
      <c r="M107" s="131">
        <v>1.4</v>
      </c>
      <c r="N107" t="s">
        <v>1276</v>
      </c>
      <c r="O107" s="132">
        <v>4.0759999999999998E-2</v>
      </c>
      <c r="P107" s="132">
        <v>4.3799999999999999E-2</v>
      </c>
      <c r="R107" s="131">
        <v>1500000</v>
      </c>
      <c r="S107" s="131">
        <v>1</v>
      </c>
      <c r="T107" s="131">
        <v>95.1</v>
      </c>
      <c r="U107" s="131">
        <v>1426.5</v>
      </c>
      <c r="W107" s="16" t="s">
        <v>15</v>
      </c>
      <c r="X107" s="132">
        <v>5.0000000000000002E-5</v>
      </c>
      <c r="Y107" s="132">
        <v>4.8869999999999997E-2</v>
      </c>
      <c r="Z107" s="132">
        <v>4.7999999999999996E-3</v>
      </c>
    </row>
    <row r="108" spans="1:26">
      <c r="A108" t="s">
        <v>1213</v>
      </c>
      <c r="B108" t="s">
        <v>1223</v>
      </c>
      <c r="C108" t="s">
        <v>1267</v>
      </c>
      <c r="D108" t="s">
        <v>1356</v>
      </c>
      <c r="E108" t="s">
        <v>1357</v>
      </c>
      <c r="F108" t="s">
        <v>945</v>
      </c>
      <c r="G108" t="s">
        <v>204</v>
      </c>
      <c r="H108" t="s">
        <v>204</v>
      </c>
      <c r="I108" t="s">
        <v>340</v>
      </c>
      <c r="J108" t="s">
        <v>1261</v>
      </c>
      <c r="K108" t="s">
        <v>413</v>
      </c>
      <c r="L108" t="s">
        <v>1212</v>
      </c>
      <c r="M108" s="131">
        <v>7.17</v>
      </c>
      <c r="N108" t="s">
        <v>1358</v>
      </c>
      <c r="O108" s="132">
        <v>4.4420000000000001E-2</v>
      </c>
      <c r="P108" s="132">
        <v>4.7500000000000001E-2</v>
      </c>
      <c r="R108" s="131">
        <v>1695000</v>
      </c>
      <c r="S108" s="131">
        <v>1</v>
      </c>
      <c r="T108" s="131">
        <v>78.98</v>
      </c>
      <c r="U108" s="131">
        <v>1338.711</v>
      </c>
      <c r="W108" s="16" t="s">
        <v>15</v>
      </c>
      <c r="X108" s="132">
        <v>6.0000000000000002E-5</v>
      </c>
      <c r="Y108" s="132">
        <v>4.5859999999999998E-2</v>
      </c>
      <c r="Z108" s="132">
        <v>4.4999999999999997E-3</v>
      </c>
    </row>
    <row r="109" spans="1:26">
      <c r="A109" t="s">
        <v>1213</v>
      </c>
      <c r="B109" t="s">
        <v>1223</v>
      </c>
      <c r="C109" t="s">
        <v>1290</v>
      </c>
      <c r="D109" t="s">
        <v>1335</v>
      </c>
      <c r="E109" t="s">
        <v>1336</v>
      </c>
      <c r="F109" t="s">
        <v>949</v>
      </c>
      <c r="G109" t="s">
        <v>204</v>
      </c>
      <c r="H109" t="s">
        <v>204</v>
      </c>
      <c r="I109" t="s">
        <v>340</v>
      </c>
      <c r="J109" t="s">
        <v>1261</v>
      </c>
      <c r="K109" t="s">
        <v>413</v>
      </c>
      <c r="L109" t="s">
        <v>1212</v>
      </c>
      <c r="M109" s="131">
        <v>0.35</v>
      </c>
      <c r="N109" t="s">
        <v>1337</v>
      </c>
      <c r="O109" s="132">
        <v>3.9289999999999999E-2</v>
      </c>
      <c r="P109" s="132">
        <v>4.2599999999999999E-2</v>
      </c>
      <c r="R109" s="131">
        <v>1350000</v>
      </c>
      <c r="S109" s="131">
        <v>1</v>
      </c>
      <c r="T109" s="131">
        <v>98.56</v>
      </c>
      <c r="U109" s="131">
        <v>1330.56</v>
      </c>
      <c r="W109" s="16" t="s">
        <v>15</v>
      </c>
      <c r="X109" s="132">
        <v>1.1E-4</v>
      </c>
      <c r="Y109" s="132">
        <v>4.5580000000000002E-2</v>
      </c>
      <c r="Z109" s="132">
        <v>4.4799999999999996E-3</v>
      </c>
    </row>
    <row r="110" spans="1:26">
      <c r="A110" t="s">
        <v>1213</v>
      </c>
      <c r="B110" t="s">
        <v>1223</v>
      </c>
      <c r="C110" t="s">
        <v>1290</v>
      </c>
      <c r="D110" t="s">
        <v>1318</v>
      </c>
      <c r="E110" t="s">
        <v>1319</v>
      </c>
      <c r="F110" t="s">
        <v>949</v>
      </c>
      <c r="G110" t="s">
        <v>204</v>
      </c>
      <c r="H110" t="s">
        <v>204</v>
      </c>
      <c r="I110" t="s">
        <v>340</v>
      </c>
      <c r="J110" t="s">
        <v>1261</v>
      </c>
      <c r="K110" t="s">
        <v>413</v>
      </c>
      <c r="L110" t="s">
        <v>1212</v>
      </c>
      <c r="M110" s="131">
        <v>0.27</v>
      </c>
      <c r="N110" t="s">
        <v>1320</v>
      </c>
      <c r="O110" s="132">
        <v>4.0160000000000001E-2</v>
      </c>
      <c r="P110" s="132">
        <v>4.3200000000000002E-2</v>
      </c>
      <c r="R110" s="131">
        <v>800000</v>
      </c>
      <c r="S110" s="131">
        <v>1</v>
      </c>
      <c r="T110" s="131">
        <v>98.86</v>
      </c>
      <c r="U110" s="131">
        <v>790.88</v>
      </c>
      <c r="W110" s="16" t="s">
        <v>15</v>
      </c>
      <c r="X110" s="132">
        <v>6.9999999999999994E-5</v>
      </c>
      <c r="Y110" s="132">
        <v>2.7089999999999999E-2</v>
      </c>
      <c r="Z110" s="132">
        <v>2.66E-3</v>
      </c>
    </row>
    <row r="111" spans="1:26">
      <c r="A111" t="s">
        <v>1213</v>
      </c>
      <c r="B111" t="s">
        <v>1223</v>
      </c>
      <c r="C111" t="s">
        <v>1267</v>
      </c>
      <c r="D111" t="s">
        <v>1271</v>
      </c>
      <c r="E111" t="s">
        <v>1272</v>
      </c>
      <c r="F111" t="s">
        <v>945</v>
      </c>
      <c r="G111" t="s">
        <v>204</v>
      </c>
      <c r="H111" t="s">
        <v>204</v>
      </c>
      <c r="I111" t="s">
        <v>340</v>
      </c>
      <c r="J111" t="s">
        <v>1261</v>
      </c>
      <c r="K111" t="s">
        <v>413</v>
      </c>
      <c r="L111" t="s">
        <v>1212</v>
      </c>
      <c r="M111" s="131">
        <v>11.32</v>
      </c>
      <c r="N111" t="s">
        <v>1273</v>
      </c>
      <c r="O111" s="132">
        <v>3.6409999999999998E-2</v>
      </c>
      <c r="P111" s="132">
        <v>5.1700000000000003E-2</v>
      </c>
      <c r="R111" s="131">
        <v>717362</v>
      </c>
      <c r="S111" s="131">
        <v>1</v>
      </c>
      <c r="T111" s="131">
        <v>107.34</v>
      </c>
      <c r="U111" s="131">
        <v>770.01599999999996</v>
      </c>
      <c r="W111" s="16" t="s">
        <v>15</v>
      </c>
      <c r="X111" s="132">
        <v>3.0000000000000001E-5</v>
      </c>
      <c r="Y111" s="132">
        <v>2.6380000000000001E-2</v>
      </c>
      <c r="Z111" s="132">
        <v>2.5899999999999999E-3</v>
      </c>
    </row>
    <row r="112" spans="1:26">
      <c r="A112" t="s">
        <v>1213</v>
      </c>
      <c r="B112" t="s">
        <v>1223</v>
      </c>
      <c r="C112" t="s">
        <v>1267</v>
      </c>
      <c r="D112" t="s">
        <v>1312</v>
      </c>
      <c r="E112" t="s">
        <v>1313</v>
      </c>
      <c r="F112" t="s">
        <v>945</v>
      </c>
      <c r="G112" t="s">
        <v>204</v>
      </c>
      <c r="H112" t="s">
        <v>204</v>
      </c>
      <c r="I112" t="s">
        <v>340</v>
      </c>
      <c r="J112" t="s">
        <v>1261</v>
      </c>
      <c r="K112" t="s">
        <v>413</v>
      </c>
      <c r="L112" t="s">
        <v>1212</v>
      </c>
      <c r="M112" s="131">
        <v>1.91</v>
      </c>
      <c r="N112" t="s">
        <v>1314</v>
      </c>
      <c r="O112" s="132">
        <v>4.2259999999999999E-2</v>
      </c>
      <c r="P112" s="132">
        <v>4.3200000000000002E-2</v>
      </c>
      <c r="R112" s="131">
        <v>425644</v>
      </c>
      <c r="S112" s="131">
        <v>1</v>
      </c>
      <c r="T112" s="131">
        <v>109.5</v>
      </c>
      <c r="U112" s="131">
        <v>466.08</v>
      </c>
      <c r="W112" s="16" t="s">
        <v>15</v>
      </c>
      <c r="X112" s="132">
        <v>3.0000000000000001E-5</v>
      </c>
      <c r="Y112" s="132">
        <v>1.5970000000000002E-2</v>
      </c>
      <c r="Z112" s="132">
        <v>1.57E-3</v>
      </c>
    </row>
    <row r="113" spans="1:26">
      <c r="A113" t="s">
        <v>1213</v>
      </c>
      <c r="B113" t="s">
        <v>1224</v>
      </c>
      <c r="C113" t="s">
        <v>1258</v>
      </c>
      <c r="D113" t="s">
        <v>1329</v>
      </c>
      <c r="E113" t="s">
        <v>1330</v>
      </c>
      <c r="F113" t="s">
        <v>943</v>
      </c>
      <c r="G113" t="s">
        <v>204</v>
      </c>
      <c r="H113" t="s">
        <v>204</v>
      </c>
      <c r="I113" t="s">
        <v>340</v>
      </c>
      <c r="J113" t="s">
        <v>1265</v>
      </c>
      <c r="K113" t="s">
        <v>415</v>
      </c>
      <c r="L113" t="s">
        <v>1212</v>
      </c>
      <c r="M113" s="131">
        <v>2.64</v>
      </c>
      <c r="N113" t="s">
        <v>1331</v>
      </c>
      <c r="O113" s="132">
        <v>-9.2099999999999994E-3</v>
      </c>
      <c r="P113" s="132">
        <v>1.6299999999999999E-2</v>
      </c>
      <c r="R113" s="131">
        <v>69673200</v>
      </c>
      <c r="S113" s="131">
        <v>1</v>
      </c>
      <c r="T113" s="131">
        <v>114.25</v>
      </c>
      <c r="U113" s="131">
        <v>79601.630999999994</v>
      </c>
      <c r="W113" s="16" t="s">
        <v>15</v>
      </c>
      <c r="X113" s="132">
        <v>3.13E-3</v>
      </c>
      <c r="Y113" s="132">
        <v>0.26713999999999999</v>
      </c>
      <c r="Z113" s="132">
        <v>0.21362</v>
      </c>
    </row>
    <row r="114" spans="1:26">
      <c r="A114" t="s">
        <v>1213</v>
      </c>
      <c r="B114" t="s">
        <v>1224</v>
      </c>
      <c r="C114" t="s">
        <v>1267</v>
      </c>
      <c r="D114" t="s">
        <v>1353</v>
      </c>
      <c r="E114" t="s">
        <v>1354</v>
      </c>
      <c r="F114" t="s">
        <v>945</v>
      </c>
      <c r="G114" t="s">
        <v>204</v>
      </c>
      <c r="H114" t="s">
        <v>204</v>
      </c>
      <c r="I114" t="s">
        <v>340</v>
      </c>
      <c r="J114" t="s">
        <v>1261</v>
      </c>
      <c r="K114" t="s">
        <v>413</v>
      </c>
      <c r="L114" t="s">
        <v>1212</v>
      </c>
      <c r="M114" s="131">
        <v>8.52</v>
      </c>
      <c r="N114" t="s">
        <v>1355</v>
      </c>
      <c r="O114" s="132">
        <v>4.5240000000000002E-2</v>
      </c>
      <c r="P114" s="132">
        <v>4.8800000000000003E-2</v>
      </c>
      <c r="R114" s="131">
        <v>31600000</v>
      </c>
      <c r="S114" s="131">
        <v>1</v>
      </c>
      <c r="T114" s="131">
        <v>94.93</v>
      </c>
      <c r="U114" s="131">
        <v>29997.88</v>
      </c>
      <c r="W114" s="16" t="s">
        <v>15</v>
      </c>
      <c r="X114" s="132">
        <v>1.83E-3</v>
      </c>
      <c r="Y114" s="132">
        <v>0.10067</v>
      </c>
      <c r="Z114" s="132">
        <v>8.0500000000000002E-2</v>
      </c>
    </row>
    <row r="115" spans="1:26">
      <c r="A115" t="s">
        <v>1213</v>
      </c>
      <c r="B115" t="s">
        <v>1224</v>
      </c>
      <c r="C115" t="s">
        <v>1290</v>
      </c>
      <c r="D115" t="s">
        <v>1291</v>
      </c>
      <c r="E115" t="s">
        <v>1292</v>
      </c>
      <c r="F115" t="s">
        <v>949</v>
      </c>
      <c r="G115" t="s">
        <v>204</v>
      </c>
      <c r="H115" t="s">
        <v>204</v>
      </c>
      <c r="I115" t="s">
        <v>340</v>
      </c>
      <c r="J115" t="s">
        <v>1261</v>
      </c>
      <c r="K115" t="s">
        <v>413</v>
      </c>
      <c r="L115" t="s">
        <v>1212</v>
      </c>
      <c r="M115" s="131">
        <v>0.42</v>
      </c>
      <c r="N115" t="s">
        <v>1293</v>
      </c>
      <c r="O115" s="132">
        <v>3.9989999999999998E-2</v>
      </c>
      <c r="P115" s="132">
        <v>4.3200000000000002E-2</v>
      </c>
      <c r="R115" s="131">
        <v>25000000</v>
      </c>
      <c r="S115" s="131">
        <v>1</v>
      </c>
      <c r="T115" s="131">
        <v>98.22</v>
      </c>
      <c r="U115" s="131">
        <v>24555</v>
      </c>
      <c r="W115" s="16" t="s">
        <v>15</v>
      </c>
      <c r="X115" s="132">
        <v>2.0799999999999998E-3</v>
      </c>
      <c r="Y115" s="132">
        <v>8.2409999999999997E-2</v>
      </c>
      <c r="Z115" s="132">
        <v>6.59E-2</v>
      </c>
    </row>
    <row r="116" spans="1:26">
      <c r="A116" t="s">
        <v>1213</v>
      </c>
      <c r="B116" t="s">
        <v>1224</v>
      </c>
      <c r="C116" t="s">
        <v>1290</v>
      </c>
      <c r="D116" t="s">
        <v>1294</v>
      </c>
      <c r="E116" t="s">
        <v>1295</v>
      </c>
      <c r="F116" t="s">
        <v>949</v>
      </c>
      <c r="G116" t="s">
        <v>204</v>
      </c>
      <c r="H116" t="s">
        <v>204</v>
      </c>
      <c r="I116" t="s">
        <v>340</v>
      </c>
      <c r="J116" t="s">
        <v>1265</v>
      </c>
      <c r="K116" t="s">
        <v>415</v>
      </c>
      <c r="L116" t="s">
        <v>1212</v>
      </c>
      <c r="M116" s="131">
        <v>0.85</v>
      </c>
      <c r="N116" t="s">
        <v>1296</v>
      </c>
      <c r="O116" s="132">
        <v>4.0390000000000002E-2</v>
      </c>
      <c r="P116" s="132">
        <v>4.3200000000000002E-2</v>
      </c>
      <c r="R116" s="131">
        <v>22000000</v>
      </c>
      <c r="S116" s="131">
        <v>1</v>
      </c>
      <c r="T116" s="131">
        <v>96.48</v>
      </c>
      <c r="U116" s="131">
        <v>21225.599999999999</v>
      </c>
      <c r="W116" s="16" t="s">
        <v>15</v>
      </c>
      <c r="X116" s="132">
        <v>1.83E-3</v>
      </c>
      <c r="Y116" s="132">
        <v>7.1230000000000002E-2</v>
      </c>
      <c r="Z116" s="132">
        <v>5.6959999999999997E-2</v>
      </c>
    </row>
    <row r="117" spans="1:26">
      <c r="A117" t="s">
        <v>1213</v>
      </c>
      <c r="B117" t="s">
        <v>1224</v>
      </c>
      <c r="C117" t="s">
        <v>1258</v>
      </c>
      <c r="D117" t="s">
        <v>1309</v>
      </c>
      <c r="E117" t="s">
        <v>1310</v>
      </c>
      <c r="F117" t="s">
        <v>943</v>
      </c>
      <c r="G117" t="s">
        <v>204</v>
      </c>
      <c r="H117" t="s">
        <v>204</v>
      </c>
      <c r="I117" t="s">
        <v>340</v>
      </c>
      <c r="J117" t="s">
        <v>1265</v>
      </c>
      <c r="K117" t="s">
        <v>415</v>
      </c>
      <c r="L117" t="s">
        <v>1212</v>
      </c>
      <c r="M117" s="131">
        <v>1.83</v>
      </c>
      <c r="N117" t="s">
        <v>1311</v>
      </c>
      <c r="O117" s="132">
        <v>1.421E-2</v>
      </c>
      <c r="P117" s="132">
        <v>1.5699999999999999E-2</v>
      </c>
      <c r="R117" s="131">
        <v>17750000</v>
      </c>
      <c r="S117" s="131">
        <v>1</v>
      </c>
      <c r="T117" s="131">
        <v>112.44</v>
      </c>
      <c r="U117" s="131">
        <v>19958.099999999999</v>
      </c>
      <c r="W117" s="16" t="s">
        <v>15</v>
      </c>
      <c r="X117" s="132">
        <v>8.8000000000000003E-4</v>
      </c>
      <c r="Y117" s="132">
        <v>6.6979999999999998E-2</v>
      </c>
      <c r="Z117" s="132">
        <v>5.3560000000000003E-2</v>
      </c>
    </row>
    <row r="118" spans="1:26">
      <c r="A118" t="s">
        <v>1213</v>
      </c>
      <c r="B118" t="s">
        <v>1224</v>
      </c>
      <c r="C118" t="s">
        <v>1290</v>
      </c>
      <c r="D118" t="s">
        <v>1315</v>
      </c>
      <c r="E118" t="s">
        <v>1316</v>
      </c>
      <c r="F118" t="s">
        <v>949</v>
      </c>
      <c r="G118" t="s">
        <v>204</v>
      </c>
      <c r="H118" t="s">
        <v>204</v>
      </c>
      <c r="I118" t="s">
        <v>340</v>
      </c>
      <c r="J118" t="s">
        <v>1261</v>
      </c>
      <c r="K118" t="s">
        <v>413</v>
      </c>
      <c r="L118" t="s">
        <v>1212</v>
      </c>
      <c r="M118" s="131">
        <v>0.5</v>
      </c>
      <c r="N118" t="s">
        <v>1317</v>
      </c>
      <c r="O118" s="132">
        <v>4.0919999999999998E-2</v>
      </c>
      <c r="P118" s="132">
        <v>4.3200000000000002E-2</v>
      </c>
      <c r="R118" s="131">
        <v>18000000</v>
      </c>
      <c r="S118" s="131">
        <v>1</v>
      </c>
      <c r="T118" s="131">
        <v>97.9</v>
      </c>
      <c r="U118" s="131">
        <v>17622</v>
      </c>
      <c r="W118" s="16" t="s">
        <v>15</v>
      </c>
      <c r="X118" s="132">
        <v>1.5E-3</v>
      </c>
      <c r="Y118" s="132">
        <v>5.9139999999999998E-2</v>
      </c>
      <c r="Z118" s="132">
        <v>4.7289999999999999E-2</v>
      </c>
    </row>
    <row r="119" spans="1:26">
      <c r="A119" t="s">
        <v>1213</v>
      </c>
      <c r="B119" t="s">
        <v>1224</v>
      </c>
      <c r="C119" t="s">
        <v>1290</v>
      </c>
      <c r="D119" t="s">
        <v>1338</v>
      </c>
      <c r="E119" t="s">
        <v>1339</v>
      </c>
      <c r="F119" t="s">
        <v>949</v>
      </c>
      <c r="G119" t="s">
        <v>204</v>
      </c>
      <c r="H119" t="s">
        <v>204</v>
      </c>
      <c r="I119" t="s">
        <v>340</v>
      </c>
      <c r="J119" t="s">
        <v>1261</v>
      </c>
      <c r="K119" t="s">
        <v>413</v>
      </c>
      <c r="L119" t="s">
        <v>1212</v>
      </c>
      <c r="M119" s="131">
        <v>0.18</v>
      </c>
      <c r="N119" t="s">
        <v>1340</v>
      </c>
      <c r="O119" s="132">
        <v>4.0939999999999997E-2</v>
      </c>
      <c r="P119" s="132">
        <v>4.2700000000000002E-2</v>
      </c>
      <c r="R119" s="131">
        <v>16000000</v>
      </c>
      <c r="S119" s="131">
        <v>1</v>
      </c>
      <c r="T119" s="131">
        <v>99.27</v>
      </c>
      <c r="U119" s="131">
        <v>15883.2</v>
      </c>
      <c r="W119" s="16" t="s">
        <v>15</v>
      </c>
      <c r="X119" s="132">
        <v>4.0000000000000002E-4</v>
      </c>
      <c r="Y119" s="132">
        <v>5.33E-2</v>
      </c>
      <c r="Z119" s="132">
        <v>4.2619999999999998E-2</v>
      </c>
    </row>
    <row r="120" spans="1:26">
      <c r="A120" t="s">
        <v>1213</v>
      </c>
      <c r="B120" t="s">
        <v>1224</v>
      </c>
      <c r="C120" t="s">
        <v>1290</v>
      </c>
      <c r="D120" t="s">
        <v>1362</v>
      </c>
      <c r="E120" t="s">
        <v>1363</v>
      </c>
      <c r="F120" t="s">
        <v>949</v>
      </c>
      <c r="G120" t="s">
        <v>204</v>
      </c>
      <c r="H120" t="s">
        <v>204</v>
      </c>
      <c r="I120" t="s">
        <v>340</v>
      </c>
      <c r="J120" t="s">
        <v>1261</v>
      </c>
      <c r="K120" t="s">
        <v>413</v>
      </c>
      <c r="L120" t="s">
        <v>1212</v>
      </c>
      <c r="M120" s="131">
        <v>0.1</v>
      </c>
      <c r="N120" t="s">
        <v>1364</v>
      </c>
      <c r="O120" s="132">
        <v>4.224E-2</v>
      </c>
      <c r="P120" s="132">
        <v>4.36E-2</v>
      </c>
      <c r="R120" s="131">
        <v>15500000</v>
      </c>
      <c r="S120" s="131">
        <v>1</v>
      </c>
      <c r="T120" s="131">
        <v>99.58</v>
      </c>
      <c r="U120" s="131">
        <v>15434.9</v>
      </c>
      <c r="W120" s="16" t="s">
        <v>15</v>
      </c>
      <c r="X120" s="132">
        <v>3.8999999999999999E-4</v>
      </c>
      <c r="Y120" s="132">
        <v>5.1799999999999999E-2</v>
      </c>
      <c r="Z120" s="132">
        <v>4.1419999999999998E-2</v>
      </c>
    </row>
    <row r="121" spans="1:26">
      <c r="A121" t="s">
        <v>1213</v>
      </c>
      <c r="B121" t="s">
        <v>1224</v>
      </c>
      <c r="C121" t="s">
        <v>1290</v>
      </c>
      <c r="D121" t="s">
        <v>1303</v>
      </c>
      <c r="E121" t="s">
        <v>1304</v>
      </c>
      <c r="F121" t="s">
        <v>949</v>
      </c>
      <c r="G121" t="s">
        <v>204</v>
      </c>
      <c r="H121" t="s">
        <v>204</v>
      </c>
      <c r="I121" t="s">
        <v>340</v>
      </c>
      <c r="J121" t="s">
        <v>1265</v>
      </c>
      <c r="K121" t="s">
        <v>415</v>
      </c>
      <c r="L121" t="s">
        <v>1212</v>
      </c>
      <c r="M121" s="131">
        <v>0.92</v>
      </c>
      <c r="N121" t="s">
        <v>1305</v>
      </c>
      <c r="O121" s="132">
        <v>4.1579999999999999E-2</v>
      </c>
      <c r="P121" s="132">
        <v>4.2900000000000001E-2</v>
      </c>
      <c r="R121" s="131">
        <v>15000000</v>
      </c>
      <c r="S121" s="131">
        <v>1</v>
      </c>
      <c r="T121" s="131">
        <v>96.2</v>
      </c>
      <c r="U121" s="131">
        <v>14430</v>
      </c>
      <c r="W121" s="16" t="s">
        <v>15</v>
      </c>
      <c r="X121" s="132">
        <v>1.25E-3</v>
      </c>
      <c r="Y121" s="132">
        <v>4.8430000000000001E-2</v>
      </c>
      <c r="Z121" s="132">
        <v>3.8730000000000001E-2</v>
      </c>
    </row>
    <row r="122" spans="1:26">
      <c r="A122" t="s">
        <v>1213</v>
      </c>
      <c r="B122" t="s">
        <v>1224</v>
      </c>
      <c r="C122" t="s">
        <v>1258</v>
      </c>
      <c r="D122" t="s">
        <v>1300</v>
      </c>
      <c r="E122" t="s">
        <v>1301</v>
      </c>
      <c r="F122" t="s">
        <v>943</v>
      </c>
      <c r="G122" t="s">
        <v>204</v>
      </c>
      <c r="H122" t="s">
        <v>204</v>
      </c>
      <c r="I122" t="s">
        <v>340</v>
      </c>
      <c r="J122" t="s">
        <v>1265</v>
      </c>
      <c r="K122" t="s">
        <v>415</v>
      </c>
      <c r="L122" t="s">
        <v>1212</v>
      </c>
      <c r="M122" s="131">
        <v>4.6100000000000003</v>
      </c>
      <c r="N122" t="s">
        <v>1302</v>
      </c>
      <c r="O122" s="132">
        <v>-7.2399999999999999E-3</v>
      </c>
      <c r="P122" s="132">
        <v>1.83E-2</v>
      </c>
      <c r="R122" s="131">
        <v>13250000</v>
      </c>
      <c r="S122" s="131">
        <v>1</v>
      </c>
      <c r="T122" s="131">
        <v>108.85</v>
      </c>
      <c r="U122" s="131">
        <v>14422.625</v>
      </c>
      <c r="W122" s="16" t="s">
        <v>15</v>
      </c>
      <c r="X122" s="132">
        <v>4.8999999999999998E-4</v>
      </c>
      <c r="Y122" s="132">
        <v>4.8399999999999999E-2</v>
      </c>
      <c r="Z122" s="132">
        <v>3.8710000000000001E-2</v>
      </c>
    </row>
    <row r="123" spans="1:26">
      <c r="A123" t="s">
        <v>1213</v>
      </c>
      <c r="B123" t="s">
        <v>1224</v>
      </c>
      <c r="C123" t="s">
        <v>1267</v>
      </c>
      <c r="D123" t="s">
        <v>1359</v>
      </c>
      <c r="E123" t="s">
        <v>1360</v>
      </c>
      <c r="F123" t="s">
        <v>945</v>
      </c>
      <c r="G123" t="s">
        <v>204</v>
      </c>
      <c r="H123" t="s">
        <v>204</v>
      </c>
      <c r="I123" t="s">
        <v>340</v>
      </c>
      <c r="J123" t="s">
        <v>1261</v>
      </c>
      <c r="K123" t="s">
        <v>413</v>
      </c>
      <c r="L123" t="s">
        <v>1212</v>
      </c>
      <c r="M123" s="131">
        <v>11.26</v>
      </c>
      <c r="N123" t="s">
        <v>1361</v>
      </c>
      <c r="O123" s="132">
        <v>4.4569999999999999E-2</v>
      </c>
      <c r="P123" s="132">
        <v>5.04E-2</v>
      </c>
      <c r="R123" s="131">
        <v>19250000</v>
      </c>
      <c r="S123" s="131">
        <v>1</v>
      </c>
      <c r="T123" s="131">
        <v>67.92</v>
      </c>
      <c r="U123" s="131">
        <v>13074.6</v>
      </c>
      <c r="W123" s="16" t="s">
        <v>15</v>
      </c>
      <c r="X123" s="132">
        <v>5.9999999999999995E-4</v>
      </c>
      <c r="Y123" s="132">
        <v>4.3880000000000002E-2</v>
      </c>
      <c r="Z123" s="132">
        <v>3.5090000000000003E-2</v>
      </c>
    </row>
    <row r="124" spans="1:26">
      <c r="A124" t="s">
        <v>1213</v>
      </c>
      <c r="B124" t="s">
        <v>1224</v>
      </c>
      <c r="C124" t="s">
        <v>1290</v>
      </c>
      <c r="D124" t="s">
        <v>1318</v>
      </c>
      <c r="E124" t="s">
        <v>1319</v>
      </c>
      <c r="F124" t="s">
        <v>949</v>
      </c>
      <c r="G124" t="s">
        <v>204</v>
      </c>
      <c r="H124" t="s">
        <v>204</v>
      </c>
      <c r="I124" t="s">
        <v>340</v>
      </c>
      <c r="J124" t="s">
        <v>1261</v>
      </c>
      <c r="K124" t="s">
        <v>413</v>
      </c>
      <c r="L124" t="s">
        <v>1212</v>
      </c>
      <c r="M124" s="131">
        <v>0.27</v>
      </c>
      <c r="N124" t="s">
        <v>1320</v>
      </c>
      <c r="O124" s="132">
        <v>4.0500000000000001E-2</v>
      </c>
      <c r="P124" s="132">
        <v>4.3200000000000002E-2</v>
      </c>
      <c r="R124" s="131">
        <v>12000000</v>
      </c>
      <c r="S124" s="131">
        <v>1</v>
      </c>
      <c r="T124" s="131">
        <v>98.86</v>
      </c>
      <c r="U124" s="131">
        <v>11863.2</v>
      </c>
      <c r="W124" s="16" t="s">
        <v>15</v>
      </c>
      <c r="X124" s="132">
        <v>1E-3</v>
      </c>
      <c r="Y124" s="132">
        <v>3.9809999999999998E-2</v>
      </c>
      <c r="Z124" s="132">
        <v>3.184E-2</v>
      </c>
    </row>
    <row r="125" spans="1:26">
      <c r="A125" t="s">
        <v>1213</v>
      </c>
      <c r="B125" t="s">
        <v>1224</v>
      </c>
      <c r="C125" t="s">
        <v>1258</v>
      </c>
      <c r="D125" t="s">
        <v>1332</v>
      </c>
      <c r="E125" t="s">
        <v>1333</v>
      </c>
      <c r="F125" t="s">
        <v>943</v>
      </c>
      <c r="G125" t="s">
        <v>204</v>
      </c>
      <c r="H125" t="s">
        <v>204</v>
      </c>
      <c r="I125" t="s">
        <v>340</v>
      </c>
      <c r="J125" t="s">
        <v>1261</v>
      </c>
      <c r="K125" t="s">
        <v>413</v>
      </c>
      <c r="L125" t="s">
        <v>1212</v>
      </c>
      <c r="M125" s="131">
        <v>8.43</v>
      </c>
      <c r="N125" t="s">
        <v>1334</v>
      </c>
      <c r="O125" s="132">
        <v>1.958E-2</v>
      </c>
      <c r="P125" s="132">
        <v>2.1299999999999999E-2</v>
      </c>
      <c r="R125" s="131">
        <v>11350000</v>
      </c>
      <c r="S125" s="131">
        <v>1</v>
      </c>
      <c r="T125" s="131">
        <v>100.1</v>
      </c>
      <c r="U125" s="131">
        <v>11361.35</v>
      </c>
      <c r="W125" s="16" t="s">
        <v>15</v>
      </c>
      <c r="X125" s="132">
        <v>1.1100000000000001E-3</v>
      </c>
      <c r="Y125" s="132">
        <v>3.8129999999999997E-2</v>
      </c>
      <c r="Z125" s="132">
        <v>3.049E-2</v>
      </c>
    </row>
    <row r="126" spans="1:26">
      <c r="A126" t="s">
        <v>1213</v>
      </c>
      <c r="B126" t="s">
        <v>1224</v>
      </c>
      <c r="C126" t="s">
        <v>1290</v>
      </c>
      <c r="D126" t="s">
        <v>1371</v>
      </c>
      <c r="E126" t="s">
        <v>1372</v>
      </c>
      <c r="F126" t="s">
        <v>949</v>
      </c>
      <c r="G126" t="s">
        <v>204</v>
      </c>
      <c r="H126" t="s">
        <v>204</v>
      </c>
      <c r="I126" t="s">
        <v>340</v>
      </c>
      <c r="J126" t="s">
        <v>1261</v>
      </c>
      <c r="K126" t="s">
        <v>413</v>
      </c>
      <c r="L126" t="s">
        <v>1212</v>
      </c>
      <c r="M126" s="131">
        <v>0.01</v>
      </c>
      <c r="N126" t="s">
        <v>1373</v>
      </c>
      <c r="O126" s="132">
        <v>4.1599999999999998E-2</v>
      </c>
      <c r="P126" s="132">
        <v>0.1157</v>
      </c>
      <c r="R126" s="131">
        <v>4500000</v>
      </c>
      <c r="S126" s="131">
        <v>1</v>
      </c>
      <c r="T126" s="131">
        <v>99.97</v>
      </c>
      <c r="U126" s="131">
        <v>4498.6499999999996</v>
      </c>
      <c r="W126" s="16" t="s">
        <v>15</v>
      </c>
      <c r="X126" s="132">
        <v>1E-4</v>
      </c>
      <c r="Y126" s="132">
        <v>1.5100000000000001E-2</v>
      </c>
      <c r="Z126" s="132">
        <v>1.2070000000000001E-2</v>
      </c>
    </row>
    <row r="127" spans="1:26">
      <c r="A127" t="s">
        <v>1213</v>
      </c>
      <c r="B127" t="s">
        <v>1224</v>
      </c>
      <c r="C127" t="s">
        <v>1258</v>
      </c>
      <c r="D127" t="s">
        <v>1297</v>
      </c>
      <c r="E127" t="s">
        <v>1298</v>
      </c>
      <c r="F127" t="s">
        <v>943</v>
      </c>
      <c r="G127" t="s">
        <v>204</v>
      </c>
      <c r="H127" t="s">
        <v>204</v>
      </c>
      <c r="I127" t="s">
        <v>340</v>
      </c>
      <c r="J127" t="s">
        <v>1265</v>
      </c>
      <c r="K127" t="s">
        <v>415</v>
      </c>
      <c r="L127" t="s">
        <v>1212</v>
      </c>
      <c r="M127" s="131">
        <v>7.14</v>
      </c>
      <c r="N127" t="s">
        <v>1299</v>
      </c>
      <c r="O127" s="132">
        <v>2.0490000000000001E-2</v>
      </c>
      <c r="P127" s="132">
        <v>1.9900000000000001E-2</v>
      </c>
      <c r="R127" s="131">
        <v>4000000</v>
      </c>
      <c r="S127" s="131">
        <v>1</v>
      </c>
      <c r="T127" s="131">
        <v>101.1</v>
      </c>
      <c r="U127" s="131">
        <v>4044</v>
      </c>
      <c r="W127" s="16" t="s">
        <v>15</v>
      </c>
      <c r="X127" s="132">
        <v>1.2999999999999999E-4</v>
      </c>
      <c r="Y127" s="132">
        <v>1.357E-2</v>
      </c>
      <c r="Z127" s="132">
        <v>1.085E-2</v>
      </c>
    </row>
    <row r="128" spans="1:26">
      <c r="A128" t="s">
        <v>1213</v>
      </c>
      <c r="B128" t="s">
        <v>1225</v>
      </c>
      <c r="C128" t="s">
        <v>1290</v>
      </c>
      <c r="D128" t="s">
        <v>1315</v>
      </c>
      <c r="E128" t="s">
        <v>1316</v>
      </c>
      <c r="F128" t="s">
        <v>949</v>
      </c>
      <c r="G128" t="s">
        <v>204</v>
      </c>
      <c r="H128" t="s">
        <v>204</v>
      </c>
      <c r="I128" t="s">
        <v>340</v>
      </c>
      <c r="J128" t="s">
        <v>1261</v>
      </c>
      <c r="K128" t="s">
        <v>413</v>
      </c>
      <c r="L128" t="s">
        <v>1212</v>
      </c>
      <c r="M128" s="131">
        <v>0.5</v>
      </c>
      <c r="N128" t="s">
        <v>1317</v>
      </c>
      <c r="O128" s="132">
        <v>4.0890000000000003E-2</v>
      </c>
      <c r="P128" s="132">
        <v>4.3200000000000002E-2</v>
      </c>
      <c r="R128" s="131">
        <v>15000000</v>
      </c>
      <c r="S128" s="131">
        <v>1</v>
      </c>
      <c r="T128" s="131">
        <v>97.9</v>
      </c>
      <c r="U128" s="131">
        <v>14685</v>
      </c>
      <c r="W128" s="16" t="s">
        <v>15</v>
      </c>
      <c r="X128" s="132">
        <v>1.25E-3</v>
      </c>
      <c r="Y128" s="132">
        <v>0.17929999999999999</v>
      </c>
      <c r="Z128" s="132">
        <v>2.249E-2</v>
      </c>
    </row>
    <row r="129" spans="1:26">
      <c r="A129" t="s">
        <v>1213</v>
      </c>
      <c r="B129" t="s">
        <v>1225</v>
      </c>
      <c r="C129" t="s">
        <v>1290</v>
      </c>
      <c r="D129" t="s">
        <v>1326</v>
      </c>
      <c r="E129" t="s">
        <v>1327</v>
      </c>
      <c r="F129" t="s">
        <v>949</v>
      </c>
      <c r="G129" t="s">
        <v>204</v>
      </c>
      <c r="H129" t="s">
        <v>204</v>
      </c>
      <c r="I129" t="s">
        <v>340</v>
      </c>
      <c r="J129" t="s">
        <v>1261</v>
      </c>
      <c r="K129" t="s">
        <v>413</v>
      </c>
      <c r="L129" t="s">
        <v>1212</v>
      </c>
      <c r="M129" s="131">
        <v>0.6</v>
      </c>
      <c r="N129" t="s">
        <v>1328</v>
      </c>
      <c r="O129" s="132">
        <v>4.2680000000000003E-2</v>
      </c>
      <c r="P129" s="132">
        <v>4.2900000000000001E-2</v>
      </c>
      <c r="R129" s="131">
        <v>15000000</v>
      </c>
      <c r="S129" s="131">
        <v>1</v>
      </c>
      <c r="T129" s="131">
        <v>97.52</v>
      </c>
      <c r="U129" s="131">
        <v>14628</v>
      </c>
      <c r="W129" s="16" t="s">
        <v>15</v>
      </c>
      <c r="X129" s="132">
        <v>1.07E-3</v>
      </c>
      <c r="Y129" s="132">
        <v>0.17860000000000001</v>
      </c>
      <c r="Z129" s="132">
        <v>2.24E-2</v>
      </c>
    </row>
    <row r="130" spans="1:26">
      <c r="A130" t="s">
        <v>1213</v>
      </c>
      <c r="B130" t="s">
        <v>1225</v>
      </c>
      <c r="C130" t="s">
        <v>1290</v>
      </c>
      <c r="D130" t="s">
        <v>1294</v>
      </c>
      <c r="E130" t="s">
        <v>1295</v>
      </c>
      <c r="F130" t="s">
        <v>949</v>
      </c>
      <c r="G130" t="s">
        <v>204</v>
      </c>
      <c r="H130" t="s">
        <v>204</v>
      </c>
      <c r="I130" t="s">
        <v>340</v>
      </c>
      <c r="J130" t="s">
        <v>1265</v>
      </c>
      <c r="K130" t="s">
        <v>415</v>
      </c>
      <c r="L130" t="s">
        <v>1212</v>
      </c>
      <c r="M130" s="131">
        <v>0.85</v>
      </c>
      <c r="N130" t="s">
        <v>1296</v>
      </c>
      <c r="O130" s="132">
        <v>4.1500000000000002E-2</v>
      </c>
      <c r="P130" s="132">
        <v>4.3200000000000002E-2</v>
      </c>
      <c r="R130" s="131">
        <v>12500000</v>
      </c>
      <c r="S130" s="131">
        <v>1</v>
      </c>
      <c r="T130" s="131">
        <v>96.48</v>
      </c>
      <c r="U130" s="131">
        <v>12060</v>
      </c>
      <c r="W130" s="16" t="s">
        <v>15</v>
      </c>
      <c r="X130" s="132">
        <v>1.0399999999999999E-3</v>
      </c>
      <c r="Y130" s="132">
        <v>0.14724999999999999</v>
      </c>
      <c r="Z130" s="132">
        <v>1.847E-2</v>
      </c>
    </row>
    <row r="131" spans="1:26">
      <c r="A131" t="s">
        <v>1213</v>
      </c>
      <c r="B131" t="s">
        <v>1225</v>
      </c>
      <c r="C131" t="s">
        <v>1290</v>
      </c>
      <c r="D131" t="s">
        <v>1344</v>
      </c>
      <c r="E131" t="s">
        <v>1345</v>
      </c>
      <c r="F131" t="s">
        <v>949</v>
      </c>
      <c r="G131" t="s">
        <v>204</v>
      </c>
      <c r="H131" t="s">
        <v>204</v>
      </c>
      <c r="I131" t="s">
        <v>340</v>
      </c>
      <c r="J131" t="s">
        <v>1261</v>
      </c>
      <c r="K131" t="s">
        <v>413</v>
      </c>
      <c r="L131" t="s">
        <v>1212</v>
      </c>
      <c r="M131" s="131">
        <v>0.75</v>
      </c>
      <c r="N131" t="s">
        <v>1346</v>
      </c>
      <c r="O131" s="132">
        <v>4.1790000000000001E-2</v>
      </c>
      <c r="P131" s="132">
        <v>4.2799999999999998E-2</v>
      </c>
      <c r="R131" s="131">
        <v>10000000</v>
      </c>
      <c r="S131" s="131">
        <v>1</v>
      </c>
      <c r="T131" s="131">
        <v>96.9</v>
      </c>
      <c r="U131" s="131">
        <v>9690</v>
      </c>
      <c r="W131" s="16" t="s">
        <v>15</v>
      </c>
      <c r="X131" s="132">
        <v>8.3000000000000001E-4</v>
      </c>
      <c r="Y131" s="132">
        <v>0.11831</v>
      </c>
      <c r="Z131" s="132">
        <v>1.4840000000000001E-2</v>
      </c>
    </row>
    <row r="132" spans="1:26">
      <c r="A132" t="s">
        <v>1213</v>
      </c>
      <c r="B132" t="s">
        <v>1225</v>
      </c>
      <c r="C132" t="s">
        <v>1290</v>
      </c>
      <c r="D132" t="s">
        <v>1350</v>
      </c>
      <c r="E132" t="s">
        <v>1351</v>
      </c>
      <c r="F132" t="s">
        <v>949</v>
      </c>
      <c r="G132" t="s">
        <v>204</v>
      </c>
      <c r="H132" t="s">
        <v>204</v>
      </c>
      <c r="I132" t="s">
        <v>340</v>
      </c>
      <c r="J132" t="s">
        <v>1261</v>
      </c>
      <c r="K132" t="s">
        <v>413</v>
      </c>
      <c r="L132" t="s">
        <v>1212</v>
      </c>
      <c r="M132" s="131">
        <v>0.67</v>
      </c>
      <c r="N132" t="s">
        <v>1352</v>
      </c>
      <c r="O132" s="132">
        <v>4.3200000000000002E-2</v>
      </c>
      <c r="P132" s="132">
        <v>4.2700000000000002E-2</v>
      </c>
      <c r="R132" s="131">
        <v>8000000</v>
      </c>
      <c r="S132" s="131">
        <v>1</v>
      </c>
      <c r="T132" s="131">
        <v>97.22</v>
      </c>
      <c r="U132" s="131">
        <v>7777.6</v>
      </c>
      <c r="W132" s="16" t="s">
        <v>15</v>
      </c>
      <c r="X132" s="132">
        <v>6.7000000000000002E-4</v>
      </c>
      <c r="Y132" s="132">
        <v>9.4960000000000003E-2</v>
      </c>
      <c r="Z132" s="132">
        <v>1.191E-2</v>
      </c>
    </row>
    <row r="133" spans="1:26">
      <c r="A133" t="s">
        <v>1213</v>
      </c>
      <c r="B133" t="s">
        <v>1225</v>
      </c>
      <c r="C133" t="s">
        <v>1321</v>
      </c>
      <c r="D133" t="s">
        <v>1383</v>
      </c>
      <c r="E133" t="s">
        <v>1384</v>
      </c>
      <c r="F133" t="s">
        <v>950</v>
      </c>
      <c r="G133" t="s">
        <v>205</v>
      </c>
      <c r="H133" t="s">
        <v>224</v>
      </c>
      <c r="I133" t="s">
        <v>314</v>
      </c>
      <c r="J133" t="s">
        <v>1324</v>
      </c>
      <c r="K133" t="s">
        <v>423</v>
      </c>
      <c r="L133" t="s">
        <v>1216</v>
      </c>
      <c r="M133" s="131">
        <v>1.3819999999999999</v>
      </c>
      <c r="N133" t="s">
        <v>1385</v>
      </c>
      <c r="O133" s="132">
        <v>5.108E-2</v>
      </c>
      <c r="P133" s="132">
        <v>3.7569999999999999E-2</v>
      </c>
      <c r="R133" s="131">
        <v>6500000</v>
      </c>
      <c r="S133" s="131">
        <v>3.71</v>
      </c>
      <c r="T133" s="131">
        <f>U133*1000/R133/S133*100</f>
        <v>95.635467551316594</v>
      </c>
      <c r="U133" s="131">
        <v>23062.492999999999</v>
      </c>
      <c r="W133" s="16" t="s">
        <v>15</v>
      </c>
      <c r="X133" s="132">
        <v>9.0000000000000006E-5</v>
      </c>
      <c r="Y133" s="132">
        <v>0.28158</v>
      </c>
      <c r="Z133" s="132">
        <v>3.5319999999999997E-2</v>
      </c>
    </row>
    <row r="134" spans="1:26">
      <c r="A134" t="s">
        <v>1213</v>
      </c>
      <c r="B134" t="s">
        <v>1230</v>
      </c>
      <c r="C134" t="s">
        <v>1258</v>
      </c>
      <c r="D134" t="s">
        <v>1329</v>
      </c>
      <c r="E134" t="s">
        <v>1330</v>
      </c>
      <c r="F134" t="s">
        <v>943</v>
      </c>
      <c r="G134" t="s">
        <v>204</v>
      </c>
      <c r="H134" t="s">
        <v>204</v>
      </c>
      <c r="I134" t="s">
        <v>340</v>
      </c>
      <c r="J134" t="s">
        <v>1265</v>
      </c>
      <c r="K134" t="s">
        <v>415</v>
      </c>
      <c r="L134" t="s">
        <v>1212</v>
      </c>
      <c r="M134" s="131">
        <v>2.64</v>
      </c>
      <c r="N134" t="s">
        <v>1331</v>
      </c>
      <c r="O134" s="132">
        <v>-8.94E-3</v>
      </c>
      <c r="P134" s="132">
        <v>1.6299999999999999E-2</v>
      </c>
      <c r="R134" s="131">
        <v>122350000</v>
      </c>
      <c r="S134" s="131">
        <v>1</v>
      </c>
      <c r="T134" s="131">
        <v>114.25</v>
      </c>
      <c r="U134" s="131">
        <v>139784.875</v>
      </c>
      <c r="W134" s="16" t="s">
        <v>15</v>
      </c>
      <c r="X134" s="132">
        <v>5.4900000000000001E-3</v>
      </c>
      <c r="Y134" s="132">
        <v>0.11429</v>
      </c>
      <c r="Z134" s="132">
        <v>4.9860000000000002E-2</v>
      </c>
    </row>
    <row r="135" spans="1:26">
      <c r="A135" t="s">
        <v>1213</v>
      </c>
      <c r="B135" t="s">
        <v>1230</v>
      </c>
      <c r="C135" t="s">
        <v>1267</v>
      </c>
      <c r="D135" t="s">
        <v>1353</v>
      </c>
      <c r="E135" t="s">
        <v>1354</v>
      </c>
      <c r="F135" t="s">
        <v>945</v>
      </c>
      <c r="G135" t="s">
        <v>204</v>
      </c>
      <c r="H135" t="s">
        <v>204</v>
      </c>
      <c r="I135" t="s">
        <v>340</v>
      </c>
      <c r="J135" t="s">
        <v>1261</v>
      </c>
      <c r="K135" t="s">
        <v>413</v>
      </c>
      <c r="L135" t="s">
        <v>1212</v>
      </c>
      <c r="M135" s="131">
        <v>8.52</v>
      </c>
      <c r="N135" t="s">
        <v>1355</v>
      </c>
      <c r="O135" s="132">
        <v>4.5249999999999999E-2</v>
      </c>
      <c r="P135" s="132">
        <v>4.8800000000000003E-2</v>
      </c>
      <c r="R135" s="131">
        <v>111500000</v>
      </c>
      <c r="S135" s="131">
        <v>1</v>
      </c>
      <c r="T135" s="131">
        <v>94.93</v>
      </c>
      <c r="U135" s="131">
        <v>105846.95</v>
      </c>
      <c r="W135" s="16" t="s">
        <v>15</v>
      </c>
      <c r="X135" s="132">
        <v>6.4400000000000004E-3</v>
      </c>
      <c r="Y135" s="132">
        <v>8.6540000000000006E-2</v>
      </c>
      <c r="Z135" s="132">
        <v>3.7749999999999999E-2</v>
      </c>
    </row>
    <row r="136" spans="1:26">
      <c r="A136" t="s">
        <v>1213</v>
      </c>
      <c r="B136" t="s">
        <v>1230</v>
      </c>
      <c r="C136" t="s">
        <v>1290</v>
      </c>
      <c r="D136" t="s">
        <v>1338</v>
      </c>
      <c r="E136" t="s">
        <v>1339</v>
      </c>
      <c r="F136" t="s">
        <v>949</v>
      </c>
      <c r="G136" t="s">
        <v>204</v>
      </c>
      <c r="H136" t="s">
        <v>204</v>
      </c>
      <c r="I136" t="s">
        <v>340</v>
      </c>
      <c r="J136" t="s">
        <v>1261</v>
      </c>
      <c r="K136" t="s">
        <v>413</v>
      </c>
      <c r="L136" t="s">
        <v>1212</v>
      </c>
      <c r="M136" s="131">
        <v>0.18</v>
      </c>
      <c r="N136" t="s">
        <v>1340</v>
      </c>
      <c r="O136" s="132">
        <v>4.088E-2</v>
      </c>
      <c r="P136" s="132">
        <v>4.2700000000000002E-2</v>
      </c>
      <c r="R136" s="131">
        <v>95000000</v>
      </c>
      <c r="S136" s="131">
        <v>1</v>
      </c>
      <c r="T136" s="131">
        <v>99.27</v>
      </c>
      <c r="U136" s="131">
        <v>94306.5</v>
      </c>
      <c r="W136" s="16" t="s">
        <v>15</v>
      </c>
      <c r="X136" s="132">
        <v>2.3800000000000002E-3</v>
      </c>
      <c r="Y136" s="132">
        <v>7.7109999999999998E-2</v>
      </c>
      <c r="Z136" s="132">
        <v>3.3640000000000003E-2</v>
      </c>
    </row>
    <row r="137" spans="1:26">
      <c r="A137" t="s">
        <v>1213</v>
      </c>
      <c r="B137" t="s">
        <v>1230</v>
      </c>
      <c r="C137" t="s">
        <v>1290</v>
      </c>
      <c r="D137" t="s">
        <v>1315</v>
      </c>
      <c r="E137" t="s">
        <v>1316</v>
      </c>
      <c r="F137" t="s">
        <v>949</v>
      </c>
      <c r="G137" t="s">
        <v>204</v>
      </c>
      <c r="H137" t="s">
        <v>204</v>
      </c>
      <c r="I137" t="s">
        <v>340</v>
      </c>
      <c r="J137" t="s">
        <v>1261</v>
      </c>
      <c r="K137" t="s">
        <v>413</v>
      </c>
      <c r="L137" t="s">
        <v>1212</v>
      </c>
      <c r="M137" s="131">
        <v>0.5</v>
      </c>
      <c r="N137" t="s">
        <v>1317</v>
      </c>
      <c r="O137" s="132">
        <v>4.0899999999999999E-2</v>
      </c>
      <c r="P137" s="132">
        <v>4.3200000000000002E-2</v>
      </c>
      <c r="R137" s="131">
        <v>85000000</v>
      </c>
      <c r="S137" s="131">
        <v>1</v>
      </c>
      <c r="T137" s="131">
        <v>97.9</v>
      </c>
      <c r="U137" s="131">
        <v>83215</v>
      </c>
      <c r="W137" s="16" t="s">
        <v>15</v>
      </c>
      <c r="X137" s="132">
        <v>7.0800000000000004E-3</v>
      </c>
      <c r="Y137" s="132">
        <v>6.8040000000000003E-2</v>
      </c>
      <c r="Z137" s="132">
        <v>2.9680000000000002E-2</v>
      </c>
    </row>
    <row r="138" spans="1:26">
      <c r="A138" t="s">
        <v>1213</v>
      </c>
      <c r="B138" t="s">
        <v>1230</v>
      </c>
      <c r="C138" t="s">
        <v>1290</v>
      </c>
      <c r="D138" t="s">
        <v>1303</v>
      </c>
      <c r="E138" t="s">
        <v>1304</v>
      </c>
      <c r="F138" t="s">
        <v>949</v>
      </c>
      <c r="G138" t="s">
        <v>204</v>
      </c>
      <c r="H138" t="s">
        <v>204</v>
      </c>
      <c r="I138" t="s">
        <v>340</v>
      </c>
      <c r="J138" t="s">
        <v>1265</v>
      </c>
      <c r="K138" t="s">
        <v>415</v>
      </c>
      <c r="L138" t="s">
        <v>1212</v>
      </c>
      <c r="M138" s="131">
        <v>0.92</v>
      </c>
      <c r="N138" t="s">
        <v>1305</v>
      </c>
      <c r="O138" s="132">
        <v>4.1579999999999999E-2</v>
      </c>
      <c r="P138" s="132">
        <v>4.2900000000000001E-2</v>
      </c>
      <c r="R138" s="131">
        <v>85000000</v>
      </c>
      <c r="S138" s="131">
        <v>1</v>
      </c>
      <c r="T138" s="131">
        <v>96.2</v>
      </c>
      <c r="U138" s="131">
        <v>81770</v>
      </c>
      <c r="W138" s="16" t="s">
        <v>15</v>
      </c>
      <c r="X138" s="132">
        <v>7.0800000000000004E-3</v>
      </c>
      <c r="Y138" s="132">
        <v>6.6860000000000003E-2</v>
      </c>
      <c r="Z138" s="132">
        <v>2.9159999999999998E-2</v>
      </c>
    </row>
    <row r="139" spans="1:26">
      <c r="A139" t="s">
        <v>1213</v>
      </c>
      <c r="B139" t="s">
        <v>1230</v>
      </c>
      <c r="C139" t="s">
        <v>1290</v>
      </c>
      <c r="D139" t="s">
        <v>1294</v>
      </c>
      <c r="E139" t="s">
        <v>1295</v>
      </c>
      <c r="F139" t="s">
        <v>949</v>
      </c>
      <c r="G139" t="s">
        <v>204</v>
      </c>
      <c r="H139" t="s">
        <v>204</v>
      </c>
      <c r="I139" t="s">
        <v>340</v>
      </c>
      <c r="J139" t="s">
        <v>1265</v>
      </c>
      <c r="K139" t="s">
        <v>415</v>
      </c>
      <c r="L139" t="s">
        <v>1212</v>
      </c>
      <c r="M139" s="131">
        <v>0.85</v>
      </c>
      <c r="N139" t="s">
        <v>1296</v>
      </c>
      <c r="O139" s="132">
        <v>4.0390000000000002E-2</v>
      </c>
      <c r="P139" s="132">
        <v>4.3200000000000002E-2</v>
      </c>
      <c r="R139" s="131">
        <v>75000000</v>
      </c>
      <c r="S139" s="131">
        <v>1</v>
      </c>
      <c r="T139" s="131">
        <v>96.48</v>
      </c>
      <c r="U139" s="131">
        <v>72360</v>
      </c>
      <c r="W139" s="16" t="s">
        <v>15</v>
      </c>
      <c r="X139" s="132">
        <v>6.2500000000000003E-3</v>
      </c>
      <c r="Y139" s="132">
        <v>5.9159999999999997E-2</v>
      </c>
      <c r="Z139" s="132">
        <v>2.581E-2</v>
      </c>
    </row>
    <row r="140" spans="1:26">
      <c r="A140" t="s">
        <v>1213</v>
      </c>
      <c r="B140" t="s">
        <v>1230</v>
      </c>
      <c r="C140" t="s">
        <v>1290</v>
      </c>
      <c r="D140" t="s">
        <v>1291</v>
      </c>
      <c r="E140" t="s">
        <v>1292</v>
      </c>
      <c r="F140" t="s">
        <v>949</v>
      </c>
      <c r="G140" t="s">
        <v>204</v>
      </c>
      <c r="H140" t="s">
        <v>204</v>
      </c>
      <c r="I140" t="s">
        <v>340</v>
      </c>
      <c r="J140" t="s">
        <v>1261</v>
      </c>
      <c r="K140" t="s">
        <v>413</v>
      </c>
      <c r="L140" t="s">
        <v>1212</v>
      </c>
      <c r="M140" s="131">
        <v>0.42</v>
      </c>
      <c r="N140" t="s">
        <v>1293</v>
      </c>
      <c r="O140" s="132">
        <v>3.9949999999999999E-2</v>
      </c>
      <c r="P140" s="132">
        <v>4.3200000000000002E-2</v>
      </c>
      <c r="R140" s="131">
        <v>70000000</v>
      </c>
      <c r="S140" s="131">
        <v>1</v>
      </c>
      <c r="T140" s="131">
        <v>98.22</v>
      </c>
      <c r="U140" s="131">
        <v>68754</v>
      </c>
      <c r="W140" s="16" t="s">
        <v>15</v>
      </c>
      <c r="X140" s="132">
        <v>5.8300000000000001E-3</v>
      </c>
      <c r="Y140" s="132">
        <v>5.6219999999999999E-2</v>
      </c>
      <c r="Z140" s="132">
        <v>2.452E-2</v>
      </c>
    </row>
    <row r="141" spans="1:26">
      <c r="A141" t="s">
        <v>1213</v>
      </c>
      <c r="B141" t="s">
        <v>1230</v>
      </c>
      <c r="C141" t="s">
        <v>1258</v>
      </c>
      <c r="D141" t="s">
        <v>1309</v>
      </c>
      <c r="E141" t="s">
        <v>1310</v>
      </c>
      <c r="F141" t="s">
        <v>943</v>
      </c>
      <c r="G141" t="s">
        <v>204</v>
      </c>
      <c r="H141" t="s">
        <v>204</v>
      </c>
      <c r="I141" t="s">
        <v>340</v>
      </c>
      <c r="J141" t="s">
        <v>1265</v>
      </c>
      <c r="K141" t="s">
        <v>415</v>
      </c>
      <c r="L141" t="s">
        <v>1212</v>
      </c>
      <c r="M141" s="131">
        <v>1.83</v>
      </c>
      <c r="N141" t="s">
        <v>1311</v>
      </c>
      <c r="O141" s="132">
        <v>1.401E-2</v>
      </c>
      <c r="P141" s="132">
        <v>1.5699999999999999E-2</v>
      </c>
      <c r="R141" s="131">
        <v>51500000</v>
      </c>
      <c r="S141" s="131">
        <v>1</v>
      </c>
      <c r="T141" s="131">
        <v>112.44</v>
      </c>
      <c r="U141" s="131">
        <v>57906.6</v>
      </c>
      <c r="W141" s="16" t="s">
        <v>15</v>
      </c>
      <c r="X141" s="132">
        <v>2.5500000000000002E-3</v>
      </c>
      <c r="Y141" s="132">
        <v>4.7350000000000003E-2</v>
      </c>
      <c r="Z141" s="132">
        <v>2.0650000000000002E-2</v>
      </c>
    </row>
    <row r="142" spans="1:26">
      <c r="A142" t="s">
        <v>1213</v>
      </c>
      <c r="B142" t="s">
        <v>1230</v>
      </c>
      <c r="C142" t="s">
        <v>1290</v>
      </c>
      <c r="D142" t="s">
        <v>1335</v>
      </c>
      <c r="E142" t="s">
        <v>1336</v>
      </c>
      <c r="F142" t="s">
        <v>949</v>
      </c>
      <c r="G142" t="s">
        <v>204</v>
      </c>
      <c r="H142" t="s">
        <v>204</v>
      </c>
      <c r="I142" t="s">
        <v>340</v>
      </c>
      <c r="J142" t="s">
        <v>1261</v>
      </c>
      <c r="K142" t="s">
        <v>413</v>
      </c>
      <c r="L142" t="s">
        <v>1212</v>
      </c>
      <c r="M142" s="131">
        <v>0.35</v>
      </c>
      <c r="N142" t="s">
        <v>1337</v>
      </c>
      <c r="O142" s="132">
        <v>4.215E-2</v>
      </c>
      <c r="P142" s="132">
        <v>4.2599999999999999E-2</v>
      </c>
      <c r="R142" s="131">
        <v>55000000</v>
      </c>
      <c r="S142" s="131">
        <v>1</v>
      </c>
      <c r="T142" s="131">
        <v>98.56</v>
      </c>
      <c r="U142" s="131">
        <v>54208</v>
      </c>
      <c r="W142" s="16" t="s">
        <v>15</v>
      </c>
      <c r="X142" s="132">
        <v>4.5799999999999999E-3</v>
      </c>
      <c r="Y142" s="132">
        <v>4.4319999999999998E-2</v>
      </c>
      <c r="Z142" s="132">
        <v>1.933E-2</v>
      </c>
    </row>
    <row r="143" spans="1:26">
      <c r="A143" t="s">
        <v>1213</v>
      </c>
      <c r="B143" t="s">
        <v>1230</v>
      </c>
      <c r="C143" t="s">
        <v>1267</v>
      </c>
      <c r="D143" t="s">
        <v>1359</v>
      </c>
      <c r="E143" t="s">
        <v>1360</v>
      </c>
      <c r="F143" t="s">
        <v>945</v>
      </c>
      <c r="G143" t="s">
        <v>204</v>
      </c>
      <c r="H143" t="s">
        <v>204</v>
      </c>
      <c r="I143" t="s">
        <v>340</v>
      </c>
      <c r="J143" t="s">
        <v>1261</v>
      </c>
      <c r="K143" t="s">
        <v>413</v>
      </c>
      <c r="L143" t="s">
        <v>1212</v>
      </c>
      <c r="M143" s="131">
        <v>11.26</v>
      </c>
      <c r="N143" t="s">
        <v>1361</v>
      </c>
      <c r="O143" s="132">
        <v>4.4790000000000003E-2</v>
      </c>
      <c r="P143" s="132">
        <v>5.04E-2</v>
      </c>
      <c r="R143" s="131">
        <v>72000000</v>
      </c>
      <c r="S143" s="131">
        <v>1</v>
      </c>
      <c r="T143" s="131">
        <v>67.92</v>
      </c>
      <c r="U143" s="131">
        <v>48902.400000000001</v>
      </c>
      <c r="W143" s="16" t="s">
        <v>15</v>
      </c>
      <c r="X143" s="132">
        <v>2.2399999999999998E-3</v>
      </c>
      <c r="Y143" s="132">
        <v>3.9980000000000002E-2</v>
      </c>
      <c r="Z143" s="132">
        <v>1.7440000000000001E-2</v>
      </c>
    </row>
    <row r="144" spans="1:26">
      <c r="A144" t="s">
        <v>1213</v>
      </c>
      <c r="B144" t="s">
        <v>1230</v>
      </c>
      <c r="C144" t="s">
        <v>1290</v>
      </c>
      <c r="D144" t="s">
        <v>1326</v>
      </c>
      <c r="E144" t="s">
        <v>1327</v>
      </c>
      <c r="F144" t="s">
        <v>949</v>
      </c>
      <c r="G144" t="s">
        <v>204</v>
      </c>
      <c r="H144" t="s">
        <v>204</v>
      </c>
      <c r="I144" t="s">
        <v>340</v>
      </c>
      <c r="J144" t="s">
        <v>1261</v>
      </c>
      <c r="K144" t="s">
        <v>413</v>
      </c>
      <c r="L144" t="s">
        <v>1212</v>
      </c>
      <c r="M144" s="131">
        <v>0.6</v>
      </c>
      <c r="N144" t="s">
        <v>1328</v>
      </c>
      <c r="O144" s="132">
        <v>4.2849999999999999E-2</v>
      </c>
      <c r="P144" s="132">
        <v>4.2900000000000001E-2</v>
      </c>
      <c r="R144" s="131">
        <v>50000000</v>
      </c>
      <c r="S144" s="131">
        <v>1</v>
      </c>
      <c r="T144" s="131">
        <v>97.52</v>
      </c>
      <c r="U144" s="131">
        <v>48760</v>
      </c>
      <c r="W144" s="16" t="s">
        <v>15</v>
      </c>
      <c r="X144" s="132">
        <v>3.5699999999999998E-3</v>
      </c>
      <c r="Y144" s="132">
        <v>3.9870000000000003E-2</v>
      </c>
      <c r="Z144" s="132">
        <v>1.7389999999999999E-2</v>
      </c>
    </row>
    <row r="145" spans="1:26">
      <c r="A145" t="s">
        <v>1213</v>
      </c>
      <c r="B145" t="s">
        <v>1230</v>
      </c>
      <c r="C145" t="s">
        <v>1258</v>
      </c>
      <c r="D145" t="s">
        <v>1332</v>
      </c>
      <c r="E145" t="s">
        <v>1333</v>
      </c>
      <c r="F145" t="s">
        <v>943</v>
      </c>
      <c r="G145" t="s">
        <v>204</v>
      </c>
      <c r="H145" t="s">
        <v>204</v>
      </c>
      <c r="I145" t="s">
        <v>340</v>
      </c>
      <c r="J145" t="s">
        <v>1261</v>
      </c>
      <c r="K145" t="s">
        <v>413</v>
      </c>
      <c r="L145" t="s">
        <v>1212</v>
      </c>
      <c r="M145" s="131">
        <v>8.43</v>
      </c>
      <c r="N145" t="s">
        <v>1334</v>
      </c>
      <c r="O145" s="132">
        <v>1.9539999999999998E-2</v>
      </c>
      <c r="P145" s="132">
        <v>2.1299999999999999E-2</v>
      </c>
      <c r="R145" s="131">
        <v>40000000</v>
      </c>
      <c r="S145" s="131">
        <v>1</v>
      </c>
      <c r="T145" s="131">
        <v>100.1</v>
      </c>
      <c r="U145" s="131">
        <v>40040</v>
      </c>
      <c r="W145" s="16" t="s">
        <v>15</v>
      </c>
      <c r="X145" s="132">
        <v>3.9300000000000003E-3</v>
      </c>
      <c r="Y145" s="132">
        <v>3.2739999999999998E-2</v>
      </c>
      <c r="Z145" s="132">
        <v>1.4279999999999999E-2</v>
      </c>
    </row>
    <row r="146" spans="1:26">
      <c r="A146" t="s">
        <v>1213</v>
      </c>
      <c r="B146" t="s">
        <v>1230</v>
      </c>
      <c r="C146" t="s">
        <v>1290</v>
      </c>
      <c r="D146" t="s">
        <v>1318</v>
      </c>
      <c r="E146" t="s">
        <v>1319</v>
      </c>
      <c r="F146" t="s">
        <v>949</v>
      </c>
      <c r="G146" t="s">
        <v>204</v>
      </c>
      <c r="H146" t="s">
        <v>204</v>
      </c>
      <c r="I146" t="s">
        <v>340</v>
      </c>
      <c r="J146" t="s">
        <v>1261</v>
      </c>
      <c r="K146" t="s">
        <v>413</v>
      </c>
      <c r="L146" t="s">
        <v>1212</v>
      </c>
      <c r="M146" s="131">
        <v>0.27</v>
      </c>
      <c r="N146" t="s">
        <v>1320</v>
      </c>
      <c r="O146" s="132">
        <v>3.9719999999999998E-2</v>
      </c>
      <c r="P146" s="132">
        <v>4.3200000000000002E-2</v>
      </c>
      <c r="R146" s="131">
        <v>40000000</v>
      </c>
      <c r="S146" s="131">
        <v>1</v>
      </c>
      <c r="T146" s="131">
        <v>98.86</v>
      </c>
      <c r="U146" s="131">
        <v>39544</v>
      </c>
      <c r="W146" s="16" t="s">
        <v>15</v>
      </c>
      <c r="X146" s="132">
        <v>3.3300000000000001E-3</v>
      </c>
      <c r="Y146" s="132">
        <v>3.2329999999999998E-2</v>
      </c>
      <c r="Z146" s="132">
        <v>1.41E-2</v>
      </c>
    </row>
    <row r="147" spans="1:26">
      <c r="A147" t="s">
        <v>1213</v>
      </c>
      <c r="B147" t="s">
        <v>1230</v>
      </c>
      <c r="C147" t="s">
        <v>1267</v>
      </c>
      <c r="D147" t="s">
        <v>1368</v>
      </c>
      <c r="E147" t="s">
        <v>1369</v>
      </c>
      <c r="F147" t="s">
        <v>945</v>
      </c>
      <c r="G147" t="s">
        <v>204</v>
      </c>
      <c r="H147" t="s">
        <v>204</v>
      </c>
      <c r="I147" t="s">
        <v>340</v>
      </c>
      <c r="J147" t="s">
        <v>1261</v>
      </c>
      <c r="K147" t="s">
        <v>413</v>
      </c>
      <c r="L147" t="s">
        <v>1212</v>
      </c>
      <c r="M147" s="131">
        <v>2.89</v>
      </c>
      <c r="N147" t="s">
        <v>1370</v>
      </c>
      <c r="O147" s="132">
        <v>4.2790000000000002E-2</v>
      </c>
      <c r="P147" s="132">
        <v>4.4499999999999998E-2</v>
      </c>
      <c r="R147" s="131">
        <v>40000000</v>
      </c>
      <c r="S147" s="131">
        <v>1</v>
      </c>
      <c r="T147" s="131">
        <v>98.09</v>
      </c>
      <c r="U147" s="131">
        <v>39236</v>
      </c>
      <c r="W147" s="16" t="s">
        <v>15</v>
      </c>
      <c r="X147" s="132">
        <v>2.2899999999999999E-3</v>
      </c>
      <c r="Y147" s="132">
        <v>3.2079999999999997E-2</v>
      </c>
      <c r="Z147" s="132">
        <v>1.3990000000000001E-2</v>
      </c>
    </row>
    <row r="148" spans="1:26">
      <c r="A148" t="s">
        <v>1213</v>
      </c>
      <c r="B148" t="s">
        <v>1230</v>
      </c>
      <c r="C148" t="s">
        <v>1258</v>
      </c>
      <c r="D148" t="s">
        <v>1259</v>
      </c>
      <c r="E148" t="s">
        <v>1260</v>
      </c>
      <c r="F148" t="s">
        <v>943</v>
      </c>
      <c r="G148" t="s">
        <v>204</v>
      </c>
      <c r="H148" t="s">
        <v>204</v>
      </c>
      <c r="I148" t="s">
        <v>340</v>
      </c>
      <c r="J148" t="s">
        <v>1261</v>
      </c>
      <c r="K148" t="s">
        <v>413</v>
      </c>
      <c r="L148" t="s">
        <v>1212</v>
      </c>
      <c r="M148" s="131">
        <v>1.07</v>
      </c>
      <c r="N148" t="s">
        <v>1262</v>
      </c>
      <c r="O148" s="132">
        <v>1.44E-2</v>
      </c>
      <c r="P148" s="132">
        <v>1.2999999999999999E-2</v>
      </c>
      <c r="R148" s="131">
        <v>23999999</v>
      </c>
      <c r="S148" s="131">
        <v>1</v>
      </c>
      <c r="T148" s="131">
        <v>116.02</v>
      </c>
      <c r="U148" s="131">
        <v>27844.798999999999</v>
      </c>
      <c r="W148" s="16" t="s">
        <v>15</v>
      </c>
      <c r="X148" s="132">
        <v>1.1100000000000001E-3</v>
      </c>
      <c r="Y148" s="132">
        <v>2.2769999999999999E-2</v>
      </c>
      <c r="Z148" s="132">
        <v>9.9299999999999996E-3</v>
      </c>
    </row>
    <row r="149" spans="1:26">
      <c r="A149" t="s">
        <v>1213</v>
      </c>
      <c r="B149" t="s">
        <v>1230</v>
      </c>
      <c r="C149" t="s">
        <v>1290</v>
      </c>
      <c r="D149" t="s">
        <v>1362</v>
      </c>
      <c r="E149" t="s">
        <v>1363</v>
      </c>
      <c r="F149" t="s">
        <v>949</v>
      </c>
      <c r="G149" t="s">
        <v>204</v>
      </c>
      <c r="H149" t="s">
        <v>204</v>
      </c>
      <c r="I149" t="s">
        <v>340</v>
      </c>
      <c r="J149" t="s">
        <v>1261</v>
      </c>
      <c r="K149" t="s">
        <v>413</v>
      </c>
      <c r="L149" t="s">
        <v>1212</v>
      </c>
      <c r="M149" s="131">
        <v>0.1</v>
      </c>
      <c r="N149" t="s">
        <v>1364</v>
      </c>
      <c r="O149" s="132">
        <v>4.061E-2</v>
      </c>
      <c r="P149" s="132">
        <v>4.36E-2</v>
      </c>
      <c r="R149" s="131">
        <v>25000000</v>
      </c>
      <c r="S149" s="131">
        <v>1</v>
      </c>
      <c r="T149" s="131">
        <v>99.58</v>
      </c>
      <c r="U149" s="131">
        <v>24895</v>
      </c>
      <c r="W149" s="16" t="s">
        <v>15</v>
      </c>
      <c r="X149" s="132">
        <v>6.2E-4</v>
      </c>
      <c r="Y149" s="132">
        <v>2.036E-2</v>
      </c>
      <c r="Z149" s="132">
        <v>8.8800000000000007E-3</v>
      </c>
    </row>
    <row r="150" spans="1:26">
      <c r="A150" t="s">
        <v>1213</v>
      </c>
      <c r="B150" t="s">
        <v>1230</v>
      </c>
      <c r="C150" t="s">
        <v>1267</v>
      </c>
      <c r="D150" t="s">
        <v>1341</v>
      </c>
      <c r="E150" t="s">
        <v>1342</v>
      </c>
      <c r="F150" t="s">
        <v>945</v>
      </c>
      <c r="G150" t="s">
        <v>204</v>
      </c>
      <c r="H150" t="s">
        <v>204</v>
      </c>
      <c r="I150" t="s">
        <v>340</v>
      </c>
      <c r="J150" t="s">
        <v>1261</v>
      </c>
      <c r="K150" t="s">
        <v>413</v>
      </c>
      <c r="L150" t="s">
        <v>1212</v>
      </c>
      <c r="M150" s="131">
        <v>2.44</v>
      </c>
      <c r="N150" t="s">
        <v>1343</v>
      </c>
      <c r="O150" s="132">
        <v>4.2759999999999999E-2</v>
      </c>
      <c r="P150" s="132">
        <v>4.3999999999999997E-2</v>
      </c>
      <c r="R150" s="131">
        <v>25000000</v>
      </c>
      <c r="S150" s="131">
        <v>1</v>
      </c>
      <c r="T150" s="131">
        <v>95.44</v>
      </c>
      <c r="U150" s="131">
        <v>23860</v>
      </c>
      <c r="W150" s="16" t="s">
        <v>15</v>
      </c>
      <c r="X150" s="132">
        <v>9.7000000000000005E-4</v>
      </c>
      <c r="Y150" s="132">
        <v>1.951E-2</v>
      </c>
      <c r="Z150" s="132">
        <v>8.5100000000000002E-3</v>
      </c>
    </row>
    <row r="151" spans="1:26">
      <c r="A151" t="s">
        <v>1213</v>
      </c>
      <c r="B151" t="s">
        <v>1230</v>
      </c>
      <c r="C151" t="s">
        <v>1290</v>
      </c>
      <c r="D151" t="s">
        <v>1371</v>
      </c>
      <c r="E151" t="s">
        <v>1372</v>
      </c>
      <c r="F151" t="s">
        <v>949</v>
      </c>
      <c r="G151" t="s">
        <v>204</v>
      </c>
      <c r="H151" t="s">
        <v>204</v>
      </c>
      <c r="I151" t="s">
        <v>340</v>
      </c>
      <c r="J151" t="s">
        <v>1261</v>
      </c>
      <c r="K151" t="s">
        <v>413</v>
      </c>
      <c r="L151" t="s">
        <v>1212</v>
      </c>
      <c r="M151" s="131">
        <v>0.01</v>
      </c>
      <c r="N151" t="s">
        <v>1373</v>
      </c>
      <c r="O151" s="132">
        <v>4.1189999999999997E-2</v>
      </c>
      <c r="P151" s="132">
        <v>0.1157</v>
      </c>
      <c r="R151" s="131">
        <v>21500000</v>
      </c>
      <c r="S151" s="131">
        <v>1</v>
      </c>
      <c r="T151" s="131">
        <v>99.97</v>
      </c>
      <c r="U151" s="131">
        <v>21493.55</v>
      </c>
      <c r="W151" s="16" t="s">
        <v>15</v>
      </c>
      <c r="X151" s="132">
        <v>4.8999999999999998E-4</v>
      </c>
      <c r="Y151" s="132">
        <v>1.7569999999999999E-2</v>
      </c>
      <c r="Z151" s="132">
        <v>7.6699999999999997E-3</v>
      </c>
    </row>
    <row r="152" spans="1:26">
      <c r="A152" t="s">
        <v>1213</v>
      </c>
      <c r="B152" t="s">
        <v>1230</v>
      </c>
      <c r="C152" t="s">
        <v>1267</v>
      </c>
      <c r="D152" t="s">
        <v>1347</v>
      </c>
      <c r="E152" t="s">
        <v>1348</v>
      </c>
      <c r="F152" t="s">
        <v>945</v>
      </c>
      <c r="G152" t="s">
        <v>204</v>
      </c>
      <c r="H152" t="s">
        <v>204</v>
      </c>
      <c r="I152" t="s">
        <v>340</v>
      </c>
      <c r="J152" t="s">
        <v>1261</v>
      </c>
      <c r="K152" t="s">
        <v>413</v>
      </c>
      <c r="L152" t="s">
        <v>1212</v>
      </c>
      <c r="M152" s="131">
        <v>3.86</v>
      </c>
      <c r="N152" t="s">
        <v>1349</v>
      </c>
      <c r="O152" s="132">
        <v>4.6850000000000003E-2</v>
      </c>
      <c r="P152" s="132">
        <v>4.5100000000000001E-2</v>
      </c>
      <c r="R152" s="131">
        <v>16000000</v>
      </c>
      <c r="S152" s="131">
        <v>1</v>
      </c>
      <c r="T152" s="131">
        <v>91.9</v>
      </c>
      <c r="U152" s="131">
        <v>14704</v>
      </c>
      <c r="W152" s="16" t="s">
        <v>15</v>
      </c>
      <c r="X152" s="132">
        <v>4.8000000000000001E-4</v>
      </c>
      <c r="Y152" s="132">
        <v>1.2019999999999999E-2</v>
      </c>
      <c r="Z152" s="132">
        <v>5.2399999999999999E-3</v>
      </c>
    </row>
    <row r="153" spans="1:26">
      <c r="A153" t="s">
        <v>1213</v>
      </c>
      <c r="B153" t="s">
        <v>1230</v>
      </c>
      <c r="C153" t="s">
        <v>1290</v>
      </c>
      <c r="D153" t="s">
        <v>1350</v>
      </c>
      <c r="E153" t="s">
        <v>1351</v>
      </c>
      <c r="F153" t="s">
        <v>949</v>
      </c>
      <c r="G153" t="s">
        <v>204</v>
      </c>
      <c r="H153" t="s">
        <v>204</v>
      </c>
      <c r="I153" t="s">
        <v>340</v>
      </c>
      <c r="J153" t="s">
        <v>1261</v>
      </c>
      <c r="K153" t="s">
        <v>413</v>
      </c>
      <c r="L153" t="s">
        <v>1212</v>
      </c>
      <c r="M153" s="131">
        <v>0.67</v>
      </c>
      <c r="N153" t="s">
        <v>1352</v>
      </c>
      <c r="O153" s="132">
        <v>4.2259999999999999E-2</v>
      </c>
      <c r="P153" s="132">
        <v>4.2700000000000002E-2</v>
      </c>
      <c r="R153" s="131">
        <v>10941252</v>
      </c>
      <c r="S153" s="131">
        <v>1</v>
      </c>
      <c r="T153" s="131">
        <v>97.22</v>
      </c>
      <c r="U153" s="131">
        <v>10637.084999999999</v>
      </c>
      <c r="W153" s="16" t="s">
        <v>15</v>
      </c>
      <c r="X153" s="132">
        <v>9.1E-4</v>
      </c>
      <c r="Y153" s="132">
        <v>8.6999999999999994E-3</v>
      </c>
      <c r="Z153" s="132">
        <v>3.79E-3</v>
      </c>
    </row>
    <row r="154" spans="1:26">
      <c r="A154" t="s">
        <v>1213</v>
      </c>
      <c r="B154" t="s">
        <v>1230</v>
      </c>
      <c r="C154" t="s">
        <v>1258</v>
      </c>
      <c r="D154" t="s">
        <v>1297</v>
      </c>
      <c r="E154" t="s">
        <v>1298</v>
      </c>
      <c r="F154" t="s">
        <v>943</v>
      </c>
      <c r="G154" t="s">
        <v>204</v>
      </c>
      <c r="H154" t="s">
        <v>204</v>
      </c>
      <c r="I154" t="s">
        <v>340</v>
      </c>
      <c r="J154" t="s">
        <v>1265</v>
      </c>
      <c r="K154" t="s">
        <v>415</v>
      </c>
      <c r="L154" t="s">
        <v>1212</v>
      </c>
      <c r="M154" s="131">
        <v>7.14</v>
      </c>
      <c r="N154" t="s">
        <v>1299</v>
      </c>
      <c r="O154" s="132">
        <v>2.0619999999999999E-2</v>
      </c>
      <c r="P154" s="132">
        <v>1.9900000000000001E-2</v>
      </c>
      <c r="R154" s="131">
        <v>9400000</v>
      </c>
      <c r="S154" s="131">
        <v>1</v>
      </c>
      <c r="T154" s="131">
        <v>101.1</v>
      </c>
      <c r="U154" s="131">
        <v>9503.4</v>
      </c>
      <c r="W154" s="16" t="s">
        <v>15</v>
      </c>
      <c r="X154" s="132">
        <v>3.1E-4</v>
      </c>
      <c r="Y154" s="132">
        <v>7.77E-3</v>
      </c>
      <c r="Z154" s="132">
        <v>3.3899999999999998E-3</v>
      </c>
    </row>
    <row r="155" spans="1:26">
      <c r="A155" t="s">
        <v>1213</v>
      </c>
      <c r="B155" t="s">
        <v>1230</v>
      </c>
      <c r="C155" t="s">
        <v>1258</v>
      </c>
      <c r="D155" t="s">
        <v>1300</v>
      </c>
      <c r="E155" t="s">
        <v>1301</v>
      </c>
      <c r="F155" t="s">
        <v>943</v>
      </c>
      <c r="G155" t="s">
        <v>204</v>
      </c>
      <c r="H155" t="s">
        <v>204</v>
      </c>
      <c r="I155" t="s">
        <v>340</v>
      </c>
      <c r="J155" t="s">
        <v>1265</v>
      </c>
      <c r="K155" t="s">
        <v>415</v>
      </c>
      <c r="L155" t="s">
        <v>1212</v>
      </c>
      <c r="M155" s="131">
        <v>4.6100000000000003</v>
      </c>
      <c r="N155" t="s">
        <v>1302</v>
      </c>
      <c r="O155" s="132">
        <v>-2.8999999999999998E-3</v>
      </c>
      <c r="P155" s="132">
        <v>1.83E-2</v>
      </c>
      <c r="R155" s="131">
        <v>6650000</v>
      </c>
      <c r="S155" s="131">
        <v>1</v>
      </c>
      <c r="T155" s="131">
        <v>108.85</v>
      </c>
      <c r="U155" s="131">
        <v>7238.5249999999996</v>
      </c>
      <c r="W155" s="16" t="s">
        <v>15</v>
      </c>
      <c r="X155" s="132">
        <v>2.5000000000000001E-4</v>
      </c>
      <c r="Y155" s="132">
        <v>5.9199999999999999E-3</v>
      </c>
      <c r="Z155" s="132">
        <v>2.5799999999999998E-3</v>
      </c>
    </row>
    <row r="156" spans="1:26">
      <c r="A156" t="s">
        <v>1213</v>
      </c>
      <c r="B156" t="s">
        <v>1230</v>
      </c>
      <c r="C156" t="s">
        <v>1290</v>
      </c>
      <c r="D156" t="s">
        <v>1344</v>
      </c>
      <c r="E156" t="s">
        <v>1345</v>
      </c>
      <c r="F156" t="s">
        <v>949</v>
      </c>
      <c r="G156" t="s">
        <v>204</v>
      </c>
      <c r="H156" t="s">
        <v>204</v>
      </c>
      <c r="I156" t="s">
        <v>340</v>
      </c>
      <c r="J156" t="s">
        <v>1261</v>
      </c>
      <c r="K156" t="s">
        <v>413</v>
      </c>
      <c r="L156" t="s">
        <v>1212</v>
      </c>
      <c r="M156" s="131">
        <v>0.75</v>
      </c>
      <c r="N156" t="s">
        <v>1346</v>
      </c>
      <c r="O156" s="132">
        <v>4.1640000000000003E-2</v>
      </c>
      <c r="P156" s="132">
        <v>4.2799999999999998E-2</v>
      </c>
      <c r="R156" s="131">
        <v>3672222</v>
      </c>
      <c r="S156" s="131">
        <v>1</v>
      </c>
      <c r="T156" s="131">
        <v>96.9</v>
      </c>
      <c r="U156" s="131">
        <v>3558.3829999999998</v>
      </c>
      <c r="W156" s="16" t="s">
        <v>15</v>
      </c>
      <c r="X156" s="132">
        <v>3.1E-4</v>
      </c>
      <c r="Y156" s="132">
        <v>2.9099999999999998E-3</v>
      </c>
      <c r="Z156" s="132">
        <v>1.2700000000000001E-3</v>
      </c>
    </row>
    <row r="157" spans="1:26">
      <c r="A157" t="s">
        <v>1213</v>
      </c>
      <c r="B157" t="s">
        <v>1230</v>
      </c>
      <c r="C157" t="s">
        <v>1321</v>
      </c>
      <c r="D157" t="s">
        <v>1383</v>
      </c>
      <c r="E157" t="s">
        <v>1384</v>
      </c>
      <c r="F157" t="s">
        <v>950</v>
      </c>
      <c r="G157" t="s">
        <v>205</v>
      </c>
      <c r="H157" t="s">
        <v>224</v>
      </c>
      <c r="I157" t="s">
        <v>314</v>
      </c>
      <c r="J157" t="s">
        <v>1324</v>
      </c>
      <c r="K157" t="s">
        <v>423</v>
      </c>
      <c r="L157" t="s">
        <v>1216</v>
      </c>
      <c r="M157" s="131">
        <v>1.3819999999999999</v>
      </c>
      <c r="N157" t="s">
        <v>1385</v>
      </c>
      <c r="O157" s="132">
        <v>4.317E-2</v>
      </c>
      <c r="P157" s="132">
        <v>3.7569999999999999E-2</v>
      </c>
      <c r="R157" s="131">
        <v>29500000</v>
      </c>
      <c r="S157" s="131">
        <v>3.71</v>
      </c>
      <c r="T157" s="131">
        <f>U157*1000/R157/S157*100</f>
        <v>95.635466215907542</v>
      </c>
      <c r="U157" s="131">
        <v>104668.236</v>
      </c>
      <c r="W157" s="16" t="s">
        <v>15</v>
      </c>
      <c r="X157" s="132">
        <v>4.0999999999999999E-4</v>
      </c>
      <c r="Y157" s="132">
        <v>8.5580000000000003E-2</v>
      </c>
      <c r="Z157" s="132">
        <v>3.7330000000000002E-2</v>
      </c>
    </row>
    <row r="158" spans="1:26">
      <c r="A158" t="s">
        <v>1213</v>
      </c>
      <c r="B158" t="s">
        <v>1231</v>
      </c>
      <c r="C158" t="s">
        <v>1290</v>
      </c>
      <c r="D158" t="s">
        <v>1291</v>
      </c>
      <c r="E158" t="s">
        <v>1292</v>
      </c>
      <c r="F158" t="s">
        <v>949</v>
      </c>
      <c r="G158" t="s">
        <v>204</v>
      </c>
      <c r="H158" t="s">
        <v>204</v>
      </c>
      <c r="I158" t="s">
        <v>340</v>
      </c>
      <c r="J158" t="s">
        <v>1261</v>
      </c>
      <c r="K158" t="s">
        <v>413</v>
      </c>
      <c r="L158" t="s">
        <v>1212</v>
      </c>
      <c r="M158" s="131">
        <v>0.42</v>
      </c>
      <c r="N158" t="s">
        <v>1293</v>
      </c>
      <c r="O158" s="132">
        <v>4.2860000000000002E-2</v>
      </c>
      <c r="P158" s="132">
        <v>4.3200000000000002E-2</v>
      </c>
      <c r="R158" s="131">
        <v>137557</v>
      </c>
      <c r="S158" s="131">
        <v>1</v>
      </c>
      <c r="T158" s="131">
        <v>98.22</v>
      </c>
      <c r="U158" s="131">
        <v>135.108</v>
      </c>
      <c r="W158" s="16" t="s">
        <v>15</v>
      </c>
      <c r="X158" s="132">
        <v>1.0000000000000001E-5</v>
      </c>
      <c r="Y158" s="132">
        <v>1</v>
      </c>
      <c r="Z158" s="132">
        <v>5.6919999999999998E-2</v>
      </c>
    </row>
    <row r="159" spans="1:26">
      <c r="A159" t="s">
        <v>1213</v>
      </c>
      <c r="B159" t="s">
        <v>1232</v>
      </c>
      <c r="C159" t="s">
        <v>1290</v>
      </c>
      <c r="D159" t="s">
        <v>1344</v>
      </c>
      <c r="E159" t="s">
        <v>1345</v>
      </c>
      <c r="F159" t="s">
        <v>949</v>
      </c>
      <c r="G159" t="s">
        <v>204</v>
      </c>
      <c r="H159" t="s">
        <v>204</v>
      </c>
      <c r="I159" t="s">
        <v>340</v>
      </c>
      <c r="J159" t="s">
        <v>1261</v>
      </c>
      <c r="K159" t="s">
        <v>413</v>
      </c>
      <c r="L159" t="s">
        <v>1212</v>
      </c>
      <c r="M159" s="131">
        <v>0.75</v>
      </c>
      <c r="N159" t="s">
        <v>1346</v>
      </c>
      <c r="O159" s="132">
        <v>4.1880000000000001E-2</v>
      </c>
      <c r="P159" s="132">
        <v>4.2799999999999998E-2</v>
      </c>
      <c r="R159" s="131">
        <v>709752</v>
      </c>
      <c r="S159" s="131">
        <v>1</v>
      </c>
      <c r="T159" s="131">
        <v>96.9</v>
      </c>
      <c r="U159" s="131">
        <v>687.75</v>
      </c>
      <c r="W159" s="16" t="s">
        <v>15</v>
      </c>
      <c r="X159" s="132">
        <v>6.0000000000000002E-5</v>
      </c>
      <c r="Y159" s="132">
        <v>0.35577999999999999</v>
      </c>
      <c r="Z159" s="132">
        <v>4.675E-2</v>
      </c>
    </row>
    <row r="160" spans="1:26">
      <c r="A160" t="s">
        <v>1213</v>
      </c>
      <c r="B160" t="s">
        <v>1232</v>
      </c>
      <c r="C160" t="s">
        <v>1290</v>
      </c>
      <c r="D160" t="s">
        <v>1294</v>
      </c>
      <c r="E160" t="s">
        <v>1295</v>
      </c>
      <c r="F160" t="s">
        <v>949</v>
      </c>
      <c r="G160" t="s">
        <v>204</v>
      </c>
      <c r="H160" t="s">
        <v>204</v>
      </c>
      <c r="I160" t="s">
        <v>340</v>
      </c>
      <c r="J160" t="s">
        <v>1265</v>
      </c>
      <c r="K160" t="s">
        <v>415</v>
      </c>
      <c r="L160" t="s">
        <v>1212</v>
      </c>
      <c r="M160" s="131">
        <v>0.85</v>
      </c>
      <c r="N160" t="s">
        <v>1296</v>
      </c>
      <c r="O160" s="132">
        <v>4.2410000000000003E-2</v>
      </c>
      <c r="P160" s="132">
        <v>4.3200000000000002E-2</v>
      </c>
      <c r="R160" s="131">
        <v>633226</v>
      </c>
      <c r="S160" s="131">
        <v>1</v>
      </c>
      <c r="T160" s="131">
        <v>96.48</v>
      </c>
      <c r="U160" s="131">
        <v>610.93600000000004</v>
      </c>
      <c r="W160" s="16" t="s">
        <v>15</v>
      </c>
      <c r="X160" s="132">
        <v>5.0000000000000002E-5</v>
      </c>
      <c r="Y160" s="132">
        <v>0.31605</v>
      </c>
      <c r="Z160" s="132">
        <v>4.1520000000000001E-2</v>
      </c>
    </row>
    <row r="161" spans="1:26">
      <c r="A161" t="s">
        <v>1213</v>
      </c>
      <c r="B161" t="s">
        <v>1232</v>
      </c>
      <c r="C161" t="s">
        <v>1290</v>
      </c>
      <c r="D161" t="s">
        <v>1291</v>
      </c>
      <c r="E161" t="s">
        <v>1292</v>
      </c>
      <c r="F161" t="s">
        <v>949</v>
      </c>
      <c r="G161" t="s">
        <v>204</v>
      </c>
      <c r="H161" t="s">
        <v>204</v>
      </c>
      <c r="I161" t="s">
        <v>340</v>
      </c>
      <c r="J161" t="s">
        <v>1261</v>
      </c>
      <c r="K161" t="s">
        <v>413</v>
      </c>
      <c r="L161" t="s">
        <v>1212</v>
      </c>
      <c r="M161" s="131">
        <v>0.42</v>
      </c>
      <c r="N161" t="s">
        <v>1293</v>
      </c>
      <c r="O161" s="132">
        <v>4.2880000000000001E-2</v>
      </c>
      <c r="P161" s="132">
        <v>4.3200000000000002E-2</v>
      </c>
      <c r="R161" s="131">
        <v>437651</v>
      </c>
      <c r="S161" s="131">
        <v>1</v>
      </c>
      <c r="T161" s="131">
        <v>98.22</v>
      </c>
      <c r="U161" s="131">
        <v>429.86099999999999</v>
      </c>
      <c r="W161" s="16" t="s">
        <v>15</v>
      </c>
      <c r="X161" s="132">
        <v>4.0000000000000003E-5</v>
      </c>
      <c r="Y161" s="132">
        <v>0.22237000000000001</v>
      </c>
      <c r="Z161" s="132">
        <v>2.9219999999999999E-2</v>
      </c>
    </row>
    <row r="162" spans="1:26">
      <c r="A162" t="s">
        <v>1213</v>
      </c>
      <c r="B162" t="s">
        <v>1232</v>
      </c>
      <c r="C162" t="s">
        <v>1290</v>
      </c>
      <c r="D162" t="s">
        <v>1303</v>
      </c>
      <c r="E162" t="s">
        <v>1304</v>
      </c>
      <c r="F162" t="s">
        <v>949</v>
      </c>
      <c r="G162" t="s">
        <v>204</v>
      </c>
      <c r="H162" t="s">
        <v>204</v>
      </c>
      <c r="I162" t="s">
        <v>340</v>
      </c>
      <c r="J162" t="s">
        <v>1265</v>
      </c>
      <c r="K162" t="s">
        <v>415</v>
      </c>
      <c r="L162" t="s">
        <v>1212</v>
      </c>
      <c r="M162" s="131">
        <v>0.92</v>
      </c>
      <c r="N162" t="s">
        <v>1305</v>
      </c>
      <c r="O162" s="132">
        <v>4.2029999999999998E-2</v>
      </c>
      <c r="P162" s="132">
        <v>4.2900000000000001E-2</v>
      </c>
      <c r="R162" s="131">
        <v>212599</v>
      </c>
      <c r="S162" s="131">
        <v>1</v>
      </c>
      <c r="T162" s="131">
        <v>96.2</v>
      </c>
      <c r="U162" s="131">
        <v>204.52</v>
      </c>
      <c r="W162" s="16" t="s">
        <v>15</v>
      </c>
      <c r="X162" s="132">
        <v>2.0000000000000002E-5</v>
      </c>
      <c r="Y162" s="132">
        <v>0.10580000000000001</v>
      </c>
      <c r="Z162" s="132">
        <v>1.3899999999999999E-2</v>
      </c>
    </row>
    <row r="163" spans="1:26">
      <c r="A163" t="s">
        <v>1213</v>
      </c>
      <c r="B163" t="s">
        <v>1233</v>
      </c>
      <c r="C163" t="s">
        <v>1258</v>
      </c>
      <c r="D163" t="s">
        <v>1329</v>
      </c>
      <c r="E163" t="s">
        <v>1330</v>
      </c>
      <c r="F163" t="s">
        <v>943</v>
      </c>
      <c r="G163" t="s">
        <v>204</v>
      </c>
      <c r="H163" t="s">
        <v>204</v>
      </c>
      <c r="I163" t="s">
        <v>340</v>
      </c>
      <c r="J163" t="s">
        <v>1265</v>
      </c>
      <c r="K163" t="s">
        <v>415</v>
      </c>
      <c r="L163" t="s">
        <v>1212</v>
      </c>
      <c r="M163" s="131">
        <v>2.64</v>
      </c>
      <c r="N163" t="s">
        <v>1331</v>
      </c>
      <c r="O163" s="132">
        <v>-1.8720000000000001E-2</v>
      </c>
      <c r="P163" s="132">
        <v>1.6299999999999999E-2</v>
      </c>
      <c r="R163" s="131">
        <v>15729153</v>
      </c>
      <c r="S163" s="131">
        <v>1</v>
      </c>
      <c r="T163" s="131">
        <v>114.25</v>
      </c>
      <c r="U163" s="131">
        <v>17970.557000000001</v>
      </c>
      <c r="W163" s="16" t="s">
        <v>15</v>
      </c>
      <c r="X163" s="132">
        <v>7.1000000000000002E-4</v>
      </c>
      <c r="Y163" s="132">
        <v>0.19888</v>
      </c>
      <c r="Z163" s="132">
        <v>4.7759999999999997E-2</v>
      </c>
    </row>
    <row r="164" spans="1:26">
      <c r="A164" t="s">
        <v>1213</v>
      </c>
      <c r="B164" t="s">
        <v>1233</v>
      </c>
      <c r="C164" t="s">
        <v>1258</v>
      </c>
      <c r="D164" t="s">
        <v>1309</v>
      </c>
      <c r="E164" t="s">
        <v>1310</v>
      </c>
      <c r="F164" t="s">
        <v>943</v>
      </c>
      <c r="G164" t="s">
        <v>204</v>
      </c>
      <c r="H164" t="s">
        <v>204</v>
      </c>
      <c r="I164" t="s">
        <v>340</v>
      </c>
      <c r="J164" t="s">
        <v>1265</v>
      </c>
      <c r="K164" t="s">
        <v>415</v>
      </c>
      <c r="L164" t="s">
        <v>1212</v>
      </c>
      <c r="M164" s="131">
        <v>1.83</v>
      </c>
      <c r="N164" t="s">
        <v>1311</v>
      </c>
      <c r="O164" s="132">
        <v>1.278E-2</v>
      </c>
      <c r="P164" s="132">
        <v>1.5699999999999999E-2</v>
      </c>
      <c r="R164" s="131">
        <v>10837373</v>
      </c>
      <c r="S164" s="131">
        <v>1</v>
      </c>
      <c r="T164" s="131">
        <v>112.44</v>
      </c>
      <c r="U164" s="131">
        <v>12185.541999999999</v>
      </c>
      <c r="W164" s="16" t="s">
        <v>15</v>
      </c>
      <c r="X164" s="132">
        <v>5.4000000000000001E-4</v>
      </c>
      <c r="Y164" s="132">
        <v>0.13486000000000001</v>
      </c>
      <c r="Z164" s="132">
        <v>3.2379999999999999E-2</v>
      </c>
    </row>
    <row r="165" spans="1:26">
      <c r="A165" t="s">
        <v>1213</v>
      </c>
      <c r="B165" t="s">
        <v>1233</v>
      </c>
      <c r="C165" t="s">
        <v>1277</v>
      </c>
      <c r="D165" t="s">
        <v>1278</v>
      </c>
      <c r="E165" t="s">
        <v>1279</v>
      </c>
      <c r="F165" t="s">
        <v>946</v>
      </c>
      <c r="G165" t="s">
        <v>204</v>
      </c>
      <c r="H165" t="s">
        <v>204</v>
      </c>
      <c r="I165" t="s">
        <v>340</v>
      </c>
      <c r="J165" t="s">
        <v>1261</v>
      </c>
      <c r="K165" t="s">
        <v>413</v>
      </c>
      <c r="L165" t="s">
        <v>1212</v>
      </c>
      <c r="M165" s="131">
        <v>5.42</v>
      </c>
      <c r="N165" t="s">
        <v>1280</v>
      </c>
      <c r="O165" s="132">
        <v>4.6800000000000001E-3</v>
      </c>
      <c r="P165" s="132">
        <v>4.8399999999999999E-2</v>
      </c>
      <c r="R165" s="131">
        <v>10711674</v>
      </c>
      <c r="S165" s="131">
        <v>1</v>
      </c>
      <c r="T165" s="131">
        <v>97.9</v>
      </c>
      <c r="U165" s="131">
        <v>10486.728999999999</v>
      </c>
      <c r="W165" s="16" t="s">
        <v>15</v>
      </c>
      <c r="X165" s="132">
        <v>3.4000000000000002E-4</v>
      </c>
      <c r="Y165" s="132">
        <v>0.11606</v>
      </c>
      <c r="Z165" s="132">
        <v>2.7869999999999999E-2</v>
      </c>
    </row>
    <row r="166" spans="1:26">
      <c r="A166" t="s">
        <v>1213</v>
      </c>
      <c r="B166" t="s">
        <v>1233</v>
      </c>
      <c r="C166" t="s">
        <v>1267</v>
      </c>
      <c r="D166" t="s">
        <v>1347</v>
      </c>
      <c r="E166" t="s">
        <v>1348</v>
      </c>
      <c r="F166" t="s">
        <v>945</v>
      </c>
      <c r="G166" t="s">
        <v>204</v>
      </c>
      <c r="H166" t="s">
        <v>204</v>
      </c>
      <c r="I166" t="s">
        <v>340</v>
      </c>
      <c r="J166" t="s">
        <v>1261</v>
      </c>
      <c r="K166" t="s">
        <v>413</v>
      </c>
      <c r="L166" t="s">
        <v>1212</v>
      </c>
      <c r="M166" s="131">
        <v>3.86</v>
      </c>
      <c r="N166" t="s">
        <v>1349</v>
      </c>
      <c r="O166" s="132">
        <v>3.5569999999999997E-2</v>
      </c>
      <c r="P166" s="132">
        <v>4.5100000000000001E-2</v>
      </c>
      <c r="R166" s="131">
        <v>9878818</v>
      </c>
      <c r="S166" s="131">
        <v>1</v>
      </c>
      <c r="T166" s="131">
        <v>91.9</v>
      </c>
      <c r="U166" s="131">
        <v>9078.634</v>
      </c>
      <c r="W166" s="16" t="s">
        <v>15</v>
      </c>
      <c r="X166" s="132">
        <v>2.9E-4</v>
      </c>
      <c r="Y166" s="132">
        <v>0.10047</v>
      </c>
      <c r="Z166" s="132">
        <v>2.4129999999999999E-2</v>
      </c>
    </row>
    <row r="167" spans="1:26">
      <c r="A167" t="s">
        <v>1213</v>
      </c>
      <c r="B167" t="s">
        <v>1233</v>
      </c>
      <c r="C167" t="s">
        <v>1258</v>
      </c>
      <c r="D167" t="s">
        <v>1300</v>
      </c>
      <c r="E167" t="s">
        <v>1301</v>
      </c>
      <c r="F167" t="s">
        <v>943</v>
      </c>
      <c r="G167" t="s">
        <v>204</v>
      </c>
      <c r="H167" t="s">
        <v>204</v>
      </c>
      <c r="I167" t="s">
        <v>340</v>
      </c>
      <c r="J167" t="s">
        <v>1265</v>
      </c>
      <c r="K167" t="s">
        <v>415</v>
      </c>
      <c r="L167" t="s">
        <v>1212</v>
      </c>
      <c r="M167" s="131">
        <v>4.6100000000000003</v>
      </c>
      <c r="N167" t="s">
        <v>1302</v>
      </c>
      <c r="O167" s="132">
        <v>1.2699999999999999E-2</v>
      </c>
      <c r="P167" s="132">
        <v>1.83E-2</v>
      </c>
      <c r="R167" s="131">
        <v>6741299</v>
      </c>
      <c r="S167" s="131">
        <v>1</v>
      </c>
      <c r="T167" s="131">
        <v>108.85</v>
      </c>
      <c r="U167" s="131">
        <v>7337.9040000000005</v>
      </c>
      <c r="W167" s="16" t="s">
        <v>15</v>
      </c>
      <c r="X167" s="132">
        <v>2.5000000000000001E-4</v>
      </c>
      <c r="Y167" s="132">
        <v>8.1210000000000004E-2</v>
      </c>
      <c r="Z167" s="132">
        <v>1.95E-2</v>
      </c>
    </row>
    <row r="168" spans="1:26">
      <c r="A168" t="s">
        <v>1213</v>
      </c>
      <c r="B168" t="s">
        <v>1233</v>
      </c>
      <c r="C168" t="s">
        <v>1267</v>
      </c>
      <c r="D168" t="s">
        <v>1356</v>
      </c>
      <c r="E168" t="s">
        <v>1357</v>
      </c>
      <c r="F168" t="s">
        <v>945</v>
      </c>
      <c r="G168" t="s">
        <v>204</v>
      </c>
      <c r="H168" t="s">
        <v>204</v>
      </c>
      <c r="I168" t="s">
        <v>340</v>
      </c>
      <c r="J168" t="s">
        <v>1261</v>
      </c>
      <c r="K168" t="s">
        <v>413</v>
      </c>
      <c r="L168" t="s">
        <v>1212</v>
      </c>
      <c r="M168" s="131">
        <v>7.17</v>
      </c>
      <c r="N168" t="s">
        <v>1358</v>
      </c>
      <c r="O168" s="132">
        <v>4.709E-2</v>
      </c>
      <c r="P168" s="132">
        <v>4.7500000000000001E-2</v>
      </c>
      <c r="R168" s="131">
        <v>9018004</v>
      </c>
      <c r="S168" s="131">
        <v>1</v>
      </c>
      <c r="T168" s="131">
        <v>78.98</v>
      </c>
      <c r="U168" s="131">
        <v>7122.42</v>
      </c>
      <c r="W168" s="16" t="s">
        <v>15</v>
      </c>
      <c r="X168" s="132">
        <v>2.9999999999999997E-4</v>
      </c>
      <c r="Y168" s="132">
        <v>7.8820000000000001E-2</v>
      </c>
      <c r="Z168" s="132">
        <v>1.8929999999999999E-2</v>
      </c>
    </row>
    <row r="169" spans="1:26">
      <c r="A169" t="s">
        <v>1213</v>
      </c>
      <c r="B169" t="s">
        <v>1233</v>
      </c>
      <c r="C169" t="s">
        <v>1290</v>
      </c>
      <c r="D169" t="s">
        <v>1344</v>
      </c>
      <c r="E169" t="s">
        <v>1345</v>
      </c>
      <c r="F169" t="s">
        <v>949</v>
      </c>
      <c r="G169" t="s">
        <v>204</v>
      </c>
      <c r="H169" t="s">
        <v>204</v>
      </c>
      <c r="I169" t="s">
        <v>340</v>
      </c>
      <c r="J169" t="s">
        <v>1261</v>
      </c>
      <c r="K169" t="s">
        <v>413</v>
      </c>
      <c r="L169" t="s">
        <v>1212</v>
      </c>
      <c r="M169" s="131">
        <v>0.75</v>
      </c>
      <c r="N169" t="s">
        <v>1346</v>
      </c>
      <c r="O169" s="132">
        <v>4.1480000000000003E-2</v>
      </c>
      <c r="P169" s="132">
        <v>4.2799999999999998E-2</v>
      </c>
      <c r="R169" s="131">
        <v>6393374</v>
      </c>
      <c r="S169" s="131">
        <v>1</v>
      </c>
      <c r="T169" s="131">
        <v>96.9</v>
      </c>
      <c r="U169" s="131">
        <v>6195.1790000000001</v>
      </c>
      <c r="W169" s="16" t="s">
        <v>15</v>
      </c>
      <c r="X169" s="132">
        <v>5.2999999999999998E-4</v>
      </c>
      <c r="Y169" s="132">
        <v>6.8559999999999996E-2</v>
      </c>
      <c r="Z169" s="132">
        <v>1.6459999999999999E-2</v>
      </c>
    </row>
    <row r="170" spans="1:26">
      <c r="A170" t="s">
        <v>1213</v>
      </c>
      <c r="B170" t="s">
        <v>1233</v>
      </c>
      <c r="C170" t="s">
        <v>1267</v>
      </c>
      <c r="D170" t="s">
        <v>1281</v>
      </c>
      <c r="E170" t="s">
        <v>1282</v>
      </c>
      <c r="F170" t="s">
        <v>945</v>
      </c>
      <c r="G170" t="s">
        <v>204</v>
      </c>
      <c r="H170" t="s">
        <v>204</v>
      </c>
      <c r="I170" t="s">
        <v>340</v>
      </c>
      <c r="J170" t="s">
        <v>1261</v>
      </c>
      <c r="K170" t="s">
        <v>413</v>
      </c>
      <c r="L170" t="s">
        <v>1212</v>
      </c>
      <c r="M170" s="131">
        <v>5.33</v>
      </c>
      <c r="N170" t="s">
        <v>1283</v>
      </c>
      <c r="O170" s="132">
        <v>4.666E-2</v>
      </c>
      <c r="P170" s="132">
        <v>4.6300000000000001E-2</v>
      </c>
      <c r="R170" s="131">
        <v>6004006</v>
      </c>
      <c r="S170" s="131">
        <v>1</v>
      </c>
      <c r="T170" s="131">
        <v>83.24</v>
      </c>
      <c r="U170" s="131">
        <v>4997.7349999999997</v>
      </c>
      <c r="W170" s="16" t="s">
        <v>15</v>
      </c>
      <c r="X170" s="132">
        <v>1.6000000000000001E-4</v>
      </c>
      <c r="Y170" s="132">
        <v>5.5309999999999998E-2</v>
      </c>
      <c r="Z170" s="132">
        <v>1.328E-2</v>
      </c>
    </row>
    <row r="171" spans="1:26">
      <c r="A171" t="s">
        <v>1213</v>
      </c>
      <c r="B171" t="s">
        <v>1233</v>
      </c>
      <c r="C171" t="s">
        <v>1258</v>
      </c>
      <c r="D171" t="s">
        <v>1259</v>
      </c>
      <c r="E171" t="s">
        <v>1260</v>
      </c>
      <c r="F171" t="s">
        <v>943</v>
      </c>
      <c r="G171" t="s">
        <v>204</v>
      </c>
      <c r="H171" t="s">
        <v>204</v>
      </c>
      <c r="I171" t="s">
        <v>340</v>
      </c>
      <c r="J171" t="s">
        <v>1261</v>
      </c>
      <c r="K171" t="s">
        <v>413</v>
      </c>
      <c r="L171" t="s">
        <v>1212</v>
      </c>
      <c r="M171" s="131">
        <v>1.07</v>
      </c>
      <c r="N171" t="s">
        <v>1262</v>
      </c>
      <c r="O171" s="132">
        <v>1.274E-2</v>
      </c>
      <c r="P171" s="132">
        <v>1.2999999999999999E-2</v>
      </c>
      <c r="R171" s="131">
        <v>3306965</v>
      </c>
      <c r="S171" s="131">
        <v>1</v>
      </c>
      <c r="T171" s="131">
        <v>116.02</v>
      </c>
      <c r="U171" s="131">
        <v>3836.741</v>
      </c>
      <c r="W171" s="16" t="s">
        <v>15</v>
      </c>
      <c r="X171" s="132">
        <v>1.4999999999999999E-4</v>
      </c>
      <c r="Y171" s="132">
        <v>4.2459999999999998E-2</v>
      </c>
      <c r="Z171" s="132">
        <v>1.0200000000000001E-2</v>
      </c>
    </row>
    <row r="172" spans="1:26">
      <c r="A172" t="s">
        <v>1213</v>
      </c>
      <c r="B172" t="s">
        <v>1233</v>
      </c>
      <c r="C172" t="s">
        <v>1258</v>
      </c>
      <c r="D172" t="s">
        <v>1263</v>
      </c>
      <c r="E172" t="s">
        <v>1264</v>
      </c>
      <c r="F172" t="s">
        <v>943</v>
      </c>
      <c r="G172" t="s">
        <v>204</v>
      </c>
      <c r="H172" t="s">
        <v>204</v>
      </c>
      <c r="I172" t="s">
        <v>340</v>
      </c>
      <c r="J172" t="s">
        <v>1265</v>
      </c>
      <c r="K172" t="s">
        <v>415</v>
      </c>
      <c r="L172" t="s">
        <v>1212</v>
      </c>
      <c r="M172" s="131">
        <v>3.97</v>
      </c>
      <c r="N172" t="s">
        <v>1266</v>
      </c>
      <c r="O172" s="132">
        <v>1.26E-2</v>
      </c>
      <c r="P172" s="132">
        <v>1.7999999999999999E-2</v>
      </c>
      <c r="R172" s="131">
        <v>2525616</v>
      </c>
      <c r="S172" s="131">
        <v>1</v>
      </c>
      <c r="T172" s="131">
        <v>102.6</v>
      </c>
      <c r="U172" s="131">
        <v>2591.2820000000002</v>
      </c>
      <c r="W172" s="16" t="s">
        <v>15</v>
      </c>
      <c r="X172" s="132">
        <v>1.2E-4</v>
      </c>
      <c r="Y172" s="132">
        <v>2.8680000000000001E-2</v>
      </c>
      <c r="Z172" s="132">
        <v>6.8900000000000003E-3</v>
      </c>
    </row>
    <row r="173" spans="1:26">
      <c r="A173" t="s">
        <v>1213</v>
      </c>
      <c r="B173" t="s">
        <v>1233</v>
      </c>
      <c r="C173" t="s">
        <v>1258</v>
      </c>
      <c r="D173" t="s">
        <v>1297</v>
      </c>
      <c r="E173" t="s">
        <v>1298</v>
      </c>
      <c r="F173" t="s">
        <v>943</v>
      </c>
      <c r="G173" t="s">
        <v>204</v>
      </c>
      <c r="H173" t="s">
        <v>204</v>
      </c>
      <c r="I173" t="s">
        <v>340</v>
      </c>
      <c r="J173" t="s">
        <v>1265</v>
      </c>
      <c r="K173" t="s">
        <v>415</v>
      </c>
      <c r="L173" t="s">
        <v>1212</v>
      </c>
      <c r="M173" s="131">
        <v>7.14</v>
      </c>
      <c r="N173" t="s">
        <v>1299</v>
      </c>
      <c r="O173" s="132">
        <v>1.17E-2</v>
      </c>
      <c r="P173" s="132">
        <v>1.9900000000000001E-2</v>
      </c>
      <c r="R173" s="131">
        <v>2480247</v>
      </c>
      <c r="S173" s="131">
        <v>1</v>
      </c>
      <c r="T173" s="131">
        <v>101.1</v>
      </c>
      <c r="U173" s="131">
        <v>2507.5300000000002</v>
      </c>
      <c r="W173" s="16" t="s">
        <v>15</v>
      </c>
      <c r="X173" s="132">
        <v>8.0000000000000007E-5</v>
      </c>
      <c r="Y173" s="132">
        <v>2.775E-2</v>
      </c>
      <c r="Z173" s="132">
        <v>6.6600000000000001E-3</v>
      </c>
    </row>
    <row r="174" spans="1:26">
      <c r="A174" t="s">
        <v>1213</v>
      </c>
      <c r="B174" t="s">
        <v>1233</v>
      </c>
      <c r="C174" t="s">
        <v>1267</v>
      </c>
      <c r="D174" t="s">
        <v>1368</v>
      </c>
      <c r="E174" t="s">
        <v>1369</v>
      </c>
      <c r="F174" t="s">
        <v>945</v>
      </c>
      <c r="G174" t="s">
        <v>204</v>
      </c>
      <c r="H174" t="s">
        <v>204</v>
      </c>
      <c r="I174" t="s">
        <v>340</v>
      </c>
      <c r="J174" t="s">
        <v>1261</v>
      </c>
      <c r="K174" t="s">
        <v>413</v>
      </c>
      <c r="L174" t="s">
        <v>1212</v>
      </c>
      <c r="M174" s="131">
        <v>2.89</v>
      </c>
      <c r="N174" t="s">
        <v>1370</v>
      </c>
      <c r="O174" s="132">
        <v>4.4240000000000002E-2</v>
      </c>
      <c r="P174" s="132">
        <v>4.4499999999999998E-2</v>
      </c>
      <c r="R174" s="131">
        <v>2513276</v>
      </c>
      <c r="S174" s="131">
        <v>1</v>
      </c>
      <c r="T174" s="131">
        <v>98.09</v>
      </c>
      <c r="U174" s="131">
        <v>2465.2719999999999</v>
      </c>
      <c r="W174" s="16" t="s">
        <v>15</v>
      </c>
      <c r="X174" s="132">
        <v>1.3999999999999999E-4</v>
      </c>
      <c r="Y174" s="132">
        <v>2.7279999999999999E-2</v>
      </c>
      <c r="Z174" s="132">
        <v>6.5500000000000003E-3</v>
      </c>
    </row>
    <row r="175" spans="1:26">
      <c r="A175" t="s">
        <v>1213</v>
      </c>
      <c r="B175" t="s">
        <v>1233</v>
      </c>
      <c r="C175" t="s">
        <v>1267</v>
      </c>
      <c r="D175" t="s">
        <v>1306</v>
      </c>
      <c r="E175" t="s">
        <v>1307</v>
      </c>
      <c r="F175" t="s">
        <v>945</v>
      </c>
      <c r="G175" t="s">
        <v>204</v>
      </c>
      <c r="H175" t="s">
        <v>204</v>
      </c>
      <c r="I175" t="s">
        <v>340</v>
      </c>
      <c r="J175" t="s">
        <v>1265</v>
      </c>
      <c r="K175" t="s">
        <v>415</v>
      </c>
      <c r="L175" t="s">
        <v>1212</v>
      </c>
      <c r="M175" s="131">
        <v>4.0599999999999996</v>
      </c>
      <c r="N175" t="s">
        <v>1308</v>
      </c>
      <c r="O175" s="132">
        <v>3.3980000000000003E-2</v>
      </c>
      <c r="P175" s="132">
        <v>4.5600000000000002E-2</v>
      </c>
      <c r="R175" s="131">
        <v>984825</v>
      </c>
      <c r="S175" s="131">
        <v>1</v>
      </c>
      <c r="T175" s="131">
        <v>99.02</v>
      </c>
      <c r="U175" s="131">
        <v>975.17399999999998</v>
      </c>
      <c r="W175" s="16" t="s">
        <v>15</v>
      </c>
      <c r="X175" s="132">
        <v>3.0000000000000001E-5</v>
      </c>
      <c r="Y175" s="132">
        <v>1.0789999999999999E-2</v>
      </c>
      <c r="Z175" s="132">
        <v>2.5899999999999999E-3</v>
      </c>
    </row>
    <row r="176" spans="1:26">
      <c r="A176" t="s">
        <v>1213</v>
      </c>
      <c r="B176" t="s">
        <v>1233</v>
      </c>
      <c r="C176" t="s">
        <v>1267</v>
      </c>
      <c r="D176" t="s">
        <v>1353</v>
      </c>
      <c r="E176" t="s">
        <v>1354</v>
      </c>
      <c r="F176" t="s">
        <v>945</v>
      </c>
      <c r="G176" t="s">
        <v>204</v>
      </c>
      <c r="H176" t="s">
        <v>204</v>
      </c>
      <c r="I176" t="s">
        <v>340</v>
      </c>
      <c r="J176" t="s">
        <v>1261</v>
      </c>
      <c r="K176" t="s">
        <v>413</v>
      </c>
      <c r="L176" t="s">
        <v>1212</v>
      </c>
      <c r="M176" s="131">
        <v>8.52</v>
      </c>
      <c r="N176" t="s">
        <v>1355</v>
      </c>
      <c r="O176" s="132">
        <v>4.4350000000000001E-2</v>
      </c>
      <c r="P176" s="132">
        <v>4.8800000000000003E-2</v>
      </c>
      <c r="R176" s="131">
        <v>980543</v>
      </c>
      <c r="S176" s="131">
        <v>1</v>
      </c>
      <c r="T176" s="131">
        <v>94.93</v>
      </c>
      <c r="U176" s="131">
        <v>930.82899999999995</v>
      </c>
      <c r="W176" s="16" t="s">
        <v>15</v>
      </c>
      <c r="X176" s="132">
        <v>6.0000000000000002E-5</v>
      </c>
      <c r="Y176" s="132">
        <v>1.03E-2</v>
      </c>
      <c r="Z176" s="132">
        <v>2.47E-3</v>
      </c>
    </row>
    <row r="177" spans="1:26">
      <c r="A177" t="s">
        <v>1213</v>
      </c>
      <c r="B177" t="s">
        <v>1233</v>
      </c>
      <c r="C177" t="s">
        <v>1267</v>
      </c>
      <c r="D177" t="s">
        <v>1274</v>
      </c>
      <c r="E177" t="s">
        <v>1275</v>
      </c>
      <c r="F177" t="s">
        <v>945</v>
      </c>
      <c r="G177" t="s">
        <v>204</v>
      </c>
      <c r="H177" t="s">
        <v>204</v>
      </c>
      <c r="I177" t="s">
        <v>340</v>
      </c>
      <c r="J177" t="s">
        <v>1265</v>
      </c>
      <c r="K177" t="s">
        <v>415</v>
      </c>
      <c r="L177" t="s">
        <v>1212</v>
      </c>
      <c r="M177" s="131">
        <v>1.4</v>
      </c>
      <c r="N177" t="s">
        <v>1276</v>
      </c>
      <c r="O177" s="132">
        <v>4.1119999999999997E-2</v>
      </c>
      <c r="P177" s="132">
        <v>4.3799999999999999E-2</v>
      </c>
      <c r="R177" s="131">
        <v>833743</v>
      </c>
      <c r="S177" s="131">
        <v>1</v>
      </c>
      <c r="T177" s="131">
        <v>95.1</v>
      </c>
      <c r="U177" s="131">
        <v>792.89</v>
      </c>
      <c r="W177" s="16" t="s">
        <v>15</v>
      </c>
      <c r="X177" s="132">
        <v>3.0000000000000001E-5</v>
      </c>
      <c r="Y177" s="132">
        <v>8.77E-3</v>
      </c>
      <c r="Z177" s="132">
        <v>2.1099999999999999E-3</v>
      </c>
    </row>
    <row r="178" spans="1:26">
      <c r="A178" t="s">
        <v>1213</v>
      </c>
      <c r="B178" t="s">
        <v>1233</v>
      </c>
      <c r="C178" t="s">
        <v>1267</v>
      </c>
      <c r="D178" t="s">
        <v>1287</v>
      </c>
      <c r="E178" t="s">
        <v>1288</v>
      </c>
      <c r="F178" t="s">
        <v>945</v>
      </c>
      <c r="G178" t="s">
        <v>204</v>
      </c>
      <c r="H178" t="s">
        <v>204</v>
      </c>
      <c r="I178" t="s">
        <v>340</v>
      </c>
      <c r="J178" t="s">
        <v>1261</v>
      </c>
      <c r="K178" t="s">
        <v>413</v>
      </c>
      <c r="L178" t="s">
        <v>1212</v>
      </c>
      <c r="M178" s="131">
        <v>0.92</v>
      </c>
      <c r="N178" t="s">
        <v>1289</v>
      </c>
      <c r="O178" s="132">
        <v>3.2930000000000001E-2</v>
      </c>
      <c r="P178" s="132">
        <v>4.1700000000000001E-2</v>
      </c>
      <c r="R178" s="131">
        <v>528369</v>
      </c>
      <c r="S178" s="131">
        <v>1</v>
      </c>
      <c r="T178" s="131">
        <v>98.02</v>
      </c>
      <c r="U178" s="131">
        <v>517.90700000000004</v>
      </c>
      <c r="W178" s="16" t="s">
        <v>15</v>
      </c>
      <c r="X178" s="132">
        <v>2.0000000000000002E-5</v>
      </c>
      <c r="Y178" s="132">
        <v>5.7299999999999999E-3</v>
      </c>
      <c r="Z178" s="132">
        <v>1.3799999999999999E-3</v>
      </c>
    </row>
    <row r="179" spans="1:26">
      <c r="A179" t="s">
        <v>1213</v>
      </c>
      <c r="B179" t="s">
        <v>1233</v>
      </c>
      <c r="C179" t="s">
        <v>1267</v>
      </c>
      <c r="D179" t="s">
        <v>1312</v>
      </c>
      <c r="E179" t="s">
        <v>1313</v>
      </c>
      <c r="F179" t="s">
        <v>945</v>
      </c>
      <c r="G179" t="s">
        <v>204</v>
      </c>
      <c r="H179" t="s">
        <v>204</v>
      </c>
      <c r="I179" t="s">
        <v>340</v>
      </c>
      <c r="J179" t="s">
        <v>1261</v>
      </c>
      <c r="K179" t="s">
        <v>413</v>
      </c>
      <c r="L179" t="s">
        <v>1212</v>
      </c>
      <c r="M179" s="131">
        <v>1.91</v>
      </c>
      <c r="N179" t="s">
        <v>1314</v>
      </c>
      <c r="O179" s="132">
        <v>3.8830000000000003E-2</v>
      </c>
      <c r="P179" s="132">
        <v>4.3200000000000002E-2</v>
      </c>
      <c r="R179" s="131">
        <v>304187</v>
      </c>
      <c r="S179" s="131">
        <v>1</v>
      </c>
      <c r="T179" s="131">
        <v>109.5</v>
      </c>
      <c r="U179" s="131">
        <v>333.08499999999998</v>
      </c>
      <c r="W179" s="16" t="s">
        <v>15</v>
      </c>
      <c r="X179" s="132">
        <v>2.0000000000000002E-5</v>
      </c>
      <c r="Y179" s="132">
        <v>3.6900000000000001E-3</v>
      </c>
      <c r="Z179" s="132">
        <v>8.8999999999999995E-4</v>
      </c>
    </row>
    <row r="180" spans="1:26">
      <c r="A180" t="s">
        <v>1213</v>
      </c>
      <c r="B180" t="s">
        <v>1233</v>
      </c>
      <c r="C180" t="s">
        <v>1267</v>
      </c>
      <c r="D180" t="s">
        <v>1271</v>
      </c>
      <c r="E180" t="s">
        <v>1272</v>
      </c>
      <c r="F180" t="s">
        <v>945</v>
      </c>
      <c r="G180" t="s">
        <v>204</v>
      </c>
      <c r="H180" t="s">
        <v>204</v>
      </c>
      <c r="I180" t="s">
        <v>340</v>
      </c>
      <c r="J180" t="s">
        <v>1261</v>
      </c>
      <c r="K180" t="s">
        <v>413</v>
      </c>
      <c r="L180" t="s">
        <v>1212</v>
      </c>
      <c r="M180" s="131">
        <v>11.32</v>
      </c>
      <c r="N180" t="s">
        <v>1273</v>
      </c>
      <c r="O180" s="132">
        <v>3.2030000000000003E-2</v>
      </c>
      <c r="P180" s="132">
        <v>5.1700000000000003E-2</v>
      </c>
      <c r="R180" s="131">
        <v>30611</v>
      </c>
      <c r="S180" s="131">
        <v>1</v>
      </c>
      <c r="T180" s="131">
        <v>107.34</v>
      </c>
      <c r="U180" s="131">
        <v>32.857999999999997</v>
      </c>
      <c r="W180" s="16" t="s">
        <v>15</v>
      </c>
      <c r="X180" s="132">
        <v>0</v>
      </c>
      <c r="Y180" s="132">
        <v>3.6000000000000002E-4</v>
      </c>
      <c r="Z180" s="132">
        <v>9.0000000000000006E-5</v>
      </c>
    </row>
    <row r="181" spans="1:26">
      <c r="A181" t="s">
        <v>1213</v>
      </c>
      <c r="B181" t="s">
        <v>1234</v>
      </c>
      <c r="C181" t="s">
        <v>1290</v>
      </c>
      <c r="D181" t="s">
        <v>1303</v>
      </c>
      <c r="E181" t="s">
        <v>1304</v>
      </c>
      <c r="F181" t="s">
        <v>949</v>
      </c>
      <c r="G181" t="s">
        <v>204</v>
      </c>
      <c r="H181" t="s">
        <v>204</v>
      </c>
      <c r="I181" t="s">
        <v>340</v>
      </c>
      <c r="J181" t="s">
        <v>1265</v>
      </c>
      <c r="K181" t="s">
        <v>415</v>
      </c>
      <c r="L181" t="s">
        <v>1212</v>
      </c>
      <c r="M181" s="131">
        <v>0.92</v>
      </c>
      <c r="N181" t="s">
        <v>1305</v>
      </c>
      <c r="O181" s="132">
        <v>4.2380000000000001E-2</v>
      </c>
      <c r="P181" s="132">
        <v>4.2900000000000001E-2</v>
      </c>
      <c r="R181" s="131">
        <v>1995915</v>
      </c>
      <c r="S181" s="131">
        <v>1</v>
      </c>
      <c r="T181" s="131">
        <v>96.2</v>
      </c>
      <c r="U181" s="131">
        <v>1920.07</v>
      </c>
      <c r="W181" s="16" t="s">
        <v>15</v>
      </c>
      <c r="X181" s="132">
        <v>1.7000000000000001E-4</v>
      </c>
      <c r="Y181" s="132">
        <v>0.22358</v>
      </c>
      <c r="Z181" s="132">
        <v>9.7970000000000002E-2</v>
      </c>
    </row>
    <row r="182" spans="1:26">
      <c r="A182" t="s">
        <v>1213</v>
      </c>
      <c r="B182" t="s">
        <v>1234</v>
      </c>
      <c r="C182" t="s">
        <v>1258</v>
      </c>
      <c r="D182" t="s">
        <v>1259</v>
      </c>
      <c r="E182" t="s">
        <v>1260</v>
      </c>
      <c r="F182" t="s">
        <v>943</v>
      </c>
      <c r="G182" t="s">
        <v>204</v>
      </c>
      <c r="H182" t="s">
        <v>204</v>
      </c>
      <c r="I182" t="s">
        <v>340</v>
      </c>
      <c r="J182" t="s">
        <v>1261</v>
      </c>
      <c r="K182" t="s">
        <v>413</v>
      </c>
      <c r="L182" t="s">
        <v>1212</v>
      </c>
      <c r="M182" s="131">
        <v>1.07</v>
      </c>
      <c r="N182" t="s">
        <v>1262</v>
      </c>
      <c r="O182" s="132">
        <v>1.336E-2</v>
      </c>
      <c r="P182" s="132">
        <v>1.2999999999999999E-2</v>
      </c>
      <c r="R182" s="131">
        <v>1466766</v>
      </c>
      <c r="S182" s="131">
        <v>1</v>
      </c>
      <c r="T182" s="131">
        <v>116.02</v>
      </c>
      <c r="U182" s="131">
        <v>1701.742</v>
      </c>
      <c r="W182" s="16" t="s">
        <v>15</v>
      </c>
      <c r="X182" s="132">
        <v>6.9999999999999994E-5</v>
      </c>
      <c r="Y182" s="132">
        <v>0.19814999999999999</v>
      </c>
      <c r="Z182" s="132">
        <v>8.6830000000000004E-2</v>
      </c>
    </row>
    <row r="183" spans="1:26">
      <c r="A183" t="s">
        <v>1213</v>
      </c>
      <c r="B183" t="s">
        <v>1234</v>
      </c>
      <c r="C183" t="s">
        <v>1258</v>
      </c>
      <c r="D183" t="s">
        <v>1263</v>
      </c>
      <c r="E183" t="s">
        <v>1264</v>
      </c>
      <c r="F183" t="s">
        <v>943</v>
      </c>
      <c r="G183" t="s">
        <v>204</v>
      </c>
      <c r="H183" t="s">
        <v>204</v>
      </c>
      <c r="I183" t="s">
        <v>340</v>
      </c>
      <c r="J183" t="s">
        <v>1265</v>
      </c>
      <c r="K183" t="s">
        <v>415</v>
      </c>
      <c r="L183" t="s">
        <v>1212</v>
      </c>
      <c r="M183" s="131">
        <v>3.97</v>
      </c>
      <c r="N183" t="s">
        <v>1266</v>
      </c>
      <c r="O183" s="132">
        <v>1.4279999999999999E-2</v>
      </c>
      <c r="P183" s="132">
        <v>1.7999999999999999E-2</v>
      </c>
      <c r="R183" s="131">
        <v>1210589</v>
      </c>
      <c r="S183" s="131">
        <v>1</v>
      </c>
      <c r="T183" s="131">
        <v>102.6</v>
      </c>
      <c r="U183" s="131">
        <v>1242.0640000000001</v>
      </c>
      <c r="W183" s="16" t="s">
        <v>15</v>
      </c>
      <c r="X183" s="132">
        <v>6.0000000000000002E-5</v>
      </c>
      <c r="Y183" s="132">
        <v>0.14463000000000001</v>
      </c>
      <c r="Z183" s="132">
        <v>6.3369999999999996E-2</v>
      </c>
    </row>
    <row r="184" spans="1:26">
      <c r="A184" t="s">
        <v>1213</v>
      </c>
      <c r="B184" t="s">
        <v>1234</v>
      </c>
      <c r="C184" t="s">
        <v>1277</v>
      </c>
      <c r="D184" t="s">
        <v>1278</v>
      </c>
      <c r="E184" t="s">
        <v>1279</v>
      </c>
      <c r="F184" t="s">
        <v>946</v>
      </c>
      <c r="G184" t="s">
        <v>204</v>
      </c>
      <c r="H184" t="s">
        <v>204</v>
      </c>
      <c r="I184" t="s">
        <v>340</v>
      </c>
      <c r="J184" t="s">
        <v>1261</v>
      </c>
      <c r="K184" t="s">
        <v>413</v>
      </c>
      <c r="L184" t="s">
        <v>1212</v>
      </c>
      <c r="M184" s="131">
        <v>5.42</v>
      </c>
      <c r="N184" t="s">
        <v>1280</v>
      </c>
      <c r="O184" s="132">
        <v>3.6900000000000001E-3</v>
      </c>
      <c r="P184" s="132">
        <v>4.8399999999999999E-2</v>
      </c>
      <c r="R184" s="131">
        <v>984447</v>
      </c>
      <c r="S184" s="131">
        <v>1</v>
      </c>
      <c r="T184" s="131">
        <v>97.9</v>
      </c>
      <c r="U184" s="131">
        <v>963.774</v>
      </c>
      <c r="W184" s="16" t="s">
        <v>15</v>
      </c>
      <c r="X184" s="132">
        <v>3.0000000000000001E-5</v>
      </c>
      <c r="Y184" s="132">
        <v>0.11222</v>
      </c>
      <c r="Z184" s="132">
        <v>4.9169999999999998E-2</v>
      </c>
    </row>
    <row r="185" spans="1:26">
      <c r="A185" t="s">
        <v>1213</v>
      </c>
      <c r="B185" t="s">
        <v>1234</v>
      </c>
      <c r="C185" t="s">
        <v>1258</v>
      </c>
      <c r="D185" t="s">
        <v>1329</v>
      </c>
      <c r="E185" t="s">
        <v>1330</v>
      </c>
      <c r="F185" t="s">
        <v>943</v>
      </c>
      <c r="G185" t="s">
        <v>204</v>
      </c>
      <c r="H185" t="s">
        <v>204</v>
      </c>
      <c r="I185" t="s">
        <v>340</v>
      </c>
      <c r="J185" t="s">
        <v>1265</v>
      </c>
      <c r="K185" t="s">
        <v>415</v>
      </c>
      <c r="L185" t="s">
        <v>1212</v>
      </c>
      <c r="M185" s="131">
        <v>2.64</v>
      </c>
      <c r="N185" t="s">
        <v>1331</v>
      </c>
      <c r="O185" s="132">
        <v>-3.4360000000000002E-2</v>
      </c>
      <c r="P185" s="132">
        <v>1.6299999999999999E-2</v>
      </c>
      <c r="R185" s="131">
        <v>759702</v>
      </c>
      <c r="S185" s="131">
        <v>1</v>
      </c>
      <c r="T185" s="131">
        <v>114.25</v>
      </c>
      <c r="U185" s="131">
        <v>867.96</v>
      </c>
      <c r="W185" s="16" t="s">
        <v>15</v>
      </c>
      <c r="X185" s="132">
        <v>3.0000000000000001E-5</v>
      </c>
      <c r="Y185" s="132">
        <v>0.10106999999999999</v>
      </c>
      <c r="Z185" s="132">
        <v>4.4290000000000003E-2</v>
      </c>
    </row>
    <row r="186" spans="1:26">
      <c r="A186" t="s">
        <v>1213</v>
      </c>
      <c r="B186" t="s">
        <v>1234</v>
      </c>
      <c r="C186" t="s">
        <v>1290</v>
      </c>
      <c r="D186" t="s">
        <v>1294</v>
      </c>
      <c r="E186" t="s">
        <v>1295</v>
      </c>
      <c r="F186" t="s">
        <v>949</v>
      </c>
      <c r="G186" t="s">
        <v>204</v>
      </c>
      <c r="H186" t="s">
        <v>204</v>
      </c>
      <c r="I186" t="s">
        <v>340</v>
      </c>
      <c r="J186" t="s">
        <v>1265</v>
      </c>
      <c r="K186" t="s">
        <v>415</v>
      </c>
      <c r="L186" t="s">
        <v>1212</v>
      </c>
      <c r="M186" s="131">
        <v>0.85</v>
      </c>
      <c r="N186" t="s">
        <v>1296</v>
      </c>
      <c r="O186" s="132">
        <v>4.1329999999999999E-2</v>
      </c>
      <c r="P186" s="132">
        <v>4.3200000000000002E-2</v>
      </c>
      <c r="R186" s="131">
        <v>830500</v>
      </c>
      <c r="S186" s="131">
        <v>1</v>
      </c>
      <c r="T186" s="131">
        <v>96.48</v>
      </c>
      <c r="U186" s="131">
        <v>801.26599999999996</v>
      </c>
      <c r="W186" s="16" t="s">
        <v>15</v>
      </c>
      <c r="X186" s="132">
        <v>6.9999999999999994E-5</v>
      </c>
      <c r="Y186" s="132">
        <v>9.3299999999999994E-2</v>
      </c>
      <c r="Z186" s="132">
        <v>4.088E-2</v>
      </c>
    </row>
    <row r="187" spans="1:26">
      <c r="A187" t="s">
        <v>1213</v>
      </c>
      <c r="B187" t="s">
        <v>1234</v>
      </c>
      <c r="C187" t="s">
        <v>1258</v>
      </c>
      <c r="D187" t="s">
        <v>1309</v>
      </c>
      <c r="E187" t="s">
        <v>1310</v>
      </c>
      <c r="F187" t="s">
        <v>943</v>
      </c>
      <c r="G187" t="s">
        <v>204</v>
      </c>
      <c r="H187" t="s">
        <v>204</v>
      </c>
      <c r="I187" t="s">
        <v>340</v>
      </c>
      <c r="J187" t="s">
        <v>1265</v>
      </c>
      <c r="K187" t="s">
        <v>415</v>
      </c>
      <c r="L187" t="s">
        <v>1212</v>
      </c>
      <c r="M187" s="131">
        <v>1.83</v>
      </c>
      <c r="N187" t="s">
        <v>1311</v>
      </c>
      <c r="O187" s="132">
        <v>1.405E-2</v>
      </c>
      <c r="P187" s="132">
        <v>1.5699999999999999E-2</v>
      </c>
      <c r="R187" s="131">
        <v>341191</v>
      </c>
      <c r="S187" s="131">
        <v>1</v>
      </c>
      <c r="T187" s="131">
        <v>112.44</v>
      </c>
      <c r="U187" s="131">
        <v>383.63499999999999</v>
      </c>
      <c r="W187" s="16" t="s">
        <v>15</v>
      </c>
      <c r="X187" s="132">
        <v>2.0000000000000002E-5</v>
      </c>
      <c r="Y187" s="132">
        <v>4.4670000000000001E-2</v>
      </c>
      <c r="Z187" s="132">
        <v>1.9570000000000001E-2</v>
      </c>
    </row>
    <row r="188" spans="1:26">
      <c r="A188" t="s">
        <v>1213</v>
      </c>
      <c r="B188" t="s">
        <v>1234</v>
      </c>
      <c r="C188" t="s">
        <v>1290</v>
      </c>
      <c r="D188" t="s">
        <v>1350</v>
      </c>
      <c r="E188" t="s">
        <v>1351</v>
      </c>
      <c r="F188" t="s">
        <v>949</v>
      </c>
      <c r="G188" t="s">
        <v>204</v>
      </c>
      <c r="H188" t="s">
        <v>204</v>
      </c>
      <c r="I188" t="s">
        <v>340</v>
      </c>
      <c r="J188" t="s">
        <v>1261</v>
      </c>
      <c r="K188" t="s">
        <v>413</v>
      </c>
      <c r="L188" t="s">
        <v>1212</v>
      </c>
      <c r="M188" s="131">
        <v>0.67</v>
      </c>
      <c r="N188" t="s">
        <v>1352</v>
      </c>
      <c r="O188" s="132">
        <v>4.0989999999999999E-2</v>
      </c>
      <c r="P188" s="132">
        <v>4.2700000000000002E-2</v>
      </c>
      <c r="R188" s="131">
        <v>354257</v>
      </c>
      <c r="S188" s="131">
        <v>1</v>
      </c>
      <c r="T188" s="131">
        <v>97.22</v>
      </c>
      <c r="U188" s="131">
        <v>344.40899999999999</v>
      </c>
      <c r="W188" s="16" t="s">
        <v>15</v>
      </c>
      <c r="X188" s="132">
        <v>3.0000000000000001E-5</v>
      </c>
      <c r="Y188" s="132">
        <v>4.0099999999999997E-2</v>
      </c>
      <c r="Z188" s="132">
        <v>1.7569999999999999E-2</v>
      </c>
    </row>
    <row r="189" spans="1:26">
      <c r="A189" t="s">
        <v>1213</v>
      </c>
      <c r="B189" t="s">
        <v>1234</v>
      </c>
      <c r="C189" t="s">
        <v>1267</v>
      </c>
      <c r="D189" t="s">
        <v>1281</v>
      </c>
      <c r="E189" t="s">
        <v>1282</v>
      </c>
      <c r="F189" t="s">
        <v>945</v>
      </c>
      <c r="G189" t="s">
        <v>204</v>
      </c>
      <c r="H189" t="s">
        <v>204</v>
      </c>
      <c r="I189" t="s">
        <v>340</v>
      </c>
      <c r="J189" t="s">
        <v>1261</v>
      </c>
      <c r="K189" t="s">
        <v>413</v>
      </c>
      <c r="L189" t="s">
        <v>1212</v>
      </c>
      <c r="M189" s="131">
        <v>5.33</v>
      </c>
      <c r="N189" t="s">
        <v>1283</v>
      </c>
      <c r="O189" s="132">
        <v>4.5100000000000001E-2</v>
      </c>
      <c r="P189" s="132">
        <v>4.6300000000000001E-2</v>
      </c>
      <c r="R189" s="131">
        <v>240702</v>
      </c>
      <c r="S189" s="131">
        <v>1</v>
      </c>
      <c r="T189" s="131">
        <v>83.24</v>
      </c>
      <c r="U189" s="131">
        <v>200.36</v>
      </c>
      <c r="W189" s="16" t="s">
        <v>15</v>
      </c>
      <c r="X189" s="132">
        <v>1.0000000000000001E-5</v>
      </c>
      <c r="Y189" s="132">
        <v>2.333E-2</v>
      </c>
      <c r="Z189" s="132">
        <v>1.022E-2</v>
      </c>
    </row>
    <row r="190" spans="1:26">
      <c r="A190" t="s">
        <v>1213</v>
      </c>
      <c r="B190" t="s">
        <v>1234</v>
      </c>
      <c r="C190" t="s">
        <v>1267</v>
      </c>
      <c r="D190" t="s">
        <v>1356</v>
      </c>
      <c r="E190" t="s">
        <v>1357</v>
      </c>
      <c r="F190" t="s">
        <v>945</v>
      </c>
      <c r="G190" t="s">
        <v>204</v>
      </c>
      <c r="H190" t="s">
        <v>204</v>
      </c>
      <c r="I190" t="s">
        <v>340</v>
      </c>
      <c r="J190" t="s">
        <v>1261</v>
      </c>
      <c r="K190" t="s">
        <v>413</v>
      </c>
      <c r="L190" t="s">
        <v>1212</v>
      </c>
      <c r="M190" s="131">
        <v>7.17</v>
      </c>
      <c r="N190" t="s">
        <v>1358</v>
      </c>
      <c r="O190" s="132">
        <v>4.6260000000000003E-2</v>
      </c>
      <c r="P190" s="132">
        <v>4.7500000000000001E-2</v>
      </c>
      <c r="R190" s="131">
        <v>158421</v>
      </c>
      <c r="S190" s="131">
        <v>1</v>
      </c>
      <c r="T190" s="131">
        <v>78.98</v>
      </c>
      <c r="U190" s="131">
        <v>125.121</v>
      </c>
      <c r="W190" s="16" t="s">
        <v>15</v>
      </c>
      <c r="X190" s="132">
        <v>1.0000000000000001E-5</v>
      </c>
      <c r="Y190" s="132">
        <v>1.457E-2</v>
      </c>
      <c r="Z190" s="132">
        <v>6.3800000000000003E-3</v>
      </c>
    </row>
    <row r="191" spans="1:26">
      <c r="A191" t="s">
        <v>1213</v>
      </c>
      <c r="B191" t="s">
        <v>1234</v>
      </c>
      <c r="C191" t="s">
        <v>1267</v>
      </c>
      <c r="D191" t="s">
        <v>1353</v>
      </c>
      <c r="E191" t="s">
        <v>1354</v>
      </c>
      <c r="F191" t="s">
        <v>945</v>
      </c>
      <c r="G191" t="s">
        <v>204</v>
      </c>
      <c r="H191" t="s">
        <v>204</v>
      </c>
      <c r="I191" t="s">
        <v>340</v>
      </c>
      <c r="J191" t="s">
        <v>1261</v>
      </c>
      <c r="K191" t="s">
        <v>413</v>
      </c>
      <c r="L191" t="s">
        <v>1212</v>
      </c>
      <c r="M191" s="131">
        <v>8.52</v>
      </c>
      <c r="N191" t="s">
        <v>1355</v>
      </c>
      <c r="O191" s="132">
        <v>4.4330000000000001E-2</v>
      </c>
      <c r="P191" s="132">
        <v>4.8800000000000003E-2</v>
      </c>
      <c r="R191" s="131">
        <v>39561</v>
      </c>
      <c r="S191" s="131">
        <v>1</v>
      </c>
      <c r="T191" s="131">
        <v>94.93</v>
      </c>
      <c r="U191" s="131">
        <v>37.555</v>
      </c>
      <c r="W191" s="16" t="s">
        <v>15</v>
      </c>
      <c r="X191" s="132">
        <v>0</v>
      </c>
      <c r="Y191" s="132">
        <v>4.3699999999999998E-3</v>
      </c>
      <c r="Z191" s="132">
        <v>1.92E-3</v>
      </c>
    </row>
    <row r="192" spans="1:26">
      <c r="A192" t="s">
        <v>1213</v>
      </c>
      <c r="B192" t="s">
        <v>1235</v>
      </c>
      <c r="C192" t="s">
        <v>1277</v>
      </c>
      <c r="D192" t="s">
        <v>1278</v>
      </c>
      <c r="E192" t="s">
        <v>1279</v>
      </c>
      <c r="F192" t="s">
        <v>946</v>
      </c>
      <c r="G192" t="s">
        <v>204</v>
      </c>
      <c r="H192" t="s">
        <v>204</v>
      </c>
      <c r="I192" t="s">
        <v>340</v>
      </c>
      <c r="J192" t="s">
        <v>1261</v>
      </c>
      <c r="K192" t="s">
        <v>413</v>
      </c>
      <c r="L192" t="s">
        <v>1212</v>
      </c>
      <c r="M192" s="131">
        <v>5.42</v>
      </c>
      <c r="N192" t="s">
        <v>1280</v>
      </c>
      <c r="O192" s="132">
        <v>4.9199999999999999E-3</v>
      </c>
      <c r="P192" s="132">
        <v>4.8399999999999999E-2</v>
      </c>
      <c r="R192" s="131">
        <v>1130903</v>
      </c>
      <c r="S192" s="131">
        <v>1</v>
      </c>
      <c r="T192" s="131">
        <v>97.9</v>
      </c>
      <c r="U192" s="131">
        <v>1107.154</v>
      </c>
      <c r="W192" s="16" t="s">
        <v>15</v>
      </c>
      <c r="X192" s="132">
        <v>4.0000000000000003E-5</v>
      </c>
      <c r="Y192" s="132">
        <v>0.20274</v>
      </c>
      <c r="Z192" s="132">
        <v>1.6039999999999999E-2</v>
      </c>
    </row>
    <row r="193" spans="1:26">
      <c r="A193" t="s">
        <v>1213</v>
      </c>
      <c r="B193" t="s">
        <v>1235</v>
      </c>
      <c r="C193" t="s">
        <v>1290</v>
      </c>
      <c r="D193" t="s">
        <v>1350</v>
      </c>
      <c r="E193" t="s">
        <v>1351</v>
      </c>
      <c r="F193" t="s">
        <v>949</v>
      </c>
      <c r="G193" t="s">
        <v>204</v>
      </c>
      <c r="H193" t="s">
        <v>204</v>
      </c>
      <c r="I193" t="s">
        <v>340</v>
      </c>
      <c r="J193" t="s">
        <v>1261</v>
      </c>
      <c r="K193" t="s">
        <v>413</v>
      </c>
      <c r="L193" t="s">
        <v>1212</v>
      </c>
      <c r="M193" s="131">
        <v>0.67</v>
      </c>
      <c r="N193" t="s">
        <v>1352</v>
      </c>
      <c r="O193" s="132">
        <v>4.0989999999999999E-2</v>
      </c>
      <c r="P193" s="132">
        <v>4.2700000000000002E-2</v>
      </c>
      <c r="R193" s="131">
        <v>1027514</v>
      </c>
      <c r="S193" s="131">
        <v>1</v>
      </c>
      <c r="T193" s="131">
        <v>97.22</v>
      </c>
      <c r="U193" s="131">
        <v>998.94899999999996</v>
      </c>
      <c r="W193" s="16" t="s">
        <v>15</v>
      </c>
      <c r="X193" s="132">
        <v>9.0000000000000006E-5</v>
      </c>
      <c r="Y193" s="132">
        <v>0.18292</v>
      </c>
      <c r="Z193" s="132">
        <v>1.447E-2</v>
      </c>
    </row>
    <row r="194" spans="1:26">
      <c r="A194" t="s">
        <v>1213</v>
      </c>
      <c r="B194" t="s">
        <v>1235</v>
      </c>
      <c r="C194" t="s">
        <v>1258</v>
      </c>
      <c r="D194" t="s">
        <v>1300</v>
      </c>
      <c r="E194" t="s">
        <v>1301</v>
      </c>
      <c r="F194" t="s">
        <v>943</v>
      </c>
      <c r="G194" t="s">
        <v>204</v>
      </c>
      <c r="H194" t="s">
        <v>204</v>
      </c>
      <c r="I194" t="s">
        <v>340</v>
      </c>
      <c r="J194" t="s">
        <v>1265</v>
      </c>
      <c r="K194" t="s">
        <v>415</v>
      </c>
      <c r="L194" t="s">
        <v>1212</v>
      </c>
      <c r="M194" s="131">
        <v>4.6100000000000003</v>
      </c>
      <c r="N194" t="s">
        <v>1302</v>
      </c>
      <c r="O194" s="132">
        <v>6.79E-3</v>
      </c>
      <c r="P194" s="132">
        <v>1.83E-2</v>
      </c>
      <c r="R194" s="131">
        <v>485977</v>
      </c>
      <c r="S194" s="131">
        <v>1</v>
      </c>
      <c r="T194" s="131">
        <v>108.85</v>
      </c>
      <c r="U194" s="131">
        <v>528.98599999999999</v>
      </c>
      <c r="W194" s="16" t="s">
        <v>15</v>
      </c>
      <c r="X194" s="132">
        <v>2.0000000000000002E-5</v>
      </c>
      <c r="Y194" s="132">
        <v>9.6869999999999998E-2</v>
      </c>
      <c r="Z194" s="132">
        <v>7.6600000000000001E-3</v>
      </c>
    </row>
    <row r="195" spans="1:26">
      <c r="A195" t="s">
        <v>1213</v>
      </c>
      <c r="B195" t="s">
        <v>1235</v>
      </c>
      <c r="C195" t="s">
        <v>1267</v>
      </c>
      <c r="D195" t="s">
        <v>1281</v>
      </c>
      <c r="E195" t="s">
        <v>1282</v>
      </c>
      <c r="F195" t="s">
        <v>945</v>
      </c>
      <c r="G195" t="s">
        <v>204</v>
      </c>
      <c r="H195" t="s">
        <v>204</v>
      </c>
      <c r="I195" t="s">
        <v>340</v>
      </c>
      <c r="J195" t="s">
        <v>1261</v>
      </c>
      <c r="K195" t="s">
        <v>413</v>
      </c>
      <c r="L195" t="s">
        <v>1212</v>
      </c>
      <c r="M195" s="131">
        <v>5.33</v>
      </c>
      <c r="N195" t="s">
        <v>1283</v>
      </c>
      <c r="O195" s="132">
        <v>4.6960000000000002E-2</v>
      </c>
      <c r="P195" s="132">
        <v>4.6300000000000001E-2</v>
      </c>
      <c r="R195" s="131">
        <v>620452</v>
      </c>
      <c r="S195" s="131">
        <v>1</v>
      </c>
      <c r="T195" s="131">
        <v>83.24</v>
      </c>
      <c r="U195" s="131">
        <v>516.46400000000006</v>
      </c>
      <c r="W195" s="16" t="s">
        <v>15</v>
      </c>
      <c r="X195" s="132">
        <v>2.0000000000000002E-5</v>
      </c>
      <c r="Y195" s="132">
        <v>9.4570000000000001E-2</v>
      </c>
      <c r="Z195" s="132">
        <v>7.4799999999999997E-3</v>
      </c>
    </row>
    <row r="196" spans="1:26">
      <c r="A196" t="s">
        <v>1213</v>
      </c>
      <c r="B196" t="s">
        <v>1235</v>
      </c>
      <c r="C196" t="s">
        <v>1258</v>
      </c>
      <c r="D196" t="s">
        <v>1263</v>
      </c>
      <c r="E196" t="s">
        <v>1264</v>
      </c>
      <c r="F196" t="s">
        <v>943</v>
      </c>
      <c r="G196" t="s">
        <v>204</v>
      </c>
      <c r="H196" t="s">
        <v>204</v>
      </c>
      <c r="I196" t="s">
        <v>340</v>
      </c>
      <c r="J196" t="s">
        <v>1265</v>
      </c>
      <c r="K196" t="s">
        <v>415</v>
      </c>
      <c r="L196" t="s">
        <v>1212</v>
      </c>
      <c r="M196" s="131">
        <v>3.97</v>
      </c>
      <c r="N196" t="s">
        <v>1266</v>
      </c>
      <c r="O196" s="132">
        <v>1.2070000000000001E-2</v>
      </c>
      <c r="P196" s="132">
        <v>1.7999999999999999E-2</v>
      </c>
      <c r="R196" s="131">
        <v>419399</v>
      </c>
      <c r="S196" s="131">
        <v>1</v>
      </c>
      <c r="T196" s="131">
        <v>102.6</v>
      </c>
      <c r="U196" s="131">
        <v>430.303</v>
      </c>
      <c r="W196" s="16" t="s">
        <v>15</v>
      </c>
      <c r="X196" s="132">
        <v>2.0000000000000002E-5</v>
      </c>
      <c r="Y196" s="132">
        <v>7.8799999999999995E-2</v>
      </c>
      <c r="Z196" s="132">
        <v>6.2300000000000003E-3</v>
      </c>
    </row>
    <row r="197" spans="1:26">
      <c r="A197" t="s">
        <v>1213</v>
      </c>
      <c r="B197" t="s">
        <v>1235</v>
      </c>
      <c r="C197" t="s">
        <v>1267</v>
      </c>
      <c r="D197" t="s">
        <v>1347</v>
      </c>
      <c r="E197" t="s">
        <v>1348</v>
      </c>
      <c r="F197" t="s">
        <v>945</v>
      </c>
      <c r="G197" t="s">
        <v>204</v>
      </c>
      <c r="H197" t="s">
        <v>204</v>
      </c>
      <c r="I197" t="s">
        <v>340</v>
      </c>
      <c r="J197" t="s">
        <v>1261</v>
      </c>
      <c r="K197" t="s">
        <v>413</v>
      </c>
      <c r="L197" t="s">
        <v>1212</v>
      </c>
      <c r="M197" s="131">
        <v>3.86</v>
      </c>
      <c r="N197" t="s">
        <v>1349</v>
      </c>
      <c r="O197" s="132">
        <v>4.002E-2</v>
      </c>
      <c r="P197" s="132">
        <v>4.5100000000000001E-2</v>
      </c>
      <c r="R197" s="131">
        <v>439866</v>
      </c>
      <c r="S197" s="131">
        <v>1</v>
      </c>
      <c r="T197" s="131">
        <v>91.9</v>
      </c>
      <c r="U197" s="131">
        <v>404.23700000000002</v>
      </c>
      <c r="W197" s="16" t="s">
        <v>15</v>
      </c>
      <c r="X197" s="132">
        <v>1.0000000000000001E-5</v>
      </c>
      <c r="Y197" s="132">
        <v>7.4020000000000002E-2</v>
      </c>
      <c r="Z197" s="132">
        <v>5.8599999999999998E-3</v>
      </c>
    </row>
    <row r="198" spans="1:26">
      <c r="A198" t="s">
        <v>1213</v>
      </c>
      <c r="B198" t="s">
        <v>1235</v>
      </c>
      <c r="C198" t="s">
        <v>1258</v>
      </c>
      <c r="D198" t="s">
        <v>1309</v>
      </c>
      <c r="E198" t="s">
        <v>1310</v>
      </c>
      <c r="F198" t="s">
        <v>943</v>
      </c>
      <c r="G198" t="s">
        <v>204</v>
      </c>
      <c r="H198" t="s">
        <v>204</v>
      </c>
      <c r="I198" t="s">
        <v>340</v>
      </c>
      <c r="J198" t="s">
        <v>1265</v>
      </c>
      <c r="K198" t="s">
        <v>415</v>
      </c>
      <c r="L198" t="s">
        <v>1212</v>
      </c>
      <c r="M198" s="131">
        <v>1.83</v>
      </c>
      <c r="N198" t="s">
        <v>1311</v>
      </c>
      <c r="O198" s="132">
        <v>1.354E-2</v>
      </c>
      <c r="P198" s="132">
        <v>1.5699999999999999E-2</v>
      </c>
      <c r="R198" s="131">
        <v>263360</v>
      </c>
      <c r="S198" s="131">
        <v>1</v>
      </c>
      <c r="T198" s="131">
        <v>112.44</v>
      </c>
      <c r="U198" s="131">
        <v>296.12200000000001</v>
      </c>
      <c r="W198" s="16" t="s">
        <v>15</v>
      </c>
      <c r="X198" s="132">
        <v>1.0000000000000001E-5</v>
      </c>
      <c r="Y198" s="132">
        <v>5.4219999999999997E-2</v>
      </c>
      <c r="Z198" s="132">
        <v>4.2900000000000004E-3</v>
      </c>
    </row>
    <row r="199" spans="1:26">
      <c r="A199" t="s">
        <v>1213</v>
      </c>
      <c r="B199" t="s">
        <v>1235</v>
      </c>
      <c r="C199" t="s">
        <v>1267</v>
      </c>
      <c r="D199" t="s">
        <v>1306</v>
      </c>
      <c r="E199" t="s">
        <v>1307</v>
      </c>
      <c r="F199" t="s">
        <v>945</v>
      </c>
      <c r="G199" t="s">
        <v>204</v>
      </c>
      <c r="H199" t="s">
        <v>204</v>
      </c>
      <c r="I199" t="s">
        <v>340</v>
      </c>
      <c r="J199" t="s">
        <v>1265</v>
      </c>
      <c r="K199" t="s">
        <v>415</v>
      </c>
      <c r="L199" t="s">
        <v>1212</v>
      </c>
      <c r="M199" s="131">
        <v>4.0599999999999996</v>
      </c>
      <c r="N199" t="s">
        <v>1308</v>
      </c>
      <c r="O199" s="132">
        <v>3.4270000000000002E-2</v>
      </c>
      <c r="P199" s="132">
        <v>4.5600000000000002E-2</v>
      </c>
      <c r="R199" s="131">
        <v>227897</v>
      </c>
      <c r="S199" s="131">
        <v>1</v>
      </c>
      <c r="T199" s="131">
        <v>99.02</v>
      </c>
      <c r="U199" s="131">
        <v>225.66399999999999</v>
      </c>
      <c r="W199" s="16" t="s">
        <v>15</v>
      </c>
      <c r="X199" s="132">
        <v>1.0000000000000001E-5</v>
      </c>
      <c r="Y199" s="132">
        <v>4.1320000000000003E-2</v>
      </c>
      <c r="Z199" s="132">
        <v>3.2699999999999999E-3</v>
      </c>
    </row>
    <row r="200" spans="1:26">
      <c r="A200" t="s">
        <v>1213</v>
      </c>
      <c r="B200" t="s">
        <v>1235</v>
      </c>
      <c r="C200" t="s">
        <v>1290</v>
      </c>
      <c r="D200" t="s">
        <v>1344</v>
      </c>
      <c r="E200" t="s">
        <v>1345</v>
      </c>
      <c r="F200" t="s">
        <v>949</v>
      </c>
      <c r="G200" t="s">
        <v>204</v>
      </c>
      <c r="H200" t="s">
        <v>204</v>
      </c>
      <c r="I200" t="s">
        <v>340</v>
      </c>
      <c r="J200" t="s">
        <v>1261</v>
      </c>
      <c r="K200" t="s">
        <v>413</v>
      </c>
      <c r="L200" t="s">
        <v>1212</v>
      </c>
      <c r="M200" s="131">
        <v>0.75</v>
      </c>
      <c r="N200" t="s">
        <v>1346</v>
      </c>
      <c r="O200" s="132">
        <v>3.9719999999999998E-2</v>
      </c>
      <c r="P200" s="132">
        <v>4.2799999999999998E-2</v>
      </c>
      <c r="R200" s="131">
        <v>206448</v>
      </c>
      <c r="S200" s="131">
        <v>1</v>
      </c>
      <c r="T200" s="131">
        <v>96.9</v>
      </c>
      <c r="U200" s="131">
        <v>200.048</v>
      </c>
      <c r="W200" s="16" t="s">
        <v>15</v>
      </c>
      <c r="X200" s="132">
        <v>2.0000000000000002E-5</v>
      </c>
      <c r="Y200" s="132">
        <v>3.6630000000000003E-2</v>
      </c>
      <c r="Z200" s="132">
        <v>2.8999999999999998E-3</v>
      </c>
    </row>
    <row r="201" spans="1:26">
      <c r="A201" t="s">
        <v>1213</v>
      </c>
      <c r="B201" t="s">
        <v>1235</v>
      </c>
      <c r="C201" t="s">
        <v>1267</v>
      </c>
      <c r="D201" t="s">
        <v>1341</v>
      </c>
      <c r="E201" t="s">
        <v>1342</v>
      </c>
      <c r="F201" t="s">
        <v>945</v>
      </c>
      <c r="G201" t="s">
        <v>204</v>
      </c>
      <c r="H201" t="s">
        <v>204</v>
      </c>
      <c r="I201" t="s">
        <v>340</v>
      </c>
      <c r="J201" t="s">
        <v>1261</v>
      </c>
      <c r="K201" t="s">
        <v>413</v>
      </c>
      <c r="L201" t="s">
        <v>1212</v>
      </c>
      <c r="M201" s="131">
        <v>2.44</v>
      </c>
      <c r="N201" t="s">
        <v>1343</v>
      </c>
      <c r="O201" s="132">
        <v>3.7429999999999998E-2</v>
      </c>
      <c r="P201" s="132">
        <v>4.3999999999999997E-2</v>
      </c>
      <c r="R201" s="131">
        <v>180879</v>
      </c>
      <c r="S201" s="131">
        <v>1</v>
      </c>
      <c r="T201" s="131">
        <v>95.44</v>
      </c>
      <c r="U201" s="131">
        <v>172.631</v>
      </c>
      <c r="W201" s="16" t="s">
        <v>15</v>
      </c>
      <c r="X201" s="132">
        <v>1.0000000000000001E-5</v>
      </c>
      <c r="Y201" s="132">
        <v>3.1609999999999999E-2</v>
      </c>
      <c r="Z201" s="132">
        <v>2.5000000000000001E-3</v>
      </c>
    </row>
    <row r="202" spans="1:26">
      <c r="A202" t="s">
        <v>1213</v>
      </c>
      <c r="B202" t="s">
        <v>1235</v>
      </c>
      <c r="C202" t="s">
        <v>1267</v>
      </c>
      <c r="D202" t="s">
        <v>1368</v>
      </c>
      <c r="E202" t="s">
        <v>1369</v>
      </c>
      <c r="F202" t="s">
        <v>945</v>
      </c>
      <c r="G202" t="s">
        <v>204</v>
      </c>
      <c r="H202" t="s">
        <v>204</v>
      </c>
      <c r="I202" t="s">
        <v>340</v>
      </c>
      <c r="J202" t="s">
        <v>1261</v>
      </c>
      <c r="K202" t="s">
        <v>413</v>
      </c>
      <c r="L202" t="s">
        <v>1212</v>
      </c>
      <c r="M202" s="131">
        <v>2.89</v>
      </c>
      <c r="N202" t="s">
        <v>1370</v>
      </c>
      <c r="O202" s="132">
        <v>4.4380000000000003E-2</v>
      </c>
      <c r="P202" s="132">
        <v>4.4499999999999998E-2</v>
      </c>
      <c r="R202" s="131">
        <v>170009</v>
      </c>
      <c r="S202" s="131">
        <v>1</v>
      </c>
      <c r="T202" s="131">
        <v>98.09</v>
      </c>
      <c r="U202" s="131">
        <v>166.762</v>
      </c>
      <c r="W202" s="16" t="s">
        <v>15</v>
      </c>
      <c r="X202" s="132">
        <v>1.0000000000000001E-5</v>
      </c>
      <c r="Y202" s="132">
        <v>3.0540000000000001E-2</v>
      </c>
      <c r="Z202" s="132">
        <v>2.4199999999999998E-3</v>
      </c>
    </row>
    <row r="203" spans="1:26">
      <c r="A203" t="s">
        <v>1213</v>
      </c>
      <c r="B203" t="s">
        <v>1235</v>
      </c>
      <c r="C203" t="s">
        <v>1258</v>
      </c>
      <c r="D203" t="s">
        <v>1329</v>
      </c>
      <c r="E203" t="s">
        <v>1330</v>
      </c>
      <c r="F203" t="s">
        <v>943</v>
      </c>
      <c r="G203" t="s">
        <v>204</v>
      </c>
      <c r="H203" t="s">
        <v>204</v>
      </c>
      <c r="I203" t="s">
        <v>340</v>
      </c>
      <c r="J203" t="s">
        <v>1265</v>
      </c>
      <c r="K203" t="s">
        <v>415</v>
      </c>
      <c r="L203" t="s">
        <v>1212</v>
      </c>
      <c r="M203" s="131">
        <v>2.64</v>
      </c>
      <c r="N203" t="s">
        <v>1331</v>
      </c>
      <c r="O203" s="132">
        <v>-1.651E-2</v>
      </c>
      <c r="P203" s="132">
        <v>1.6299999999999999E-2</v>
      </c>
      <c r="R203" s="131">
        <v>89807</v>
      </c>
      <c r="S203" s="131">
        <v>1</v>
      </c>
      <c r="T203" s="131">
        <v>114.25</v>
      </c>
      <c r="U203" s="131">
        <v>102.604</v>
      </c>
      <c r="W203" s="16" t="s">
        <v>15</v>
      </c>
      <c r="X203" s="132">
        <v>0</v>
      </c>
      <c r="Y203" s="132">
        <v>1.8790000000000001E-2</v>
      </c>
      <c r="Z203" s="132">
        <v>1.49E-3</v>
      </c>
    </row>
    <row r="204" spans="1:26">
      <c r="A204" t="s">
        <v>1213</v>
      </c>
      <c r="B204" t="s">
        <v>1235</v>
      </c>
      <c r="C204" t="s">
        <v>1267</v>
      </c>
      <c r="D204" t="s">
        <v>1312</v>
      </c>
      <c r="E204" t="s">
        <v>1313</v>
      </c>
      <c r="F204" t="s">
        <v>945</v>
      </c>
      <c r="G204" t="s">
        <v>204</v>
      </c>
      <c r="H204" t="s">
        <v>204</v>
      </c>
      <c r="I204" t="s">
        <v>340</v>
      </c>
      <c r="J204" t="s">
        <v>1261</v>
      </c>
      <c r="K204" t="s">
        <v>413</v>
      </c>
      <c r="L204" t="s">
        <v>1212</v>
      </c>
      <c r="M204" s="131">
        <v>1.91</v>
      </c>
      <c r="N204" t="s">
        <v>1314</v>
      </c>
      <c r="O204" s="132">
        <v>3.9359999999999999E-2</v>
      </c>
      <c r="P204" s="132">
        <v>4.3200000000000002E-2</v>
      </c>
      <c r="R204" s="131">
        <v>69285</v>
      </c>
      <c r="S204" s="131">
        <v>1</v>
      </c>
      <c r="T204" s="131">
        <v>109.5</v>
      </c>
      <c r="U204" s="131">
        <v>75.867000000000004</v>
      </c>
      <c r="W204" s="16" t="s">
        <v>15</v>
      </c>
      <c r="X204" s="132">
        <v>0</v>
      </c>
      <c r="Y204" s="132">
        <v>1.389E-2</v>
      </c>
      <c r="Z204" s="132">
        <v>1.1000000000000001E-3</v>
      </c>
    </row>
    <row r="205" spans="1:26">
      <c r="A205" t="s">
        <v>1213</v>
      </c>
      <c r="B205" t="s">
        <v>1235</v>
      </c>
      <c r="C205" t="s">
        <v>1258</v>
      </c>
      <c r="D205" t="s">
        <v>1297</v>
      </c>
      <c r="E205" t="s">
        <v>1298</v>
      </c>
      <c r="F205" t="s">
        <v>943</v>
      </c>
      <c r="G205" t="s">
        <v>204</v>
      </c>
      <c r="H205" t="s">
        <v>204</v>
      </c>
      <c r="I205" t="s">
        <v>340</v>
      </c>
      <c r="J205" t="s">
        <v>1265</v>
      </c>
      <c r="K205" t="s">
        <v>415</v>
      </c>
      <c r="L205" t="s">
        <v>1212</v>
      </c>
      <c r="M205" s="131">
        <v>7.14</v>
      </c>
      <c r="N205" t="s">
        <v>1299</v>
      </c>
      <c r="O205" s="132">
        <v>1.7250000000000001E-2</v>
      </c>
      <c r="P205" s="132">
        <v>1.9900000000000001E-2</v>
      </c>
      <c r="R205" s="131">
        <v>70390</v>
      </c>
      <c r="S205" s="131">
        <v>1</v>
      </c>
      <c r="T205" s="131">
        <v>101.1</v>
      </c>
      <c r="U205" s="131">
        <v>71.164000000000001</v>
      </c>
      <c r="W205" s="16" t="s">
        <v>15</v>
      </c>
      <c r="X205" s="132">
        <v>0</v>
      </c>
      <c r="Y205" s="132">
        <v>1.303E-2</v>
      </c>
      <c r="Z205" s="132">
        <v>1.0300000000000001E-3</v>
      </c>
    </row>
    <row r="206" spans="1:26">
      <c r="A206" t="s">
        <v>1213</v>
      </c>
      <c r="B206" t="s">
        <v>1235</v>
      </c>
      <c r="C206" t="s">
        <v>1258</v>
      </c>
      <c r="D206" t="s">
        <v>1259</v>
      </c>
      <c r="E206" t="s">
        <v>1260</v>
      </c>
      <c r="F206" t="s">
        <v>943</v>
      </c>
      <c r="G206" t="s">
        <v>204</v>
      </c>
      <c r="H206" t="s">
        <v>204</v>
      </c>
      <c r="I206" t="s">
        <v>340</v>
      </c>
      <c r="J206" t="s">
        <v>1261</v>
      </c>
      <c r="K206" t="s">
        <v>413</v>
      </c>
      <c r="L206" t="s">
        <v>1212</v>
      </c>
      <c r="M206" s="131">
        <v>1.07</v>
      </c>
      <c r="N206" t="s">
        <v>1262</v>
      </c>
      <c r="O206" s="132">
        <v>1.384E-2</v>
      </c>
      <c r="P206" s="132">
        <v>1.2999999999999999E-2</v>
      </c>
      <c r="R206" s="131">
        <v>52066</v>
      </c>
      <c r="S206" s="131">
        <v>1</v>
      </c>
      <c r="T206" s="131">
        <v>116.02</v>
      </c>
      <c r="U206" s="131">
        <v>60.406999999999996</v>
      </c>
      <c r="W206" s="16" t="s">
        <v>15</v>
      </c>
      <c r="X206" s="132">
        <v>0</v>
      </c>
      <c r="Y206" s="132">
        <v>1.106E-2</v>
      </c>
      <c r="Z206" s="132">
        <v>8.8000000000000003E-4</v>
      </c>
    </row>
    <row r="207" spans="1:26">
      <c r="A207" t="s">
        <v>1213</v>
      </c>
      <c r="B207" t="s">
        <v>1235</v>
      </c>
      <c r="C207" t="s">
        <v>1267</v>
      </c>
      <c r="D207" t="s">
        <v>1274</v>
      </c>
      <c r="E207" t="s">
        <v>1275</v>
      </c>
      <c r="F207" t="s">
        <v>945</v>
      </c>
      <c r="G207" t="s">
        <v>204</v>
      </c>
      <c r="H207" t="s">
        <v>204</v>
      </c>
      <c r="I207" t="s">
        <v>340</v>
      </c>
      <c r="J207" t="s">
        <v>1265</v>
      </c>
      <c r="K207" t="s">
        <v>415</v>
      </c>
      <c r="L207" t="s">
        <v>1212</v>
      </c>
      <c r="M207" s="131">
        <v>1.4</v>
      </c>
      <c r="N207" t="s">
        <v>1276</v>
      </c>
      <c r="O207" s="132">
        <v>3.925E-2</v>
      </c>
      <c r="P207" s="132">
        <v>4.3799999999999999E-2</v>
      </c>
      <c r="R207" s="131">
        <v>51669</v>
      </c>
      <c r="S207" s="131">
        <v>1</v>
      </c>
      <c r="T207" s="131">
        <v>95.1</v>
      </c>
      <c r="U207" s="131">
        <v>49.137</v>
      </c>
      <c r="W207" s="16" t="s">
        <v>15</v>
      </c>
      <c r="X207" s="132">
        <v>0</v>
      </c>
      <c r="Y207" s="132">
        <v>8.9999999999999993E-3</v>
      </c>
      <c r="Z207" s="132">
        <v>7.1000000000000002E-4</v>
      </c>
    </row>
    <row r="208" spans="1:26">
      <c r="A208" t="s">
        <v>1213</v>
      </c>
      <c r="B208" t="s">
        <v>1235</v>
      </c>
      <c r="C208" t="s">
        <v>1267</v>
      </c>
      <c r="D208" t="s">
        <v>1287</v>
      </c>
      <c r="E208" t="s">
        <v>1288</v>
      </c>
      <c r="F208" t="s">
        <v>945</v>
      </c>
      <c r="G208" t="s">
        <v>204</v>
      </c>
      <c r="H208" t="s">
        <v>204</v>
      </c>
      <c r="I208" t="s">
        <v>340</v>
      </c>
      <c r="J208" t="s">
        <v>1261</v>
      </c>
      <c r="K208" t="s">
        <v>413</v>
      </c>
      <c r="L208" t="s">
        <v>1212</v>
      </c>
      <c r="M208" s="131">
        <v>0.92</v>
      </c>
      <c r="N208" t="s">
        <v>1289</v>
      </c>
      <c r="O208" s="132">
        <v>3.3840000000000002E-2</v>
      </c>
      <c r="P208" s="132">
        <v>4.1700000000000001E-2</v>
      </c>
      <c r="R208" s="131">
        <v>43505</v>
      </c>
      <c r="S208" s="131">
        <v>1</v>
      </c>
      <c r="T208" s="131">
        <v>98.02</v>
      </c>
      <c r="U208" s="131">
        <v>42.643999999999998</v>
      </c>
      <c r="W208" s="16" t="s">
        <v>15</v>
      </c>
      <c r="X208" s="132">
        <v>0</v>
      </c>
      <c r="Y208" s="132">
        <v>7.8100000000000001E-3</v>
      </c>
      <c r="Z208" s="132">
        <v>6.2E-4</v>
      </c>
    </row>
    <row r="209" spans="1:26">
      <c r="A209" t="s">
        <v>1213</v>
      </c>
      <c r="B209" t="s">
        <v>1235</v>
      </c>
      <c r="C209" t="s">
        <v>1267</v>
      </c>
      <c r="D209" t="s">
        <v>1271</v>
      </c>
      <c r="E209" t="s">
        <v>1272</v>
      </c>
      <c r="F209" t="s">
        <v>945</v>
      </c>
      <c r="G209" t="s">
        <v>204</v>
      </c>
      <c r="H209" t="s">
        <v>204</v>
      </c>
      <c r="I209" t="s">
        <v>340</v>
      </c>
      <c r="J209" t="s">
        <v>1261</v>
      </c>
      <c r="K209" t="s">
        <v>413</v>
      </c>
      <c r="L209" t="s">
        <v>1212</v>
      </c>
      <c r="M209" s="131">
        <v>11.32</v>
      </c>
      <c r="N209" t="s">
        <v>1273</v>
      </c>
      <c r="O209" s="132">
        <v>3.1980000000000001E-2</v>
      </c>
      <c r="P209" s="132">
        <v>5.1700000000000003E-2</v>
      </c>
      <c r="R209" s="131">
        <v>11082</v>
      </c>
      <c r="S209" s="131">
        <v>1</v>
      </c>
      <c r="T209" s="131">
        <v>107.34</v>
      </c>
      <c r="U209" s="131">
        <v>11.895</v>
      </c>
      <c r="W209" s="16" t="s">
        <v>15</v>
      </c>
      <c r="X209" s="132">
        <v>0</v>
      </c>
      <c r="Y209" s="132">
        <v>2.1800000000000001E-3</v>
      </c>
      <c r="Z209" s="132">
        <v>1.7000000000000001E-4</v>
      </c>
    </row>
    <row r="210" spans="1:26">
      <c r="A210" t="s">
        <v>1213</v>
      </c>
      <c r="B210" t="s">
        <v>1238</v>
      </c>
      <c r="C210" t="s">
        <v>1258</v>
      </c>
      <c r="D210" t="s">
        <v>1329</v>
      </c>
      <c r="E210" t="s">
        <v>1330</v>
      </c>
      <c r="F210" t="s">
        <v>943</v>
      </c>
      <c r="G210" t="s">
        <v>204</v>
      </c>
      <c r="H210" t="s">
        <v>204</v>
      </c>
      <c r="I210" t="s">
        <v>340</v>
      </c>
      <c r="J210" t="s">
        <v>1265</v>
      </c>
      <c r="K210" t="s">
        <v>415</v>
      </c>
      <c r="L210" t="s">
        <v>1212</v>
      </c>
      <c r="M210" s="131">
        <v>2.64</v>
      </c>
      <c r="N210" t="s">
        <v>1331</v>
      </c>
      <c r="O210" s="132">
        <v>-2.3109999999999999E-2</v>
      </c>
      <c r="P210" s="132">
        <v>1.6299999999999999E-2</v>
      </c>
      <c r="R210" s="131">
        <v>33945077</v>
      </c>
      <c r="S210" s="131">
        <v>1</v>
      </c>
      <c r="T210" s="131">
        <v>114.25</v>
      </c>
      <c r="U210" s="131">
        <v>38782.25</v>
      </c>
      <c r="W210" s="16" t="s">
        <v>15</v>
      </c>
      <c r="X210" s="132">
        <v>1.5200000000000001E-3</v>
      </c>
      <c r="Y210" s="132">
        <v>0.17105000000000001</v>
      </c>
      <c r="Z210" s="132">
        <v>2.1440000000000001E-2</v>
      </c>
    </row>
    <row r="211" spans="1:26">
      <c r="A211" t="s">
        <v>1213</v>
      </c>
      <c r="B211" t="s">
        <v>1238</v>
      </c>
      <c r="C211" t="s">
        <v>1258</v>
      </c>
      <c r="D211" t="s">
        <v>1300</v>
      </c>
      <c r="E211" t="s">
        <v>1301</v>
      </c>
      <c r="F211" t="s">
        <v>943</v>
      </c>
      <c r="G211" t="s">
        <v>204</v>
      </c>
      <c r="H211" t="s">
        <v>204</v>
      </c>
      <c r="I211" t="s">
        <v>340</v>
      </c>
      <c r="J211" t="s">
        <v>1265</v>
      </c>
      <c r="K211" t="s">
        <v>415</v>
      </c>
      <c r="L211" t="s">
        <v>1212</v>
      </c>
      <c r="M211" s="131">
        <v>4.6100000000000003</v>
      </c>
      <c r="N211" t="s">
        <v>1302</v>
      </c>
      <c r="O211" s="132">
        <v>-2.98E-3</v>
      </c>
      <c r="P211" s="132">
        <v>1.83E-2</v>
      </c>
      <c r="R211" s="131">
        <v>35079353</v>
      </c>
      <c r="S211" s="131">
        <v>1</v>
      </c>
      <c r="T211" s="131">
        <v>108.85</v>
      </c>
      <c r="U211" s="131">
        <v>38183.875999999997</v>
      </c>
      <c r="W211" s="16" t="s">
        <v>15</v>
      </c>
      <c r="X211" s="132">
        <v>1.2999999999999999E-3</v>
      </c>
      <c r="Y211" s="132">
        <v>0.16841999999999999</v>
      </c>
      <c r="Z211" s="132">
        <v>2.111E-2</v>
      </c>
    </row>
    <row r="212" spans="1:26">
      <c r="A212" t="s">
        <v>1213</v>
      </c>
      <c r="B212" t="s">
        <v>1238</v>
      </c>
      <c r="C212" t="s">
        <v>1267</v>
      </c>
      <c r="D212" t="s">
        <v>1306</v>
      </c>
      <c r="E212" t="s">
        <v>1307</v>
      </c>
      <c r="F212" t="s">
        <v>945</v>
      </c>
      <c r="G212" t="s">
        <v>204</v>
      </c>
      <c r="H212" t="s">
        <v>204</v>
      </c>
      <c r="I212" t="s">
        <v>340</v>
      </c>
      <c r="J212" t="s">
        <v>1265</v>
      </c>
      <c r="K212" t="s">
        <v>415</v>
      </c>
      <c r="L212" t="s">
        <v>1212</v>
      </c>
      <c r="M212" s="131">
        <v>4.0599999999999996</v>
      </c>
      <c r="N212" t="s">
        <v>1308</v>
      </c>
      <c r="O212" s="132">
        <v>3.3959999999999997E-2</v>
      </c>
      <c r="P212" s="132">
        <v>4.5600000000000002E-2</v>
      </c>
      <c r="R212" s="131">
        <v>31878043</v>
      </c>
      <c r="S212" s="131">
        <v>1</v>
      </c>
      <c r="T212" s="131">
        <v>99.02</v>
      </c>
      <c r="U212" s="131">
        <v>31565.637999999999</v>
      </c>
      <c r="W212" s="16" t="s">
        <v>15</v>
      </c>
      <c r="X212" s="132">
        <v>9.7000000000000005E-4</v>
      </c>
      <c r="Y212" s="132">
        <v>0.13922000000000001</v>
      </c>
      <c r="Z212" s="132">
        <v>1.745E-2</v>
      </c>
    </row>
    <row r="213" spans="1:26">
      <c r="A213" t="s">
        <v>1213</v>
      </c>
      <c r="B213" t="s">
        <v>1238</v>
      </c>
      <c r="C213" t="s">
        <v>1258</v>
      </c>
      <c r="D213" t="s">
        <v>1309</v>
      </c>
      <c r="E213" t="s">
        <v>1310</v>
      </c>
      <c r="F213" t="s">
        <v>943</v>
      </c>
      <c r="G213" t="s">
        <v>204</v>
      </c>
      <c r="H213" t="s">
        <v>204</v>
      </c>
      <c r="I213" t="s">
        <v>340</v>
      </c>
      <c r="J213" t="s">
        <v>1265</v>
      </c>
      <c r="K213" t="s">
        <v>415</v>
      </c>
      <c r="L213" t="s">
        <v>1212</v>
      </c>
      <c r="M213" s="131">
        <v>1.83</v>
      </c>
      <c r="N213" t="s">
        <v>1311</v>
      </c>
      <c r="O213" s="132">
        <v>1.076E-2</v>
      </c>
      <c r="P213" s="132">
        <v>1.5699999999999999E-2</v>
      </c>
      <c r="R213" s="131">
        <v>17802667</v>
      </c>
      <c r="S213" s="131">
        <v>1</v>
      </c>
      <c r="T213" s="131">
        <v>112.44</v>
      </c>
      <c r="U213" s="131">
        <v>20017.319</v>
      </c>
      <c r="W213" s="16" t="s">
        <v>15</v>
      </c>
      <c r="X213" s="132">
        <v>8.8000000000000003E-4</v>
      </c>
      <c r="Y213" s="132">
        <v>8.8289999999999993E-2</v>
      </c>
      <c r="Z213" s="132">
        <v>1.107E-2</v>
      </c>
    </row>
    <row r="214" spans="1:26">
      <c r="A214" t="s">
        <v>1213</v>
      </c>
      <c r="B214" t="s">
        <v>1238</v>
      </c>
      <c r="C214" t="s">
        <v>1267</v>
      </c>
      <c r="D214" t="s">
        <v>1281</v>
      </c>
      <c r="E214" t="s">
        <v>1282</v>
      </c>
      <c r="F214" t="s">
        <v>945</v>
      </c>
      <c r="G214" t="s">
        <v>204</v>
      </c>
      <c r="H214" t="s">
        <v>204</v>
      </c>
      <c r="I214" t="s">
        <v>340</v>
      </c>
      <c r="J214" t="s">
        <v>1261</v>
      </c>
      <c r="K214" t="s">
        <v>413</v>
      </c>
      <c r="L214" t="s">
        <v>1212</v>
      </c>
      <c r="M214" s="131">
        <v>5.33</v>
      </c>
      <c r="N214" t="s">
        <v>1283</v>
      </c>
      <c r="O214" s="132">
        <v>4.589E-2</v>
      </c>
      <c r="P214" s="132">
        <v>4.6300000000000001E-2</v>
      </c>
      <c r="R214" s="131">
        <v>19622978</v>
      </c>
      <c r="S214" s="131">
        <v>1</v>
      </c>
      <c r="T214" s="131">
        <v>83.24</v>
      </c>
      <c r="U214" s="131">
        <v>16334.166999999999</v>
      </c>
      <c r="W214" s="16" t="s">
        <v>15</v>
      </c>
      <c r="X214" s="132">
        <v>5.1999999999999995E-4</v>
      </c>
      <c r="Y214" s="132">
        <v>7.2040000000000007E-2</v>
      </c>
      <c r="Z214" s="132">
        <v>9.0299999999999998E-3</v>
      </c>
    </row>
    <row r="215" spans="1:26">
      <c r="A215" t="s">
        <v>1213</v>
      </c>
      <c r="B215" t="s">
        <v>1238</v>
      </c>
      <c r="C215" t="s">
        <v>1267</v>
      </c>
      <c r="D215" t="s">
        <v>1347</v>
      </c>
      <c r="E215" t="s">
        <v>1348</v>
      </c>
      <c r="F215" t="s">
        <v>945</v>
      </c>
      <c r="G215" t="s">
        <v>204</v>
      </c>
      <c r="H215" t="s">
        <v>204</v>
      </c>
      <c r="I215" t="s">
        <v>340</v>
      </c>
      <c r="J215" t="s">
        <v>1261</v>
      </c>
      <c r="K215" t="s">
        <v>413</v>
      </c>
      <c r="L215" t="s">
        <v>1212</v>
      </c>
      <c r="M215" s="131">
        <v>3.86</v>
      </c>
      <c r="N215" t="s">
        <v>1349</v>
      </c>
      <c r="O215" s="132">
        <v>3.807E-2</v>
      </c>
      <c r="P215" s="132">
        <v>4.5100000000000001E-2</v>
      </c>
      <c r="R215" s="131">
        <v>15213465</v>
      </c>
      <c r="S215" s="131">
        <v>1</v>
      </c>
      <c r="T215" s="131">
        <v>91.9</v>
      </c>
      <c r="U215" s="131">
        <v>13981.174000000001</v>
      </c>
      <c r="W215" s="16" t="s">
        <v>15</v>
      </c>
      <c r="X215" s="132">
        <v>4.4999999999999999E-4</v>
      </c>
      <c r="Y215" s="132">
        <v>6.1670000000000003E-2</v>
      </c>
      <c r="Z215" s="132">
        <v>7.7299999999999999E-3</v>
      </c>
    </row>
    <row r="216" spans="1:26">
      <c r="A216" t="s">
        <v>1213</v>
      </c>
      <c r="B216" t="s">
        <v>1238</v>
      </c>
      <c r="C216" t="s">
        <v>1290</v>
      </c>
      <c r="D216" t="s">
        <v>1344</v>
      </c>
      <c r="E216" t="s">
        <v>1345</v>
      </c>
      <c r="F216" t="s">
        <v>949</v>
      </c>
      <c r="G216" t="s">
        <v>204</v>
      </c>
      <c r="H216" t="s">
        <v>204</v>
      </c>
      <c r="I216" t="s">
        <v>340</v>
      </c>
      <c r="J216" t="s">
        <v>1261</v>
      </c>
      <c r="K216" t="s">
        <v>413</v>
      </c>
      <c r="L216" t="s">
        <v>1212</v>
      </c>
      <c r="M216" s="131">
        <v>0.75</v>
      </c>
      <c r="N216" t="s">
        <v>1346</v>
      </c>
      <c r="O216" s="132">
        <v>3.9719999999999998E-2</v>
      </c>
      <c r="P216" s="132">
        <v>4.2799999999999998E-2</v>
      </c>
      <c r="R216" s="131">
        <v>11875479</v>
      </c>
      <c r="S216" s="131">
        <v>1</v>
      </c>
      <c r="T216" s="131">
        <v>96.9</v>
      </c>
      <c r="U216" s="131">
        <v>11507.339</v>
      </c>
      <c r="W216" s="16" t="s">
        <v>15</v>
      </c>
      <c r="X216" s="132">
        <v>9.8999999999999999E-4</v>
      </c>
      <c r="Y216" s="132">
        <v>5.0750000000000003E-2</v>
      </c>
      <c r="Z216" s="132">
        <v>6.3600000000000002E-3</v>
      </c>
    </row>
    <row r="217" spans="1:26">
      <c r="A217" t="s">
        <v>1213</v>
      </c>
      <c r="B217" t="s">
        <v>1238</v>
      </c>
      <c r="C217" t="s">
        <v>1258</v>
      </c>
      <c r="D217" t="s">
        <v>1263</v>
      </c>
      <c r="E217" t="s">
        <v>1264</v>
      </c>
      <c r="F217" t="s">
        <v>943</v>
      </c>
      <c r="G217" t="s">
        <v>204</v>
      </c>
      <c r="H217" t="s">
        <v>204</v>
      </c>
      <c r="I217" t="s">
        <v>340</v>
      </c>
      <c r="J217" t="s">
        <v>1265</v>
      </c>
      <c r="K217" t="s">
        <v>415</v>
      </c>
      <c r="L217" t="s">
        <v>1212</v>
      </c>
      <c r="M217" s="131">
        <v>3.97</v>
      </c>
      <c r="N217" t="s">
        <v>1266</v>
      </c>
      <c r="O217" s="132">
        <v>1.2070000000000001E-2</v>
      </c>
      <c r="P217" s="132">
        <v>1.7999999999999999E-2</v>
      </c>
      <c r="R217" s="131">
        <v>10781059</v>
      </c>
      <c r="S217" s="131">
        <v>1</v>
      </c>
      <c r="T217" s="131">
        <v>102.6</v>
      </c>
      <c r="U217" s="131">
        <v>11061.367</v>
      </c>
      <c r="W217" s="16" t="s">
        <v>15</v>
      </c>
      <c r="X217" s="132">
        <v>5.2999999999999998E-4</v>
      </c>
      <c r="Y217" s="132">
        <v>4.879E-2</v>
      </c>
      <c r="Z217" s="132">
        <v>6.1199999999999996E-3</v>
      </c>
    </row>
    <row r="218" spans="1:26">
      <c r="A218" t="s">
        <v>1213</v>
      </c>
      <c r="B218" t="s">
        <v>1238</v>
      </c>
      <c r="C218" t="s">
        <v>1277</v>
      </c>
      <c r="D218" t="s">
        <v>1278</v>
      </c>
      <c r="E218" t="s">
        <v>1279</v>
      </c>
      <c r="F218" t="s">
        <v>946</v>
      </c>
      <c r="G218" t="s">
        <v>204</v>
      </c>
      <c r="H218" t="s">
        <v>204</v>
      </c>
      <c r="I218" t="s">
        <v>340</v>
      </c>
      <c r="J218" t="s">
        <v>1261</v>
      </c>
      <c r="K218" t="s">
        <v>413</v>
      </c>
      <c r="L218" t="s">
        <v>1212</v>
      </c>
      <c r="M218" s="131">
        <v>5.42</v>
      </c>
      <c r="N218" t="s">
        <v>1280</v>
      </c>
      <c r="O218" s="132">
        <v>5.5700000000000003E-3</v>
      </c>
      <c r="P218" s="132">
        <v>4.8399999999999999E-2</v>
      </c>
      <c r="R218" s="131">
        <v>8649110</v>
      </c>
      <c r="S218" s="131">
        <v>1</v>
      </c>
      <c r="T218" s="131">
        <v>97.9</v>
      </c>
      <c r="U218" s="131">
        <v>8467.4789999999994</v>
      </c>
      <c r="W218" s="16" t="s">
        <v>15</v>
      </c>
      <c r="X218" s="132">
        <v>2.7E-4</v>
      </c>
      <c r="Y218" s="132">
        <v>3.7350000000000001E-2</v>
      </c>
      <c r="Z218" s="132">
        <v>4.6800000000000001E-3</v>
      </c>
    </row>
    <row r="219" spans="1:26">
      <c r="A219" t="s">
        <v>1213</v>
      </c>
      <c r="B219" t="s">
        <v>1238</v>
      </c>
      <c r="C219" t="s">
        <v>1267</v>
      </c>
      <c r="D219" t="s">
        <v>1274</v>
      </c>
      <c r="E219" t="s">
        <v>1275</v>
      </c>
      <c r="F219" t="s">
        <v>945</v>
      </c>
      <c r="G219" t="s">
        <v>204</v>
      </c>
      <c r="H219" t="s">
        <v>204</v>
      </c>
      <c r="I219" t="s">
        <v>340</v>
      </c>
      <c r="J219" t="s">
        <v>1265</v>
      </c>
      <c r="K219" t="s">
        <v>415</v>
      </c>
      <c r="L219" t="s">
        <v>1212</v>
      </c>
      <c r="M219" s="131">
        <v>1.4</v>
      </c>
      <c r="N219" t="s">
        <v>1276</v>
      </c>
      <c r="O219" s="132">
        <v>4.0759999999999998E-2</v>
      </c>
      <c r="P219" s="132">
        <v>4.3799999999999999E-2</v>
      </c>
      <c r="R219" s="131">
        <v>8278450</v>
      </c>
      <c r="S219" s="131">
        <v>1</v>
      </c>
      <c r="T219" s="131">
        <v>95.1</v>
      </c>
      <c r="U219" s="131">
        <v>7872.8059999999996</v>
      </c>
      <c r="W219" s="16" t="s">
        <v>15</v>
      </c>
      <c r="X219" s="132">
        <v>2.9999999999999997E-4</v>
      </c>
      <c r="Y219" s="132">
        <v>3.4720000000000001E-2</v>
      </c>
      <c r="Z219" s="132">
        <v>4.3499999999999997E-3</v>
      </c>
    </row>
    <row r="220" spans="1:26">
      <c r="A220" t="s">
        <v>1213</v>
      </c>
      <c r="B220" t="s">
        <v>1238</v>
      </c>
      <c r="C220" t="s">
        <v>1290</v>
      </c>
      <c r="D220" t="s">
        <v>1294</v>
      </c>
      <c r="E220" t="s">
        <v>1295</v>
      </c>
      <c r="F220" t="s">
        <v>949</v>
      </c>
      <c r="G220" t="s">
        <v>204</v>
      </c>
      <c r="H220" t="s">
        <v>204</v>
      </c>
      <c r="I220" t="s">
        <v>340</v>
      </c>
      <c r="J220" t="s">
        <v>1265</v>
      </c>
      <c r="K220" t="s">
        <v>415</v>
      </c>
      <c r="L220" t="s">
        <v>1212</v>
      </c>
      <c r="M220" s="131">
        <v>0.85</v>
      </c>
      <c r="N220" t="s">
        <v>1296</v>
      </c>
      <c r="O220" s="132">
        <v>4.156E-2</v>
      </c>
      <c r="P220" s="132">
        <v>4.3200000000000002E-2</v>
      </c>
      <c r="R220" s="131">
        <v>5615640</v>
      </c>
      <c r="S220" s="131">
        <v>1</v>
      </c>
      <c r="T220" s="131">
        <v>96.48</v>
      </c>
      <c r="U220" s="131">
        <v>5417.9690000000001</v>
      </c>
      <c r="W220" s="16" t="s">
        <v>15</v>
      </c>
      <c r="X220" s="132">
        <v>4.6999999999999999E-4</v>
      </c>
      <c r="Y220" s="132">
        <v>2.3900000000000001E-2</v>
      </c>
      <c r="Z220" s="132">
        <v>3.0000000000000001E-3</v>
      </c>
    </row>
    <row r="221" spans="1:26">
      <c r="A221" t="s">
        <v>1213</v>
      </c>
      <c r="B221" t="s">
        <v>1238</v>
      </c>
      <c r="C221" t="s">
        <v>1258</v>
      </c>
      <c r="D221" t="s">
        <v>1259</v>
      </c>
      <c r="E221" t="s">
        <v>1260</v>
      </c>
      <c r="F221" t="s">
        <v>943</v>
      </c>
      <c r="G221" t="s">
        <v>204</v>
      </c>
      <c r="H221" t="s">
        <v>204</v>
      </c>
      <c r="I221" t="s">
        <v>340</v>
      </c>
      <c r="J221" t="s">
        <v>1261</v>
      </c>
      <c r="K221" t="s">
        <v>413</v>
      </c>
      <c r="L221" t="s">
        <v>1212</v>
      </c>
      <c r="M221" s="131">
        <v>1.07</v>
      </c>
      <c r="N221" t="s">
        <v>1262</v>
      </c>
      <c r="O221" s="132">
        <v>1.004E-2</v>
      </c>
      <c r="P221" s="132">
        <v>1.2999999999999999E-2</v>
      </c>
      <c r="R221" s="131">
        <v>4530665</v>
      </c>
      <c r="S221" s="131">
        <v>1</v>
      </c>
      <c r="T221" s="131">
        <v>116.02</v>
      </c>
      <c r="U221" s="131">
        <v>5256.4780000000001</v>
      </c>
      <c r="W221" s="16" t="s">
        <v>15</v>
      </c>
      <c r="X221" s="132">
        <v>2.1000000000000001E-4</v>
      </c>
      <c r="Y221" s="132">
        <v>2.3179999999999999E-2</v>
      </c>
      <c r="Z221" s="132">
        <v>2.9099999999999998E-3</v>
      </c>
    </row>
    <row r="222" spans="1:26">
      <c r="A222" t="s">
        <v>1213</v>
      </c>
      <c r="B222" t="s">
        <v>1238</v>
      </c>
      <c r="C222" t="s">
        <v>1267</v>
      </c>
      <c r="D222" t="s">
        <v>1374</v>
      </c>
      <c r="E222" t="s">
        <v>1375</v>
      </c>
      <c r="F222" t="s">
        <v>945</v>
      </c>
      <c r="G222" t="s">
        <v>204</v>
      </c>
      <c r="H222" t="s">
        <v>204</v>
      </c>
      <c r="I222" t="s">
        <v>340</v>
      </c>
      <c r="J222" t="s">
        <v>1265</v>
      </c>
      <c r="K222" t="s">
        <v>415</v>
      </c>
      <c r="L222" t="s">
        <v>1212</v>
      </c>
      <c r="M222" s="131">
        <v>0.08</v>
      </c>
      <c r="N222" t="s">
        <v>1376</v>
      </c>
      <c r="O222" s="132">
        <v>3.1510000000000003E-2</v>
      </c>
      <c r="P222" s="132">
        <v>4.3499999999999997E-2</v>
      </c>
      <c r="R222" s="131">
        <v>4761322</v>
      </c>
      <c r="S222" s="131">
        <v>1</v>
      </c>
      <c r="T222" s="131">
        <v>100.05</v>
      </c>
      <c r="U222" s="131">
        <v>4763.7030000000004</v>
      </c>
      <c r="W222" s="16" t="s">
        <v>15</v>
      </c>
      <c r="X222" s="132">
        <v>5.9000000000000003E-4</v>
      </c>
      <c r="Y222" s="132">
        <v>2.1010000000000001E-2</v>
      </c>
      <c r="Z222" s="132">
        <v>2.63E-3</v>
      </c>
    </row>
    <row r="223" spans="1:26">
      <c r="A223" t="s">
        <v>1213</v>
      </c>
      <c r="B223" t="s">
        <v>1238</v>
      </c>
      <c r="C223" t="s">
        <v>1267</v>
      </c>
      <c r="D223" t="s">
        <v>1368</v>
      </c>
      <c r="E223" t="s">
        <v>1369</v>
      </c>
      <c r="F223" t="s">
        <v>945</v>
      </c>
      <c r="G223" t="s">
        <v>204</v>
      </c>
      <c r="H223" t="s">
        <v>204</v>
      </c>
      <c r="I223" t="s">
        <v>340</v>
      </c>
      <c r="J223" t="s">
        <v>1261</v>
      </c>
      <c r="K223" t="s">
        <v>413</v>
      </c>
      <c r="L223" t="s">
        <v>1212</v>
      </c>
      <c r="M223" s="131">
        <v>2.89</v>
      </c>
      <c r="N223" t="s">
        <v>1370</v>
      </c>
      <c r="O223" s="132">
        <v>4.4380000000000003E-2</v>
      </c>
      <c r="P223" s="132">
        <v>4.4499999999999998E-2</v>
      </c>
      <c r="R223" s="131">
        <v>4368904</v>
      </c>
      <c r="S223" s="131">
        <v>1</v>
      </c>
      <c r="T223" s="131">
        <v>98.09</v>
      </c>
      <c r="U223" s="131">
        <v>4285.4579999999996</v>
      </c>
      <c r="W223" s="16" t="s">
        <v>15</v>
      </c>
      <c r="X223" s="132">
        <v>2.5000000000000001E-4</v>
      </c>
      <c r="Y223" s="132">
        <v>1.89E-2</v>
      </c>
      <c r="Z223" s="132">
        <v>2.3700000000000001E-3</v>
      </c>
    </row>
    <row r="224" spans="1:26">
      <c r="A224" t="s">
        <v>1213</v>
      </c>
      <c r="B224" t="s">
        <v>1238</v>
      </c>
      <c r="C224" t="s">
        <v>1267</v>
      </c>
      <c r="D224" t="s">
        <v>1312</v>
      </c>
      <c r="E224" t="s">
        <v>1313</v>
      </c>
      <c r="F224" t="s">
        <v>945</v>
      </c>
      <c r="G224" t="s">
        <v>204</v>
      </c>
      <c r="H224" t="s">
        <v>204</v>
      </c>
      <c r="I224" t="s">
        <v>340</v>
      </c>
      <c r="J224" t="s">
        <v>1261</v>
      </c>
      <c r="K224" t="s">
        <v>413</v>
      </c>
      <c r="L224" t="s">
        <v>1212</v>
      </c>
      <c r="M224" s="131">
        <v>1.91</v>
      </c>
      <c r="N224" t="s">
        <v>1314</v>
      </c>
      <c r="O224" s="132">
        <v>3.739E-2</v>
      </c>
      <c r="P224" s="132">
        <v>4.3200000000000002E-2</v>
      </c>
      <c r="R224" s="131">
        <v>3053580</v>
      </c>
      <c r="S224" s="131">
        <v>1</v>
      </c>
      <c r="T224" s="131">
        <v>109.5</v>
      </c>
      <c r="U224" s="131">
        <v>3343.67</v>
      </c>
      <c r="W224" s="16" t="s">
        <v>15</v>
      </c>
      <c r="X224" s="132">
        <v>2.0000000000000001E-4</v>
      </c>
      <c r="Y224" s="132">
        <v>1.4749999999999999E-2</v>
      </c>
      <c r="Z224" s="132">
        <v>1.8500000000000001E-3</v>
      </c>
    </row>
    <row r="225" spans="1:26">
      <c r="A225" t="s">
        <v>1213</v>
      </c>
      <c r="B225" t="s">
        <v>1238</v>
      </c>
      <c r="C225" t="s">
        <v>1267</v>
      </c>
      <c r="D225" t="s">
        <v>1341</v>
      </c>
      <c r="E225" t="s">
        <v>1342</v>
      </c>
      <c r="F225" t="s">
        <v>945</v>
      </c>
      <c r="G225" t="s">
        <v>204</v>
      </c>
      <c r="H225" t="s">
        <v>204</v>
      </c>
      <c r="I225" t="s">
        <v>340</v>
      </c>
      <c r="J225" t="s">
        <v>1261</v>
      </c>
      <c r="K225" t="s">
        <v>413</v>
      </c>
      <c r="L225" t="s">
        <v>1212</v>
      </c>
      <c r="M225" s="131">
        <v>2.44</v>
      </c>
      <c r="N225" t="s">
        <v>1343</v>
      </c>
      <c r="O225" s="132">
        <v>3.7650000000000003E-2</v>
      </c>
      <c r="P225" s="132">
        <v>4.3999999999999997E-2</v>
      </c>
      <c r="R225" s="131">
        <v>3080120</v>
      </c>
      <c r="S225" s="131">
        <v>1</v>
      </c>
      <c r="T225" s="131">
        <v>95.44</v>
      </c>
      <c r="U225" s="131">
        <v>2939.6669999999999</v>
      </c>
      <c r="W225" s="16" t="s">
        <v>15</v>
      </c>
      <c r="X225" s="132">
        <v>1.2E-4</v>
      </c>
      <c r="Y225" s="132">
        <v>1.2970000000000001E-2</v>
      </c>
      <c r="Z225" s="132">
        <v>1.6299999999999999E-3</v>
      </c>
    </row>
    <row r="226" spans="1:26">
      <c r="A226" t="s">
        <v>1213</v>
      </c>
      <c r="B226" t="s">
        <v>1238</v>
      </c>
      <c r="C226" t="s">
        <v>1258</v>
      </c>
      <c r="D226" t="s">
        <v>1297</v>
      </c>
      <c r="E226" t="s">
        <v>1298</v>
      </c>
      <c r="F226" t="s">
        <v>943</v>
      </c>
      <c r="G226" t="s">
        <v>204</v>
      </c>
      <c r="H226" t="s">
        <v>204</v>
      </c>
      <c r="I226" t="s">
        <v>340</v>
      </c>
      <c r="J226" t="s">
        <v>1265</v>
      </c>
      <c r="K226" t="s">
        <v>415</v>
      </c>
      <c r="L226" t="s">
        <v>1212</v>
      </c>
      <c r="M226" s="131">
        <v>7.14</v>
      </c>
      <c r="N226" t="s">
        <v>1299</v>
      </c>
      <c r="O226" s="132">
        <v>1.7250000000000001E-2</v>
      </c>
      <c r="P226" s="132">
        <v>1.9900000000000001E-2</v>
      </c>
      <c r="R226" s="131">
        <v>1809064</v>
      </c>
      <c r="S226" s="131">
        <v>1</v>
      </c>
      <c r="T226" s="131">
        <v>101.1</v>
      </c>
      <c r="U226" s="131">
        <v>1828.9639999999999</v>
      </c>
      <c r="W226" s="16" t="s">
        <v>15</v>
      </c>
      <c r="X226" s="132">
        <v>6.0000000000000002E-5</v>
      </c>
      <c r="Y226" s="132">
        <v>8.0700000000000008E-3</v>
      </c>
      <c r="Z226" s="132">
        <v>1.01E-3</v>
      </c>
    </row>
    <row r="227" spans="1:26">
      <c r="A227" t="s">
        <v>1213</v>
      </c>
      <c r="B227" t="s">
        <v>1238</v>
      </c>
      <c r="C227" t="s">
        <v>1267</v>
      </c>
      <c r="D227" t="s">
        <v>1287</v>
      </c>
      <c r="E227" t="s">
        <v>1288</v>
      </c>
      <c r="F227" t="s">
        <v>945</v>
      </c>
      <c r="G227" t="s">
        <v>204</v>
      </c>
      <c r="H227" t="s">
        <v>204</v>
      </c>
      <c r="I227" t="s">
        <v>340</v>
      </c>
      <c r="J227" t="s">
        <v>1261</v>
      </c>
      <c r="K227" t="s">
        <v>413</v>
      </c>
      <c r="L227" t="s">
        <v>1212</v>
      </c>
      <c r="M227" s="131">
        <v>0.92</v>
      </c>
      <c r="N227" t="s">
        <v>1289</v>
      </c>
      <c r="O227" s="132">
        <v>3.3840000000000002E-2</v>
      </c>
      <c r="P227" s="132">
        <v>4.1700000000000001E-2</v>
      </c>
      <c r="R227" s="131">
        <v>819173</v>
      </c>
      <c r="S227" s="131">
        <v>1</v>
      </c>
      <c r="T227" s="131">
        <v>98.02</v>
      </c>
      <c r="U227" s="131">
        <v>802.95299999999997</v>
      </c>
      <c r="W227" s="16" t="s">
        <v>15</v>
      </c>
      <c r="X227" s="132">
        <v>3.0000000000000001E-5</v>
      </c>
      <c r="Y227" s="132">
        <v>3.5400000000000002E-3</v>
      </c>
      <c r="Z227" s="132">
        <v>4.4000000000000002E-4</v>
      </c>
    </row>
    <row r="228" spans="1:26">
      <c r="A228" t="s">
        <v>1213</v>
      </c>
      <c r="B228" t="s">
        <v>1238</v>
      </c>
      <c r="C228" t="s">
        <v>1267</v>
      </c>
      <c r="D228" t="s">
        <v>1271</v>
      </c>
      <c r="E228" t="s">
        <v>1272</v>
      </c>
      <c r="F228" t="s">
        <v>945</v>
      </c>
      <c r="G228" t="s">
        <v>204</v>
      </c>
      <c r="H228" t="s">
        <v>204</v>
      </c>
      <c r="I228" t="s">
        <v>340</v>
      </c>
      <c r="J228" t="s">
        <v>1261</v>
      </c>
      <c r="K228" t="s">
        <v>413</v>
      </c>
      <c r="L228" t="s">
        <v>1212</v>
      </c>
      <c r="M228" s="131">
        <v>11.32</v>
      </c>
      <c r="N228" t="s">
        <v>1273</v>
      </c>
      <c r="O228" s="132">
        <v>3.1980000000000001E-2</v>
      </c>
      <c r="P228" s="132">
        <v>5.1700000000000003E-2</v>
      </c>
      <c r="R228" s="131">
        <v>290782</v>
      </c>
      <c r="S228" s="131">
        <v>1</v>
      </c>
      <c r="T228" s="131">
        <v>107.34</v>
      </c>
      <c r="U228" s="131">
        <v>312.125</v>
      </c>
      <c r="W228" s="16" t="s">
        <v>15</v>
      </c>
      <c r="X228" s="132">
        <v>1.0000000000000001E-5</v>
      </c>
      <c r="Y228" s="132">
        <v>1.3799999999999999E-3</v>
      </c>
      <c r="Z228" s="132">
        <v>1.7000000000000001E-4</v>
      </c>
    </row>
    <row r="229" spans="1:26">
      <c r="A229" t="s">
        <v>1213</v>
      </c>
      <c r="B229" t="s">
        <v>1241</v>
      </c>
      <c r="C229" t="s">
        <v>1258</v>
      </c>
      <c r="D229" t="s">
        <v>1329</v>
      </c>
      <c r="E229" t="s">
        <v>1330</v>
      </c>
      <c r="F229" t="s">
        <v>943</v>
      </c>
      <c r="G229" t="s">
        <v>204</v>
      </c>
      <c r="H229" t="s">
        <v>204</v>
      </c>
      <c r="I229" t="s">
        <v>340</v>
      </c>
      <c r="J229" t="s">
        <v>1265</v>
      </c>
      <c r="K229" t="s">
        <v>415</v>
      </c>
      <c r="L229" t="s">
        <v>1212</v>
      </c>
      <c r="M229" s="131">
        <v>2.64</v>
      </c>
      <c r="N229" t="s">
        <v>1331</v>
      </c>
      <c r="O229" s="132">
        <v>-2.239E-2</v>
      </c>
      <c r="P229" s="132">
        <v>1.6299999999999999E-2</v>
      </c>
      <c r="R229" s="131">
        <v>56553309</v>
      </c>
      <c r="S229" s="131">
        <v>1</v>
      </c>
      <c r="T229" s="131">
        <v>114.25</v>
      </c>
      <c r="U229" s="131">
        <v>64612.156000000003</v>
      </c>
      <c r="W229" s="16" t="s">
        <v>15</v>
      </c>
      <c r="X229" s="132">
        <v>2.5400000000000002E-3</v>
      </c>
      <c r="Y229" s="132">
        <v>0.22434999999999999</v>
      </c>
      <c r="Z229" s="132">
        <v>0.17035</v>
      </c>
    </row>
    <row r="230" spans="1:26">
      <c r="A230" t="s">
        <v>1213</v>
      </c>
      <c r="B230" t="s">
        <v>1241</v>
      </c>
      <c r="C230" t="s">
        <v>1258</v>
      </c>
      <c r="D230" t="s">
        <v>1259</v>
      </c>
      <c r="E230" t="s">
        <v>1260</v>
      </c>
      <c r="F230" t="s">
        <v>943</v>
      </c>
      <c r="G230" t="s">
        <v>204</v>
      </c>
      <c r="H230" t="s">
        <v>204</v>
      </c>
      <c r="I230" t="s">
        <v>340</v>
      </c>
      <c r="J230" t="s">
        <v>1261</v>
      </c>
      <c r="K230" t="s">
        <v>413</v>
      </c>
      <c r="L230" t="s">
        <v>1212</v>
      </c>
      <c r="M230" s="131">
        <v>1.07</v>
      </c>
      <c r="N230" t="s">
        <v>1262</v>
      </c>
      <c r="O230" s="132">
        <v>1.2449999999999999E-2</v>
      </c>
      <c r="P230" s="132">
        <v>1.2999999999999999E-2</v>
      </c>
      <c r="R230" s="131">
        <v>40904011</v>
      </c>
      <c r="S230" s="131">
        <v>1</v>
      </c>
      <c r="T230" s="131">
        <v>116.02</v>
      </c>
      <c r="U230" s="131">
        <v>47456.834000000003</v>
      </c>
      <c r="W230" s="16" t="s">
        <v>15</v>
      </c>
      <c r="X230" s="132">
        <v>1.8799999999999999E-3</v>
      </c>
      <c r="Y230" s="132">
        <v>0.16478000000000001</v>
      </c>
      <c r="Z230" s="132">
        <v>0.12512000000000001</v>
      </c>
    </row>
    <row r="231" spans="1:26">
      <c r="A231" t="s">
        <v>1213</v>
      </c>
      <c r="B231" t="s">
        <v>1241</v>
      </c>
      <c r="C231" t="s">
        <v>1258</v>
      </c>
      <c r="D231" t="s">
        <v>1300</v>
      </c>
      <c r="E231" t="s">
        <v>1301</v>
      </c>
      <c r="F231" t="s">
        <v>943</v>
      </c>
      <c r="G231" t="s">
        <v>204</v>
      </c>
      <c r="H231" t="s">
        <v>204</v>
      </c>
      <c r="I231" t="s">
        <v>340</v>
      </c>
      <c r="J231" t="s">
        <v>1265</v>
      </c>
      <c r="K231" t="s">
        <v>415</v>
      </c>
      <c r="L231" t="s">
        <v>1212</v>
      </c>
      <c r="M231" s="131">
        <v>4.6100000000000003</v>
      </c>
      <c r="N231" t="s">
        <v>1302</v>
      </c>
      <c r="O231" s="132">
        <v>2.64E-3</v>
      </c>
      <c r="P231" s="132">
        <v>1.83E-2</v>
      </c>
      <c r="R231" s="131">
        <v>29905227</v>
      </c>
      <c r="S231" s="131">
        <v>1</v>
      </c>
      <c r="T231" s="131">
        <v>108.85</v>
      </c>
      <c r="U231" s="131">
        <v>32551.84</v>
      </c>
      <c r="W231" s="16" t="s">
        <v>15</v>
      </c>
      <c r="X231" s="132">
        <v>1.1100000000000001E-3</v>
      </c>
      <c r="Y231" s="132">
        <v>0.11303000000000001</v>
      </c>
      <c r="Z231" s="132">
        <v>8.5819999999999994E-2</v>
      </c>
    </row>
    <row r="232" spans="1:26">
      <c r="A232" t="s">
        <v>1213</v>
      </c>
      <c r="B232" t="s">
        <v>1241</v>
      </c>
      <c r="C232" t="s">
        <v>1277</v>
      </c>
      <c r="D232" t="s">
        <v>1278</v>
      </c>
      <c r="E232" t="s">
        <v>1279</v>
      </c>
      <c r="F232" t="s">
        <v>946</v>
      </c>
      <c r="G232" t="s">
        <v>204</v>
      </c>
      <c r="H232" t="s">
        <v>204</v>
      </c>
      <c r="I232" t="s">
        <v>340</v>
      </c>
      <c r="J232" t="s">
        <v>1261</v>
      </c>
      <c r="K232" t="s">
        <v>413</v>
      </c>
      <c r="L232" t="s">
        <v>1212</v>
      </c>
      <c r="M232" s="131">
        <v>5.42</v>
      </c>
      <c r="N232" t="s">
        <v>1280</v>
      </c>
      <c r="O232" s="132">
        <v>5.5799999999999999E-3</v>
      </c>
      <c r="P232" s="132">
        <v>4.8399999999999999E-2</v>
      </c>
      <c r="R232" s="131">
        <v>30679813</v>
      </c>
      <c r="S232" s="131">
        <v>1</v>
      </c>
      <c r="T232" s="131">
        <v>97.9</v>
      </c>
      <c r="U232" s="131">
        <v>30035.537</v>
      </c>
      <c r="W232" s="16" t="s">
        <v>15</v>
      </c>
      <c r="X232" s="132">
        <v>9.7000000000000005E-4</v>
      </c>
      <c r="Y232" s="132">
        <v>0.10428999999999999</v>
      </c>
      <c r="Z232" s="132">
        <v>7.9189999999999997E-2</v>
      </c>
    </row>
    <row r="233" spans="1:26">
      <c r="A233" t="s">
        <v>1213</v>
      </c>
      <c r="B233" t="s">
        <v>1241</v>
      </c>
      <c r="C233" t="s">
        <v>1258</v>
      </c>
      <c r="D233" t="s">
        <v>1309</v>
      </c>
      <c r="E233" t="s">
        <v>1310</v>
      </c>
      <c r="F233" t="s">
        <v>943</v>
      </c>
      <c r="G233" t="s">
        <v>204</v>
      </c>
      <c r="H233" t="s">
        <v>204</v>
      </c>
      <c r="I233" t="s">
        <v>340</v>
      </c>
      <c r="J233" t="s">
        <v>1265</v>
      </c>
      <c r="K233" t="s">
        <v>415</v>
      </c>
      <c r="L233" t="s">
        <v>1212</v>
      </c>
      <c r="M233" s="131">
        <v>1.83</v>
      </c>
      <c r="N233" t="s">
        <v>1311</v>
      </c>
      <c r="O233" s="132">
        <v>9.2399999999999999E-3</v>
      </c>
      <c r="P233" s="132">
        <v>1.5699999999999999E-2</v>
      </c>
      <c r="R233" s="131">
        <v>20290245</v>
      </c>
      <c r="S233" s="131">
        <v>1</v>
      </c>
      <c r="T233" s="131">
        <v>112.44</v>
      </c>
      <c r="U233" s="131">
        <v>22814.350999999999</v>
      </c>
      <c r="W233" s="16" t="s">
        <v>15</v>
      </c>
      <c r="X233" s="132">
        <v>1E-3</v>
      </c>
      <c r="Y233" s="132">
        <v>7.9219999999999999E-2</v>
      </c>
      <c r="Z233" s="132">
        <v>6.0150000000000002E-2</v>
      </c>
    </row>
    <row r="234" spans="1:26">
      <c r="A234" t="s">
        <v>1213</v>
      </c>
      <c r="B234" t="s">
        <v>1241</v>
      </c>
      <c r="C234" t="s">
        <v>1267</v>
      </c>
      <c r="D234" t="s">
        <v>1281</v>
      </c>
      <c r="E234" t="s">
        <v>1282</v>
      </c>
      <c r="F234" t="s">
        <v>945</v>
      </c>
      <c r="G234" t="s">
        <v>204</v>
      </c>
      <c r="H234" t="s">
        <v>204</v>
      </c>
      <c r="I234" t="s">
        <v>340</v>
      </c>
      <c r="J234" t="s">
        <v>1261</v>
      </c>
      <c r="K234" t="s">
        <v>413</v>
      </c>
      <c r="L234" t="s">
        <v>1212</v>
      </c>
      <c r="M234" s="131">
        <v>5.33</v>
      </c>
      <c r="N234" t="s">
        <v>1283</v>
      </c>
      <c r="O234" s="132">
        <v>4.5699999999999998E-2</v>
      </c>
      <c r="P234" s="132">
        <v>4.6300000000000001E-2</v>
      </c>
      <c r="R234" s="131">
        <v>22426428</v>
      </c>
      <c r="S234" s="131">
        <v>1</v>
      </c>
      <c r="T234" s="131">
        <v>83.24</v>
      </c>
      <c r="U234" s="131">
        <v>18667.758999999998</v>
      </c>
      <c r="W234" s="16" t="s">
        <v>15</v>
      </c>
      <c r="X234" s="132">
        <v>5.9000000000000003E-4</v>
      </c>
      <c r="Y234" s="132">
        <v>6.4820000000000003E-2</v>
      </c>
      <c r="Z234" s="132">
        <v>4.922E-2</v>
      </c>
    </row>
    <row r="235" spans="1:26">
      <c r="A235" t="s">
        <v>1213</v>
      </c>
      <c r="B235" t="s">
        <v>1241</v>
      </c>
      <c r="C235" t="s">
        <v>1267</v>
      </c>
      <c r="D235" t="s">
        <v>1347</v>
      </c>
      <c r="E235" t="s">
        <v>1348</v>
      </c>
      <c r="F235" t="s">
        <v>945</v>
      </c>
      <c r="G235" t="s">
        <v>204</v>
      </c>
      <c r="H235" t="s">
        <v>204</v>
      </c>
      <c r="I235" t="s">
        <v>340</v>
      </c>
      <c r="J235" t="s">
        <v>1261</v>
      </c>
      <c r="K235" t="s">
        <v>413</v>
      </c>
      <c r="L235" t="s">
        <v>1212</v>
      </c>
      <c r="M235" s="131">
        <v>3.86</v>
      </c>
      <c r="N235" t="s">
        <v>1349</v>
      </c>
      <c r="O235" s="132">
        <v>3.6540000000000003E-2</v>
      </c>
      <c r="P235" s="132">
        <v>4.5100000000000001E-2</v>
      </c>
      <c r="R235" s="131">
        <v>20213672</v>
      </c>
      <c r="S235" s="131">
        <v>1</v>
      </c>
      <c r="T235" s="131">
        <v>91.9</v>
      </c>
      <c r="U235" s="131">
        <v>18576.365000000002</v>
      </c>
      <c r="W235" s="16" t="s">
        <v>15</v>
      </c>
      <c r="X235" s="132">
        <v>5.9999999999999995E-4</v>
      </c>
      <c r="Y235" s="132">
        <v>6.4500000000000002E-2</v>
      </c>
      <c r="Z235" s="132">
        <v>4.8980000000000003E-2</v>
      </c>
    </row>
    <row r="236" spans="1:26">
      <c r="A236" t="s">
        <v>1213</v>
      </c>
      <c r="B236" t="s">
        <v>1241</v>
      </c>
      <c r="C236" t="s">
        <v>1267</v>
      </c>
      <c r="D236" t="s">
        <v>1356</v>
      </c>
      <c r="E236" t="s">
        <v>1357</v>
      </c>
      <c r="F236" t="s">
        <v>945</v>
      </c>
      <c r="G236" t="s">
        <v>204</v>
      </c>
      <c r="H236" t="s">
        <v>204</v>
      </c>
      <c r="I236" t="s">
        <v>340</v>
      </c>
      <c r="J236" t="s">
        <v>1261</v>
      </c>
      <c r="K236" t="s">
        <v>413</v>
      </c>
      <c r="L236" t="s">
        <v>1212</v>
      </c>
      <c r="M236" s="131">
        <v>7.17</v>
      </c>
      <c r="N236" t="s">
        <v>1358</v>
      </c>
      <c r="O236" s="132">
        <v>4.7100000000000003E-2</v>
      </c>
      <c r="P236" s="132">
        <v>4.7500000000000001E-2</v>
      </c>
      <c r="R236" s="131">
        <v>19381996</v>
      </c>
      <c r="S236" s="131">
        <v>1</v>
      </c>
      <c r="T236" s="131">
        <v>78.98</v>
      </c>
      <c r="U236" s="131">
        <v>15307.9</v>
      </c>
      <c r="W236" s="16" t="s">
        <v>15</v>
      </c>
      <c r="X236" s="132">
        <v>6.4999999999999997E-4</v>
      </c>
      <c r="Y236" s="132">
        <v>5.3150000000000003E-2</v>
      </c>
      <c r="Z236" s="132">
        <v>4.036E-2</v>
      </c>
    </row>
    <row r="237" spans="1:26">
      <c r="A237" t="s">
        <v>1213</v>
      </c>
      <c r="B237" t="s">
        <v>1241</v>
      </c>
      <c r="C237" t="s">
        <v>1258</v>
      </c>
      <c r="D237" t="s">
        <v>1263</v>
      </c>
      <c r="E237" t="s">
        <v>1264</v>
      </c>
      <c r="F237" t="s">
        <v>943</v>
      </c>
      <c r="G237" t="s">
        <v>204</v>
      </c>
      <c r="H237" t="s">
        <v>204</v>
      </c>
      <c r="I237" t="s">
        <v>340</v>
      </c>
      <c r="J237" t="s">
        <v>1265</v>
      </c>
      <c r="K237" t="s">
        <v>415</v>
      </c>
      <c r="L237" t="s">
        <v>1212</v>
      </c>
      <c r="M237" s="131">
        <v>3.97</v>
      </c>
      <c r="N237" t="s">
        <v>1266</v>
      </c>
      <c r="O237" s="132">
        <v>1.26E-2</v>
      </c>
      <c r="P237" s="132">
        <v>1.7999999999999999E-2</v>
      </c>
      <c r="R237" s="131">
        <v>11974384</v>
      </c>
      <c r="S237" s="131">
        <v>1</v>
      </c>
      <c r="T237" s="131">
        <v>102.6</v>
      </c>
      <c r="U237" s="131">
        <v>12285.718000000001</v>
      </c>
      <c r="W237" s="16" t="s">
        <v>15</v>
      </c>
      <c r="X237" s="132">
        <v>5.9000000000000003E-4</v>
      </c>
      <c r="Y237" s="132">
        <v>4.2659999999999997E-2</v>
      </c>
      <c r="Z237" s="132">
        <v>3.2390000000000002E-2</v>
      </c>
    </row>
    <row r="238" spans="1:26">
      <c r="A238" t="s">
        <v>1213</v>
      </c>
      <c r="B238" t="s">
        <v>1241</v>
      </c>
      <c r="C238" t="s">
        <v>1267</v>
      </c>
      <c r="D238" t="s">
        <v>1274</v>
      </c>
      <c r="E238" t="s">
        <v>1275</v>
      </c>
      <c r="F238" t="s">
        <v>945</v>
      </c>
      <c r="G238" t="s">
        <v>204</v>
      </c>
      <c r="H238" t="s">
        <v>204</v>
      </c>
      <c r="I238" t="s">
        <v>340</v>
      </c>
      <c r="J238" t="s">
        <v>1265</v>
      </c>
      <c r="K238" t="s">
        <v>415</v>
      </c>
      <c r="L238" t="s">
        <v>1212</v>
      </c>
      <c r="M238" s="131">
        <v>1.4</v>
      </c>
      <c r="N238" t="s">
        <v>1276</v>
      </c>
      <c r="O238" s="132">
        <v>3.9399999999999998E-2</v>
      </c>
      <c r="P238" s="132">
        <v>4.3799999999999999E-2</v>
      </c>
      <c r="R238" s="131">
        <v>12230045</v>
      </c>
      <c r="S238" s="131">
        <v>1</v>
      </c>
      <c r="T238" s="131">
        <v>95.1</v>
      </c>
      <c r="U238" s="131">
        <v>11630.772999999999</v>
      </c>
      <c r="W238" s="16" t="s">
        <v>15</v>
      </c>
      <c r="X238" s="132">
        <v>4.4000000000000002E-4</v>
      </c>
      <c r="Y238" s="132">
        <v>4.0379999999999999E-2</v>
      </c>
      <c r="Z238" s="132">
        <v>3.066E-2</v>
      </c>
    </row>
    <row r="239" spans="1:26">
      <c r="A239" t="s">
        <v>1213</v>
      </c>
      <c r="B239" t="s">
        <v>1241</v>
      </c>
      <c r="C239" t="s">
        <v>1258</v>
      </c>
      <c r="D239" t="s">
        <v>1297</v>
      </c>
      <c r="E239" t="s">
        <v>1298</v>
      </c>
      <c r="F239" t="s">
        <v>943</v>
      </c>
      <c r="G239" t="s">
        <v>204</v>
      </c>
      <c r="H239" t="s">
        <v>204</v>
      </c>
      <c r="I239" t="s">
        <v>340</v>
      </c>
      <c r="J239" t="s">
        <v>1265</v>
      </c>
      <c r="K239" t="s">
        <v>415</v>
      </c>
      <c r="L239" t="s">
        <v>1212</v>
      </c>
      <c r="M239" s="131">
        <v>7.14</v>
      </c>
      <c r="N239" t="s">
        <v>1299</v>
      </c>
      <c r="O239" s="132">
        <v>1.366E-2</v>
      </c>
      <c r="P239" s="132">
        <v>1.9900000000000001E-2</v>
      </c>
      <c r="R239" s="131">
        <v>6657019</v>
      </c>
      <c r="S239" s="131">
        <v>1</v>
      </c>
      <c r="T239" s="131">
        <v>101.1</v>
      </c>
      <c r="U239" s="131">
        <v>6730.2460000000001</v>
      </c>
      <c r="W239" s="16" t="s">
        <v>15</v>
      </c>
      <c r="X239" s="132">
        <v>2.2000000000000001E-4</v>
      </c>
      <c r="Y239" s="132">
        <v>2.3369999999999998E-2</v>
      </c>
      <c r="Z239" s="132">
        <v>1.7739999999999999E-2</v>
      </c>
    </row>
    <row r="240" spans="1:26">
      <c r="A240" t="s">
        <v>1213</v>
      </c>
      <c r="B240" t="s">
        <v>1241</v>
      </c>
      <c r="C240" t="s">
        <v>1267</v>
      </c>
      <c r="D240" t="s">
        <v>1341</v>
      </c>
      <c r="E240" t="s">
        <v>1342</v>
      </c>
      <c r="F240" t="s">
        <v>945</v>
      </c>
      <c r="G240" t="s">
        <v>204</v>
      </c>
      <c r="H240" t="s">
        <v>204</v>
      </c>
      <c r="I240" t="s">
        <v>340</v>
      </c>
      <c r="J240" t="s">
        <v>1261</v>
      </c>
      <c r="K240" t="s">
        <v>413</v>
      </c>
      <c r="L240" t="s">
        <v>1212</v>
      </c>
      <c r="M240" s="131">
        <v>2.44</v>
      </c>
      <c r="N240" t="s">
        <v>1343</v>
      </c>
      <c r="O240" s="132">
        <v>3.7679999999999998E-2</v>
      </c>
      <c r="P240" s="132">
        <v>4.3999999999999997E-2</v>
      </c>
      <c r="R240" s="131">
        <v>3264024</v>
      </c>
      <c r="S240" s="131">
        <v>1</v>
      </c>
      <c r="T240" s="131">
        <v>95.44</v>
      </c>
      <c r="U240" s="131">
        <v>3115.1849999999999</v>
      </c>
      <c r="W240" s="16" t="s">
        <v>15</v>
      </c>
      <c r="X240" s="132">
        <v>1.2999999999999999E-4</v>
      </c>
      <c r="Y240" s="132">
        <v>1.082E-2</v>
      </c>
      <c r="Z240" s="132">
        <v>8.2100000000000003E-3</v>
      </c>
    </row>
    <row r="241" spans="1:26">
      <c r="A241" t="s">
        <v>1213</v>
      </c>
      <c r="B241" t="s">
        <v>1241</v>
      </c>
      <c r="C241" t="s">
        <v>1277</v>
      </c>
      <c r="D241" t="s">
        <v>1284</v>
      </c>
      <c r="E241" t="s">
        <v>1285</v>
      </c>
      <c r="F241" t="s">
        <v>946</v>
      </c>
      <c r="G241" t="s">
        <v>204</v>
      </c>
      <c r="H241" t="s">
        <v>204</v>
      </c>
      <c r="I241" t="s">
        <v>340</v>
      </c>
      <c r="J241" t="s">
        <v>1261</v>
      </c>
      <c r="K241" t="s">
        <v>413</v>
      </c>
      <c r="L241" t="s">
        <v>1212</v>
      </c>
      <c r="M241" s="131">
        <v>1.61</v>
      </c>
      <c r="N241" t="s">
        <v>1286</v>
      </c>
      <c r="O241" s="132">
        <v>1.42E-3</v>
      </c>
      <c r="P241" s="132">
        <v>4.7E-2</v>
      </c>
      <c r="R241" s="131">
        <v>2107164</v>
      </c>
      <c r="S241" s="131">
        <v>1</v>
      </c>
      <c r="T241" s="131">
        <v>99.82</v>
      </c>
      <c r="U241" s="131">
        <v>2103.3710000000001</v>
      </c>
      <c r="W241" s="16" t="s">
        <v>15</v>
      </c>
      <c r="X241" s="132">
        <v>1E-4</v>
      </c>
      <c r="Y241" s="132">
        <v>7.3000000000000001E-3</v>
      </c>
      <c r="Z241" s="132">
        <v>5.5500000000000002E-3</v>
      </c>
    </row>
    <row r="242" spans="1:26">
      <c r="A242" t="s">
        <v>1213</v>
      </c>
      <c r="B242" t="s">
        <v>1241</v>
      </c>
      <c r="C242" t="s">
        <v>1267</v>
      </c>
      <c r="D242" t="s">
        <v>1353</v>
      </c>
      <c r="E242" t="s">
        <v>1354</v>
      </c>
      <c r="F242" t="s">
        <v>945</v>
      </c>
      <c r="G242" t="s">
        <v>204</v>
      </c>
      <c r="H242" t="s">
        <v>204</v>
      </c>
      <c r="I242" t="s">
        <v>340</v>
      </c>
      <c r="J242" t="s">
        <v>1261</v>
      </c>
      <c r="K242" t="s">
        <v>413</v>
      </c>
      <c r="L242" t="s">
        <v>1212</v>
      </c>
      <c r="M242" s="131">
        <v>8.52</v>
      </c>
      <c r="N242" t="s">
        <v>1355</v>
      </c>
      <c r="O242" s="132">
        <v>4.4359999999999997E-2</v>
      </c>
      <c r="P242" s="132">
        <v>4.8800000000000003E-2</v>
      </c>
      <c r="R242" s="131">
        <v>1429896</v>
      </c>
      <c r="S242" s="131">
        <v>1</v>
      </c>
      <c r="T242" s="131">
        <v>94.93</v>
      </c>
      <c r="U242" s="131">
        <v>1357.4</v>
      </c>
      <c r="W242" s="16" t="s">
        <v>15</v>
      </c>
      <c r="X242" s="132">
        <v>8.0000000000000007E-5</v>
      </c>
      <c r="Y242" s="132">
        <v>4.7099999999999998E-3</v>
      </c>
      <c r="Z242" s="132">
        <v>3.5799999999999998E-3</v>
      </c>
    </row>
    <row r="243" spans="1:26">
      <c r="A243" t="s">
        <v>1213</v>
      </c>
      <c r="B243" t="s">
        <v>1241</v>
      </c>
      <c r="C243" t="s">
        <v>1267</v>
      </c>
      <c r="D243" t="s">
        <v>1306</v>
      </c>
      <c r="E243" t="s">
        <v>1307</v>
      </c>
      <c r="F243" t="s">
        <v>945</v>
      </c>
      <c r="G243" t="s">
        <v>204</v>
      </c>
      <c r="H243" t="s">
        <v>204</v>
      </c>
      <c r="I243" t="s">
        <v>340</v>
      </c>
      <c r="J243" t="s">
        <v>1265</v>
      </c>
      <c r="K243" t="s">
        <v>415</v>
      </c>
      <c r="L243" t="s">
        <v>1212</v>
      </c>
      <c r="M243" s="131">
        <v>4.0599999999999996</v>
      </c>
      <c r="N243" t="s">
        <v>1308</v>
      </c>
      <c r="O243" s="132">
        <v>3.3739999999999999E-2</v>
      </c>
      <c r="P243" s="132">
        <v>4.5600000000000002E-2</v>
      </c>
      <c r="R243" s="131">
        <v>762347</v>
      </c>
      <c r="S243" s="131">
        <v>1</v>
      </c>
      <c r="T243" s="131">
        <v>99.02</v>
      </c>
      <c r="U243" s="131">
        <v>754.87599999999998</v>
      </c>
      <c r="W243" s="16" t="s">
        <v>15</v>
      </c>
      <c r="X243" s="132">
        <v>2.0000000000000002E-5</v>
      </c>
      <c r="Y243" s="132">
        <v>2.6199999999999999E-3</v>
      </c>
      <c r="Z243" s="132">
        <v>1.99E-3</v>
      </c>
    </row>
    <row r="244" spans="1:26">
      <c r="A244" t="s">
        <v>1213</v>
      </c>
      <c r="B244" t="s">
        <v>1242</v>
      </c>
      <c r="C244" t="s">
        <v>1267</v>
      </c>
      <c r="D244" t="s">
        <v>1281</v>
      </c>
      <c r="E244" t="s">
        <v>1282</v>
      </c>
      <c r="F244" t="s">
        <v>945</v>
      </c>
      <c r="G244" t="s">
        <v>204</v>
      </c>
      <c r="H244" t="s">
        <v>204</v>
      </c>
      <c r="I244" t="s">
        <v>340</v>
      </c>
      <c r="J244" t="s">
        <v>1261</v>
      </c>
      <c r="K244" t="s">
        <v>413</v>
      </c>
      <c r="L244" t="s">
        <v>1212</v>
      </c>
      <c r="M244" s="131">
        <v>5.33</v>
      </c>
      <c r="N244" t="s">
        <v>1283</v>
      </c>
      <c r="O244" s="132">
        <v>4.6199999999999998E-2</v>
      </c>
      <c r="P244" s="132">
        <v>4.6300000000000001E-2</v>
      </c>
      <c r="R244" s="131">
        <v>20194083</v>
      </c>
      <c r="S244" s="131">
        <v>1</v>
      </c>
      <c r="T244" s="131">
        <v>83.24</v>
      </c>
      <c r="U244" s="131">
        <v>16809.555</v>
      </c>
      <c r="W244" s="16" t="s">
        <v>15</v>
      </c>
      <c r="X244" s="132">
        <v>5.2999999999999998E-4</v>
      </c>
      <c r="Y244" s="132">
        <v>0.81483000000000005</v>
      </c>
      <c r="Z244" s="132">
        <v>4.3929999999999997E-2</v>
      </c>
    </row>
    <row r="245" spans="1:26">
      <c r="A245" t="s">
        <v>1213</v>
      </c>
      <c r="B245" t="s">
        <v>1242</v>
      </c>
      <c r="C245" t="s">
        <v>1290</v>
      </c>
      <c r="D245" t="s">
        <v>1344</v>
      </c>
      <c r="E245" t="s">
        <v>1345</v>
      </c>
      <c r="F245" t="s">
        <v>949</v>
      </c>
      <c r="G245" t="s">
        <v>204</v>
      </c>
      <c r="H245" t="s">
        <v>204</v>
      </c>
      <c r="I245" t="s">
        <v>340</v>
      </c>
      <c r="J245" t="s">
        <v>1261</v>
      </c>
      <c r="K245" t="s">
        <v>413</v>
      </c>
      <c r="L245" t="s">
        <v>1212</v>
      </c>
      <c r="M245" s="131">
        <v>0.75</v>
      </c>
      <c r="N245" t="s">
        <v>1346</v>
      </c>
      <c r="O245" s="132">
        <v>4.1779999999999998E-2</v>
      </c>
      <c r="P245" s="132">
        <v>4.2799999999999998E-2</v>
      </c>
      <c r="R245" s="131">
        <v>3942168</v>
      </c>
      <c r="S245" s="131">
        <v>1</v>
      </c>
      <c r="T245" s="131">
        <v>96.9</v>
      </c>
      <c r="U245" s="131">
        <v>3819.9609999999998</v>
      </c>
      <c r="W245" s="16" t="s">
        <v>15</v>
      </c>
      <c r="X245" s="132">
        <v>3.3E-4</v>
      </c>
      <c r="Y245" s="132">
        <v>0.18517</v>
      </c>
      <c r="Z245" s="132">
        <v>9.9799999999999993E-3</v>
      </c>
    </row>
    <row r="246" spans="1:26">
      <c r="A246" t="s">
        <v>1213</v>
      </c>
      <c r="B246" t="s">
        <v>1243</v>
      </c>
      <c r="C246" t="s">
        <v>1258</v>
      </c>
      <c r="D246" t="s">
        <v>1259</v>
      </c>
      <c r="E246" t="s">
        <v>1260</v>
      </c>
      <c r="F246" t="s">
        <v>943</v>
      </c>
      <c r="G246" t="s">
        <v>204</v>
      </c>
      <c r="H246" t="s">
        <v>204</v>
      </c>
      <c r="I246" t="s">
        <v>340</v>
      </c>
      <c r="J246" t="s">
        <v>1261</v>
      </c>
      <c r="K246" t="s">
        <v>413</v>
      </c>
      <c r="L246" t="s">
        <v>1212</v>
      </c>
      <c r="M246" s="131">
        <v>1.07</v>
      </c>
      <c r="N246" t="s">
        <v>1262</v>
      </c>
      <c r="O246" s="132">
        <v>1.2199999999999999E-3</v>
      </c>
      <c r="P246" s="132">
        <v>1.2999999999999999E-2</v>
      </c>
      <c r="R246" s="131">
        <v>160016216</v>
      </c>
      <c r="S246" s="131">
        <v>1</v>
      </c>
      <c r="T246" s="131">
        <v>116.02</v>
      </c>
      <c r="U246" s="131">
        <v>185650.81400000001</v>
      </c>
      <c r="W246" s="16" t="s">
        <v>15</v>
      </c>
      <c r="X246" s="132">
        <v>7.3699999999999998E-3</v>
      </c>
      <c r="Y246" s="132">
        <v>0.19622000000000001</v>
      </c>
      <c r="Z246" s="132">
        <v>4.1700000000000001E-2</v>
      </c>
    </row>
    <row r="247" spans="1:26">
      <c r="A247" t="s">
        <v>1213</v>
      </c>
      <c r="B247" t="s">
        <v>1243</v>
      </c>
      <c r="C247" t="s">
        <v>1258</v>
      </c>
      <c r="D247" t="s">
        <v>1329</v>
      </c>
      <c r="E247" t="s">
        <v>1330</v>
      </c>
      <c r="F247" t="s">
        <v>943</v>
      </c>
      <c r="G247" t="s">
        <v>204</v>
      </c>
      <c r="H247" t="s">
        <v>204</v>
      </c>
      <c r="I247" t="s">
        <v>340</v>
      </c>
      <c r="J247" t="s">
        <v>1265</v>
      </c>
      <c r="K247" t="s">
        <v>415</v>
      </c>
      <c r="L247" t="s">
        <v>1212</v>
      </c>
      <c r="M247" s="131">
        <v>2.64</v>
      </c>
      <c r="N247" t="s">
        <v>1331</v>
      </c>
      <c r="O247" s="132">
        <v>-2.2800000000000001E-2</v>
      </c>
      <c r="P247" s="132">
        <v>1.6299999999999999E-2</v>
      </c>
      <c r="R247" s="131">
        <v>116283759</v>
      </c>
      <c r="S247" s="131">
        <v>1</v>
      </c>
      <c r="T247" s="131">
        <v>114.25</v>
      </c>
      <c r="U247" s="131">
        <v>132854.19500000001</v>
      </c>
      <c r="W247" s="16" t="s">
        <v>15</v>
      </c>
      <c r="X247" s="132">
        <v>5.2199999999999998E-3</v>
      </c>
      <c r="Y247" s="132">
        <v>0.14041999999999999</v>
      </c>
      <c r="Z247" s="132">
        <v>2.9839999999999998E-2</v>
      </c>
    </row>
    <row r="248" spans="1:26">
      <c r="A248" t="s">
        <v>1213</v>
      </c>
      <c r="B248" t="s">
        <v>1243</v>
      </c>
      <c r="C248" t="s">
        <v>1267</v>
      </c>
      <c r="D248" t="s">
        <v>1347</v>
      </c>
      <c r="E248" t="s">
        <v>1348</v>
      </c>
      <c r="F248" t="s">
        <v>945</v>
      </c>
      <c r="G248" t="s">
        <v>204</v>
      </c>
      <c r="H248" t="s">
        <v>204</v>
      </c>
      <c r="I248" t="s">
        <v>340</v>
      </c>
      <c r="J248" t="s">
        <v>1261</v>
      </c>
      <c r="K248" t="s">
        <v>413</v>
      </c>
      <c r="L248" t="s">
        <v>1212</v>
      </c>
      <c r="M248" s="131">
        <v>3.86</v>
      </c>
      <c r="N248" t="s">
        <v>1349</v>
      </c>
      <c r="O248" s="132">
        <v>3.5310000000000001E-2</v>
      </c>
      <c r="P248" s="132">
        <v>4.5100000000000001E-2</v>
      </c>
      <c r="R248" s="131">
        <v>89395803</v>
      </c>
      <c r="S248" s="131">
        <v>1</v>
      </c>
      <c r="T248" s="131">
        <v>91.9</v>
      </c>
      <c r="U248" s="131">
        <v>82154.743000000002</v>
      </c>
      <c r="W248" s="16" t="s">
        <v>15</v>
      </c>
      <c r="X248" s="132">
        <v>2.6700000000000001E-3</v>
      </c>
      <c r="Y248" s="132">
        <v>8.6830000000000004E-2</v>
      </c>
      <c r="Z248" s="132">
        <v>1.8450000000000001E-2</v>
      </c>
    </row>
    <row r="249" spans="1:26">
      <c r="A249" t="s">
        <v>1213</v>
      </c>
      <c r="B249" t="s">
        <v>1243</v>
      </c>
      <c r="C249" t="s">
        <v>1258</v>
      </c>
      <c r="D249" t="s">
        <v>1300</v>
      </c>
      <c r="E249" t="s">
        <v>1301</v>
      </c>
      <c r="F249" t="s">
        <v>943</v>
      </c>
      <c r="G249" t="s">
        <v>204</v>
      </c>
      <c r="H249" t="s">
        <v>204</v>
      </c>
      <c r="I249" t="s">
        <v>340</v>
      </c>
      <c r="J249" t="s">
        <v>1265</v>
      </c>
      <c r="K249" t="s">
        <v>415</v>
      </c>
      <c r="L249" t="s">
        <v>1212</v>
      </c>
      <c r="M249" s="131">
        <v>4.6100000000000003</v>
      </c>
      <c r="N249" t="s">
        <v>1302</v>
      </c>
      <c r="O249" s="132">
        <v>-2.2100000000000002E-3</v>
      </c>
      <c r="P249" s="132">
        <v>1.83E-2</v>
      </c>
      <c r="R249" s="131">
        <v>74500347</v>
      </c>
      <c r="S249" s="131">
        <v>1</v>
      </c>
      <c r="T249" s="131">
        <v>108.85</v>
      </c>
      <c r="U249" s="131">
        <v>81093.627999999997</v>
      </c>
      <c r="W249" s="16" t="s">
        <v>15</v>
      </c>
      <c r="X249" s="132">
        <v>2.7599999999999999E-3</v>
      </c>
      <c r="Y249" s="132">
        <v>8.5709999999999995E-2</v>
      </c>
      <c r="Z249" s="132">
        <v>1.821E-2</v>
      </c>
    </row>
    <row r="250" spans="1:26">
      <c r="A250" t="s">
        <v>1213</v>
      </c>
      <c r="B250" t="s">
        <v>1243</v>
      </c>
      <c r="C250" t="s">
        <v>1258</v>
      </c>
      <c r="D250" t="s">
        <v>1309</v>
      </c>
      <c r="E250" t="s">
        <v>1310</v>
      </c>
      <c r="F250" t="s">
        <v>943</v>
      </c>
      <c r="G250" t="s">
        <v>204</v>
      </c>
      <c r="H250" t="s">
        <v>204</v>
      </c>
      <c r="I250" t="s">
        <v>340</v>
      </c>
      <c r="J250" t="s">
        <v>1265</v>
      </c>
      <c r="K250" t="s">
        <v>415</v>
      </c>
      <c r="L250" t="s">
        <v>1212</v>
      </c>
      <c r="M250" s="131">
        <v>1.83</v>
      </c>
      <c r="N250" t="s">
        <v>1311</v>
      </c>
      <c r="O250" s="132">
        <v>9.5200000000000007E-3</v>
      </c>
      <c r="P250" s="132">
        <v>1.5699999999999999E-2</v>
      </c>
      <c r="R250" s="131">
        <v>63922012</v>
      </c>
      <c r="S250" s="131">
        <v>1</v>
      </c>
      <c r="T250" s="131">
        <v>112.44</v>
      </c>
      <c r="U250" s="131">
        <v>71873.91</v>
      </c>
      <c r="W250" s="16" t="s">
        <v>15</v>
      </c>
      <c r="X250" s="132">
        <v>3.16E-3</v>
      </c>
      <c r="Y250" s="132">
        <v>7.5969999999999996E-2</v>
      </c>
      <c r="Z250" s="132">
        <v>1.6140000000000002E-2</v>
      </c>
    </row>
    <row r="251" spans="1:26">
      <c r="A251" t="s">
        <v>1213</v>
      </c>
      <c r="B251" t="s">
        <v>1243</v>
      </c>
      <c r="C251" t="s">
        <v>1267</v>
      </c>
      <c r="D251" t="s">
        <v>1306</v>
      </c>
      <c r="E251" t="s">
        <v>1307</v>
      </c>
      <c r="F251" t="s">
        <v>945</v>
      </c>
      <c r="G251" t="s">
        <v>204</v>
      </c>
      <c r="H251" t="s">
        <v>204</v>
      </c>
      <c r="I251" t="s">
        <v>340</v>
      </c>
      <c r="J251" t="s">
        <v>1265</v>
      </c>
      <c r="K251" t="s">
        <v>415</v>
      </c>
      <c r="L251" t="s">
        <v>1212</v>
      </c>
      <c r="M251" s="131">
        <v>4.0599999999999996</v>
      </c>
      <c r="N251" t="s">
        <v>1308</v>
      </c>
      <c r="O251" s="132">
        <v>3.3680000000000002E-2</v>
      </c>
      <c r="P251" s="132">
        <v>4.5600000000000002E-2</v>
      </c>
      <c r="R251" s="131">
        <v>65959261</v>
      </c>
      <c r="S251" s="131">
        <v>1</v>
      </c>
      <c r="T251" s="131">
        <v>99.02</v>
      </c>
      <c r="U251" s="131">
        <v>65312.86</v>
      </c>
      <c r="W251" s="16" t="s">
        <v>15</v>
      </c>
      <c r="X251" s="132">
        <v>2E-3</v>
      </c>
      <c r="Y251" s="132">
        <v>6.9029999999999994E-2</v>
      </c>
      <c r="Z251" s="132">
        <v>1.4670000000000001E-2</v>
      </c>
    </row>
    <row r="252" spans="1:26">
      <c r="A252" t="s">
        <v>1213</v>
      </c>
      <c r="B252" t="s">
        <v>1243</v>
      </c>
      <c r="C252" t="s">
        <v>1267</v>
      </c>
      <c r="D252" t="s">
        <v>1274</v>
      </c>
      <c r="E252" t="s">
        <v>1275</v>
      </c>
      <c r="F252" t="s">
        <v>945</v>
      </c>
      <c r="G252" t="s">
        <v>204</v>
      </c>
      <c r="H252" t="s">
        <v>204</v>
      </c>
      <c r="I252" t="s">
        <v>340</v>
      </c>
      <c r="J252" t="s">
        <v>1265</v>
      </c>
      <c r="K252" t="s">
        <v>415</v>
      </c>
      <c r="L252" t="s">
        <v>1212</v>
      </c>
      <c r="M252" s="131">
        <v>1.4</v>
      </c>
      <c r="N252" t="s">
        <v>1276</v>
      </c>
      <c r="O252" s="132">
        <v>3.9649999999999998E-2</v>
      </c>
      <c r="P252" s="132">
        <v>4.3799999999999999E-2</v>
      </c>
      <c r="R252" s="131">
        <v>66182951</v>
      </c>
      <c r="S252" s="131">
        <v>1</v>
      </c>
      <c r="T252" s="131">
        <v>95.1</v>
      </c>
      <c r="U252" s="131">
        <v>62939.985999999997</v>
      </c>
      <c r="W252" s="16" t="s">
        <v>15</v>
      </c>
      <c r="X252" s="132">
        <v>2.3800000000000002E-3</v>
      </c>
      <c r="Y252" s="132">
        <v>6.6519999999999996E-2</v>
      </c>
      <c r="Z252" s="132">
        <v>1.414E-2</v>
      </c>
    </row>
    <row r="253" spans="1:26">
      <c r="A253" t="s">
        <v>1213</v>
      </c>
      <c r="B253" t="s">
        <v>1243</v>
      </c>
      <c r="C253" t="s">
        <v>1267</v>
      </c>
      <c r="D253" t="s">
        <v>1312</v>
      </c>
      <c r="E253" t="s">
        <v>1313</v>
      </c>
      <c r="F253" t="s">
        <v>945</v>
      </c>
      <c r="G253" t="s">
        <v>204</v>
      </c>
      <c r="H253" t="s">
        <v>204</v>
      </c>
      <c r="I253" t="s">
        <v>340</v>
      </c>
      <c r="J253" t="s">
        <v>1261</v>
      </c>
      <c r="K253" t="s">
        <v>413</v>
      </c>
      <c r="L253" t="s">
        <v>1212</v>
      </c>
      <c r="M253" s="131">
        <v>1.91</v>
      </c>
      <c r="N253" t="s">
        <v>1314</v>
      </c>
      <c r="O253" s="132">
        <v>3.7039999999999997E-2</v>
      </c>
      <c r="P253" s="132">
        <v>4.3200000000000002E-2</v>
      </c>
      <c r="R253" s="131">
        <v>46856210</v>
      </c>
      <c r="S253" s="131">
        <v>1</v>
      </c>
      <c r="T253" s="131">
        <v>109.5</v>
      </c>
      <c r="U253" s="131">
        <v>51307.55</v>
      </c>
      <c r="W253" s="16" t="s">
        <v>15</v>
      </c>
      <c r="X253" s="132">
        <v>3.15E-3</v>
      </c>
      <c r="Y253" s="132">
        <v>5.423E-2</v>
      </c>
      <c r="Z253" s="132">
        <v>1.1520000000000001E-2</v>
      </c>
    </row>
    <row r="254" spans="1:26">
      <c r="A254" t="s">
        <v>1213</v>
      </c>
      <c r="B254" t="s">
        <v>1243</v>
      </c>
      <c r="C254" t="s">
        <v>1267</v>
      </c>
      <c r="D254" t="s">
        <v>1281</v>
      </c>
      <c r="E254" t="s">
        <v>1282</v>
      </c>
      <c r="F254" t="s">
        <v>945</v>
      </c>
      <c r="G254" t="s">
        <v>204</v>
      </c>
      <c r="H254" t="s">
        <v>204</v>
      </c>
      <c r="I254" t="s">
        <v>340</v>
      </c>
      <c r="J254" t="s">
        <v>1261</v>
      </c>
      <c r="K254" t="s">
        <v>413</v>
      </c>
      <c r="L254" t="s">
        <v>1212</v>
      </c>
      <c r="M254" s="131">
        <v>5.33</v>
      </c>
      <c r="N254" t="s">
        <v>1283</v>
      </c>
      <c r="O254" s="132">
        <v>4.5069999999999999E-2</v>
      </c>
      <c r="P254" s="132">
        <v>4.6300000000000001E-2</v>
      </c>
      <c r="R254" s="131">
        <v>57464277</v>
      </c>
      <c r="S254" s="131">
        <v>1</v>
      </c>
      <c r="T254" s="131">
        <v>83.24</v>
      </c>
      <c r="U254" s="131">
        <v>47833.264000000003</v>
      </c>
      <c r="W254" s="16" t="s">
        <v>15</v>
      </c>
      <c r="X254" s="132">
        <v>1.5200000000000001E-3</v>
      </c>
      <c r="Y254" s="132">
        <v>5.0560000000000001E-2</v>
      </c>
      <c r="Z254" s="132">
        <v>1.074E-2</v>
      </c>
    </row>
    <row r="255" spans="1:26">
      <c r="A255" t="s">
        <v>1213</v>
      </c>
      <c r="B255" t="s">
        <v>1243</v>
      </c>
      <c r="C255" t="s">
        <v>1258</v>
      </c>
      <c r="D255" t="s">
        <v>1297</v>
      </c>
      <c r="E255" t="s">
        <v>1298</v>
      </c>
      <c r="F255" t="s">
        <v>943</v>
      </c>
      <c r="G255" t="s">
        <v>204</v>
      </c>
      <c r="H255" t="s">
        <v>204</v>
      </c>
      <c r="I255" t="s">
        <v>340</v>
      </c>
      <c r="J255" t="s">
        <v>1265</v>
      </c>
      <c r="K255" t="s">
        <v>415</v>
      </c>
      <c r="L255" t="s">
        <v>1212</v>
      </c>
      <c r="M255" s="131">
        <v>7.14</v>
      </c>
      <c r="N255" t="s">
        <v>1299</v>
      </c>
      <c r="O255" s="132">
        <v>1.375E-2</v>
      </c>
      <c r="P255" s="132">
        <v>1.9900000000000001E-2</v>
      </c>
      <c r="R255" s="131">
        <v>31809384</v>
      </c>
      <c r="S255" s="131">
        <v>1</v>
      </c>
      <c r="T255" s="131">
        <v>101.1</v>
      </c>
      <c r="U255" s="131">
        <v>32159.287</v>
      </c>
      <c r="W255" s="16" t="s">
        <v>15</v>
      </c>
      <c r="X255" s="132">
        <v>1.0399999999999999E-3</v>
      </c>
      <c r="Y255" s="132">
        <v>3.3989999999999999E-2</v>
      </c>
      <c r="Z255" s="132">
        <v>7.2199999999999999E-3</v>
      </c>
    </row>
    <row r="256" spans="1:26">
      <c r="A256" t="s">
        <v>1213</v>
      </c>
      <c r="B256" t="s">
        <v>1243</v>
      </c>
      <c r="C256" t="s">
        <v>1277</v>
      </c>
      <c r="D256" t="s">
        <v>1278</v>
      </c>
      <c r="E256" t="s">
        <v>1279</v>
      </c>
      <c r="F256" t="s">
        <v>946</v>
      </c>
      <c r="G256" t="s">
        <v>204</v>
      </c>
      <c r="H256" t="s">
        <v>204</v>
      </c>
      <c r="I256" t="s">
        <v>340</v>
      </c>
      <c r="J256" t="s">
        <v>1261</v>
      </c>
      <c r="K256" t="s">
        <v>413</v>
      </c>
      <c r="L256" t="s">
        <v>1212</v>
      </c>
      <c r="M256" s="131">
        <v>5.42</v>
      </c>
      <c r="N256" t="s">
        <v>1280</v>
      </c>
      <c r="O256" s="132">
        <v>5.7099999999999998E-3</v>
      </c>
      <c r="P256" s="132">
        <v>4.8399999999999999E-2</v>
      </c>
      <c r="R256" s="131">
        <v>32551574</v>
      </c>
      <c r="S256" s="131">
        <v>1</v>
      </c>
      <c r="T256" s="131">
        <v>97.9</v>
      </c>
      <c r="U256" s="131">
        <v>31867.991000000002</v>
      </c>
      <c r="W256" s="16" t="s">
        <v>15</v>
      </c>
      <c r="X256" s="132">
        <v>1.0300000000000001E-3</v>
      </c>
      <c r="Y256" s="132">
        <v>3.3680000000000002E-2</v>
      </c>
      <c r="Z256" s="132">
        <v>7.1599999999999997E-3</v>
      </c>
    </row>
    <row r="257" spans="1:26">
      <c r="A257" t="s">
        <v>1213</v>
      </c>
      <c r="B257" t="s">
        <v>1243</v>
      </c>
      <c r="C257" t="s">
        <v>1258</v>
      </c>
      <c r="D257" t="s">
        <v>1263</v>
      </c>
      <c r="E257" t="s">
        <v>1264</v>
      </c>
      <c r="F257" t="s">
        <v>943</v>
      </c>
      <c r="G257" t="s">
        <v>204</v>
      </c>
      <c r="H257" t="s">
        <v>204</v>
      </c>
      <c r="I257" t="s">
        <v>340</v>
      </c>
      <c r="J257" t="s">
        <v>1265</v>
      </c>
      <c r="K257" t="s">
        <v>415</v>
      </c>
      <c r="L257" t="s">
        <v>1212</v>
      </c>
      <c r="M257" s="131">
        <v>3.97</v>
      </c>
      <c r="N257" t="s">
        <v>1266</v>
      </c>
      <c r="O257" s="132">
        <v>1.2070000000000001E-2</v>
      </c>
      <c r="P257" s="132">
        <v>1.7999999999999999E-2</v>
      </c>
      <c r="R257" s="131">
        <v>26149553</v>
      </c>
      <c r="S257" s="131">
        <v>1</v>
      </c>
      <c r="T257" s="131">
        <v>102.6</v>
      </c>
      <c r="U257" s="131">
        <v>26829.440999999999</v>
      </c>
      <c r="W257" s="16" t="s">
        <v>15</v>
      </c>
      <c r="X257" s="132">
        <v>1.2800000000000001E-3</v>
      </c>
      <c r="Y257" s="132">
        <v>2.836E-2</v>
      </c>
      <c r="Z257" s="132">
        <v>6.0299999999999998E-3</v>
      </c>
    </row>
    <row r="258" spans="1:26">
      <c r="A258" t="s">
        <v>1213</v>
      </c>
      <c r="B258" t="s">
        <v>1243</v>
      </c>
      <c r="C258" t="s">
        <v>1290</v>
      </c>
      <c r="D258" t="s">
        <v>1344</v>
      </c>
      <c r="E258" t="s">
        <v>1345</v>
      </c>
      <c r="F258" t="s">
        <v>949</v>
      </c>
      <c r="G258" t="s">
        <v>204</v>
      </c>
      <c r="H258" t="s">
        <v>204</v>
      </c>
      <c r="I258" t="s">
        <v>340</v>
      </c>
      <c r="J258" t="s">
        <v>1261</v>
      </c>
      <c r="K258" t="s">
        <v>413</v>
      </c>
      <c r="L258" t="s">
        <v>1212</v>
      </c>
      <c r="M258" s="131">
        <v>0.75</v>
      </c>
      <c r="N258" t="s">
        <v>1346</v>
      </c>
      <c r="O258" s="132">
        <v>4.1779999999999998E-2</v>
      </c>
      <c r="P258" s="132">
        <v>4.2799999999999998E-2</v>
      </c>
      <c r="R258" s="131">
        <v>22848382</v>
      </c>
      <c r="S258" s="131">
        <v>1</v>
      </c>
      <c r="T258" s="131">
        <v>96.9</v>
      </c>
      <c r="U258" s="131">
        <v>22140.081999999999</v>
      </c>
      <c r="W258" s="16" t="s">
        <v>15</v>
      </c>
      <c r="X258" s="132">
        <v>1.9E-3</v>
      </c>
      <c r="Y258" s="132">
        <v>2.3400000000000001E-2</v>
      </c>
      <c r="Z258" s="132">
        <v>4.9699999999999996E-3</v>
      </c>
    </row>
    <row r="259" spans="1:26">
      <c r="A259" t="s">
        <v>1213</v>
      </c>
      <c r="B259" t="s">
        <v>1243</v>
      </c>
      <c r="C259" t="s">
        <v>1267</v>
      </c>
      <c r="D259" t="s">
        <v>1268</v>
      </c>
      <c r="E259" t="s">
        <v>1269</v>
      </c>
      <c r="F259" t="s">
        <v>945</v>
      </c>
      <c r="G259" t="s">
        <v>204</v>
      </c>
      <c r="H259" t="s">
        <v>204</v>
      </c>
      <c r="I259" t="s">
        <v>340</v>
      </c>
      <c r="J259" t="s">
        <v>1265</v>
      </c>
      <c r="K259" t="s">
        <v>415</v>
      </c>
      <c r="L259" t="s">
        <v>1212</v>
      </c>
      <c r="M259" s="131">
        <v>0.57999999999999996</v>
      </c>
      <c r="N259" t="s">
        <v>1270</v>
      </c>
      <c r="O259" s="132">
        <v>3.2419999999999997E-2</v>
      </c>
      <c r="P259" s="132">
        <v>3.9600000000000003E-2</v>
      </c>
      <c r="R259" s="131">
        <v>22520925</v>
      </c>
      <c r="S259" s="131">
        <v>1</v>
      </c>
      <c r="T259" s="131">
        <v>98.27</v>
      </c>
      <c r="U259" s="131">
        <v>22131.312999999998</v>
      </c>
      <c r="W259" s="16" t="s">
        <v>15</v>
      </c>
      <c r="X259" s="132">
        <v>1.4300000000000001E-3</v>
      </c>
      <c r="Y259" s="132">
        <v>2.3390000000000001E-2</v>
      </c>
      <c r="Z259" s="132">
        <v>4.9699999999999996E-3</v>
      </c>
    </row>
    <row r="260" spans="1:26">
      <c r="A260" t="s">
        <v>1213</v>
      </c>
      <c r="B260" t="s">
        <v>1243</v>
      </c>
      <c r="C260" t="s">
        <v>1267</v>
      </c>
      <c r="D260" t="s">
        <v>1341</v>
      </c>
      <c r="E260" t="s">
        <v>1342</v>
      </c>
      <c r="F260" t="s">
        <v>945</v>
      </c>
      <c r="G260" t="s">
        <v>204</v>
      </c>
      <c r="H260" t="s">
        <v>204</v>
      </c>
      <c r="I260" t="s">
        <v>340</v>
      </c>
      <c r="J260" t="s">
        <v>1261</v>
      </c>
      <c r="K260" t="s">
        <v>413</v>
      </c>
      <c r="L260" t="s">
        <v>1212</v>
      </c>
      <c r="M260" s="131">
        <v>2.44</v>
      </c>
      <c r="N260" t="s">
        <v>1343</v>
      </c>
      <c r="O260" s="132">
        <v>3.7420000000000002E-2</v>
      </c>
      <c r="P260" s="132">
        <v>4.3999999999999997E-2</v>
      </c>
      <c r="R260" s="131">
        <v>11413424</v>
      </c>
      <c r="S260" s="131">
        <v>1</v>
      </c>
      <c r="T260" s="131">
        <v>95.44</v>
      </c>
      <c r="U260" s="131">
        <v>10892.972</v>
      </c>
      <c r="W260" s="16" t="s">
        <v>15</v>
      </c>
      <c r="X260" s="132">
        <v>4.4000000000000002E-4</v>
      </c>
      <c r="Y260" s="132">
        <v>1.1509999999999999E-2</v>
      </c>
      <c r="Z260" s="132">
        <v>2.4499999999999999E-3</v>
      </c>
    </row>
    <row r="261" spans="1:26">
      <c r="A261" t="s">
        <v>1213</v>
      </c>
      <c r="B261" t="s">
        <v>1243</v>
      </c>
      <c r="C261" t="s">
        <v>1267</v>
      </c>
      <c r="D261" t="s">
        <v>1368</v>
      </c>
      <c r="E261" t="s">
        <v>1369</v>
      </c>
      <c r="F261" t="s">
        <v>945</v>
      </c>
      <c r="G261" t="s">
        <v>204</v>
      </c>
      <c r="H261" t="s">
        <v>204</v>
      </c>
      <c r="I261" t="s">
        <v>340</v>
      </c>
      <c r="J261" t="s">
        <v>1261</v>
      </c>
      <c r="K261" t="s">
        <v>413</v>
      </c>
      <c r="L261" t="s">
        <v>1212</v>
      </c>
      <c r="M261" s="131">
        <v>2.89</v>
      </c>
      <c r="N261" t="s">
        <v>1370</v>
      </c>
      <c r="O261" s="132">
        <v>4.4380000000000003E-2</v>
      </c>
      <c r="P261" s="132">
        <v>4.4499999999999998E-2</v>
      </c>
      <c r="R261" s="131">
        <v>10596566</v>
      </c>
      <c r="S261" s="131">
        <v>1</v>
      </c>
      <c r="T261" s="131">
        <v>98.09</v>
      </c>
      <c r="U261" s="131">
        <v>10394.172</v>
      </c>
      <c r="W261" s="16" t="s">
        <v>15</v>
      </c>
      <c r="X261" s="132">
        <v>6.0999999999999997E-4</v>
      </c>
      <c r="Y261" s="132">
        <v>1.099E-2</v>
      </c>
      <c r="Z261" s="132">
        <v>2.33E-3</v>
      </c>
    </row>
    <row r="262" spans="1:26">
      <c r="A262" t="s">
        <v>1213</v>
      </c>
      <c r="B262" t="s">
        <v>1243</v>
      </c>
      <c r="C262" t="s">
        <v>1267</v>
      </c>
      <c r="D262" t="s">
        <v>1287</v>
      </c>
      <c r="E262" t="s">
        <v>1288</v>
      </c>
      <c r="F262" t="s">
        <v>945</v>
      </c>
      <c r="G262" t="s">
        <v>204</v>
      </c>
      <c r="H262" t="s">
        <v>204</v>
      </c>
      <c r="I262" t="s">
        <v>340</v>
      </c>
      <c r="J262" t="s">
        <v>1261</v>
      </c>
      <c r="K262" t="s">
        <v>413</v>
      </c>
      <c r="L262" t="s">
        <v>1212</v>
      </c>
      <c r="M262" s="131">
        <v>0.92</v>
      </c>
      <c r="N262" t="s">
        <v>1289</v>
      </c>
      <c r="O262" s="132">
        <v>3.3840000000000002E-2</v>
      </c>
      <c r="P262" s="132">
        <v>4.1700000000000001E-2</v>
      </c>
      <c r="R262" s="131">
        <v>4815320</v>
      </c>
      <c r="S262" s="131">
        <v>1</v>
      </c>
      <c r="T262" s="131">
        <v>98.02</v>
      </c>
      <c r="U262" s="131">
        <v>4719.9769999999999</v>
      </c>
      <c r="W262" s="16" t="s">
        <v>15</v>
      </c>
      <c r="X262" s="132">
        <v>2.0000000000000001E-4</v>
      </c>
      <c r="Y262" s="132">
        <v>4.9899999999999996E-3</v>
      </c>
      <c r="Z262" s="132">
        <v>1.06E-3</v>
      </c>
    </row>
    <row r="263" spans="1:26">
      <c r="A263" t="s">
        <v>1213</v>
      </c>
      <c r="B263" t="s">
        <v>1243</v>
      </c>
      <c r="C263" t="s">
        <v>1267</v>
      </c>
      <c r="D263" t="s">
        <v>1374</v>
      </c>
      <c r="E263" t="s">
        <v>1375</v>
      </c>
      <c r="F263" t="s">
        <v>945</v>
      </c>
      <c r="G263" t="s">
        <v>204</v>
      </c>
      <c r="H263" t="s">
        <v>204</v>
      </c>
      <c r="I263" t="s">
        <v>340</v>
      </c>
      <c r="J263" t="s">
        <v>1265</v>
      </c>
      <c r="K263" t="s">
        <v>415</v>
      </c>
      <c r="L263" t="s">
        <v>1212</v>
      </c>
      <c r="M263" s="131">
        <v>0.08</v>
      </c>
      <c r="N263" t="s">
        <v>1376</v>
      </c>
      <c r="O263" s="132">
        <v>3.1710000000000002E-2</v>
      </c>
      <c r="P263" s="132">
        <v>4.3499999999999997E-2</v>
      </c>
      <c r="R263" s="131">
        <v>3077837</v>
      </c>
      <c r="S263" s="131">
        <v>1</v>
      </c>
      <c r="T263" s="131">
        <v>100.05</v>
      </c>
      <c r="U263" s="131">
        <v>3079.3760000000002</v>
      </c>
      <c r="W263" s="16" t="s">
        <v>15</v>
      </c>
      <c r="X263" s="132">
        <v>3.8000000000000002E-4</v>
      </c>
      <c r="Y263" s="132">
        <v>3.2499999999999999E-3</v>
      </c>
      <c r="Z263" s="132">
        <v>6.8999999999999997E-4</v>
      </c>
    </row>
    <row r="264" spans="1:26">
      <c r="A264" t="s">
        <v>1213</v>
      </c>
      <c r="B264" t="s">
        <v>1243</v>
      </c>
      <c r="C264" t="s">
        <v>1267</v>
      </c>
      <c r="D264" t="s">
        <v>1271</v>
      </c>
      <c r="E264" t="s">
        <v>1272</v>
      </c>
      <c r="F264" t="s">
        <v>945</v>
      </c>
      <c r="G264" t="s">
        <v>204</v>
      </c>
      <c r="H264" t="s">
        <v>204</v>
      </c>
      <c r="I264" t="s">
        <v>340</v>
      </c>
      <c r="J264" t="s">
        <v>1261</v>
      </c>
      <c r="K264" t="s">
        <v>413</v>
      </c>
      <c r="L264" t="s">
        <v>1212</v>
      </c>
      <c r="M264" s="131">
        <v>11.32</v>
      </c>
      <c r="N264" t="s">
        <v>1273</v>
      </c>
      <c r="O264" s="132">
        <v>3.1980000000000001E-2</v>
      </c>
      <c r="P264" s="132">
        <v>5.1700000000000003E-2</v>
      </c>
      <c r="R264" s="131">
        <v>832327</v>
      </c>
      <c r="S264" s="131">
        <v>1</v>
      </c>
      <c r="T264" s="131">
        <v>107.34</v>
      </c>
      <c r="U264" s="131">
        <v>893.42</v>
      </c>
      <c r="W264" s="16" t="s">
        <v>15</v>
      </c>
      <c r="X264" s="132">
        <v>4.0000000000000003E-5</v>
      </c>
      <c r="Y264" s="132">
        <v>9.3999999999999997E-4</v>
      </c>
      <c r="Z264" s="132">
        <v>2.0000000000000001E-4</v>
      </c>
    </row>
    <row r="265" spans="1:26">
      <c r="A265" t="s">
        <v>1213</v>
      </c>
      <c r="B265" t="s">
        <v>1244</v>
      </c>
      <c r="C265" t="s">
        <v>1290</v>
      </c>
      <c r="D265" t="s">
        <v>1371</v>
      </c>
      <c r="E265" t="s">
        <v>1372</v>
      </c>
      <c r="F265" t="s">
        <v>949</v>
      </c>
      <c r="G265" t="s">
        <v>204</v>
      </c>
      <c r="H265" t="s">
        <v>204</v>
      </c>
      <c r="I265" t="s">
        <v>340</v>
      </c>
      <c r="J265" t="s">
        <v>1261</v>
      </c>
      <c r="K265" t="s">
        <v>413</v>
      </c>
      <c r="L265" t="s">
        <v>1212</v>
      </c>
      <c r="M265" s="131">
        <v>0.01</v>
      </c>
      <c r="N265" t="s">
        <v>1373</v>
      </c>
      <c r="O265" s="132">
        <v>4.2700000000000002E-2</v>
      </c>
      <c r="P265" s="132">
        <v>0.1157</v>
      </c>
      <c r="R265" s="131">
        <v>64365565</v>
      </c>
      <c r="S265" s="131">
        <v>1</v>
      </c>
      <c r="T265" s="131">
        <v>99.97</v>
      </c>
      <c r="U265" s="131">
        <v>64346.254999999997</v>
      </c>
      <c r="W265" s="16" t="s">
        <v>15</v>
      </c>
      <c r="X265" s="132">
        <v>1.4599999999999999E-3</v>
      </c>
      <c r="Y265" s="132">
        <v>0.19283</v>
      </c>
      <c r="Z265" s="132">
        <v>0.18595999999999999</v>
      </c>
    </row>
    <row r="266" spans="1:26">
      <c r="A266" t="s">
        <v>1213</v>
      </c>
      <c r="B266" t="s">
        <v>1244</v>
      </c>
      <c r="C266" t="s">
        <v>1290</v>
      </c>
      <c r="D266" t="s">
        <v>1315</v>
      </c>
      <c r="E266" t="s">
        <v>1316</v>
      </c>
      <c r="F266" t="s">
        <v>949</v>
      </c>
      <c r="G266" t="s">
        <v>204</v>
      </c>
      <c r="H266" t="s">
        <v>204</v>
      </c>
      <c r="I266" t="s">
        <v>340</v>
      </c>
      <c r="J266" t="s">
        <v>1261</v>
      </c>
      <c r="K266" t="s">
        <v>413</v>
      </c>
      <c r="L266" t="s">
        <v>1212</v>
      </c>
      <c r="M266" s="131">
        <v>0.5</v>
      </c>
      <c r="N266" t="s">
        <v>1317</v>
      </c>
      <c r="O266" s="132">
        <v>4.206E-2</v>
      </c>
      <c r="P266" s="132">
        <v>4.3200000000000002E-2</v>
      </c>
      <c r="R266" s="131">
        <v>62708400</v>
      </c>
      <c r="S266" s="131">
        <v>1</v>
      </c>
      <c r="T266" s="131">
        <v>97.9</v>
      </c>
      <c r="U266" s="131">
        <v>61391.523999999998</v>
      </c>
      <c r="W266" s="16" t="s">
        <v>15</v>
      </c>
      <c r="X266" s="132">
        <v>5.2300000000000003E-3</v>
      </c>
      <c r="Y266" s="132">
        <v>0.18396999999999999</v>
      </c>
      <c r="Z266" s="132">
        <v>0.17741999999999999</v>
      </c>
    </row>
    <row r="267" spans="1:26">
      <c r="A267" t="s">
        <v>1213</v>
      </c>
      <c r="B267" t="s">
        <v>1244</v>
      </c>
      <c r="C267" t="s">
        <v>1290</v>
      </c>
      <c r="D267" t="s">
        <v>1344</v>
      </c>
      <c r="E267" t="s">
        <v>1345</v>
      </c>
      <c r="F267" t="s">
        <v>949</v>
      </c>
      <c r="G267" t="s">
        <v>204</v>
      </c>
      <c r="H267" t="s">
        <v>204</v>
      </c>
      <c r="I267" t="s">
        <v>340</v>
      </c>
      <c r="J267" t="s">
        <v>1261</v>
      </c>
      <c r="K267" t="s">
        <v>413</v>
      </c>
      <c r="L267" t="s">
        <v>1212</v>
      </c>
      <c r="M267" s="131">
        <v>0.75</v>
      </c>
      <c r="N267" t="s">
        <v>1346</v>
      </c>
      <c r="O267" s="132">
        <v>4.163E-2</v>
      </c>
      <c r="P267" s="132">
        <v>4.2799999999999998E-2</v>
      </c>
      <c r="R267" s="131">
        <v>52638963</v>
      </c>
      <c r="S267" s="131">
        <v>1</v>
      </c>
      <c r="T267" s="131">
        <v>96.9</v>
      </c>
      <c r="U267" s="131">
        <v>51007.154999999999</v>
      </c>
      <c r="W267" s="16" t="s">
        <v>15</v>
      </c>
      <c r="X267" s="132">
        <v>4.3899999999999998E-3</v>
      </c>
      <c r="Y267" s="132">
        <v>0.15286</v>
      </c>
      <c r="Z267" s="132">
        <v>0.14741000000000001</v>
      </c>
    </row>
    <row r="268" spans="1:26">
      <c r="A268" t="s">
        <v>1213</v>
      </c>
      <c r="B268" t="s">
        <v>1244</v>
      </c>
      <c r="C268" t="s">
        <v>1290</v>
      </c>
      <c r="D268" t="s">
        <v>1326</v>
      </c>
      <c r="E268" t="s">
        <v>1327</v>
      </c>
      <c r="F268" t="s">
        <v>949</v>
      </c>
      <c r="G268" t="s">
        <v>204</v>
      </c>
      <c r="H268" t="s">
        <v>204</v>
      </c>
      <c r="I268" t="s">
        <v>340</v>
      </c>
      <c r="J268" t="s">
        <v>1261</v>
      </c>
      <c r="K268" t="s">
        <v>413</v>
      </c>
      <c r="L268" t="s">
        <v>1212</v>
      </c>
      <c r="M268" s="131">
        <v>0.6</v>
      </c>
      <c r="N268" t="s">
        <v>1328</v>
      </c>
      <c r="O268" s="132">
        <v>4.2840000000000003E-2</v>
      </c>
      <c r="P268" s="132">
        <v>4.2900000000000001E-2</v>
      </c>
      <c r="R268" s="131">
        <v>50250000</v>
      </c>
      <c r="S268" s="131">
        <v>1</v>
      </c>
      <c r="T268" s="131">
        <v>97.52</v>
      </c>
      <c r="U268" s="131">
        <v>49003.8</v>
      </c>
      <c r="W268" s="16" t="s">
        <v>15</v>
      </c>
      <c r="X268" s="132">
        <v>3.5899999999999999E-3</v>
      </c>
      <c r="Y268" s="132">
        <v>0.14685000000000001</v>
      </c>
      <c r="Z268" s="132">
        <v>0.14162</v>
      </c>
    </row>
    <row r="269" spans="1:26">
      <c r="A269" t="s">
        <v>1213</v>
      </c>
      <c r="B269" t="s">
        <v>1244</v>
      </c>
      <c r="C269" t="s">
        <v>1290</v>
      </c>
      <c r="D269" t="s">
        <v>1350</v>
      </c>
      <c r="E269" t="s">
        <v>1351</v>
      </c>
      <c r="F269" t="s">
        <v>949</v>
      </c>
      <c r="G269" t="s">
        <v>204</v>
      </c>
      <c r="H269" t="s">
        <v>204</v>
      </c>
      <c r="I269" t="s">
        <v>340</v>
      </c>
      <c r="J269" t="s">
        <v>1261</v>
      </c>
      <c r="K269" t="s">
        <v>413</v>
      </c>
      <c r="L269" t="s">
        <v>1212</v>
      </c>
      <c r="M269" s="131">
        <v>0.67</v>
      </c>
      <c r="N269" t="s">
        <v>1352</v>
      </c>
      <c r="O269" s="132">
        <v>4.1739999999999999E-2</v>
      </c>
      <c r="P269" s="132">
        <v>4.2700000000000002E-2</v>
      </c>
      <c r="R269" s="131">
        <v>40081339</v>
      </c>
      <c r="S269" s="131">
        <v>1</v>
      </c>
      <c r="T269" s="131">
        <v>97.22</v>
      </c>
      <c r="U269" s="131">
        <v>38967.078000000001</v>
      </c>
      <c r="W269" s="16" t="s">
        <v>15</v>
      </c>
      <c r="X269" s="132">
        <v>3.3400000000000001E-3</v>
      </c>
      <c r="Y269" s="132">
        <v>0.11677</v>
      </c>
      <c r="Z269" s="132">
        <v>0.11262</v>
      </c>
    </row>
    <row r="270" spans="1:26">
      <c r="A270" t="s">
        <v>1213</v>
      </c>
      <c r="B270" t="s">
        <v>1244</v>
      </c>
      <c r="C270" t="s">
        <v>1290</v>
      </c>
      <c r="D270" t="s">
        <v>1303</v>
      </c>
      <c r="E270" t="s">
        <v>1304</v>
      </c>
      <c r="F270" t="s">
        <v>949</v>
      </c>
      <c r="G270" t="s">
        <v>204</v>
      </c>
      <c r="H270" t="s">
        <v>204</v>
      </c>
      <c r="I270" t="s">
        <v>340</v>
      </c>
      <c r="J270" t="s">
        <v>1265</v>
      </c>
      <c r="K270" t="s">
        <v>415</v>
      </c>
      <c r="L270" t="s">
        <v>1212</v>
      </c>
      <c r="M270" s="131">
        <v>0.92</v>
      </c>
      <c r="N270" t="s">
        <v>1305</v>
      </c>
      <c r="O270" s="132">
        <v>4.1820000000000003E-2</v>
      </c>
      <c r="P270" s="132">
        <v>4.2900000000000001E-2</v>
      </c>
      <c r="R270" s="131">
        <v>36458334</v>
      </c>
      <c r="S270" s="131">
        <v>1</v>
      </c>
      <c r="T270" s="131">
        <v>96.2</v>
      </c>
      <c r="U270" s="131">
        <v>35072.917000000001</v>
      </c>
      <c r="W270" s="16" t="s">
        <v>15</v>
      </c>
      <c r="X270" s="132">
        <v>3.0400000000000002E-3</v>
      </c>
      <c r="Y270" s="132">
        <v>0.1051</v>
      </c>
      <c r="Z270" s="132">
        <v>0.10136000000000001</v>
      </c>
    </row>
    <row r="271" spans="1:26">
      <c r="A271" t="s">
        <v>1213</v>
      </c>
      <c r="B271" t="s">
        <v>1244</v>
      </c>
      <c r="C271" t="s">
        <v>1290</v>
      </c>
      <c r="D271" t="s">
        <v>1335</v>
      </c>
      <c r="E271" t="s">
        <v>1336</v>
      </c>
      <c r="F271" t="s">
        <v>949</v>
      </c>
      <c r="G271" t="s">
        <v>204</v>
      </c>
      <c r="H271" t="s">
        <v>204</v>
      </c>
      <c r="I271" t="s">
        <v>340</v>
      </c>
      <c r="J271" t="s">
        <v>1261</v>
      </c>
      <c r="K271" t="s">
        <v>413</v>
      </c>
      <c r="L271" t="s">
        <v>1212</v>
      </c>
      <c r="M271" s="131">
        <v>0.35</v>
      </c>
      <c r="N271" t="s">
        <v>1337</v>
      </c>
      <c r="O271" s="132">
        <v>4.156E-2</v>
      </c>
      <c r="P271" s="132">
        <v>4.2599999999999999E-2</v>
      </c>
      <c r="R271" s="131">
        <v>16039689</v>
      </c>
      <c r="S271" s="131">
        <v>1</v>
      </c>
      <c r="T271" s="131">
        <v>98.56</v>
      </c>
      <c r="U271" s="131">
        <v>15808.717000000001</v>
      </c>
      <c r="W271" s="16" t="s">
        <v>15</v>
      </c>
      <c r="X271" s="132">
        <v>1.34E-3</v>
      </c>
      <c r="Y271" s="132">
        <v>4.7370000000000002E-2</v>
      </c>
      <c r="Z271" s="132">
        <v>4.5690000000000001E-2</v>
      </c>
    </row>
    <row r="272" spans="1:26">
      <c r="A272" t="s">
        <v>1213</v>
      </c>
      <c r="B272" t="s">
        <v>1244</v>
      </c>
      <c r="C272" t="s">
        <v>1277</v>
      </c>
      <c r="D272" t="s">
        <v>1278</v>
      </c>
      <c r="E272" t="s">
        <v>1279</v>
      </c>
      <c r="F272" t="s">
        <v>946</v>
      </c>
      <c r="G272" t="s">
        <v>204</v>
      </c>
      <c r="H272" t="s">
        <v>204</v>
      </c>
      <c r="I272" t="s">
        <v>340</v>
      </c>
      <c r="J272" t="s">
        <v>1261</v>
      </c>
      <c r="K272" t="s">
        <v>413</v>
      </c>
      <c r="L272" t="s">
        <v>1212</v>
      </c>
      <c r="M272" s="131">
        <v>5.42</v>
      </c>
      <c r="N272" t="s">
        <v>1280</v>
      </c>
      <c r="O272" s="132">
        <v>6.2199999999999998E-3</v>
      </c>
      <c r="P272" s="132">
        <v>4.8399999999999999E-2</v>
      </c>
      <c r="R272" s="131">
        <v>15100000</v>
      </c>
      <c r="S272" s="131">
        <v>1</v>
      </c>
      <c r="T272" s="131">
        <v>97.9</v>
      </c>
      <c r="U272" s="131">
        <v>14782.9</v>
      </c>
      <c r="W272" s="16" t="s">
        <v>15</v>
      </c>
      <c r="X272" s="132">
        <v>4.8000000000000001E-4</v>
      </c>
      <c r="Y272" s="132">
        <v>4.4299999999999999E-2</v>
      </c>
      <c r="Z272" s="132">
        <v>4.2720000000000001E-2</v>
      </c>
    </row>
    <row r="273" spans="1:26">
      <c r="A273" t="s">
        <v>1213</v>
      </c>
      <c r="B273" t="s">
        <v>1244</v>
      </c>
      <c r="C273" t="s">
        <v>1277</v>
      </c>
      <c r="D273" t="s">
        <v>1284</v>
      </c>
      <c r="E273" t="s">
        <v>1285</v>
      </c>
      <c r="F273" t="s">
        <v>946</v>
      </c>
      <c r="G273" t="s">
        <v>204</v>
      </c>
      <c r="H273" t="s">
        <v>204</v>
      </c>
      <c r="I273" t="s">
        <v>340</v>
      </c>
      <c r="J273" t="s">
        <v>1261</v>
      </c>
      <c r="K273" t="s">
        <v>413</v>
      </c>
      <c r="L273" t="s">
        <v>1212</v>
      </c>
      <c r="M273" s="131">
        <v>1.61</v>
      </c>
      <c r="N273" t="s">
        <v>1286</v>
      </c>
      <c r="O273" s="132">
        <v>8.4999999999999995E-4</v>
      </c>
      <c r="P273" s="132">
        <v>4.7E-2</v>
      </c>
      <c r="R273" s="131">
        <v>3321569</v>
      </c>
      <c r="S273" s="131">
        <v>1</v>
      </c>
      <c r="T273" s="131">
        <v>99.82</v>
      </c>
      <c r="U273" s="131">
        <v>3315.59</v>
      </c>
      <c r="W273" s="16" t="s">
        <v>15</v>
      </c>
      <c r="X273" s="132">
        <v>1.6000000000000001E-4</v>
      </c>
      <c r="Y273" s="132">
        <v>9.9399999999999992E-3</v>
      </c>
      <c r="Z273" s="132">
        <v>9.58E-3</v>
      </c>
    </row>
    <row r="274" spans="1:26">
      <c r="A274" t="s">
        <v>1213</v>
      </c>
      <c r="B274">
        <v>15108</v>
      </c>
      <c r="C274" t="s">
        <v>1290</v>
      </c>
      <c r="D274" t="s">
        <v>1338</v>
      </c>
      <c r="E274" t="s">
        <v>1339</v>
      </c>
      <c r="F274" t="s">
        <v>949</v>
      </c>
      <c r="G274" t="s">
        <v>204</v>
      </c>
      <c r="H274" t="s">
        <v>204</v>
      </c>
      <c r="I274" t="s">
        <v>340</v>
      </c>
      <c r="J274" t="s">
        <v>1261</v>
      </c>
      <c r="K274" t="s">
        <v>413</v>
      </c>
      <c r="L274" t="s">
        <v>1212</v>
      </c>
      <c r="M274" s="131">
        <v>0.18</v>
      </c>
      <c r="N274" t="s">
        <v>1340</v>
      </c>
      <c r="O274" s="132">
        <v>4.2619999999999998E-2</v>
      </c>
      <c r="P274" s="132">
        <v>4.2700000000000002E-2</v>
      </c>
      <c r="R274" s="131">
        <v>46000000</v>
      </c>
      <c r="S274" s="131">
        <v>1</v>
      </c>
      <c r="T274" s="131">
        <v>99.27</v>
      </c>
      <c r="U274" s="131">
        <v>45664.2</v>
      </c>
      <c r="W274" s="16" t="s">
        <v>15</v>
      </c>
      <c r="X274" s="132">
        <v>1.15E-3</v>
      </c>
      <c r="Y274" s="132">
        <v>0.23311999999999999</v>
      </c>
      <c r="Z274" s="132">
        <v>7.732E-2</v>
      </c>
    </row>
    <row r="275" spans="1:26">
      <c r="A275" t="s">
        <v>1213</v>
      </c>
      <c r="B275">
        <v>15108</v>
      </c>
      <c r="C275" t="s">
        <v>1290</v>
      </c>
      <c r="D275" t="s">
        <v>1371</v>
      </c>
      <c r="E275" t="s">
        <v>1372</v>
      </c>
      <c r="F275" t="s">
        <v>949</v>
      </c>
      <c r="G275" t="s">
        <v>204</v>
      </c>
      <c r="H275" t="s">
        <v>204</v>
      </c>
      <c r="I275" t="s">
        <v>340</v>
      </c>
      <c r="J275" t="s">
        <v>1261</v>
      </c>
      <c r="K275" t="s">
        <v>413</v>
      </c>
      <c r="L275" t="s">
        <v>1212</v>
      </c>
      <c r="M275" s="131">
        <v>0.01</v>
      </c>
      <c r="N275" t="s">
        <v>1373</v>
      </c>
      <c r="O275" s="132">
        <v>4.2099999999999999E-2</v>
      </c>
      <c r="P275" s="132">
        <v>0.1157</v>
      </c>
      <c r="R275" s="131">
        <v>41000000</v>
      </c>
      <c r="S275" s="131">
        <v>1</v>
      </c>
      <c r="T275" s="131">
        <v>99.97</v>
      </c>
      <c r="U275" s="131">
        <v>40987.699999999997</v>
      </c>
      <c r="W275" s="16" t="s">
        <v>15</v>
      </c>
      <c r="X275" s="132">
        <v>9.3000000000000005E-4</v>
      </c>
      <c r="Y275" s="132">
        <v>0.20924000000000001</v>
      </c>
      <c r="Z275" s="132">
        <v>6.9400000000000003E-2</v>
      </c>
    </row>
    <row r="276" spans="1:26">
      <c r="A276" t="s">
        <v>1213</v>
      </c>
      <c r="B276">
        <v>15108</v>
      </c>
      <c r="C276" t="s">
        <v>1290</v>
      </c>
      <c r="D276" t="s">
        <v>1362</v>
      </c>
      <c r="E276" t="s">
        <v>1363</v>
      </c>
      <c r="F276" t="s">
        <v>949</v>
      </c>
      <c r="G276" t="s">
        <v>204</v>
      </c>
      <c r="H276" t="s">
        <v>204</v>
      </c>
      <c r="I276" t="s">
        <v>340</v>
      </c>
      <c r="J276" t="s">
        <v>1261</v>
      </c>
      <c r="K276" t="s">
        <v>413</v>
      </c>
      <c r="L276" t="s">
        <v>1212</v>
      </c>
      <c r="M276" s="131">
        <v>0.1</v>
      </c>
      <c r="N276" t="s">
        <v>1364</v>
      </c>
      <c r="O276" s="132">
        <v>4.1980000000000003E-2</v>
      </c>
      <c r="P276" s="132">
        <v>4.36E-2</v>
      </c>
      <c r="R276" s="131">
        <v>32851995</v>
      </c>
      <c r="S276" s="131">
        <v>1</v>
      </c>
      <c r="T276" s="131">
        <v>99.58</v>
      </c>
      <c r="U276" s="131">
        <v>32714.017</v>
      </c>
      <c r="W276" s="16" t="s">
        <v>15</v>
      </c>
      <c r="X276" s="132">
        <v>8.1999999999999998E-4</v>
      </c>
      <c r="Y276" s="132">
        <v>0.16700999999999999</v>
      </c>
      <c r="Z276" s="132">
        <v>5.5390000000000002E-2</v>
      </c>
    </row>
    <row r="277" spans="1:26">
      <c r="A277" t="s">
        <v>1213</v>
      </c>
      <c r="B277">
        <v>15108</v>
      </c>
      <c r="C277" t="s">
        <v>1290</v>
      </c>
      <c r="D277" t="s">
        <v>1318</v>
      </c>
      <c r="E277" t="s">
        <v>1319</v>
      </c>
      <c r="F277" t="s">
        <v>949</v>
      </c>
      <c r="G277" t="s">
        <v>204</v>
      </c>
      <c r="H277" t="s">
        <v>204</v>
      </c>
      <c r="I277" t="s">
        <v>340</v>
      </c>
      <c r="J277" t="s">
        <v>1261</v>
      </c>
      <c r="K277" t="s">
        <v>413</v>
      </c>
      <c r="L277" t="s">
        <v>1212</v>
      </c>
      <c r="M277" s="131">
        <v>0.27</v>
      </c>
      <c r="N277" t="s">
        <v>1320</v>
      </c>
      <c r="O277" s="132">
        <v>4.299E-2</v>
      </c>
      <c r="P277" s="132">
        <v>4.3200000000000002E-2</v>
      </c>
      <c r="R277" s="131">
        <v>30010601</v>
      </c>
      <c r="S277" s="131">
        <v>1</v>
      </c>
      <c r="T277" s="131">
        <v>98.86</v>
      </c>
      <c r="U277" s="131">
        <v>29668.48</v>
      </c>
      <c r="W277" s="16" t="s">
        <v>15</v>
      </c>
      <c r="X277" s="132">
        <v>2.5000000000000001E-3</v>
      </c>
      <c r="Y277" s="132">
        <v>0.15146000000000001</v>
      </c>
      <c r="Z277" s="132">
        <v>5.024E-2</v>
      </c>
    </row>
    <row r="278" spans="1:26">
      <c r="A278" t="s">
        <v>1213</v>
      </c>
      <c r="B278">
        <v>15108</v>
      </c>
      <c r="C278" t="s">
        <v>1290</v>
      </c>
      <c r="D278" t="s">
        <v>1335</v>
      </c>
      <c r="E278" t="s">
        <v>1336</v>
      </c>
      <c r="F278" t="s">
        <v>949</v>
      </c>
      <c r="G278" t="s">
        <v>204</v>
      </c>
      <c r="H278" t="s">
        <v>204</v>
      </c>
      <c r="I278" t="s">
        <v>340</v>
      </c>
      <c r="J278" t="s">
        <v>1261</v>
      </c>
      <c r="K278" t="s">
        <v>413</v>
      </c>
      <c r="L278" t="s">
        <v>1212</v>
      </c>
      <c r="M278" s="131">
        <v>0.35</v>
      </c>
      <c r="N278" t="s">
        <v>1337</v>
      </c>
      <c r="O278" s="132">
        <v>4.2299999999999997E-2</v>
      </c>
      <c r="P278" s="132">
        <v>4.2599999999999999E-2</v>
      </c>
      <c r="R278" s="131">
        <v>28600000</v>
      </c>
      <c r="S278" s="131">
        <v>1</v>
      </c>
      <c r="T278" s="131">
        <v>98.56</v>
      </c>
      <c r="U278" s="131">
        <v>28188.16</v>
      </c>
      <c r="W278" s="16" t="s">
        <v>15</v>
      </c>
      <c r="X278" s="132">
        <v>2.3800000000000002E-3</v>
      </c>
      <c r="Y278" s="132">
        <v>0.1439</v>
      </c>
      <c r="Z278" s="132">
        <v>4.7730000000000002E-2</v>
      </c>
    </row>
    <row r="279" spans="1:26">
      <c r="A279" t="s">
        <v>1213</v>
      </c>
      <c r="B279">
        <v>15108</v>
      </c>
      <c r="C279" t="s">
        <v>1290</v>
      </c>
      <c r="D279" t="s">
        <v>1291</v>
      </c>
      <c r="E279" t="s">
        <v>1292</v>
      </c>
      <c r="F279" t="s">
        <v>949</v>
      </c>
      <c r="G279" t="s">
        <v>204</v>
      </c>
      <c r="H279" t="s">
        <v>204</v>
      </c>
      <c r="I279" t="s">
        <v>340</v>
      </c>
      <c r="J279" t="s">
        <v>1261</v>
      </c>
      <c r="K279" t="s">
        <v>413</v>
      </c>
      <c r="L279" t="s">
        <v>1212</v>
      </c>
      <c r="M279" s="131">
        <v>0.42</v>
      </c>
      <c r="N279" t="s">
        <v>1293</v>
      </c>
      <c r="O279" s="132">
        <v>4.1660000000000003E-2</v>
      </c>
      <c r="P279" s="132">
        <v>4.3200000000000002E-2</v>
      </c>
      <c r="R279" s="131">
        <v>19000000</v>
      </c>
      <c r="S279" s="131">
        <v>1</v>
      </c>
      <c r="T279" s="131">
        <v>98.22</v>
      </c>
      <c r="U279" s="131">
        <v>18661.8</v>
      </c>
      <c r="W279" s="16" t="s">
        <v>15</v>
      </c>
      <c r="X279" s="132">
        <v>1.58E-3</v>
      </c>
      <c r="Y279" s="132">
        <v>9.5269999999999994E-2</v>
      </c>
      <c r="Z279" s="132">
        <v>3.1600000000000003E-2</v>
      </c>
    </row>
    <row r="280" spans="1:26">
      <c r="A280" t="s">
        <v>1213</v>
      </c>
      <c r="B280" t="s">
        <v>1247</v>
      </c>
      <c r="C280" t="s">
        <v>1258</v>
      </c>
      <c r="D280" t="s">
        <v>1259</v>
      </c>
      <c r="E280" t="s">
        <v>1260</v>
      </c>
      <c r="F280" t="s">
        <v>943</v>
      </c>
      <c r="G280" t="s">
        <v>204</v>
      </c>
      <c r="H280" t="s">
        <v>204</v>
      </c>
      <c r="I280" t="s">
        <v>340</v>
      </c>
      <c r="J280" t="s">
        <v>1261</v>
      </c>
      <c r="K280" t="s">
        <v>413</v>
      </c>
      <c r="L280" t="s">
        <v>1212</v>
      </c>
      <c r="M280" s="131">
        <v>1.07</v>
      </c>
      <c r="N280" t="s">
        <v>1262</v>
      </c>
      <c r="O280" s="132">
        <v>-2.3E-3</v>
      </c>
      <c r="P280" s="132">
        <v>1.2999999999999999E-2</v>
      </c>
      <c r="R280" s="131">
        <v>26333540</v>
      </c>
      <c r="S280" s="131">
        <v>1</v>
      </c>
      <c r="T280" s="131">
        <v>116.02</v>
      </c>
      <c r="U280" s="131">
        <v>30552.172999999999</v>
      </c>
      <c r="W280" s="16" t="s">
        <v>15</v>
      </c>
      <c r="X280" s="132">
        <v>1.2099999999999999E-3</v>
      </c>
      <c r="Y280" s="132">
        <v>0.12218</v>
      </c>
      <c r="Z280" s="132">
        <v>0.10004</v>
      </c>
    </row>
    <row r="281" spans="1:26">
      <c r="A281" t="s">
        <v>1213</v>
      </c>
      <c r="B281" t="s">
        <v>1247</v>
      </c>
      <c r="C281" t="s">
        <v>1258</v>
      </c>
      <c r="D281" t="s">
        <v>1309</v>
      </c>
      <c r="E281" t="s">
        <v>1310</v>
      </c>
      <c r="F281" t="s">
        <v>943</v>
      </c>
      <c r="G281" t="s">
        <v>204</v>
      </c>
      <c r="H281" t="s">
        <v>204</v>
      </c>
      <c r="I281" t="s">
        <v>340</v>
      </c>
      <c r="J281" t="s">
        <v>1265</v>
      </c>
      <c r="K281" t="s">
        <v>415</v>
      </c>
      <c r="L281" t="s">
        <v>1212</v>
      </c>
      <c r="M281" s="131">
        <v>1.83</v>
      </c>
      <c r="N281" t="s">
        <v>1311</v>
      </c>
      <c r="O281" s="132">
        <v>7.0600000000000003E-3</v>
      </c>
      <c r="P281" s="132">
        <v>1.5699999999999999E-2</v>
      </c>
      <c r="R281" s="131">
        <v>23050550</v>
      </c>
      <c r="S281" s="131">
        <v>1</v>
      </c>
      <c r="T281" s="131">
        <v>112.44</v>
      </c>
      <c r="U281" s="131">
        <v>25918.038</v>
      </c>
      <c r="W281" s="16" t="s">
        <v>15</v>
      </c>
      <c r="X281" s="132">
        <v>1.14E-3</v>
      </c>
      <c r="Y281" s="132">
        <v>0.10364</v>
      </c>
      <c r="Z281" s="132">
        <v>8.4860000000000005E-2</v>
      </c>
    </row>
    <row r="282" spans="1:26">
      <c r="A282" t="s">
        <v>1213</v>
      </c>
      <c r="B282" t="s">
        <v>1247</v>
      </c>
      <c r="C282" t="s">
        <v>1258</v>
      </c>
      <c r="D282" t="s">
        <v>1300</v>
      </c>
      <c r="E282" t="s">
        <v>1301</v>
      </c>
      <c r="F282" t="s">
        <v>943</v>
      </c>
      <c r="G282" t="s">
        <v>204</v>
      </c>
      <c r="H282" t="s">
        <v>204</v>
      </c>
      <c r="I282" t="s">
        <v>340</v>
      </c>
      <c r="J282" t="s">
        <v>1265</v>
      </c>
      <c r="K282" t="s">
        <v>415</v>
      </c>
      <c r="L282" t="s">
        <v>1212</v>
      </c>
      <c r="M282" s="131">
        <v>4.6100000000000003</v>
      </c>
      <c r="N282" t="s">
        <v>1302</v>
      </c>
      <c r="O282" s="132">
        <v>4.4400000000000004E-3</v>
      </c>
      <c r="P282" s="132">
        <v>1.83E-2</v>
      </c>
      <c r="R282" s="131">
        <v>23237725</v>
      </c>
      <c r="S282" s="131">
        <v>1</v>
      </c>
      <c r="T282" s="131">
        <v>108.85</v>
      </c>
      <c r="U282" s="131">
        <v>25294.263999999999</v>
      </c>
      <c r="W282" s="16" t="s">
        <v>15</v>
      </c>
      <c r="X282" s="132">
        <v>8.5999999999999998E-4</v>
      </c>
      <c r="Y282" s="132">
        <v>0.10115</v>
      </c>
      <c r="Z282" s="132">
        <v>8.2820000000000005E-2</v>
      </c>
    </row>
    <row r="283" spans="1:26">
      <c r="A283" t="s">
        <v>1213</v>
      </c>
      <c r="B283" t="s">
        <v>1247</v>
      </c>
      <c r="C283" t="s">
        <v>1258</v>
      </c>
      <c r="D283" t="s">
        <v>1329</v>
      </c>
      <c r="E283" t="s">
        <v>1330</v>
      </c>
      <c r="F283" t="s">
        <v>943</v>
      </c>
      <c r="G283" t="s">
        <v>204</v>
      </c>
      <c r="H283" t="s">
        <v>204</v>
      </c>
      <c r="I283" t="s">
        <v>340</v>
      </c>
      <c r="J283" t="s">
        <v>1265</v>
      </c>
      <c r="K283" t="s">
        <v>415</v>
      </c>
      <c r="L283" t="s">
        <v>1212</v>
      </c>
      <c r="M283" s="131">
        <v>2.64</v>
      </c>
      <c r="N283" t="s">
        <v>1331</v>
      </c>
      <c r="O283" s="132">
        <v>-1.291E-2</v>
      </c>
      <c r="P283" s="132">
        <v>1.6299999999999999E-2</v>
      </c>
      <c r="R283" s="131">
        <v>16134000</v>
      </c>
      <c r="S283" s="131">
        <v>1</v>
      </c>
      <c r="T283" s="131">
        <v>114.25</v>
      </c>
      <c r="U283" s="131">
        <v>18433.095000000001</v>
      </c>
      <c r="W283" s="16" t="s">
        <v>15</v>
      </c>
      <c r="X283" s="132">
        <v>7.2000000000000005E-4</v>
      </c>
      <c r="Y283" s="132">
        <v>7.3709999999999998E-2</v>
      </c>
      <c r="Z283" s="132">
        <v>6.0350000000000001E-2</v>
      </c>
    </row>
    <row r="284" spans="1:26">
      <c r="A284" t="s">
        <v>1213</v>
      </c>
      <c r="B284" t="s">
        <v>1247</v>
      </c>
      <c r="C284" t="s">
        <v>1267</v>
      </c>
      <c r="D284" t="s">
        <v>1341</v>
      </c>
      <c r="E284" t="s">
        <v>1342</v>
      </c>
      <c r="F284" t="s">
        <v>945</v>
      </c>
      <c r="G284" t="s">
        <v>204</v>
      </c>
      <c r="H284" t="s">
        <v>204</v>
      </c>
      <c r="I284" t="s">
        <v>340</v>
      </c>
      <c r="J284" t="s">
        <v>1261</v>
      </c>
      <c r="K284" t="s">
        <v>413</v>
      </c>
      <c r="L284" t="s">
        <v>1212</v>
      </c>
      <c r="M284" s="131">
        <v>2.44</v>
      </c>
      <c r="N284" t="s">
        <v>1343</v>
      </c>
      <c r="O284" s="132">
        <v>7.8600000000000007E-3</v>
      </c>
      <c r="P284" s="132">
        <v>4.3999999999999997E-2</v>
      </c>
      <c r="R284" s="131">
        <v>16786192</v>
      </c>
      <c r="S284" s="131">
        <v>1</v>
      </c>
      <c r="T284" s="131">
        <v>95.44</v>
      </c>
      <c r="U284" s="131">
        <v>16020.742</v>
      </c>
      <c r="W284" s="16" t="s">
        <v>15</v>
      </c>
      <c r="X284" s="132">
        <v>6.4999999999999997E-4</v>
      </c>
      <c r="Y284" s="132">
        <v>6.4070000000000002E-2</v>
      </c>
      <c r="Z284" s="132">
        <v>5.246E-2</v>
      </c>
    </row>
    <row r="285" spans="1:26">
      <c r="A285" t="s">
        <v>1213</v>
      </c>
      <c r="B285" t="s">
        <v>1247</v>
      </c>
      <c r="C285" t="s">
        <v>1267</v>
      </c>
      <c r="D285" t="s">
        <v>1287</v>
      </c>
      <c r="E285" t="s">
        <v>1288</v>
      </c>
      <c r="F285" t="s">
        <v>945</v>
      </c>
      <c r="G285" t="s">
        <v>204</v>
      </c>
      <c r="H285" t="s">
        <v>204</v>
      </c>
      <c r="I285" t="s">
        <v>340</v>
      </c>
      <c r="J285" t="s">
        <v>1261</v>
      </c>
      <c r="K285" t="s">
        <v>413</v>
      </c>
      <c r="L285" t="s">
        <v>1212</v>
      </c>
      <c r="M285" s="131">
        <v>0.92</v>
      </c>
      <c r="N285" t="s">
        <v>1289</v>
      </c>
      <c r="O285" s="132">
        <v>1.2189999999999999E-2</v>
      </c>
      <c r="P285" s="132">
        <v>4.1700000000000001E-2</v>
      </c>
      <c r="R285" s="131">
        <v>15287041</v>
      </c>
      <c r="S285" s="131">
        <v>1</v>
      </c>
      <c r="T285" s="131">
        <v>98.02</v>
      </c>
      <c r="U285" s="131">
        <v>14984.358</v>
      </c>
      <c r="W285" s="16" t="s">
        <v>15</v>
      </c>
      <c r="X285" s="132">
        <v>6.4000000000000005E-4</v>
      </c>
      <c r="Y285" s="132">
        <v>5.9920000000000001E-2</v>
      </c>
      <c r="Z285" s="132">
        <v>4.9059999999999999E-2</v>
      </c>
    </row>
    <row r="286" spans="1:26">
      <c r="A286" t="s">
        <v>1213</v>
      </c>
      <c r="B286" t="s">
        <v>1247</v>
      </c>
      <c r="C286" t="s">
        <v>1258</v>
      </c>
      <c r="D286" t="s">
        <v>1263</v>
      </c>
      <c r="E286" t="s">
        <v>1264</v>
      </c>
      <c r="F286" t="s">
        <v>943</v>
      </c>
      <c r="G286" t="s">
        <v>204</v>
      </c>
      <c r="H286" t="s">
        <v>204</v>
      </c>
      <c r="I286" t="s">
        <v>340</v>
      </c>
      <c r="J286" t="s">
        <v>1265</v>
      </c>
      <c r="K286" t="s">
        <v>415</v>
      </c>
      <c r="L286" t="s">
        <v>1212</v>
      </c>
      <c r="M286" s="131">
        <v>3.97</v>
      </c>
      <c r="N286" t="s">
        <v>1266</v>
      </c>
      <c r="O286" s="132">
        <v>1.272E-2</v>
      </c>
      <c r="P286" s="132">
        <v>1.7999999999999999E-2</v>
      </c>
      <c r="R286" s="131">
        <v>13901189</v>
      </c>
      <c r="S286" s="131">
        <v>1</v>
      </c>
      <c r="T286" s="131">
        <v>102.6</v>
      </c>
      <c r="U286" s="131">
        <v>14262.62</v>
      </c>
      <c r="W286" s="16" t="s">
        <v>15</v>
      </c>
      <c r="X286" s="132">
        <v>6.8000000000000005E-4</v>
      </c>
      <c r="Y286" s="132">
        <v>5.704E-2</v>
      </c>
      <c r="Z286" s="132">
        <v>4.6699999999999998E-2</v>
      </c>
    </row>
    <row r="287" spans="1:26">
      <c r="A287" t="s">
        <v>1213</v>
      </c>
      <c r="B287" t="s">
        <v>1247</v>
      </c>
      <c r="C287" t="s">
        <v>1267</v>
      </c>
      <c r="D287" t="s">
        <v>1347</v>
      </c>
      <c r="E287" t="s">
        <v>1348</v>
      </c>
      <c r="F287" t="s">
        <v>945</v>
      </c>
      <c r="G287" t="s">
        <v>204</v>
      </c>
      <c r="H287" t="s">
        <v>204</v>
      </c>
      <c r="I287" t="s">
        <v>340</v>
      </c>
      <c r="J287" t="s">
        <v>1261</v>
      </c>
      <c r="K287" t="s">
        <v>413</v>
      </c>
      <c r="L287" t="s">
        <v>1212</v>
      </c>
      <c r="M287" s="131">
        <v>3.86</v>
      </c>
      <c r="N287" t="s">
        <v>1349</v>
      </c>
      <c r="O287" s="132">
        <v>2.3800000000000002E-3</v>
      </c>
      <c r="P287" s="132">
        <v>4.5100000000000001E-2</v>
      </c>
      <c r="R287" s="131">
        <v>11385546</v>
      </c>
      <c r="S287" s="131">
        <v>1</v>
      </c>
      <c r="T287" s="131">
        <v>91.9</v>
      </c>
      <c r="U287" s="131">
        <v>10463.316999999999</v>
      </c>
      <c r="W287" s="16" t="s">
        <v>15</v>
      </c>
      <c r="X287" s="132">
        <v>3.4000000000000002E-4</v>
      </c>
      <c r="Y287" s="132">
        <v>4.1840000000000002E-2</v>
      </c>
      <c r="Z287" s="132">
        <v>3.4259999999999999E-2</v>
      </c>
    </row>
    <row r="288" spans="1:26">
      <c r="A288" t="s">
        <v>1213</v>
      </c>
      <c r="B288" t="s">
        <v>1247</v>
      </c>
      <c r="C288" t="s">
        <v>1267</v>
      </c>
      <c r="D288" t="s">
        <v>1274</v>
      </c>
      <c r="E288" t="s">
        <v>1275</v>
      </c>
      <c r="F288" t="s">
        <v>945</v>
      </c>
      <c r="G288" t="s">
        <v>204</v>
      </c>
      <c r="H288" t="s">
        <v>204</v>
      </c>
      <c r="I288" t="s">
        <v>340</v>
      </c>
      <c r="J288" t="s">
        <v>1265</v>
      </c>
      <c r="K288" t="s">
        <v>415</v>
      </c>
      <c r="L288" t="s">
        <v>1212</v>
      </c>
      <c r="M288" s="131">
        <v>1.4</v>
      </c>
      <c r="N288" t="s">
        <v>1276</v>
      </c>
      <c r="O288" s="132">
        <v>1.5650000000000001E-2</v>
      </c>
      <c r="P288" s="132">
        <v>4.3799999999999999E-2</v>
      </c>
      <c r="R288" s="131">
        <v>8765000</v>
      </c>
      <c r="S288" s="131">
        <v>1</v>
      </c>
      <c r="T288" s="131">
        <v>95.1</v>
      </c>
      <c r="U288" s="131">
        <v>8335.5149999999994</v>
      </c>
      <c r="W288" s="16" t="s">
        <v>15</v>
      </c>
      <c r="X288" s="132">
        <v>3.2000000000000003E-4</v>
      </c>
      <c r="Y288" s="132">
        <v>3.3329999999999999E-2</v>
      </c>
      <c r="Z288" s="132">
        <v>2.7289999999999998E-2</v>
      </c>
    </row>
    <row r="289" spans="1:26">
      <c r="A289" t="s">
        <v>1213</v>
      </c>
      <c r="B289" t="s">
        <v>1247</v>
      </c>
      <c r="C289" t="s">
        <v>1290</v>
      </c>
      <c r="D289" t="s">
        <v>1303</v>
      </c>
      <c r="E289" t="s">
        <v>1304</v>
      </c>
      <c r="F289" t="s">
        <v>949</v>
      </c>
      <c r="G289" t="s">
        <v>204</v>
      </c>
      <c r="H289" t="s">
        <v>204</v>
      </c>
      <c r="I289" t="s">
        <v>340</v>
      </c>
      <c r="J289" t="s">
        <v>1265</v>
      </c>
      <c r="K289" t="s">
        <v>415</v>
      </c>
      <c r="L289" t="s">
        <v>1212</v>
      </c>
      <c r="M289" s="131">
        <v>0.92</v>
      </c>
      <c r="N289" t="s">
        <v>1305</v>
      </c>
      <c r="O289" s="132">
        <v>4.1939999999999998E-2</v>
      </c>
      <c r="P289" s="132">
        <v>4.2900000000000001E-2</v>
      </c>
      <c r="R289" s="131">
        <v>7710000</v>
      </c>
      <c r="S289" s="131">
        <v>1</v>
      </c>
      <c r="T289" s="131">
        <v>96.2</v>
      </c>
      <c r="U289" s="131">
        <v>7417.02</v>
      </c>
      <c r="W289" s="16" t="s">
        <v>15</v>
      </c>
      <c r="X289" s="132">
        <v>6.4000000000000005E-4</v>
      </c>
      <c r="Y289" s="132">
        <v>2.9659999999999999E-2</v>
      </c>
      <c r="Z289" s="132">
        <v>2.4289999999999999E-2</v>
      </c>
    </row>
    <row r="290" spans="1:26">
      <c r="A290" t="s">
        <v>1213</v>
      </c>
      <c r="B290" t="s">
        <v>1247</v>
      </c>
      <c r="C290" t="s">
        <v>1386</v>
      </c>
      <c r="D290" t="s">
        <v>1387</v>
      </c>
      <c r="E290" t="s">
        <v>1388</v>
      </c>
      <c r="F290" t="s">
        <v>945</v>
      </c>
      <c r="G290" t="s">
        <v>204</v>
      </c>
      <c r="H290" t="s">
        <v>204</v>
      </c>
      <c r="I290" t="s">
        <v>340</v>
      </c>
      <c r="J290" t="s">
        <v>1261</v>
      </c>
      <c r="K290" t="s">
        <v>413</v>
      </c>
      <c r="L290" t="s">
        <v>1212</v>
      </c>
      <c r="M290" s="131">
        <v>0.16</v>
      </c>
      <c r="N290" t="s">
        <v>1389</v>
      </c>
      <c r="O290" s="132">
        <v>4.1939999999999998E-2</v>
      </c>
      <c r="P290" s="132">
        <v>4.2500000000000003E-2</v>
      </c>
      <c r="R290" s="131">
        <v>6995000</v>
      </c>
      <c r="S290" s="131">
        <v>1</v>
      </c>
      <c r="T290" s="131">
        <v>99.33</v>
      </c>
      <c r="U290" s="131">
        <v>6948.134</v>
      </c>
      <c r="W290" s="16" t="s">
        <v>15</v>
      </c>
      <c r="X290" s="132">
        <v>7.6000000000000004E-4</v>
      </c>
      <c r="Y290" s="132">
        <v>2.7789999999999999E-2</v>
      </c>
      <c r="Z290" s="132">
        <v>2.2749999999999999E-2</v>
      </c>
    </row>
    <row r="291" spans="1:26">
      <c r="A291" t="s">
        <v>1213</v>
      </c>
      <c r="B291" t="s">
        <v>1247</v>
      </c>
      <c r="C291" t="s">
        <v>1290</v>
      </c>
      <c r="D291" t="s">
        <v>1362</v>
      </c>
      <c r="E291" t="s">
        <v>1363</v>
      </c>
      <c r="F291" t="s">
        <v>949</v>
      </c>
      <c r="G291" t="s">
        <v>204</v>
      </c>
      <c r="H291" t="s">
        <v>204</v>
      </c>
      <c r="I291" t="s">
        <v>340</v>
      </c>
      <c r="J291" t="s">
        <v>1261</v>
      </c>
      <c r="K291" t="s">
        <v>413</v>
      </c>
      <c r="L291" t="s">
        <v>1212</v>
      </c>
      <c r="M291" s="131">
        <v>0.1</v>
      </c>
      <c r="N291" t="s">
        <v>1364</v>
      </c>
      <c r="O291" s="132">
        <v>4.1779999999999998E-2</v>
      </c>
      <c r="P291" s="132">
        <v>4.36E-2</v>
      </c>
      <c r="R291" s="131">
        <v>6218000</v>
      </c>
      <c r="S291" s="131">
        <v>1</v>
      </c>
      <c r="T291" s="131">
        <v>99.58</v>
      </c>
      <c r="U291" s="131">
        <v>6191.884</v>
      </c>
      <c r="W291" s="16" t="s">
        <v>15</v>
      </c>
      <c r="X291" s="132">
        <v>1.6000000000000001E-4</v>
      </c>
      <c r="Y291" s="132">
        <v>2.4760000000000001E-2</v>
      </c>
      <c r="Z291" s="132">
        <v>2.027E-2</v>
      </c>
    </row>
    <row r="292" spans="1:26">
      <c r="A292" t="s">
        <v>1213</v>
      </c>
      <c r="B292" t="s">
        <v>1247</v>
      </c>
      <c r="C292" t="s">
        <v>1290</v>
      </c>
      <c r="D292" t="s">
        <v>1338</v>
      </c>
      <c r="E292" t="s">
        <v>1339</v>
      </c>
      <c r="F292" t="s">
        <v>949</v>
      </c>
      <c r="G292" t="s">
        <v>204</v>
      </c>
      <c r="H292" t="s">
        <v>204</v>
      </c>
      <c r="I292" t="s">
        <v>340</v>
      </c>
      <c r="J292" t="s">
        <v>1261</v>
      </c>
      <c r="K292" t="s">
        <v>413</v>
      </c>
      <c r="L292" t="s">
        <v>1212</v>
      </c>
      <c r="M292" s="131">
        <v>0.18</v>
      </c>
      <c r="N292" t="s">
        <v>1340</v>
      </c>
      <c r="O292" s="132">
        <v>4.1279999999999997E-2</v>
      </c>
      <c r="P292" s="132">
        <v>4.2700000000000002E-2</v>
      </c>
      <c r="R292" s="131">
        <v>5150000</v>
      </c>
      <c r="S292" s="131">
        <v>1</v>
      </c>
      <c r="T292" s="131">
        <v>99.27</v>
      </c>
      <c r="U292" s="131">
        <v>5112.4049999999997</v>
      </c>
      <c r="W292" s="16" t="s">
        <v>15</v>
      </c>
      <c r="X292" s="132">
        <v>1.2999999999999999E-4</v>
      </c>
      <c r="Y292" s="132">
        <v>2.044E-2</v>
      </c>
      <c r="Z292" s="132">
        <v>1.6740000000000001E-2</v>
      </c>
    </row>
    <row r="293" spans="1:26">
      <c r="A293" t="s">
        <v>1213</v>
      </c>
      <c r="B293" t="s">
        <v>1247</v>
      </c>
      <c r="C293" t="s">
        <v>1267</v>
      </c>
      <c r="D293" t="s">
        <v>1368</v>
      </c>
      <c r="E293" t="s">
        <v>1369</v>
      </c>
      <c r="F293" t="s">
        <v>945</v>
      </c>
      <c r="G293" t="s">
        <v>204</v>
      </c>
      <c r="H293" t="s">
        <v>204</v>
      </c>
      <c r="I293" t="s">
        <v>340</v>
      </c>
      <c r="J293" t="s">
        <v>1261</v>
      </c>
      <c r="K293" t="s">
        <v>413</v>
      </c>
      <c r="L293" t="s">
        <v>1212</v>
      </c>
      <c r="M293" s="131">
        <v>2.89</v>
      </c>
      <c r="N293" t="s">
        <v>1370</v>
      </c>
      <c r="O293" s="132">
        <v>4.163E-2</v>
      </c>
      <c r="P293" s="132">
        <v>4.4499999999999998E-2</v>
      </c>
      <c r="R293" s="131">
        <v>4940000</v>
      </c>
      <c r="S293" s="131">
        <v>1</v>
      </c>
      <c r="T293" s="131">
        <v>98.09</v>
      </c>
      <c r="U293" s="131">
        <v>4845.6459999999997</v>
      </c>
      <c r="W293" s="16" t="s">
        <v>15</v>
      </c>
      <c r="X293" s="132">
        <v>2.7999999999999998E-4</v>
      </c>
      <c r="Y293" s="132">
        <v>1.9380000000000001E-2</v>
      </c>
      <c r="Z293" s="132">
        <v>1.5869999999999999E-2</v>
      </c>
    </row>
    <row r="294" spans="1:26">
      <c r="A294" t="s">
        <v>1213</v>
      </c>
      <c r="B294" t="s">
        <v>1247</v>
      </c>
      <c r="C294" t="s">
        <v>1290</v>
      </c>
      <c r="D294" t="s">
        <v>1344</v>
      </c>
      <c r="E294" t="s">
        <v>1345</v>
      </c>
      <c r="F294" t="s">
        <v>949</v>
      </c>
      <c r="G294" t="s">
        <v>204</v>
      </c>
      <c r="H294" t="s">
        <v>204</v>
      </c>
      <c r="I294" t="s">
        <v>340</v>
      </c>
      <c r="J294" t="s">
        <v>1261</v>
      </c>
      <c r="K294" t="s">
        <v>413</v>
      </c>
      <c r="L294" t="s">
        <v>1212</v>
      </c>
      <c r="M294" s="131">
        <v>0.75</v>
      </c>
      <c r="N294" t="s">
        <v>1346</v>
      </c>
      <c r="O294" s="132">
        <v>4.3389999999999998E-2</v>
      </c>
      <c r="P294" s="132">
        <v>4.2799999999999998E-2</v>
      </c>
      <c r="R294" s="131">
        <v>4780000</v>
      </c>
      <c r="S294" s="131">
        <v>1</v>
      </c>
      <c r="T294" s="131">
        <v>96.9</v>
      </c>
      <c r="U294" s="131">
        <v>4631.82</v>
      </c>
      <c r="W294" s="16" t="s">
        <v>15</v>
      </c>
      <c r="X294" s="132">
        <v>4.0000000000000002E-4</v>
      </c>
      <c r="Y294" s="132">
        <v>1.8519999999999998E-2</v>
      </c>
      <c r="Z294" s="132">
        <v>1.5169999999999999E-2</v>
      </c>
    </row>
    <row r="295" spans="1:26">
      <c r="A295" t="s">
        <v>1213</v>
      </c>
      <c r="B295" t="s">
        <v>1247</v>
      </c>
      <c r="C295" t="s">
        <v>1386</v>
      </c>
      <c r="D295" t="s">
        <v>1390</v>
      </c>
      <c r="E295" t="s">
        <v>1391</v>
      </c>
      <c r="F295" t="s">
        <v>945</v>
      </c>
      <c r="G295" t="s">
        <v>204</v>
      </c>
      <c r="H295" t="s">
        <v>204</v>
      </c>
      <c r="I295" t="s">
        <v>340</v>
      </c>
      <c r="J295" t="s">
        <v>1261</v>
      </c>
      <c r="K295" t="s">
        <v>413</v>
      </c>
      <c r="L295" t="s">
        <v>1212</v>
      </c>
      <c r="M295" s="131">
        <v>0.41</v>
      </c>
      <c r="N295" t="s">
        <v>1392</v>
      </c>
      <c r="O295" s="132">
        <v>4.3779999999999999E-2</v>
      </c>
      <c r="P295" s="132">
        <v>4.3099999999999999E-2</v>
      </c>
      <c r="R295" s="131">
        <v>4181000</v>
      </c>
      <c r="S295" s="131">
        <v>1</v>
      </c>
      <c r="T295" s="131">
        <v>98.28</v>
      </c>
      <c r="U295" s="131">
        <v>4109.0870000000004</v>
      </c>
      <c r="W295" s="16" t="s">
        <v>15</v>
      </c>
      <c r="X295" s="132">
        <v>4.4999999999999999E-4</v>
      </c>
      <c r="Y295" s="132">
        <v>1.643E-2</v>
      </c>
      <c r="Z295" s="132">
        <v>1.345E-2</v>
      </c>
    </row>
    <row r="296" spans="1:26">
      <c r="A296" t="s">
        <v>1213</v>
      </c>
      <c r="B296" t="s">
        <v>1247</v>
      </c>
      <c r="C296" t="s">
        <v>1258</v>
      </c>
      <c r="D296" t="s">
        <v>1297</v>
      </c>
      <c r="E296" t="s">
        <v>1298</v>
      </c>
      <c r="F296" t="s">
        <v>943</v>
      </c>
      <c r="G296" t="s">
        <v>204</v>
      </c>
      <c r="H296" t="s">
        <v>204</v>
      </c>
      <c r="I296" t="s">
        <v>340</v>
      </c>
      <c r="J296" t="s">
        <v>1265</v>
      </c>
      <c r="K296" t="s">
        <v>415</v>
      </c>
      <c r="L296" t="s">
        <v>1212</v>
      </c>
      <c r="M296" s="131">
        <v>7.14</v>
      </c>
      <c r="N296" t="s">
        <v>1299</v>
      </c>
      <c r="O296" s="132">
        <v>1.495E-2</v>
      </c>
      <c r="P296" s="132">
        <v>1.9900000000000001E-2</v>
      </c>
      <c r="R296" s="131">
        <v>4006780</v>
      </c>
      <c r="S296" s="131">
        <v>1</v>
      </c>
      <c r="T296" s="131">
        <v>101.1</v>
      </c>
      <c r="U296" s="131">
        <v>4050.855</v>
      </c>
      <c r="W296" s="16" t="s">
        <v>15</v>
      </c>
      <c r="X296" s="132">
        <v>1.2999999999999999E-4</v>
      </c>
      <c r="Y296" s="132">
        <v>1.6199999999999999E-2</v>
      </c>
      <c r="Z296" s="132">
        <v>1.3259999999999999E-2</v>
      </c>
    </row>
    <row r="297" spans="1:26">
      <c r="A297" t="s">
        <v>1213</v>
      </c>
      <c r="B297" t="s">
        <v>1247</v>
      </c>
      <c r="C297" t="s">
        <v>1290</v>
      </c>
      <c r="D297" t="s">
        <v>1326</v>
      </c>
      <c r="E297" t="s">
        <v>1327</v>
      </c>
      <c r="F297" t="s">
        <v>949</v>
      </c>
      <c r="G297" t="s">
        <v>204</v>
      </c>
      <c r="H297" t="s">
        <v>204</v>
      </c>
      <c r="I297" t="s">
        <v>340</v>
      </c>
      <c r="J297" t="s">
        <v>1261</v>
      </c>
      <c r="K297" t="s">
        <v>413</v>
      </c>
      <c r="L297" t="s">
        <v>1212</v>
      </c>
      <c r="M297" s="131">
        <v>0.6</v>
      </c>
      <c r="N297" t="s">
        <v>1328</v>
      </c>
      <c r="O297" s="132">
        <v>4.2869999999999998E-2</v>
      </c>
      <c r="P297" s="132">
        <v>4.2900000000000001E-2</v>
      </c>
      <c r="R297" s="131">
        <v>4033000</v>
      </c>
      <c r="S297" s="131">
        <v>1</v>
      </c>
      <c r="T297" s="131">
        <v>97.52</v>
      </c>
      <c r="U297" s="131">
        <v>3932.982</v>
      </c>
      <c r="W297" s="16" t="s">
        <v>15</v>
      </c>
      <c r="X297" s="132">
        <v>2.9E-4</v>
      </c>
      <c r="Y297" s="132">
        <v>1.5730000000000001E-2</v>
      </c>
      <c r="Z297" s="132">
        <v>1.2880000000000001E-2</v>
      </c>
    </row>
    <row r="298" spans="1:26">
      <c r="A298" t="s">
        <v>1213</v>
      </c>
      <c r="B298" t="s">
        <v>1247</v>
      </c>
      <c r="C298" t="s">
        <v>1290</v>
      </c>
      <c r="D298" t="s">
        <v>1294</v>
      </c>
      <c r="E298" t="s">
        <v>1295</v>
      </c>
      <c r="F298" t="s">
        <v>949</v>
      </c>
      <c r="G298" t="s">
        <v>204</v>
      </c>
      <c r="H298" t="s">
        <v>204</v>
      </c>
      <c r="I298" t="s">
        <v>340</v>
      </c>
      <c r="J298" t="s">
        <v>1265</v>
      </c>
      <c r="K298" t="s">
        <v>415</v>
      </c>
      <c r="L298" t="s">
        <v>1212</v>
      </c>
      <c r="M298" s="131">
        <v>0.85</v>
      </c>
      <c r="N298" t="s">
        <v>1296</v>
      </c>
      <c r="O298" s="132">
        <v>4.1860000000000001E-2</v>
      </c>
      <c r="P298" s="132">
        <v>4.3200000000000002E-2</v>
      </c>
      <c r="R298" s="131">
        <v>3920000</v>
      </c>
      <c r="S298" s="131">
        <v>1</v>
      </c>
      <c r="T298" s="131">
        <v>96.48</v>
      </c>
      <c r="U298" s="131">
        <v>3782.0160000000001</v>
      </c>
      <c r="W298" s="16" t="s">
        <v>15</v>
      </c>
      <c r="X298" s="132">
        <v>3.3E-4</v>
      </c>
      <c r="Y298" s="132">
        <v>1.512E-2</v>
      </c>
      <c r="Z298" s="132">
        <v>1.238E-2</v>
      </c>
    </row>
    <row r="299" spans="1:26">
      <c r="A299" t="s">
        <v>1213</v>
      </c>
      <c r="B299" t="s">
        <v>1247</v>
      </c>
      <c r="C299" t="s">
        <v>1290</v>
      </c>
      <c r="D299" t="s">
        <v>1315</v>
      </c>
      <c r="E299" t="s">
        <v>1316</v>
      </c>
      <c r="F299" t="s">
        <v>949</v>
      </c>
      <c r="G299" t="s">
        <v>204</v>
      </c>
      <c r="H299" t="s">
        <v>204</v>
      </c>
      <c r="I299" t="s">
        <v>340</v>
      </c>
      <c r="J299" t="s">
        <v>1261</v>
      </c>
      <c r="K299" t="s">
        <v>413</v>
      </c>
      <c r="L299" t="s">
        <v>1212</v>
      </c>
      <c r="M299" s="131">
        <v>0.5</v>
      </c>
      <c r="N299" t="s">
        <v>1317</v>
      </c>
      <c r="O299" s="132">
        <v>4.1529999999999997E-2</v>
      </c>
      <c r="P299" s="132">
        <v>4.3200000000000002E-2</v>
      </c>
      <c r="R299" s="131">
        <v>3700000</v>
      </c>
      <c r="S299" s="131">
        <v>1</v>
      </c>
      <c r="T299" s="131">
        <v>97.9</v>
      </c>
      <c r="U299" s="131">
        <v>3622.3</v>
      </c>
      <c r="W299" s="16" t="s">
        <v>15</v>
      </c>
      <c r="X299" s="132">
        <v>3.1E-4</v>
      </c>
      <c r="Y299" s="132">
        <v>1.4489999999999999E-2</v>
      </c>
      <c r="Z299" s="132">
        <v>1.1860000000000001E-2</v>
      </c>
    </row>
    <row r="300" spans="1:26">
      <c r="A300" t="s">
        <v>1213</v>
      </c>
      <c r="B300" t="s">
        <v>1247</v>
      </c>
      <c r="C300" t="s">
        <v>1267</v>
      </c>
      <c r="D300" t="s">
        <v>1359</v>
      </c>
      <c r="E300" t="s">
        <v>1360</v>
      </c>
      <c r="F300" t="s">
        <v>945</v>
      </c>
      <c r="G300" t="s">
        <v>204</v>
      </c>
      <c r="H300" t="s">
        <v>204</v>
      </c>
      <c r="I300" t="s">
        <v>340</v>
      </c>
      <c r="J300" t="s">
        <v>1261</v>
      </c>
      <c r="K300" t="s">
        <v>413</v>
      </c>
      <c r="L300" t="s">
        <v>1212</v>
      </c>
      <c r="M300" s="131">
        <v>11.26</v>
      </c>
      <c r="N300" t="s">
        <v>1361</v>
      </c>
      <c r="O300" s="132">
        <v>3.4410000000000003E-2</v>
      </c>
      <c r="P300" s="132">
        <v>5.04E-2</v>
      </c>
      <c r="R300" s="131">
        <v>4866000</v>
      </c>
      <c r="S300" s="131">
        <v>1</v>
      </c>
      <c r="T300" s="131">
        <v>67.92</v>
      </c>
      <c r="U300" s="131">
        <v>3304.9870000000001</v>
      </c>
      <c r="W300" s="16" t="s">
        <v>15</v>
      </c>
      <c r="X300" s="132">
        <v>1.4999999999999999E-4</v>
      </c>
      <c r="Y300" s="132">
        <v>1.3220000000000001E-2</v>
      </c>
      <c r="Z300" s="132">
        <v>1.082E-2</v>
      </c>
    </row>
    <row r="301" spans="1:26">
      <c r="A301" t="s">
        <v>1213</v>
      </c>
      <c r="B301" t="s">
        <v>1247</v>
      </c>
      <c r="C301" t="s">
        <v>1290</v>
      </c>
      <c r="D301" t="s">
        <v>1371</v>
      </c>
      <c r="E301" t="s">
        <v>1372</v>
      </c>
      <c r="F301" t="s">
        <v>949</v>
      </c>
      <c r="G301" t="s">
        <v>204</v>
      </c>
      <c r="H301" t="s">
        <v>204</v>
      </c>
      <c r="I301" t="s">
        <v>340</v>
      </c>
      <c r="J301" t="s">
        <v>1261</v>
      </c>
      <c r="K301" t="s">
        <v>413</v>
      </c>
      <c r="L301" t="s">
        <v>1212</v>
      </c>
      <c r="M301" s="131">
        <v>0.01</v>
      </c>
      <c r="N301" t="s">
        <v>1373</v>
      </c>
      <c r="O301" s="132">
        <v>4.1640000000000003E-2</v>
      </c>
      <c r="P301" s="132">
        <v>0.1157</v>
      </c>
      <c r="R301" s="131">
        <v>2876048</v>
      </c>
      <c r="S301" s="131">
        <v>1</v>
      </c>
      <c r="T301" s="131">
        <v>99.97</v>
      </c>
      <c r="U301" s="131">
        <v>2875.1849999999999</v>
      </c>
      <c r="W301" s="16" t="s">
        <v>15</v>
      </c>
      <c r="X301" s="132">
        <v>6.9999999999999994E-5</v>
      </c>
      <c r="Y301" s="132">
        <v>1.15E-2</v>
      </c>
      <c r="Z301" s="132">
        <v>9.41E-3</v>
      </c>
    </row>
    <row r="302" spans="1:26">
      <c r="A302" t="s">
        <v>1213</v>
      </c>
      <c r="B302" t="s">
        <v>1247</v>
      </c>
      <c r="C302" t="s">
        <v>1290</v>
      </c>
      <c r="D302" t="s">
        <v>1291</v>
      </c>
      <c r="E302" t="s">
        <v>1292</v>
      </c>
      <c r="F302" t="s">
        <v>949</v>
      </c>
      <c r="G302" t="s">
        <v>204</v>
      </c>
      <c r="H302" t="s">
        <v>204</v>
      </c>
      <c r="I302" t="s">
        <v>340</v>
      </c>
      <c r="J302" t="s">
        <v>1261</v>
      </c>
      <c r="K302" t="s">
        <v>413</v>
      </c>
      <c r="L302" t="s">
        <v>1212</v>
      </c>
      <c r="M302" s="131">
        <v>0.42</v>
      </c>
      <c r="N302" t="s">
        <v>1293</v>
      </c>
      <c r="O302" s="132">
        <v>4.0419999999999998E-2</v>
      </c>
      <c r="P302" s="132">
        <v>4.3200000000000002E-2</v>
      </c>
      <c r="R302" s="131">
        <v>1880000</v>
      </c>
      <c r="S302" s="131">
        <v>1</v>
      </c>
      <c r="T302" s="131">
        <v>98.22</v>
      </c>
      <c r="U302" s="131">
        <v>1846.5360000000001</v>
      </c>
      <c r="W302" s="16" t="s">
        <v>15</v>
      </c>
      <c r="X302" s="132">
        <v>1.6000000000000001E-4</v>
      </c>
      <c r="Y302" s="132">
        <v>7.3800000000000003E-3</v>
      </c>
      <c r="Z302" s="132">
        <v>6.0499999999999998E-3</v>
      </c>
    </row>
    <row r="303" spans="1:26">
      <c r="A303" t="s">
        <v>1213</v>
      </c>
      <c r="B303" t="s">
        <v>1247</v>
      </c>
      <c r="C303" t="s">
        <v>1393</v>
      </c>
      <c r="D303" t="s">
        <v>1394</v>
      </c>
      <c r="E303" t="s">
        <v>1395</v>
      </c>
      <c r="F303" t="s">
        <v>950</v>
      </c>
      <c r="G303" t="s">
        <v>205</v>
      </c>
      <c r="H303" t="s">
        <v>204</v>
      </c>
      <c r="I303" t="s">
        <v>314</v>
      </c>
      <c r="J303" t="s">
        <v>1396</v>
      </c>
      <c r="K303" t="s">
        <v>431</v>
      </c>
      <c r="L303" t="s">
        <v>1218</v>
      </c>
      <c r="M303" s="131">
        <v>1.863</v>
      </c>
      <c r="N303" t="s">
        <v>1314</v>
      </c>
      <c r="O303" s="132">
        <v>3.3669999999999999E-2</v>
      </c>
      <c r="P303" s="132">
        <v>3.8539999999999998E-2</v>
      </c>
      <c r="R303" s="131">
        <v>300000</v>
      </c>
      <c r="S303" s="131">
        <v>4.1524000000000001</v>
      </c>
      <c r="T303" s="131">
        <v>106.65600000000001</v>
      </c>
      <c r="U303" s="131">
        <v>1328.633</v>
      </c>
      <c r="W303" s="16" t="s">
        <v>15</v>
      </c>
      <c r="X303" s="132">
        <v>1.2E-4</v>
      </c>
      <c r="Y303" s="132">
        <v>5.3099999999999996E-3</v>
      </c>
      <c r="Z303" s="132">
        <v>4.3499999999999997E-3</v>
      </c>
    </row>
    <row r="304" spans="1:26">
      <c r="A304" t="s">
        <v>1213</v>
      </c>
      <c r="B304" t="s">
        <v>1247</v>
      </c>
      <c r="C304" t="s">
        <v>1386</v>
      </c>
      <c r="D304" t="s">
        <v>1397</v>
      </c>
      <c r="E304" t="s">
        <v>1398</v>
      </c>
      <c r="F304" t="s">
        <v>945</v>
      </c>
      <c r="G304" t="s">
        <v>204</v>
      </c>
      <c r="H304" t="s">
        <v>204</v>
      </c>
      <c r="I304" t="s">
        <v>340</v>
      </c>
      <c r="J304" t="s">
        <v>1261</v>
      </c>
      <c r="K304" t="s">
        <v>413</v>
      </c>
      <c r="L304" t="s">
        <v>1212</v>
      </c>
      <c r="M304" s="131">
        <v>0.66</v>
      </c>
      <c r="N304" t="s">
        <v>1399</v>
      </c>
      <c r="O304" s="132">
        <v>4.301E-2</v>
      </c>
      <c r="P304" s="132">
        <v>4.1500000000000002E-2</v>
      </c>
      <c r="R304" s="131">
        <v>970000</v>
      </c>
      <c r="S304" s="131">
        <v>1</v>
      </c>
      <c r="T304" s="131">
        <v>97.35</v>
      </c>
      <c r="U304" s="131">
        <v>944.29499999999996</v>
      </c>
      <c r="W304" s="16" t="s">
        <v>15</v>
      </c>
      <c r="X304" s="132">
        <v>1.2999999999999999E-4</v>
      </c>
      <c r="Y304" s="132">
        <v>3.7799999999999999E-3</v>
      </c>
      <c r="Z304" s="132">
        <v>3.0899999999999999E-3</v>
      </c>
    </row>
    <row r="305" spans="1:26">
      <c r="A305" t="s">
        <v>1213</v>
      </c>
      <c r="B305" t="s">
        <v>1247</v>
      </c>
      <c r="C305" t="s">
        <v>1258</v>
      </c>
      <c r="D305" t="s">
        <v>1400</v>
      </c>
      <c r="E305" t="s">
        <v>1401</v>
      </c>
      <c r="F305" t="s">
        <v>943</v>
      </c>
      <c r="G305" t="s">
        <v>204</v>
      </c>
      <c r="H305" t="s">
        <v>204</v>
      </c>
      <c r="I305" t="s">
        <v>340</v>
      </c>
      <c r="J305" t="s">
        <v>1261</v>
      </c>
      <c r="K305" t="s">
        <v>413</v>
      </c>
      <c r="L305" t="s">
        <v>1212</v>
      </c>
      <c r="M305" s="131">
        <v>18.399999999999999</v>
      </c>
      <c r="N305" t="s">
        <v>1402</v>
      </c>
      <c r="O305" s="132">
        <v>2.49E-3</v>
      </c>
      <c r="P305" s="132">
        <v>2.2700000000000001E-2</v>
      </c>
      <c r="R305" s="131">
        <v>800000</v>
      </c>
      <c r="S305" s="131">
        <v>1</v>
      </c>
      <c r="T305" s="131">
        <v>92.5</v>
      </c>
      <c r="U305" s="131">
        <v>740</v>
      </c>
      <c r="W305" s="16" t="s">
        <v>15</v>
      </c>
      <c r="X305" s="132">
        <v>4.0000000000000003E-5</v>
      </c>
      <c r="Y305" s="132">
        <v>2.96E-3</v>
      </c>
      <c r="Z305" s="132">
        <v>2.4199999999999998E-3</v>
      </c>
    </row>
    <row r="306" spans="1:26">
      <c r="A306" t="s">
        <v>1213</v>
      </c>
      <c r="B306" t="s">
        <v>1247</v>
      </c>
      <c r="C306" t="s">
        <v>1267</v>
      </c>
      <c r="D306" t="s">
        <v>1403</v>
      </c>
      <c r="E306" t="s">
        <v>1404</v>
      </c>
      <c r="F306" t="s">
        <v>945</v>
      </c>
      <c r="G306" t="s">
        <v>204</v>
      </c>
      <c r="H306" t="s">
        <v>204</v>
      </c>
      <c r="I306" t="s">
        <v>340</v>
      </c>
      <c r="J306" t="s">
        <v>1261</v>
      </c>
      <c r="K306" t="s">
        <v>413</v>
      </c>
      <c r="L306" t="s">
        <v>1212</v>
      </c>
      <c r="M306" s="131">
        <v>16.7</v>
      </c>
      <c r="N306" t="s">
        <v>1405</v>
      </c>
      <c r="O306" s="132">
        <v>3.2680000000000001E-2</v>
      </c>
      <c r="P306" s="132">
        <v>5.4399999999999997E-2</v>
      </c>
      <c r="R306" s="131">
        <v>1071000</v>
      </c>
      <c r="S306" s="131">
        <v>1</v>
      </c>
      <c r="T306" s="131">
        <v>64.7</v>
      </c>
      <c r="U306" s="131">
        <v>692.93700000000001</v>
      </c>
      <c r="W306" s="16" t="s">
        <v>15</v>
      </c>
      <c r="X306" s="132">
        <v>6.0000000000000002E-5</v>
      </c>
      <c r="Y306" s="132">
        <v>2.7699999999999999E-3</v>
      </c>
      <c r="Z306" s="132">
        <v>2.2699999999999999E-3</v>
      </c>
    </row>
    <row r="307" spans="1:26">
      <c r="A307" t="s">
        <v>1213</v>
      </c>
      <c r="B307" t="s">
        <v>1247</v>
      </c>
      <c r="C307" t="s">
        <v>1258</v>
      </c>
      <c r="D307" t="s">
        <v>1332</v>
      </c>
      <c r="E307" t="s">
        <v>1333</v>
      </c>
      <c r="F307" t="s">
        <v>943</v>
      </c>
      <c r="G307" t="s">
        <v>204</v>
      </c>
      <c r="H307" t="s">
        <v>204</v>
      </c>
      <c r="I307" t="s">
        <v>340</v>
      </c>
      <c r="J307" t="s">
        <v>1261</v>
      </c>
      <c r="K307" t="s">
        <v>413</v>
      </c>
      <c r="L307" t="s">
        <v>1212</v>
      </c>
      <c r="M307" s="131">
        <v>8.43</v>
      </c>
      <c r="N307" t="s">
        <v>1334</v>
      </c>
      <c r="O307" s="132">
        <v>1.618E-2</v>
      </c>
      <c r="P307" s="132">
        <v>2.1299999999999999E-2</v>
      </c>
      <c r="R307" s="131">
        <v>600000</v>
      </c>
      <c r="S307" s="131">
        <v>1</v>
      </c>
      <c r="T307" s="131">
        <v>100.1</v>
      </c>
      <c r="U307" s="131">
        <v>600.6</v>
      </c>
      <c r="W307" s="16" t="s">
        <v>15</v>
      </c>
      <c r="X307" s="132">
        <v>6.0000000000000002E-5</v>
      </c>
      <c r="Y307" s="132">
        <v>2.3999999999999998E-3</v>
      </c>
      <c r="Z307" s="132">
        <v>1.97E-3</v>
      </c>
    </row>
    <row r="308" spans="1:26">
      <c r="A308" t="s">
        <v>1213</v>
      </c>
      <c r="B308" t="s">
        <v>1247</v>
      </c>
      <c r="C308" t="s">
        <v>1267</v>
      </c>
      <c r="D308" t="s">
        <v>1353</v>
      </c>
      <c r="E308" t="s">
        <v>1354</v>
      </c>
      <c r="F308" t="s">
        <v>945</v>
      </c>
      <c r="G308" t="s">
        <v>204</v>
      </c>
      <c r="H308" t="s">
        <v>204</v>
      </c>
      <c r="I308" t="s">
        <v>340</v>
      </c>
      <c r="J308" t="s">
        <v>1261</v>
      </c>
      <c r="K308" t="s">
        <v>413</v>
      </c>
      <c r="L308" t="s">
        <v>1212</v>
      </c>
      <c r="M308" s="131">
        <v>8.52</v>
      </c>
      <c r="N308" t="s">
        <v>1355</v>
      </c>
      <c r="O308" s="132">
        <v>4.018E-2</v>
      </c>
      <c r="P308" s="132">
        <v>4.8800000000000003E-2</v>
      </c>
      <c r="R308" s="131">
        <v>450000</v>
      </c>
      <c r="S308" s="131">
        <v>1</v>
      </c>
      <c r="T308" s="131">
        <v>94.93</v>
      </c>
      <c r="U308" s="131">
        <v>427.185</v>
      </c>
      <c r="W308" s="16" t="s">
        <v>15</v>
      </c>
      <c r="X308" s="132">
        <v>3.0000000000000001E-5</v>
      </c>
      <c r="Y308" s="132">
        <v>1.7099999999999999E-3</v>
      </c>
      <c r="Z308" s="132">
        <v>1.4E-3</v>
      </c>
    </row>
    <row r="309" spans="1:26">
      <c r="A309" t="s">
        <v>1213</v>
      </c>
      <c r="B309" t="s">
        <v>1247</v>
      </c>
      <c r="C309" t="s">
        <v>1267</v>
      </c>
      <c r="D309" t="s">
        <v>1377</v>
      </c>
      <c r="E309" t="s">
        <v>1378</v>
      </c>
      <c r="F309" t="s">
        <v>945</v>
      </c>
      <c r="G309" t="s">
        <v>204</v>
      </c>
      <c r="H309" t="s">
        <v>204</v>
      </c>
      <c r="I309" t="s">
        <v>340</v>
      </c>
      <c r="J309" t="s">
        <v>1261</v>
      </c>
      <c r="K309" t="s">
        <v>413</v>
      </c>
      <c r="L309" t="s">
        <v>1212</v>
      </c>
      <c r="M309" s="131">
        <v>14.32</v>
      </c>
      <c r="N309" t="s">
        <v>1379</v>
      </c>
      <c r="O309" s="132">
        <v>3.1780000000000003E-2</v>
      </c>
      <c r="P309" s="132">
        <v>5.3400000000000003E-2</v>
      </c>
      <c r="R309" s="131">
        <v>500000</v>
      </c>
      <c r="S309" s="131">
        <v>1</v>
      </c>
      <c r="T309" s="131">
        <v>81.36</v>
      </c>
      <c r="U309" s="131">
        <v>406.8</v>
      </c>
      <c r="W309" s="16" t="s">
        <v>15</v>
      </c>
      <c r="X309" s="132">
        <v>2.0000000000000002E-5</v>
      </c>
      <c r="Y309" s="132">
        <v>1.6299999999999999E-3</v>
      </c>
      <c r="Z309" s="132">
        <v>1.33E-3</v>
      </c>
    </row>
    <row r="310" spans="1:26">
      <c r="A310" t="s">
        <v>1213</v>
      </c>
      <c r="B310" t="s">
        <v>1247</v>
      </c>
      <c r="C310" t="s">
        <v>1267</v>
      </c>
      <c r="D310" t="s">
        <v>1271</v>
      </c>
      <c r="E310" t="s">
        <v>1272</v>
      </c>
      <c r="F310" t="s">
        <v>945</v>
      </c>
      <c r="G310" t="s">
        <v>204</v>
      </c>
      <c r="H310" t="s">
        <v>204</v>
      </c>
      <c r="I310" t="s">
        <v>340</v>
      </c>
      <c r="J310" t="s">
        <v>1261</v>
      </c>
      <c r="K310" t="s">
        <v>413</v>
      </c>
      <c r="L310" t="s">
        <v>1212</v>
      </c>
      <c r="M310" s="131">
        <v>11.32</v>
      </c>
      <c r="N310" t="s">
        <v>1273</v>
      </c>
      <c r="O310" s="132">
        <v>3.3529999999999997E-2</v>
      </c>
      <c r="P310" s="132">
        <v>5.1700000000000003E-2</v>
      </c>
      <c r="R310" s="131">
        <v>346000</v>
      </c>
      <c r="S310" s="131">
        <v>1</v>
      </c>
      <c r="T310" s="131">
        <v>107.34</v>
      </c>
      <c r="U310" s="131">
        <v>371.39600000000002</v>
      </c>
      <c r="W310" s="16" t="s">
        <v>15</v>
      </c>
      <c r="X310" s="132">
        <v>2.0000000000000002E-5</v>
      </c>
      <c r="Y310" s="132">
        <v>1.49E-3</v>
      </c>
      <c r="Z310" s="132">
        <v>1.2199999999999999E-3</v>
      </c>
    </row>
    <row r="311" spans="1:26">
      <c r="A311" t="s">
        <v>1213</v>
      </c>
      <c r="B311" t="s">
        <v>1247</v>
      </c>
      <c r="C311" t="s">
        <v>1267</v>
      </c>
      <c r="D311" t="s">
        <v>1281</v>
      </c>
      <c r="E311" t="s">
        <v>1282</v>
      </c>
      <c r="F311" t="s">
        <v>945</v>
      </c>
      <c r="G311" t="s">
        <v>204</v>
      </c>
      <c r="H311" t="s">
        <v>204</v>
      </c>
      <c r="I311" t="s">
        <v>340</v>
      </c>
      <c r="J311" t="s">
        <v>1261</v>
      </c>
      <c r="K311" t="s">
        <v>413</v>
      </c>
      <c r="L311" t="s">
        <v>1212</v>
      </c>
      <c r="M311" s="131">
        <v>5.33</v>
      </c>
      <c r="N311" t="s">
        <v>1283</v>
      </c>
      <c r="O311" s="132">
        <v>3.984E-2</v>
      </c>
      <c r="P311" s="132">
        <v>4.6300000000000001E-2</v>
      </c>
      <c r="R311" s="131">
        <v>420000</v>
      </c>
      <c r="S311" s="131">
        <v>1</v>
      </c>
      <c r="T311" s="131">
        <v>83.24</v>
      </c>
      <c r="U311" s="131">
        <v>349.608</v>
      </c>
      <c r="W311" s="16" t="s">
        <v>15</v>
      </c>
      <c r="X311" s="132">
        <v>1.0000000000000001E-5</v>
      </c>
      <c r="Y311" s="132">
        <v>1.4E-3</v>
      </c>
      <c r="Z311" s="132">
        <v>1.14E-3</v>
      </c>
    </row>
    <row r="312" spans="1:26">
      <c r="A312" t="s">
        <v>1213</v>
      </c>
      <c r="B312" t="s">
        <v>1247</v>
      </c>
      <c r="C312" t="s">
        <v>1277</v>
      </c>
      <c r="D312" t="s">
        <v>1284</v>
      </c>
      <c r="E312" t="s">
        <v>1285</v>
      </c>
      <c r="F312" t="s">
        <v>946</v>
      </c>
      <c r="G312" t="s">
        <v>204</v>
      </c>
      <c r="H312" t="s">
        <v>204</v>
      </c>
      <c r="I312" t="s">
        <v>340</v>
      </c>
      <c r="J312" t="s">
        <v>1261</v>
      </c>
      <c r="K312" t="s">
        <v>413</v>
      </c>
      <c r="L312" t="s">
        <v>1212</v>
      </c>
      <c r="M312" s="131">
        <v>1.61</v>
      </c>
      <c r="N312" t="s">
        <v>1286</v>
      </c>
      <c r="O312" s="132">
        <v>2.5200000000000001E-3</v>
      </c>
      <c r="P312" s="132">
        <v>4.7E-2</v>
      </c>
      <c r="R312" s="131">
        <v>350000</v>
      </c>
      <c r="S312" s="131">
        <v>1</v>
      </c>
      <c r="T312" s="131">
        <v>99.82</v>
      </c>
      <c r="U312" s="131">
        <v>349.37</v>
      </c>
      <c r="W312" s="16" t="s">
        <v>15</v>
      </c>
      <c r="X312" s="132">
        <v>2.0000000000000002E-5</v>
      </c>
      <c r="Y312" s="132">
        <v>1.4E-3</v>
      </c>
      <c r="Z312" s="132">
        <v>1.14E-3</v>
      </c>
    </row>
    <row r="313" spans="1:26">
      <c r="A313" t="s">
        <v>1213</v>
      </c>
      <c r="B313" t="s">
        <v>1247</v>
      </c>
      <c r="C313" t="s">
        <v>1406</v>
      </c>
      <c r="D313" t="s">
        <v>1407</v>
      </c>
      <c r="E313" t="s">
        <v>1408</v>
      </c>
      <c r="F313" t="s">
        <v>947</v>
      </c>
      <c r="G313" t="s">
        <v>204</v>
      </c>
      <c r="H313" t="s">
        <v>204</v>
      </c>
      <c r="I313" t="s">
        <v>340</v>
      </c>
      <c r="J313" t="s">
        <v>1261</v>
      </c>
      <c r="K313" t="s">
        <v>413</v>
      </c>
      <c r="L313" t="s">
        <v>1212</v>
      </c>
      <c r="M313" s="131">
        <v>5.27</v>
      </c>
      <c r="N313" t="s">
        <v>1409</v>
      </c>
      <c r="O313" s="132">
        <v>10</v>
      </c>
      <c r="P313" s="132">
        <v>6.6600000000000006E-2</v>
      </c>
      <c r="R313" s="131">
        <v>100000</v>
      </c>
      <c r="S313" s="131">
        <v>1</v>
      </c>
      <c r="T313" s="131">
        <v>307.94</v>
      </c>
      <c r="U313" s="131">
        <v>307.94</v>
      </c>
      <c r="W313" s="16" t="s">
        <v>15</v>
      </c>
      <c r="X313" s="132">
        <v>5.0000000000000002E-5</v>
      </c>
      <c r="Y313" s="132">
        <v>1.23E-3</v>
      </c>
      <c r="Z313" s="132">
        <v>1.01E-3</v>
      </c>
    </row>
    <row r="314" spans="1:26">
      <c r="A314" t="s">
        <v>1213</v>
      </c>
      <c r="B314" t="s">
        <v>1247</v>
      </c>
      <c r="C314" t="s">
        <v>1290</v>
      </c>
      <c r="D314" t="s">
        <v>1335</v>
      </c>
      <c r="E314" t="s">
        <v>1336</v>
      </c>
      <c r="F314" t="s">
        <v>949</v>
      </c>
      <c r="G314" t="s">
        <v>204</v>
      </c>
      <c r="H314" t="s">
        <v>204</v>
      </c>
      <c r="I314" t="s">
        <v>340</v>
      </c>
      <c r="J314" t="s">
        <v>1261</v>
      </c>
      <c r="K314" t="s">
        <v>413</v>
      </c>
      <c r="L314" t="s">
        <v>1212</v>
      </c>
      <c r="M314" s="131">
        <v>0.35</v>
      </c>
      <c r="N314" t="s">
        <v>1337</v>
      </c>
      <c r="O314" s="132">
        <v>4.0660000000000002E-2</v>
      </c>
      <c r="P314" s="132">
        <v>4.2599999999999999E-2</v>
      </c>
      <c r="R314" s="131">
        <v>300000</v>
      </c>
      <c r="S314" s="131">
        <v>1</v>
      </c>
      <c r="T314" s="131">
        <v>98.56</v>
      </c>
      <c r="U314" s="131">
        <v>295.68</v>
      </c>
      <c r="W314" s="16" t="s">
        <v>15</v>
      </c>
      <c r="X314" s="132">
        <v>2.0000000000000002E-5</v>
      </c>
      <c r="Y314" s="132">
        <v>1.1800000000000001E-3</v>
      </c>
      <c r="Z314" s="132">
        <v>9.7000000000000005E-4</v>
      </c>
    </row>
    <row r="315" spans="1:26">
      <c r="A315" t="s">
        <v>1213</v>
      </c>
      <c r="B315" t="s">
        <v>1247</v>
      </c>
      <c r="C315" t="s">
        <v>1267</v>
      </c>
      <c r="D315" t="s">
        <v>1306</v>
      </c>
      <c r="E315" t="s">
        <v>1307</v>
      </c>
      <c r="F315" t="s">
        <v>945</v>
      </c>
      <c r="G315" t="s">
        <v>204</v>
      </c>
      <c r="H315" t="s">
        <v>204</v>
      </c>
      <c r="I315" t="s">
        <v>340</v>
      </c>
      <c r="J315" t="s">
        <v>1265</v>
      </c>
      <c r="K315" t="s">
        <v>415</v>
      </c>
      <c r="L315" t="s">
        <v>1212</v>
      </c>
      <c r="M315" s="131">
        <v>4.0599999999999996</v>
      </c>
      <c r="N315" t="s">
        <v>1308</v>
      </c>
      <c r="O315" s="132">
        <v>3.1620000000000002E-2</v>
      </c>
      <c r="P315" s="132">
        <v>4.5600000000000002E-2</v>
      </c>
      <c r="R315" s="131">
        <v>280000</v>
      </c>
      <c r="S315" s="131">
        <v>1</v>
      </c>
      <c r="T315" s="131">
        <v>99.02</v>
      </c>
      <c r="U315" s="131">
        <v>277.25599999999997</v>
      </c>
      <c r="W315" s="16" t="s">
        <v>15</v>
      </c>
      <c r="X315" s="132">
        <v>1.0000000000000001E-5</v>
      </c>
      <c r="Y315" s="132">
        <v>1.1100000000000001E-3</v>
      </c>
      <c r="Z315" s="132">
        <v>9.1E-4</v>
      </c>
    </row>
    <row r="316" spans="1:26">
      <c r="A316" t="s">
        <v>1213</v>
      </c>
      <c r="B316" t="s">
        <v>1247</v>
      </c>
      <c r="C316" t="s">
        <v>1290</v>
      </c>
      <c r="D316" t="s">
        <v>1318</v>
      </c>
      <c r="E316" t="s">
        <v>1319</v>
      </c>
      <c r="F316" t="s">
        <v>949</v>
      </c>
      <c r="G316" t="s">
        <v>204</v>
      </c>
      <c r="H316" t="s">
        <v>204</v>
      </c>
      <c r="I316" t="s">
        <v>340</v>
      </c>
      <c r="J316" t="s">
        <v>1261</v>
      </c>
      <c r="K316" t="s">
        <v>413</v>
      </c>
      <c r="L316" t="s">
        <v>1212</v>
      </c>
      <c r="M316" s="131">
        <v>0.27</v>
      </c>
      <c r="N316" t="s">
        <v>1320</v>
      </c>
      <c r="O316" s="132">
        <v>4.0579999999999998E-2</v>
      </c>
      <c r="P316" s="132">
        <v>4.3200000000000002E-2</v>
      </c>
      <c r="R316" s="131">
        <v>247000</v>
      </c>
      <c r="S316" s="131">
        <v>1</v>
      </c>
      <c r="T316" s="131">
        <v>98.86</v>
      </c>
      <c r="U316" s="131">
        <v>244.184</v>
      </c>
      <c r="W316" s="16" t="s">
        <v>15</v>
      </c>
      <c r="X316" s="132">
        <v>2.0000000000000002E-5</v>
      </c>
      <c r="Y316" s="132">
        <v>9.7999999999999997E-4</v>
      </c>
      <c r="Z316" s="132">
        <v>8.0000000000000004E-4</v>
      </c>
    </row>
    <row r="317" spans="1:26">
      <c r="A317" t="s">
        <v>1213</v>
      </c>
      <c r="B317" t="s">
        <v>1247</v>
      </c>
      <c r="C317" t="s">
        <v>1267</v>
      </c>
      <c r="D317" t="s">
        <v>1312</v>
      </c>
      <c r="E317" t="s">
        <v>1313</v>
      </c>
      <c r="F317" t="s">
        <v>945</v>
      </c>
      <c r="G317" t="s">
        <v>204</v>
      </c>
      <c r="H317" t="s">
        <v>204</v>
      </c>
      <c r="I317" t="s">
        <v>340</v>
      </c>
      <c r="J317" t="s">
        <v>1261</v>
      </c>
      <c r="K317" t="s">
        <v>413</v>
      </c>
      <c r="L317" t="s">
        <v>1212</v>
      </c>
      <c r="M317" s="131">
        <v>1.91</v>
      </c>
      <c r="N317" t="s">
        <v>1314</v>
      </c>
      <c r="O317" s="132">
        <v>4.444E-2</v>
      </c>
      <c r="P317" s="132">
        <v>4.3200000000000002E-2</v>
      </c>
      <c r="R317" s="131">
        <v>45000</v>
      </c>
      <c r="S317" s="131">
        <v>1</v>
      </c>
      <c r="T317" s="131">
        <v>109.5</v>
      </c>
      <c r="U317" s="131">
        <v>49.274999999999999</v>
      </c>
      <c r="W317" s="16" t="s">
        <v>15</v>
      </c>
      <c r="X317" s="132">
        <v>0</v>
      </c>
      <c r="Y317" s="132">
        <v>2.0000000000000001E-4</v>
      </c>
      <c r="Z317" s="132">
        <v>1.6000000000000001E-4</v>
      </c>
    </row>
    <row r="318" spans="1:26">
      <c r="A318" t="s">
        <v>1213</v>
      </c>
      <c r="B318" t="s">
        <v>1247</v>
      </c>
      <c r="C318" t="s">
        <v>1393</v>
      </c>
      <c r="D318" t="s">
        <v>1410</v>
      </c>
      <c r="E318" t="s">
        <v>1411</v>
      </c>
      <c r="F318" t="s">
        <v>950</v>
      </c>
      <c r="G318" t="s">
        <v>205</v>
      </c>
      <c r="H318" t="s">
        <v>204</v>
      </c>
      <c r="I318" t="s">
        <v>314</v>
      </c>
      <c r="J318" t="s">
        <v>1396</v>
      </c>
      <c r="K318" t="s">
        <v>431</v>
      </c>
      <c r="L318" t="s">
        <v>1218</v>
      </c>
      <c r="M318" s="131">
        <v>2.161</v>
      </c>
      <c r="N318" t="s">
        <v>1412</v>
      </c>
      <c r="O318" s="132">
        <v>4.3159999999999997E-2</v>
      </c>
      <c r="P318" s="132">
        <v>3.8539999999999998E-2</v>
      </c>
      <c r="R318" s="131">
        <v>600000</v>
      </c>
      <c r="S318" s="131">
        <v>4.1524000000000001</v>
      </c>
      <c r="T318" s="131">
        <v>95.367999999999995</v>
      </c>
      <c r="U318" s="131">
        <v>2376.0360000000001</v>
      </c>
      <c r="W318" s="16" t="s">
        <v>15</v>
      </c>
      <c r="X318" s="132">
        <v>2.1000000000000001E-4</v>
      </c>
      <c r="Y318" s="132">
        <v>9.4999999999999998E-3</v>
      </c>
      <c r="Z318" s="132">
        <v>7.7799999999999996E-3</v>
      </c>
    </row>
    <row r="319" spans="1:26">
      <c r="A319" t="s">
        <v>1213</v>
      </c>
      <c r="B319" t="s">
        <v>1247</v>
      </c>
      <c r="C319" t="s">
        <v>1321</v>
      </c>
      <c r="D319" t="s">
        <v>1413</v>
      </c>
      <c r="E319" t="s">
        <v>1414</v>
      </c>
      <c r="F319" t="s">
        <v>950</v>
      </c>
      <c r="G319" t="s">
        <v>205</v>
      </c>
      <c r="H319" t="s">
        <v>224</v>
      </c>
      <c r="I319" t="s">
        <v>314</v>
      </c>
      <c r="J319" t="s">
        <v>1324</v>
      </c>
      <c r="K319" t="s">
        <v>423</v>
      </c>
      <c r="L319" t="s">
        <v>1216</v>
      </c>
      <c r="M319" s="131">
        <v>13.621</v>
      </c>
      <c r="N319" t="s">
        <v>1415</v>
      </c>
      <c r="O319" s="132">
        <v>5.092E-2</v>
      </c>
      <c r="P319" s="132">
        <v>4.1570000000000003E-2</v>
      </c>
      <c r="R319" s="131">
        <v>460000</v>
      </c>
      <c r="S319" s="131">
        <v>3.71</v>
      </c>
      <c r="T319" s="131">
        <f>U319*1000/R319/S319*100</f>
        <v>74.515586546349482</v>
      </c>
      <c r="U319" s="131">
        <v>1271.683</v>
      </c>
      <c r="W319" s="16" t="s">
        <v>15</v>
      </c>
      <c r="X319" s="132">
        <v>1.0000000000000001E-5</v>
      </c>
      <c r="Y319" s="132">
        <v>5.0899999999999999E-3</v>
      </c>
      <c r="Z319" s="132">
        <v>4.1599999999999996E-3</v>
      </c>
    </row>
    <row r="320" spans="1:26">
      <c r="A320" t="s">
        <v>1213</v>
      </c>
      <c r="B320" t="s">
        <v>1247</v>
      </c>
      <c r="C320" t="s">
        <v>1321</v>
      </c>
      <c r="D320" t="s">
        <v>1416</v>
      </c>
      <c r="E320" t="s">
        <v>1417</v>
      </c>
      <c r="F320" t="s">
        <v>950</v>
      </c>
      <c r="G320" t="s">
        <v>205</v>
      </c>
      <c r="H320" t="s">
        <v>224</v>
      </c>
      <c r="I320" t="s">
        <v>314</v>
      </c>
      <c r="J320" t="s">
        <v>1324</v>
      </c>
      <c r="K320" t="s">
        <v>423</v>
      </c>
      <c r="L320" t="s">
        <v>1216</v>
      </c>
      <c r="M320" s="131">
        <v>4.319</v>
      </c>
      <c r="N320" t="s">
        <v>1418</v>
      </c>
      <c r="O320" s="132">
        <v>4.9459999999999997E-2</v>
      </c>
      <c r="P320" s="132">
        <v>3.5589999999999997E-2</v>
      </c>
      <c r="R320" s="131">
        <v>300000</v>
      </c>
      <c r="S320" s="131">
        <v>3.71</v>
      </c>
      <c r="T320" s="131">
        <v>99.625</v>
      </c>
      <c r="U320" s="131">
        <v>1108.826</v>
      </c>
      <c r="W320" s="16" t="s">
        <v>15</v>
      </c>
      <c r="X320" s="132">
        <v>1.0000000000000001E-5</v>
      </c>
      <c r="Y320" s="132">
        <v>4.4299999999999999E-3</v>
      </c>
      <c r="Z320" s="132">
        <v>3.63E-3</v>
      </c>
    </row>
    <row r="321" spans="1:26">
      <c r="A321" t="s">
        <v>1213</v>
      </c>
      <c r="B321" t="s">
        <v>1247</v>
      </c>
      <c r="C321" t="s">
        <v>1321</v>
      </c>
      <c r="D321" t="s">
        <v>1419</v>
      </c>
      <c r="E321" t="s">
        <v>1420</v>
      </c>
      <c r="F321" t="s">
        <v>950</v>
      </c>
      <c r="G321" t="s">
        <v>205</v>
      </c>
      <c r="H321" t="s">
        <v>224</v>
      </c>
      <c r="I321" t="s">
        <v>314</v>
      </c>
      <c r="J321" t="s">
        <v>1324</v>
      </c>
      <c r="K321" t="s">
        <v>423</v>
      </c>
      <c r="L321" t="s">
        <v>1216</v>
      </c>
      <c r="M321" s="131">
        <v>14.205</v>
      </c>
      <c r="N321" t="s">
        <v>1421</v>
      </c>
      <c r="O321" s="132">
        <v>4.3130000000000002E-2</v>
      </c>
      <c r="P321" s="132">
        <v>4.2119999999999998E-2</v>
      </c>
      <c r="R321" s="131">
        <v>350000</v>
      </c>
      <c r="S321" s="131">
        <v>3.71</v>
      </c>
      <c r="T321" s="131">
        <v>84.875</v>
      </c>
      <c r="U321" s="131">
        <v>1102.1020000000001</v>
      </c>
      <c r="W321" s="16" t="s">
        <v>15</v>
      </c>
      <c r="X321" s="132">
        <v>1.0000000000000001E-5</v>
      </c>
      <c r="Y321" s="132">
        <v>4.4099999999999999E-3</v>
      </c>
      <c r="Z321" s="132">
        <v>3.6099999999999999E-3</v>
      </c>
    </row>
    <row r="322" spans="1:26">
      <c r="A322" t="s">
        <v>1213</v>
      </c>
      <c r="B322" t="s">
        <v>1247</v>
      </c>
      <c r="C322" t="s">
        <v>1321</v>
      </c>
      <c r="D322" t="s">
        <v>1422</v>
      </c>
      <c r="E322" t="s">
        <v>1423</v>
      </c>
      <c r="F322" t="s">
        <v>950</v>
      </c>
      <c r="G322" t="s">
        <v>205</v>
      </c>
      <c r="H322" t="s">
        <v>224</v>
      </c>
      <c r="I322" t="s">
        <v>314</v>
      </c>
      <c r="J322" t="s">
        <v>1324</v>
      </c>
      <c r="K322" t="s">
        <v>423</v>
      </c>
      <c r="L322" t="s">
        <v>1216</v>
      </c>
      <c r="M322" s="131">
        <v>13.465</v>
      </c>
      <c r="N322" t="s">
        <v>1424</v>
      </c>
      <c r="O322" s="132">
        <v>4.0120000000000003E-2</v>
      </c>
      <c r="P322" s="132">
        <v>4.1549999999999997E-2</v>
      </c>
      <c r="R322" s="131">
        <v>309000</v>
      </c>
      <c r="S322" s="131">
        <v>3.71</v>
      </c>
      <c r="T322" s="131">
        <v>83.281000000000006</v>
      </c>
      <c r="U322" s="131">
        <v>954.72799999999995</v>
      </c>
      <c r="W322" s="16" t="s">
        <v>15</v>
      </c>
      <c r="X322" s="132">
        <v>1.0000000000000001E-5</v>
      </c>
      <c r="Y322" s="132">
        <v>3.82E-3</v>
      </c>
      <c r="Z322" s="132">
        <v>3.13E-3</v>
      </c>
    </row>
    <row r="323" spans="1:26">
      <c r="A323" t="s">
        <v>1213</v>
      </c>
      <c r="B323" t="s">
        <v>1247</v>
      </c>
      <c r="C323" t="s">
        <v>1321</v>
      </c>
      <c r="D323" t="s">
        <v>1425</v>
      </c>
      <c r="E323" t="s">
        <v>1426</v>
      </c>
      <c r="F323" t="s">
        <v>950</v>
      </c>
      <c r="G323" t="s">
        <v>205</v>
      </c>
      <c r="H323" t="s">
        <v>224</v>
      </c>
      <c r="I323" t="s">
        <v>314</v>
      </c>
      <c r="J323" t="s">
        <v>1324</v>
      </c>
      <c r="K323" t="s">
        <v>423</v>
      </c>
      <c r="L323" t="s">
        <v>1216</v>
      </c>
      <c r="M323" s="131">
        <v>11.063000000000001</v>
      </c>
      <c r="N323" t="s">
        <v>1427</v>
      </c>
      <c r="O323" s="132">
        <v>4.863E-2</v>
      </c>
      <c r="P323" s="132">
        <v>3.8940000000000002E-2</v>
      </c>
      <c r="R323" s="131">
        <v>230000</v>
      </c>
      <c r="S323" s="131">
        <v>3.71</v>
      </c>
      <c r="T323" s="131">
        <v>96.171999999999997</v>
      </c>
      <c r="U323" s="131">
        <v>820.63499999999999</v>
      </c>
      <c r="W323" s="16" t="s">
        <v>15</v>
      </c>
      <c r="X323" s="132">
        <v>1.0000000000000001E-5</v>
      </c>
      <c r="Y323" s="132">
        <v>3.2799999999999999E-3</v>
      </c>
      <c r="Z323" s="132">
        <v>2.6900000000000001E-3</v>
      </c>
    </row>
    <row r="324" spans="1:26">
      <c r="A324" t="s">
        <v>1213</v>
      </c>
      <c r="B324" t="s">
        <v>1247</v>
      </c>
      <c r="C324" t="s">
        <v>1321</v>
      </c>
      <c r="D324" t="s">
        <v>1428</v>
      </c>
      <c r="E324" t="s">
        <v>1429</v>
      </c>
      <c r="F324" t="s">
        <v>950</v>
      </c>
      <c r="G324" t="s">
        <v>205</v>
      </c>
      <c r="H324" t="s">
        <v>224</v>
      </c>
      <c r="I324" t="s">
        <v>314</v>
      </c>
      <c r="J324" t="s">
        <v>1430</v>
      </c>
      <c r="K324" t="s">
        <v>431</v>
      </c>
      <c r="L324" t="s">
        <v>1216</v>
      </c>
      <c r="M324" s="131">
        <v>0.11700000000000001</v>
      </c>
      <c r="N324" t="s">
        <v>1431</v>
      </c>
      <c r="O324" s="132">
        <v>5.407E-2</v>
      </c>
      <c r="P324" s="132">
        <v>4.7019999999999999E-2</v>
      </c>
      <c r="R324" s="131">
        <v>200000</v>
      </c>
      <c r="S324" s="131">
        <v>3.71</v>
      </c>
      <c r="T324" s="131">
        <v>99.436999999999998</v>
      </c>
      <c r="U324" s="131">
        <v>737.82100000000003</v>
      </c>
      <c r="W324" s="16" t="s">
        <v>15</v>
      </c>
      <c r="X324" s="132">
        <v>0</v>
      </c>
      <c r="Y324" s="132">
        <v>2.9499999999999999E-3</v>
      </c>
      <c r="Z324" s="132">
        <v>2.4199999999999998E-3</v>
      </c>
    </row>
    <row r="325" spans="1:26">
      <c r="A325" t="s">
        <v>1213</v>
      </c>
      <c r="B325" t="s">
        <v>1247</v>
      </c>
      <c r="C325" t="s">
        <v>1321</v>
      </c>
      <c r="D325" t="s">
        <v>1432</v>
      </c>
      <c r="E325" t="s">
        <v>1433</v>
      </c>
      <c r="F325" t="s">
        <v>950</v>
      </c>
      <c r="G325" t="s">
        <v>205</v>
      </c>
      <c r="H325" t="s">
        <v>224</v>
      </c>
      <c r="I325" t="s">
        <v>314</v>
      </c>
      <c r="J325" t="s">
        <v>1324</v>
      </c>
      <c r="K325" t="s">
        <v>423</v>
      </c>
      <c r="L325" t="s">
        <v>1216</v>
      </c>
      <c r="M325" s="131">
        <v>13.48</v>
      </c>
      <c r="N325" t="s">
        <v>1434</v>
      </c>
      <c r="O325" s="132">
        <v>4.129E-2</v>
      </c>
      <c r="P325" s="132">
        <v>4.1930000000000002E-2</v>
      </c>
      <c r="R325" s="131">
        <v>200000</v>
      </c>
      <c r="S325" s="131">
        <v>3.71</v>
      </c>
      <c r="T325" s="131">
        <v>93.063000000000002</v>
      </c>
      <c r="U325" s="131">
        <v>690.524</v>
      </c>
      <c r="W325" s="16" t="s">
        <v>15</v>
      </c>
      <c r="X325" s="132">
        <v>0</v>
      </c>
      <c r="Y325" s="132">
        <v>2.7599999999999999E-3</v>
      </c>
      <c r="Z325" s="132">
        <v>2.2599999999999999E-3</v>
      </c>
    </row>
    <row r="326" spans="1:26">
      <c r="A326" t="s">
        <v>1213</v>
      </c>
      <c r="B326" t="s">
        <v>1247</v>
      </c>
      <c r="C326" t="s">
        <v>1321</v>
      </c>
      <c r="D326" t="s">
        <v>1435</v>
      </c>
      <c r="E326" t="s">
        <v>1436</v>
      </c>
      <c r="F326" t="s">
        <v>950</v>
      </c>
      <c r="G326" t="s">
        <v>205</v>
      </c>
      <c r="H326" t="s">
        <v>224</v>
      </c>
      <c r="I326" t="s">
        <v>314</v>
      </c>
      <c r="J326" t="s">
        <v>1324</v>
      </c>
      <c r="K326" t="s">
        <v>423</v>
      </c>
      <c r="L326" t="s">
        <v>1216</v>
      </c>
      <c r="M326" s="131">
        <v>13.86</v>
      </c>
      <c r="N326" t="s">
        <v>1437</v>
      </c>
      <c r="O326" s="132">
        <v>4.9959999999999997E-2</v>
      </c>
      <c r="P326" s="132">
        <v>4.0809999999999999E-2</v>
      </c>
      <c r="R326" s="131">
        <v>240000</v>
      </c>
      <c r="S326" s="131">
        <v>3.71</v>
      </c>
      <c r="T326" s="131">
        <v>65.858999999999995</v>
      </c>
      <c r="U326" s="131">
        <v>586.41200000000003</v>
      </c>
      <c r="W326" s="16" t="s">
        <v>15</v>
      </c>
      <c r="X326" s="132">
        <v>0</v>
      </c>
      <c r="Y326" s="132">
        <v>2.3500000000000001E-3</v>
      </c>
      <c r="Z326" s="132">
        <v>1.92E-3</v>
      </c>
    </row>
    <row r="327" spans="1:26">
      <c r="A327" t="s">
        <v>1213</v>
      </c>
      <c r="B327" t="s">
        <v>1247</v>
      </c>
      <c r="C327" t="s">
        <v>1393</v>
      </c>
      <c r="D327" t="s">
        <v>1438</v>
      </c>
      <c r="E327" t="s">
        <v>1439</v>
      </c>
      <c r="F327" t="s">
        <v>950</v>
      </c>
      <c r="G327" t="s">
        <v>205</v>
      </c>
      <c r="H327" t="s">
        <v>204</v>
      </c>
      <c r="I327" t="s">
        <v>314</v>
      </c>
      <c r="J327" t="s">
        <v>1396</v>
      </c>
      <c r="K327" t="s">
        <v>431</v>
      </c>
      <c r="L327" t="s">
        <v>1216</v>
      </c>
      <c r="M327" s="131">
        <v>7.2709999999999999</v>
      </c>
      <c r="N327" t="s">
        <v>1440</v>
      </c>
      <c r="O327" s="132">
        <v>5.8259999999999999E-2</v>
      </c>
      <c r="P327" s="132">
        <v>5.491E-2</v>
      </c>
      <c r="R327" s="131">
        <v>150000</v>
      </c>
      <c r="S327" s="131">
        <v>3.71</v>
      </c>
      <c r="T327" s="131">
        <v>100.07899999999999</v>
      </c>
      <c r="U327" s="131">
        <v>556.94000000000005</v>
      </c>
      <c r="W327" s="16" t="s">
        <v>15</v>
      </c>
      <c r="X327" s="132">
        <v>5.0000000000000002E-5</v>
      </c>
      <c r="Y327" s="132">
        <v>2.2300000000000002E-3</v>
      </c>
      <c r="Z327" s="132">
        <v>1.82E-3</v>
      </c>
    </row>
    <row r="328" spans="1:26">
      <c r="A328" t="s">
        <v>1213</v>
      </c>
      <c r="B328" t="s">
        <v>1247</v>
      </c>
      <c r="C328" t="s">
        <v>1393</v>
      </c>
      <c r="D328" t="s">
        <v>1441</v>
      </c>
      <c r="E328" t="s">
        <v>1442</v>
      </c>
      <c r="F328" t="s">
        <v>950</v>
      </c>
      <c r="G328" t="s">
        <v>205</v>
      </c>
      <c r="H328" t="s">
        <v>204</v>
      </c>
      <c r="I328" t="s">
        <v>314</v>
      </c>
      <c r="J328" t="s">
        <v>1396</v>
      </c>
      <c r="K328" t="s">
        <v>431</v>
      </c>
      <c r="L328" t="s">
        <v>1216</v>
      </c>
      <c r="M328" s="131">
        <v>13.723000000000001</v>
      </c>
      <c r="N328" t="s">
        <v>1443</v>
      </c>
      <c r="O328" s="132">
        <v>5.851E-2</v>
      </c>
      <c r="P328" s="132">
        <v>6.105E-2</v>
      </c>
      <c r="R328" s="131">
        <v>120000</v>
      </c>
      <c r="S328" s="131">
        <v>3.71</v>
      </c>
      <c r="T328" s="131">
        <v>95.215999999999994</v>
      </c>
      <c r="U328" s="131">
        <v>423.899</v>
      </c>
      <c r="W328" s="16" t="s">
        <v>15</v>
      </c>
      <c r="X328" s="132">
        <v>4.0000000000000003E-5</v>
      </c>
      <c r="Y328" s="132">
        <v>1.6999999999999999E-3</v>
      </c>
      <c r="Z328" s="132">
        <v>1.39E-3</v>
      </c>
    </row>
    <row r="329" spans="1:26">
      <c r="A329" t="s">
        <v>1213</v>
      </c>
      <c r="B329" t="s">
        <v>1247</v>
      </c>
      <c r="C329" t="s">
        <v>1321</v>
      </c>
      <c r="D329" t="s">
        <v>1444</v>
      </c>
      <c r="E329" t="s">
        <v>1445</v>
      </c>
      <c r="F329" t="s">
        <v>950</v>
      </c>
      <c r="G329" t="s">
        <v>205</v>
      </c>
      <c r="H329" t="s">
        <v>224</v>
      </c>
      <c r="I329" t="s">
        <v>314</v>
      </c>
      <c r="J329" t="s">
        <v>1324</v>
      </c>
      <c r="K329" t="s">
        <v>423</v>
      </c>
      <c r="L329" t="s">
        <v>1216</v>
      </c>
      <c r="M329" s="131">
        <v>10.106999999999999</v>
      </c>
      <c r="N329" t="s">
        <v>1446</v>
      </c>
      <c r="O329" s="132">
        <v>4.956E-2</v>
      </c>
      <c r="P329" s="132">
        <v>3.8390000000000001E-2</v>
      </c>
      <c r="R329" s="131">
        <v>105000</v>
      </c>
      <c r="S329" s="131">
        <v>3.71</v>
      </c>
      <c r="T329" s="131">
        <v>106.15600000000001</v>
      </c>
      <c r="U329" s="131">
        <v>413.53199999999998</v>
      </c>
      <c r="W329" s="16" t="s">
        <v>15</v>
      </c>
      <c r="X329" s="132">
        <v>0</v>
      </c>
      <c r="Y329" s="132">
        <v>1.65E-3</v>
      </c>
      <c r="Z329" s="132">
        <v>1.3500000000000001E-3</v>
      </c>
    </row>
    <row r="330" spans="1:26">
      <c r="A330" t="s">
        <v>1213</v>
      </c>
      <c r="B330" t="s">
        <v>1247</v>
      </c>
      <c r="C330" t="s">
        <v>1321</v>
      </c>
      <c r="D330" t="s">
        <v>1447</v>
      </c>
      <c r="E330" t="s">
        <v>1448</v>
      </c>
      <c r="F330" t="s">
        <v>950</v>
      </c>
      <c r="G330" t="s">
        <v>205</v>
      </c>
      <c r="H330" t="s">
        <v>224</v>
      </c>
      <c r="I330" t="s">
        <v>314</v>
      </c>
      <c r="J330" t="s">
        <v>1324</v>
      </c>
      <c r="K330" t="s">
        <v>423</v>
      </c>
      <c r="L330" t="s">
        <v>1216</v>
      </c>
      <c r="M330" s="131">
        <v>7.3710000000000004</v>
      </c>
      <c r="N330" t="s">
        <v>1449</v>
      </c>
      <c r="O330" s="132">
        <v>3.916E-2</v>
      </c>
      <c r="P330" s="132">
        <v>3.755E-2</v>
      </c>
      <c r="R330" s="131">
        <v>100000</v>
      </c>
      <c r="S330" s="131">
        <v>3.71</v>
      </c>
      <c r="T330" s="131">
        <v>107.578</v>
      </c>
      <c r="U330" s="131">
        <v>399.11500000000001</v>
      </c>
      <c r="W330" s="16" t="s">
        <v>15</v>
      </c>
      <c r="X330" s="132">
        <v>0</v>
      </c>
      <c r="Y330" s="132">
        <v>1.6000000000000001E-3</v>
      </c>
      <c r="Z330" s="132">
        <v>1.31E-3</v>
      </c>
    </row>
    <row r="331" spans="1:26">
      <c r="A331" t="s">
        <v>1213</v>
      </c>
      <c r="B331" t="s">
        <v>1247</v>
      </c>
      <c r="C331" t="s">
        <v>1321</v>
      </c>
      <c r="D331" t="s">
        <v>1450</v>
      </c>
      <c r="E331" t="s">
        <v>1451</v>
      </c>
      <c r="F331" t="s">
        <v>950</v>
      </c>
      <c r="G331" t="s">
        <v>205</v>
      </c>
      <c r="H331" t="s">
        <v>224</v>
      </c>
      <c r="I331" t="s">
        <v>314</v>
      </c>
      <c r="J331" t="s">
        <v>1324</v>
      </c>
      <c r="K331" t="s">
        <v>423</v>
      </c>
      <c r="L331" t="s">
        <v>1216</v>
      </c>
      <c r="M331" s="131">
        <v>13.656000000000001</v>
      </c>
      <c r="N331" t="s">
        <v>1452</v>
      </c>
      <c r="O331" s="132">
        <v>4.6769999999999999E-2</v>
      </c>
      <c r="P331" s="132">
        <v>4.1950000000000001E-2</v>
      </c>
      <c r="R331" s="131">
        <v>117000</v>
      </c>
      <c r="S331" s="131">
        <v>3.71</v>
      </c>
      <c r="T331" s="131">
        <v>90.468999999999994</v>
      </c>
      <c r="U331" s="131">
        <v>392.69799999999998</v>
      </c>
      <c r="W331" s="16" t="s">
        <v>15</v>
      </c>
      <c r="X331" s="132">
        <v>0</v>
      </c>
      <c r="Y331" s="132">
        <v>1.57E-3</v>
      </c>
      <c r="Z331" s="132">
        <v>1.2899999999999999E-3</v>
      </c>
    </row>
    <row r="332" spans="1:26">
      <c r="A332" t="s">
        <v>1213</v>
      </c>
      <c r="B332" t="s">
        <v>1247</v>
      </c>
      <c r="C332" t="s">
        <v>1321</v>
      </c>
      <c r="D332" t="s">
        <v>1453</v>
      </c>
      <c r="E332" t="s">
        <v>1454</v>
      </c>
      <c r="F332" t="s">
        <v>950</v>
      </c>
      <c r="G332" t="s">
        <v>205</v>
      </c>
      <c r="H332" t="s">
        <v>224</v>
      </c>
      <c r="I332" t="s">
        <v>314</v>
      </c>
      <c r="J332" t="s">
        <v>1324</v>
      </c>
      <c r="K332" t="s">
        <v>423</v>
      </c>
      <c r="L332" t="s">
        <v>1216</v>
      </c>
      <c r="M332" s="131">
        <v>0.2</v>
      </c>
      <c r="N332" t="s">
        <v>1455</v>
      </c>
      <c r="O332" s="132">
        <v>5.4260000000000003E-2</v>
      </c>
      <c r="P332" s="132">
        <v>4.3779999999999999E-2</v>
      </c>
      <c r="R332" s="131">
        <v>105000</v>
      </c>
      <c r="S332" s="131">
        <v>3.71</v>
      </c>
      <c r="T332" s="131">
        <v>99.542000000000002</v>
      </c>
      <c r="U332" s="131">
        <v>387.76499999999999</v>
      </c>
      <c r="W332" s="16" t="s">
        <v>15</v>
      </c>
      <c r="X332" s="132">
        <v>0</v>
      </c>
      <c r="Y332" s="132">
        <v>1.5499999999999999E-3</v>
      </c>
      <c r="Z332" s="132">
        <v>1.2700000000000001E-3</v>
      </c>
    </row>
    <row r="333" spans="1:26">
      <c r="A333" t="s">
        <v>1213</v>
      </c>
      <c r="B333" t="s">
        <v>1247</v>
      </c>
      <c r="C333" t="s">
        <v>1321</v>
      </c>
      <c r="D333" t="s">
        <v>1456</v>
      </c>
      <c r="E333" t="s">
        <v>1457</v>
      </c>
      <c r="F333" t="s">
        <v>950</v>
      </c>
      <c r="G333" t="s">
        <v>205</v>
      </c>
      <c r="H333" t="s">
        <v>224</v>
      </c>
      <c r="I333" t="s">
        <v>314</v>
      </c>
      <c r="J333" t="s">
        <v>1324</v>
      </c>
      <c r="K333" t="s">
        <v>423</v>
      </c>
      <c r="L333" t="s">
        <v>1216</v>
      </c>
      <c r="M333" s="131">
        <v>0.26300000000000001</v>
      </c>
      <c r="N333" t="s">
        <v>1458</v>
      </c>
      <c r="O333" s="132">
        <v>-0.19467000000000001</v>
      </c>
      <c r="P333" s="132">
        <v>3.2849999999999997E-2</v>
      </c>
      <c r="R333" s="131">
        <v>85000</v>
      </c>
      <c r="S333" s="131">
        <v>3.71</v>
      </c>
      <c r="T333" s="131">
        <v>119.678</v>
      </c>
      <c r="U333" s="131">
        <v>377.404</v>
      </c>
      <c r="W333" s="16" t="s">
        <v>15</v>
      </c>
      <c r="X333" s="132">
        <v>0</v>
      </c>
      <c r="Y333" s="132">
        <v>1.5100000000000001E-3</v>
      </c>
      <c r="Z333" s="132">
        <v>1.24E-3</v>
      </c>
    </row>
    <row r="334" spans="1:26">
      <c r="A334" t="s">
        <v>1213</v>
      </c>
      <c r="B334" t="s">
        <v>1247</v>
      </c>
      <c r="C334" t="s">
        <v>1321</v>
      </c>
      <c r="D334" t="s">
        <v>1459</v>
      </c>
      <c r="E334" t="s">
        <v>1460</v>
      </c>
      <c r="F334" t="s">
        <v>950</v>
      </c>
      <c r="G334" t="s">
        <v>205</v>
      </c>
      <c r="H334" t="s">
        <v>224</v>
      </c>
      <c r="I334" t="s">
        <v>314</v>
      </c>
      <c r="J334" t="s">
        <v>1430</v>
      </c>
      <c r="K334" t="s">
        <v>431</v>
      </c>
      <c r="L334" t="s">
        <v>1216</v>
      </c>
      <c r="M334" s="131">
        <v>0.17399999999999999</v>
      </c>
      <c r="N334" t="s">
        <v>1461</v>
      </c>
      <c r="O334" s="132">
        <v>5.3949999999999998E-2</v>
      </c>
      <c r="P334" s="132">
        <v>4.5370000000000001E-2</v>
      </c>
      <c r="R334" s="131">
        <v>100000</v>
      </c>
      <c r="S334" s="131">
        <v>3.71</v>
      </c>
      <c r="T334" s="131">
        <v>99.195999999999998</v>
      </c>
      <c r="U334" s="131">
        <v>368.01600000000002</v>
      </c>
      <c r="W334" s="16" t="s">
        <v>15</v>
      </c>
      <c r="X334" s="132">
        <v>0</v>
      </c>
      <c r="Y334" s="132">
        <v>1.47E-3</v>
      </c>
      <c r="Z334" s="132">
        <v>1.1999999999999999E-3</v>
      </c>
    </row>
    <row r="335" spans="1:26">
      <c r="A335" t="s">
        <v>1213</v>
      </c>
      <c r="B335" t="s">
        <v>1247</v>
      </c>
      <c r="C335" t="s">
        <v>1321</v>
      </c>
      <c r="D335" t="s">
        <v>1462</v>
      </c>
      <c r="E335" t="s">
        <v>1463</v>
      </c>
      <c r="F335" t="s">
        <v>950</v>
      </c>
      <c r="G335" t="s">
        <v>205</v>
      </c>
      <c r="H335" t="s">
        <v>224</v>
      </c>
      <c r="I335" t="s">
        <v>314</v>
      </c>
      <c r="J335" t="s">
        <v>1430</v>
      </c>
      <c r="K335" t="s">
        <v>431</v>
      </c>
      <c r="L335" t="s">
        <v>1216</v>
      </c>
      <c r="M335" s="131">
        <v>0.193</v>
      </c>
      <c r="N335" t="s">
        <v>1464</v>
      </c>
      <c r="O335" s="132">
        <v>5.3859999999999998E-2</v>
      </c>
      <c r="P335" s="132">
        <v>4.5030000000000001E-2</v>
      </c>
      <c r="R335" s="131">
        <v>100000</v>
      </c>
      <c r="S335" s="131">
        <v>3.71</v>
      </c>
      <c r="T335" s="131">
        <v>99.119</v>
      </c>
      <c r="U335" s="131">
        <v>367.73099999999999</v>
      </c>
      <c r="W335" s="16" t="s">
        <v>15</v>
      </c>
      <c r="X335" s="132">
        <v>0</v>
      </c>
      <c r="Y335" s="132">
        <v>1.47E-3</v>
      </c>
      <c r="Z335" s="132">
        <v>1.1999999999999999E-3</v>
      </c>
    </row>
    <row r="336" spans="1:26">
      <c r="A336" t="s">
        <v>1213</v>
      </c>
      <c r="B336" t="s">
        <v>1247</v>
      </c>
      <c r="C336" t="s">
        <v>1321</v>
      </c>
      <c r="D336" t="s">
        <v>1465</v>
      </c>
      <c r="E336" t="s">
        <v>1466</v>
      </c>
      <c r="F336" t="s">
        <v>950</v>
      </c>
      <c r="G336" t="s">
        <v>205</v>
      </c>
      <c r="H336" t="s">
        <v>224</v>
      </c>
      <c r="I336" t="s">
        <v>314</v>
      </c>
      <c r="J336" t="s">
        <v>1430</v>
      </c>
      <c r="K336" t="s">
        <v>431</v>
      </c>
      <c r="L336" t="s">
        <v>1216</v>
      </c>
      <c r="M336" s="131">
        <v>0.249</v>
      </c>
      <c r="N336" t="s">
        <v>1467</v>
      </c>
      <c r="O336" s="132">
        <v>5.3330000000000002E-2</v>
      </c>
      <c r="P336" s="132">
        <v>4.5379999999999997E-2</v>
      </c>
      <c r="R336" s="131">
        <v>100000</v>
      </c>
      <c r="S336" s="131">
        <v>3.71</v>
      </c>
      <c r="T336" s="131">
        <v>98.856999999999999</v>
      </c>
      <c r="U336" s="131">
        <v>366.75900000000001</v>
      </c>
      <c r="W336" s="16" t="s">
        <v>15</v>
      </c>
      <c r="X336" s="132">
        <v>0</v>
      </c>
      <c r="Y336" s="132">
        <v>1.47E-3</v>
      </c>
      <c r="Z336" s="132">
        <v>1.1999999999999999E-3</v>
      </c>
    </row>
    <row r="337" spans="1:26">
      <c r="A337" t="s">
        <v>1213</v>
      </c>
      <c r="B337" t="s">
        <v>1247</v>
      </c>
      <c r="C337" t="s">
        <v>1321</v>
      </c>
      <c r="D337" t="s">
        <v>1468</v>
      </c>
      <c r="E337" t="s">
        <v>1469</v>
      </c>
      <c r="F337" t="s">
        <v>950</v>
      </c>
      <c r="G337" t="s">
        <v>205</v>
      </c>
      <c r="H337" t="s">
        <v>224</v>
      </c>
      <c r="I337" t="s">
        <v>314</v>
      </c>
      <c r="J337" t="s">
        <v>1430</v>
      </c>
      <c r="K337" t="s">
        <v>431</v>
      </c>
      <c r="L337" t="s">
        <v>1216</v>
      </c>
      <c r="M337" s="131">
        <v>0.379</v>
      </c>
      <c r="N337" t="s">
        <v>1470</v>
      </c>
      <c r="O337" s="132">
        <v>5.296E-2</v>
      </c>
      <c r="P337" s="132">
        <v>4.4330000000000001E-2</v>
      </c>
      <c r="R337" s="131">
        <v>100000</v>
      </c>
      <c r="S337" s="131">
        <v>3.71</v>
      </c>
      <c r="T337" s="131">
        <v>98.287999999999997</v>
      </c>
      <c r="U337" s="131">
        <v>364.65</v>
      </c>
      <c r="W337" s="16" t="s">
        <v>15</v>
      </c>
      <c r="X337" s="132">
        <v>0</v>
      </c>
      <c r="Y337" s="132">
        <v>1.4599999999999999E-3</v>
      </c>
      <c r="Z337" s="132">
        <v>1.1900000000000001E-3</v>
      </c>
    </row>
    <row r="338" spans="1:26">
      <c r="A338" t="s">
        <v>1213</v>
      </c>
      <c r="B338" t="s">
        <v>1247</v>
      </c>
      <c r="C338" t="s">
        <v>1393</v>
      </c>
      <c r="D338" t="s">
        <v>1471</v>
      </c>
      <c r="E338" t="s">
        <v>1472</v>
      </c>
      <c r="F338" t="s">
        <v>950</v>
      </c>
      <c r="G338" t="s">
        <v>205</v>
      </c>
      <c r="H338" t="s">
        <v>204</v>
      </c>
      <c r="I338" t="s">
        <v>314</v>
      </c>
      <c r="J338" t="s">
        <v>1396</v>
      </c>
      <c r="K338" t="s">
        <v>431</v>
      </c>
      <c r="L338" t="s">
        <v>1216</v>
      </c>
      <c r="M338" s="131">
        <v>3.91</v>
      </c>
      <c r="N338" t="s">
        <v>1473</v>
      </c>
      <c r="O338" s="132">
        <v>4.929E-2</v>
      </c>
      <c r="P338" s="132">
        <v>4.8899999999999999E-2</v>
      </c>
      <c r="R338" s="131">
        <v>90000</v>
      </c>
      <c r="S338" s="131">
        <v>3.71</v>
      </c>
      <c r="T338" s="131">
        <v>101.717</v>
      </c>
      <c r="U338" s="131">
        <v>339.63200000000001</v>
      </c>
      <c r="W338" s="16" t="s">
        <v>15</v>
      </c>
      <c r="X338" s="132">
        <v>4.0000000000000003E-5</v>
      </c>
      <c r="Y338" s="132">
        <v>1.3600000000000001E-3</v>
      </c>
      <c r="Z338" s="132">
        <v>1.1100000000000001E-3</v>
      </c>
    </row>
    <row r="339" spans="1:26">
      <c r="A339" t="s">
        <v>1213</v>
      </c>
      <c r="B339" t="s">
        <v>1247</v>
      </c>
      <c r="C339" t="s">
        <v>1321</v>
      </c>
      <c r="D339" t="s">
        <v>1474</v>
      </c>
      <c r="E339" t="s">
        <v>1475</v>
      </c>
      <c r="F339" t="s">
        <v>950</v>
      </c>
      <c r="G339" t="s">
        <v>205</v>
      </c>
      <c r="H339" t="s">
        <v>224</v>
      </c>
      <c r="I339" t="s">
        <v>314</v>
      </c>
      <c r="J339" t="s">
        <v>1324</v>
      </c>
      <c r="K339" t="s">
        <v>423</v>
      </c>
      <c r="L339" t="s">
        <v>1216</v>
      </c>
      <c r="M339" s="131">
        <v>6.7380000000000004</v>
      </c>
      <c r="N339" t="s">
        <v>1476</v>
      </c>
      <c r="O339" s="132">
        <v>4.3659999999999997E-2</v>
      </c>
      <c r="P339" s="132">
        <v>3.6880000000000003E-2</v>
      </c>
      <c r="R339" s="131">
        <v>100000</v>
      </c>
      <c r="S339" s="131">
        <v>3.71</v>
      </c>
      <c r="T339" s="131">
        <v>88.796999999999997</v>
      </c>
      <c r="U339" s="131">
        <v>329.43599999999998</v>
      </c>
      <c r="W339" s="16" t="s">
        <v>15</v>
      </c>
      <c r="X339" s="132">
        <v>0</v>
      </c>
      <c r="Y339" s="132">
        <v>1.32E-3</v>
      </c>
      <c r="Z339" s="132">
        <v>1.08E-3</v>
      </c>
    </row>
    <row r="340" spans="1:26">
      <c r="A340" t="s">
        <v>1213</v>
      </c>
      <c r="B340" t="s">
        <v>1247</v>
      </c>
      <c r="C340" t="s">
        <v>1321</v>
      </c>
      <c r="D340" t="s">
        <v>1477</v>
      </c>
      <c r="E340" t="s">
        <v>1478</v>
      </c>
      <c r="F340" t="s">
        <v>950</v>
      </c>
      <c r="G340" t="s">
        <v>205</v>
      </c>
      <c r="H340" t="s">
        <v>224</v>
      </c>
      <c r="I340" t="s">
        <v>314</v>
      </c>
      <c r="J340" t="s">
        <v>1324</v>
      </c>
      <c r="K340" t="s">
        <v>423</v>
      </c>
      <c r="L340" t="s">
        <v>1216</v>
      </c>
      <c r="M340" s="131">
        <v>14.803000000000001</v>
      </c>
      <c r="N340" t="s">
        <v>1479</v>
      </c>
      <c r="O340" s="132">
        <v>3.984E-2</v>
      </c>
      <c r="P340" s="132">
        <v>4.2139999999999997E-2</v>
      </c>
      <c r="R340" s="131">
        <v>95000</v>
      </c>
      <c r="S340" s="131">
        <v>3.71</v>
      </c>
      <c r="T340" s="131">
        <v>81.936999999999998</v>
      </c>
      <c r="U340" s="131">
        <v>288.78899999999999</v>
      </c>
      <c r="W340" s="16" t="s">
        <v>15</v>
      </c>
      <c r="X340" s="132">
        <v>0</v>
      </c>
      <c r="Y340" s="132">
        <v>1.15E-3</v>
      </c>
      <c r="Z340" s="132">
        <v>9.5E-4</v>
      </c>
    </row>
    <row r="341" spans="1:26">
      <c r="A341" t="s">
        <v>1213</v>
      </c>
      <c r="B341" t="s">
        <v>1247</v>
      </c>
      <c r="C341" t="s">
        <v>1321</v>
      </c>
      <c r="D341" t="s">
        <v>1480</v>
      </c>
      <c r="E341" t="s">
        <v>1481</v>
      </c>
      <c r="F341" t="s">
        <v>950</v>
      </c>
      <c r="G341" t="s">
        <v>205</v>
      </c>
      <c r="H341" t="s">
        <v>224</v>
      </c>
      <c r="I341" t="s">
        <v>314</v>
      </c>
      <c r="J341" t="s">
        <v>1324</v>
      </c>
      <c r="K341" t="s">
        <v>423</v>
      </c>
      <c r="L341" t="s">
        <v>1216</v>
      </c>
      <c r="M341" s="131">
        <v>6.1219999999999999</v>
      </c>
      <c r="N341" t="s">
        <v>1482</v>
      </c>
      <c r="O341" s="132">
        <v>4.4580000000000002E-2</v>
      </c>
      <c r="P341" s="132">
        <v>3.6380000000000003E-2</v>
      </c>
      <c r="R341" s="131">
        <v>60000</v>
      </c>
      <c r="S341" s="131">
        <v>3.71</v>
      </c>
      <c r="T341" s="131">
        <v>89.016000000000005</v>
      </c>
      <c r="U341" s="131">
        <v>198.149</v>
      </c>
      <c r="W341" s="16" t="s">
        <v>15</v>
      </c>
      <c r="X341" s="132">
        <v>0</v>
      </c>
      <c r="Y341" s="132">
        <v>7.9000000000000001E-4</v>
      </c>
      <c r="Z341" s="132">
        <v>6.4999999999999997E-4</v>
      </c>
    </row>
    <row r="342" spans="1:26">
      <c r="A342" t="s">
        <v>1213</v>
      </c>
      <c r="B342" t="s">
        <v>1247</v>
      </c>
      <c r="C342" t="s">
        <v>1321</v>
      </c>
      <c r="D342" t="s">
        <v>1483</v>
      </c>
      <c r="E342" t="s">
        <v>1484</v>
      </c>
      <c r="F342" t="s">
        <v>950</v>
      </c>
      <c r="G342" t="s">
        <v>205</v>
      </c>
      <c r="H342" t="s">
        <v>224</v>
      </c>
      <c r="I342" t="s">
        <v>314</v>
      </c>
      <c r="J342" t="s">
        <v>1324</v>
      </c>
      <c r="K342" t="s">
        <v>423</v>
      </c>
      <c r="L342" t="s">
        <v>1216</v>
      </c>
      <c r="M342" s="131">
        <v>0.21199999999999999</v>
      </c>
      <c r="N342" t="s">
        <v>1485</v>
      </c>
      <c r="O342" s="132">
        <v>5.3670000000000002E-2</v>
      </c>
      <c r="P342" s="132">
        <v>4.5690000000000001E-2</v>
      </c>
      <c r="R342" s="131">
        <v>50000</v>
      </c>
      <c r="S342" s="131">
        <v>3.71</v>
      </c>
      <c r="T342" s="131">
        <v>99.022000000000006</v>
      </c>
      <c r="U342" s="131">
        <v>183.68600000000001</v>
      </c>
      <c r="W342" s="16" t="s">
        <v>15</v>
      </c>
      <c r="X342" s="132">
        <v>0</v>
      </c>
      <c r="Y342" s="132">
        <v>7.2999999999999996E-4</v>
      </c>
      <c r="Z342" s="132">
        <v>5.9999999999999995E-4</v>
      </c>
    </row>
    <row r="343" spans="1:26">
      <c r="A343" t="s">
        <v>1213</v>
      </c>
      <c r="B343" t="s">
        <v>1247</v>
      </c>
      <c r="C343" t="s">
        <v>1393</v>
      </c>
      <c r="D343" t="s">
        <v>1486</v>
      </c>
      <c r="E343" t="s">
        <v>1487</v>
      </c>
      <c r="F343" t="s">
        <v>950</v>
      </c>
      <c r="G343" t="s">
        <v>205</v>
      </c>
      <c r="H343" t="s">
        <v>204</v>
      </c>
      <c r="I343" t="s">
        <v>344</v>
      </c>
      <c r="J343" t="s">
        <v>1396</v>
      </c>
      <c r="K343" t="s">
        <v>431</v>
      </c>
      <c r="L343" t="s">
        <v>1216</v>
      </c>
      <c r="M343" s="131">
        <v>3.0449999999999999</v>
      </c>
      <c r="N343" t="s">
        <v>1488</v>
      </c>
      <c r="O343" s="132">
        <v>3.0009999999999998E-2</v>
      </c>
      <c r="P343" s="132">
        <v>5.0639999999999998E-2</v>
      </c>
      <c r="R343" s="131">
        <v>50000</v>
      </c>
      <c r="S343" s="131">
        <v>3.71</v>
      </c>
      <c r="T343" s="131">
        <v>94.93</v>
      </c>
      <c r="U343" s="131">
        <v>176.095</v>
      </c>
      <c r="W343" s="16" t="s">
        <v>15</v>
      </c>
      <c r="X343" s="132">
        <v>5.0000000000000002E-5</v>
      </c>
      <c r="Y343" s="132">
        <v>6.9999999999999999E-4</v>
      </c>
      <c r="Z343" s="132">
        <v>5.8E-4</v>
      </c>
    </row>
    <row r="344" spans="1:26">
      <c r="A344" t="s">
        <v>1213</v>
      </c>
      <c r="B344" t="s">
        <v>1247</v>
      </c>
      <c r="C344" t="s">
        <v>1393</v>
      </c>
      <c r="D344" t="s">
        <v>1489</v>
      </c>
      <c r="E344" t="s">
        <v>1490</v>
      </c>
      <c r="F344" t="s">
        <v>950</v>
      </c>
      <c r="G344" t="s">
        <v>205</v>
      </c>
      <c r="H344" t="s">
        <v>204</v>
      </c>
      <c r="I344" t="s">
        <v>314</v>
      </c>
      <c r="J344" t="s">
        <v>1396</v>
      </c>
      <c r="K344" t="s">
        <v>431</v>
      </c>
      <c r="L344" t="s">
        <v>1216</v>
      </c>
      <c r="M344" s="131">
        <v>4.8070000000000004</v>
      </c>
      <c r="N344" t="s">
        <v>1491</v>
      </c>
      <c r="O344" s="132">
        <v>2.2839999999999999E-2</v>
      </c>
      <c r="P344" s="132">
        <v>5.1319999999999998E-2</v>
      </c>
      <c r="R344" s="131">
        <v>50000</v>
      </c>
      <c r="S344" s="131">
        <v>3.71</v>
      </c>
      <c r="T344" s="131">
        <v>88.171999999999997</v>
      </c>
      <c r="U344" s="131">
        <v>163.559</v>
      </c>
      <c r="W344" s="16" t="s">
        <v>15</v>
      </c>
      <c r="X344" s="132">
        <v>5.0000000000000002E-5</v>
      </c>
      <c r="Y344" s="132">
        <v>6.4999999999999997E-4</v>
      </c>
      <c r="Z344" s="132">
        <v>5.4000000000000001E-4</v>
      </c>
    </row>
    <row r="345" spans="1:26">
      <c r="A345" t="s">
        <v>1213</v>
      </c>
      <c r="B345" t="s">
        <v>1248</v>
      </c>
      <c r="C345" t="s">
        <v>1290</v>
      </c>
      <c r="D345" t="s">
        <v>1315</v>
      </c>
      <c r="E345" t="s">
        <v>1316</v>
      </c>
      <c r="F345" t="s">
        <v>949</v>
      </c>
      <c r="G345" t="s">
        <v>204</v>
      </c>
      <c r="H345" t="s">
        <v>204</v>
      </c>
      <c r="I345" t="s">
        <v>340</v>
      </c>
      <c r="J345" t="s">
        <v>1261</v>
      </c>
      <c r="K345" t="s">
        <v>413</v>
      </c>
      <c r="L345" t="s">
        <v>1212</v>
      </c>
      <c r="M345" s="131">
        <v>0.5</v>
      </c>
      <c r="N345" t="s">
        <v>1317</v>
      </c>
      <c r="O345" s="132">
        <v>4.1529999999999997E-2</v>
      </c>
      <c r="P345" s="132">
        <v>4.3200000000000002E-2</v>
      </c>
      <c r="R345" s="131">
        <v>13950000</v>
      </c>
      <c r="S345" s="131">
        <v>1</v>
      </c>
      <c r="T345" s="131">
        <v>97.9</v>
      </c>
      <c r="U345" s="131">
        <v>13657.05</v>
      </c>
      <c r="W345" s="16" t="s">
        <v>15</v>
      </c>
      <c r="X345" s="132">
        <v>1.16E-3</v>
      </c>
      <c r="Y345" s="132">
        <v>0.14471999999999999</v>
      </c>
      <c r="Z345" s="132">
        <v>1.8759999999999999E-2</v>
      </c>
    </row>
    <row r="346" spans="1:26">
      <c r="A346" t="s">
        <v>1213</v>
      </c>
      <c r="B346" t="s">
        <v>1248</v>
      </c>
      <c r="C346" t="s">
        <v>1386</v>
      </c>
      <c r="D346" t="s">
        <v>1390</v>
      </c>
      <c r="E346" t="s">
        <v>1391</v>
      </c>
      <c r="F346" t="s">
        <v>945</v>
      </c>
      <c r="G346" t="s">
        <v>204</v>
      </c>
      <c r="H346" t="s">
        <v>204</v>
      </c>
      <c r="I346" t="s">
        <v>340</v>
      </c>
      <c r="J346" t="s">
        <v>1261</v>
      </c>
      <c r="K346" t="s">
        <v>413</v>
      </c>
      <c r="L346" t="s">
        <v>1212</v>
      </c>
      <c r="M346" s="131">
        <v>0.41</v>
      </c>
      <c r="N346" t="s">
        <v>1392</v>
      </c>
      <c r="O346" s="132">
        <v>4.3920000000000001E-2</v>
      </c>
      <c r="P346" s="132">
        <v>4.3099999999999999E-2</v>
      </c>
      <c r="R346" s="131">
        <v>12959000</v>
      </c>
      <c r="S346" s="131">
        <v>1</v>
      </c>
      <c r="T346" s="131">
        <v>98.28</v>
      </c>
      <c r="U346" s="131">
        <v>12736.105</v>
      </c>
      <c r="W346" s="16" t="s">
        <v>15</v>
      </c>
      <c r="X346" s="132">
        <v>1.4E-3</v>
      </c>
      <c r="Y346" s="132">
        <v>0.13496</v>
      </c>
      <c r="Z346" s="132">
        <v>1.7489999999999999E-2</v>
      </c>
    </row>
    <row r="347" spans="1:26">
      <c r="A347" t="s">
        <v>1213</v>
      </c>
      <c r="B347" t="s">
        <v>1248</v>
      </c>
      <c r="C347" t="s">
        <v>1386</v>
      </c>
      <c r="D347" t="s">
        <v>1387</v>
      </c>
      <c r="E347" t="s">
        <v>1388</v>
      </c>
      <c r="F347" t="s">
        <v>945</v>
      </c>
      <c r="G347" t="s">
        <v>204</v>
      </c>
      <c r="H347" t="s">
        <v>204</v>
      </c>
      <c r="I347" t="s">
        <v>340</v>
      </c>
      <c r="J347" t="s">
        <v>1261</v>
      </c>
      <c r="K347" t="s">
        <v>413</v>
      </c>
      <c r="L347" t="s">
        <v>1212</v>
      </c>
      <c r="M347" s="131">
        <v>0.16</v>
      </c>
      <c r="N347" t="s">
        <v>1389</v>
      </c>
      <c r="O347" s="132">
        <v>4.2049999999999997E-2</v>
      </c>
      <c r="P347" s="132">
        <v>4.2500000000000003E-2</v>
      </c>
      <c r="R347" s="131">
        <v>8650000</v>
      </c>
      <c r="S347" s="131">
        <v>1</v>
      </c>
      <c r="T347" s="131">
        <v>99.33</v>
      </c>
      <c r="U347" s="131">
        <v>8592.0450000000001</v>
      </c>
      <c r="W347" s="16" t="s">
        <v>15</v>
      </c>
      <c r="X347" s="132">
        <v>9.3999999999999997E-4</v>
      </c>
      <c r="Y347" s="132">
        <v>9.1050000000000006E-2</v>
      </c>
      <c r="Z347" s="132">
        <v>1.18E-2</v>
      </c>
    </row>
    <row r="348" spans="1:26">
      <c r="A348" t="s">
        <v>1213</v>
      </c>
      <c r="B348" t="s">
        <v>1248</v>
      </c>
      <c r="C348" t="s">
        <v>1290</v>
      </c>
      <c r="D348" t="s">
        <v>1338</v>
      </c>
      <c r="E348" t="s">
        <v>1339</v>
      </c>
      <c r="F348" t="s">
        <v>949</v>
      </c>
      <c r="G348" t="s">
        <v>204</v>
      </c>
      <c r="H348" t="s">
        <v>204</v>
      </c>
      <c r="I348" t="s">
        <v>340</v>
      </c>
      <c r="J348" t="s">
        <v>1261</v>
      </c>
      <c r="K348" t="s">
        <v>413</v>
      </c>
      <c r="L348" t="s">
        <v>1212</v>
      </c>
      <c r="M348" s="131">
        <v>0.18</v>
      </c>
      <c r="N348" t="s">
        <v>1340</v>
      </c>
      <c r="O348" s="132">
        <v>4.1480000000000003E-2</v>
      </c>
      <c r="P348" s="132">
        <v>4.2700000000000002E-2</v>
      </c>
      <c r="R348" s="131">
        <v>8505000</v>
      </c>
      <c r="S348" s="131">
        <v>1</v>
      </c>
      <c r="T348" s="131">
        <v>99.27</v>
      </c>
      <c r="U348" s="131">
        <v>8442.9140000000007</v>
      </c>
      <c r="W348" s="16" t="s">
        <v>15</v>
      </c>
      <c r="X348" s="132">
        <v>2.1000000000000001E-4</v>
      </c>
      <c r="Y348" s="132">
        <v>8.9469999999999994E-2</v>
      </c>
      <c r="Z348" s="132">
        <v>1.1599999999999999E-2</v>
      </c>
    </row>
    <row r="349" spans="1:26">
      <c r="A349" t="s">
        <v>1213</v>
      </c>
      <c r="B349" t="s">
        <v>1248</v>
      </c>
      <c r="C349" t="s">
        <v>1290</v>
      </c>
      <c r="D349" t="s">
        <v>1362</v>
      </c>
      <c r="E349" t="s">
        <v>1363</v>
      </c>
      <c r="F349" t="s">
        <v>949</v>
      </c>
      <c r="G349" t="s">
        <v>204</v>
      </c>
      <c r="H349" t="s">
        <v>204</v>
      </c>
      <c r="I349" t="s">
        <v>340</v>
      </c>
      <c r="J349" t="s">
        <v>1261</v>
      </c>
      <c r="K349" t="s">
        <v>413</v>
      </c>
      <c r="L349" t="s">
        <v>1212</v>
      </c>
      <c r="M349" s="131">
        <v>0.1</v>
      </c>
      <c r="N349" t="s">
        <v>1364</v>
      </c>
      <c r="O349" s="132">
        <v>4.1700000000000001E-2</v>
      </c>
      <c r="P349" s="132">
        <v>4.36E-2</v>
      </c>
      <c r="R349" s="131">
        <v>5624000</v>
      </c>
      <c r="S349" s="131">
        <v>1</v>
      </c>
      <c r="T349" s="131">
        <v>99.58</v>
      </c>
      <c r="U349" s="131">
        <v>5600.3789999999999</v>
      </c>
      <c r="W349" s="16" t="s">
        <v>15</v>
      </c>
      <c r="X349" s="132">
        <v>1.3999999999999999E-4</v>
      </c>
      <c r="Y349" s="132">
        <v>5.935E-2</v>
      </c>
      <c r="Z349" s="132">
        <v>7.6899999999999998E-3</v>
      </c>
    </row>
    <row r="350" spans="1:26">
      <c r="A350" t="s">
        <v>1213</v>
      </c>
      <c r="B350" t="s">
        <v>1248</v>
      </c>
      <c r="C350" t="s">
        <v>1290</v>
      </c>
      <c r="D350" t="s">
        <v>1350</v>
      </c>
      <c r="E350" t="s">
        <v>1351</v>
      </c>
      <c r="F350" t="s">
        <v>949</v>
      </c>
      <c r="G350" t="s">
        <v>204</v>
      </c>
      <c r="H350" t="s">
        <v>204</v>
      </c>
      <c r="I350" t="s">
        <v>340</v>
      </c>
      <c r="J350" t="s">
        <v>1261</v>
      </c>
      <c r="K350" t="s">
        <v>413</v>
      </c>
      <c r="L350" t="s">
        <v>1212</v>
      </c>
      <c r="M350" s="131">
        <v>0.67</v>
      </c>
      <c r="N350" t="s">
        <v>1352</v>
      </c>
      <c r="O350" s="132">
        <v>4.3450000000000003E-2</v>
      </c>
      <c r="P350" s="132">
        <v>4.2700000000000002E-2</v>
      </c>
      <c r="R350" s="131">
        <v>4847000</v>
      </c>
      <c r="S350" s="131">
        <v>1</v>
      </c>
      <c r="T350" s="131">
        <v>97.22</v>
      </c>
      <c r="U350" s="131">
        <v>4712.2529999999997</v>
      </c>
      <c r="W350" s="16" t="s">
        <v>15</v>
      </c>
      <c r="X350" s="132">
        <v>4.0000000000000002E-4</v>
      </c>
      <c r="Y350" s="132">
        <v>4.9939999999999998E-2</v>
      </c>
      <c r="Z350" s="132">
        <v>6.4700000000000001E-3</v>
      </c>
    </row>
    <row r="351" spans="1:26">
      <c r="A351" t="s">
        <v>1213</v>
      </c>
      <c r="B351" t="s">
        <v>1248</v>
      </c>
      <c r="C351" t="s">
        <v>1290</v>
      </c>
      <c r="D351" t="s">
        <v>1294</v>
      </c>
      <c r="E351" t="s">
        <v>1295</v>
      </c>
      <c r="F351" t="s">
        <v>949</v>
      </c>
      <c r="G351" t="s">
        <v>204</v>
      </c>
      <c r="H351" t="s">
        <v>204</v>
      </c>
      <c r="I351" t="s">
        <v>340</v>
      </c>
      <c r="J351" t="s">
        <v>1265</v>
      </c>
      <c r="K351" t="s">
        <v>415</v>
      </c>
      <c r="L351" t="s">
        <v>1212</v>
      </c>
      <c r="M351" s="131">
        <v>0.85</v>
      </c>
      <c r="N351" t="s">
        <v>1296</v>
      </c>
      <c r="O351" s="132">
        <v>4.2360000000000002E-2</v>
      </c>
      <c r="P351" s="132">
        <v>4.3200000000000002E-2</v>
      </c>
      <c r="R351" s="131">
        <v>4666570</v>
      </c>
      <c r="S351" s="131">
        <v>1</v>
      </c>
      <c r="T351" s="131">
        <v>96.48</v>
      </c>
      <c r="U351" s="131">
        <v>4502.3069999999998</v>
      </c>
      <c r="W351" s="16" t="s">
        <v>15</v>
      </c>
      <c r="X351" s="132">
        <v>3.8999999999999999E-4</v>
      </c>
      <c r="Y351" s="132">
        <v>4.7710000000000002E-2</v>
      </c>
      <c r="Z351" s="132">
        <v>6.1799999999999997E-3</v>
      </c>
    </row>
    <row r="352" spans="1:26">
      <c r="A352" t="s">
        <v>1213</v>
      </c>
      <c r="B352" t="s">
        <v>1248</v>
      </c>
      <c r="C352" t="s">
        <v>1290</v>
      </c>
      <c r="D352" t="s">
        <v>1326</v>
      </c>
      <c r="E352" t="s">
        <v>1327</v>
      </c>
      <c r="F352" t="s">
        <v>949</v>
      </c>
      <c r="G352" t="s">
        <v>204</v>
      </c>
      <c r="H352" t="s">
        <v>204</v>
      </c>
      <c r="I352" t="s">
        <v>340</v>
      </c>
      <c r="J352" t="s">
        <v>1261</v>
      </c>
      <c r="K352" t="s">
        <v>413</v>
      </c>
      <c r="L352" t="s">
        <v>1212</v>
      </c>
      <c r="M352" s="131">
        <v>0.6</v>
      </c>
      <c r="N352" t="s">
        <v>1328</v>
      </c>
      <c r="O352" s="132">
        <v>4.2979999999999997E-2</v>
      </c>
      <c r="P352" s="132">
        <v>4.2900000000000001E-2</v>
      </c>
      <c r="R352" s="131">
        <v>4515565</v>
      </c>
      <c r="S352" s="131">
        <v>1</v>
      </c>
      <c r="T352" s="131">
        <v>97.52</v>
      </c>
      <c r="U352" s="131">
        <v>4403.5789999999997</v>
      </c>
      <c r="W352" s="16" t="s">
        <v>15</v>
      </c>
      <c r="X352" s="132">
        <v>3.2000000000000003E-4</v>
      </c>
      <c r="Y352" s="132">
        <v>4.666E-2</v>
      </c>
      <c r="Z352" s="132">
        <v>6.0499999999999998E-3</v>
      </c>
    </row>
    <row r="353" spans="1:26">
      <c r="A353" t="s">
        <v>1213</v>
      </c>
      <c r="B353" t="s">
        <v>1248</v>
      </c>
      <c r="C353" t="s">
        <v>1290</v>
      </c>
      <c r="D353" t="s">
        <v>1303</v>
      </c>
      <c r="E353" t="s">
        <v>1304</v>
      </c>
      <c r="F353" t="s">
        <v>949</v>
      </c>
      <c r="G353" t="s">
        <v>204</v>
      </c>
      <c r="H353" t="s">
        <v>204</v>
      </c>
      <c r="I353" t="s">
        <v>340</v>
      </c>
      <c r="J353" t="s">
        <v>1265</v>
      </c>
      <c r="K353" t="s">
        <v>415</v>
      </c>
      <c r="L353" t="s">
        <v>1212</v>
      </c>
      <c r="M353" s="131">
        <v>0.92</v>
      </c>
      <c r="N353" t="s">
        <v>1305</v>
      </c>
      <c r="O353" s="132">
        <v>4.1820000000000003E-2</v>
      </c>
      <c r="P353" s="132">
        <v>4.2900000000000001E-2</v>
      </c>
      <c r="R353" s="131">
        <v>4500000</v>
      </c>
      <c r="S353" s="131">
        <v>1</v>
      </c>
      <c r="T353" s="131">
        <v>96.2</v>
      </c>
      <c r="U353" s="131">
        <v>4329</v>
      </c>
      <c r="W353" s="16" t="s">
        <v>15</v>
      </c>
      <c r="X353" s="132">
        <v>3.8000000000000002E-4</v>
      </c>
      <c r="Y353" s="132">
        <v>4.5870000000000001E-2</v>
      </c>
      <c r="Z353" s="132">
        <v>5.9500000000000004E-3</v>
      </c>
    </row>
    <row r="354" spans="1:26">
      <c r="A354" t="s">
        <v>1213</v>
      </c>
      <c r="B354" t="s">
        <v>1248</v>
      </c>
      <c r="C354" t="s">
        <v>1258</v>
      </c>
      <c r="D354" t="s">
        <v>1259</v>
      </c>
      <c r="E354" t="s">
        <v>1260</v>
      </c>
      <c r="F354" t="s">
        <v>943</v>
      </c>
      <c r="G354" t="s">
        <v>204</v>
      </c>
      <c r="H354" t="s">
        <v>204</v>
      </c>
      <c r="I354" t="s">
        <v>340</v>
      </c>
      <c r="J354" t="s">
        <v>1261</v>
      </c>
      <c r="K354" t="s">
        <v>413</v>
      </c>
      <c r="L354" t="s">
        <v>1212</v>
      </c>
      <c r="M354" s="131">
        <v>1.07</v>
      </c>
      <c r="N354" t="s">
        <v>1262</v>
      </c>
      <c r="O354" s="132">
        <v>1.409E-2</v>
      </c>
      <c r="P354" s="132">
        <v>1.2999999999999999E-2</v>
      </c>
      <c r="R354" s="131">
        <v>3000000</v>
      </c>
      <c r="S354" s="131">
        <v>1</v>
      </c>
      <c r="T354" s="131">
        <v>116.02</v>
      </c>
      <c r="U354" s="131">
        <v>3480.6</v>
      </c>
      <c r="W354" s="16" t="s">
        <v>15</v>
      </c>
      <c r="X354" s="132">
        <v>1.3999999999999999E-4</v>
      </c>
      <c r="Y354" s="132">
        <v>3.6880000000000003E-2</v>
      </c>
      <c r="Z354" s="132">
        <v>4.7800000000000004E-3</v>
      </c>
    </row>
    <row r="355" spans="1:26">
      <c r="A355" t="s">
        <v>1213</v>
      </c>
      <c r="B355" t="s">
        <v>1248</v>
      </c>
      <c r="C355" t="s">
        <v>1267</v>
      </c>
      <c r="D355" t="s">
        <v>1274</v>
      </c>
      <c r="E355" t="s">
        <v>1275</v>
      </c>
      <c r="F355" t="s">
        <v>945</v>
      </c>
      <c r="G355" t="s">
        <v>204</v>
      </c>
      <c r="H355" t="s">
        <v>204</v>
      </c>
      <c r="I355" t="s">
        <v>340</v>
      </c>
      <c r="J355" t="s">
        <v>1265</v>
      </c>
      <c r="K355" t="s">
        <v>415</v>
      </c>
      <c r="L355" t="s">
        <v>1212</v>
      </c>
      <c r="M355" s="131">
        <v>1.4</v>
      </c>
      <c r="N355" t="s">
        <v>1276</v>
      </c>
      <c r="O355" s="132">
        <v>4.326E-2</v>
      </c>
      <c r="P355" s="132">
        <v>4.3799999999999999E-2</v>
      </c>
      <c r="R355" s="131">
        <v>3630000</v>
      </c>
      <c r="S355" s="131">
        <v>1</v>
      </c>
      <c r="T355" s="131">
        <v>95.1</v>
      </c>
      <c r="U355" s="131">
        <v>3452.13</v>
      </c>
      <c r="W355" s="16" t="s">
        <v>15</v>
      </c>
      <c r="X355" s="132">
        <v>1.2999999999999999E-4</v>
      </c>
      <c r="Y355" s="132">
        <v>3.6580000000000001E-2</v>
      </c>
      <c r="Z355" s="132">
        <v>4.7400000000000003E-3</v>
      </c>
    </row>
    <row r="356" spans="1:26">
      <c r="A356" t="s">
        <v>1213</v>
      </c>
      <c r="B356" t="s">
        <v>1248</v>
      </c>
      <c r="C356" t="s">
        <v>1290</v>
      </c>
      <c r="D356" t="s">
        <v>1344</v>
      </c>
      <c r="E356" t="s">
        <v>1345</v>
      </c>
      <c r="F356" t="s">
        <v>949</v>
      </c>
      <c r="G356" t="s">
        <v>204</v>
      </c>
      <c r="H356" t="s">
        <v>204</v>
      </c>
      <c r="I356" t="s">
        <v>340</v>
      </c>
      <c r="J356" t="s">
        <v>1261</v>
      </c>
      <c r="K356" t="s">
        <v>413</v>
      </c>
      <c r="L356" t="s">
        <v>1212</v>
      </c>
      <c r="M356" s="131">
        <v>0.75</v>
      </c>
      <c r="N356" t="s">
        <v>1346</v>
      </c>
      <c r="O356" s="132">
        <v>4.2729999999999997E-2</v>
      </c>
      <c r="P356" s="132">
        <v>4.2799999999999998E-2</v>
      </c>
      <c r="R356" s="131">
        <v>3402669</v>
      </c>
      <c r="S356" s="131">
        <v>1</v>
      </c>
      <c r="T356" s="131">
        <v>96.9</v>
      </c>
      <c r="U356" s="131">
        <v>3297.1860000000001</v>
      </c>
      <c r="W356" s="16" t="s">
        <v>15</v>
      </c>
      <c r="X356" s="132">
        <v>2.7999999999999998E-4</v>
      </c>
      <c r="Y356" s="132">
        <v>3.4939999999999999E-2</v>
      </c>
      <c r="Z356" s="132">
        <v>4.5300000000000002E-3</v>
      </c>
    </row>
    <row r="357" spans="1:26">
      <c r="A357" t="s">
        <v>1213</v>
      </c>
      <c r="B357" t="s">
        <v>1248</v>
      </c>
      <c r="C357" t="s">
        <v>1290</v>
      </c>
      <c r="D357" t="s">
        <v>1291</v>
      </c>
      <c r="E357" t="s">
        <v>1292</v>
      </c>
      <c r="F357" t="s">
        <v>949</v>
      </c>
      <c r="G357" t="s">
        <v>204</v>
      </c>
      <c r="H357" t="s">
        <v>204</v>
      </c>
      <c r="I357" t="s">
        <v>340</v>
      </c>
      <c r="J357" t="s">
        <v>1261</v>
      </c>
      <c r="K357" t="s">
        <v>413</v>
      </c>
      <c r="L357" t="s">
        <v>1212</v>
      </c>
      <c r="M357" s="131">
        <v>0.42</v>
      </c>
      <c r="N357" t="s">
        <v>1293</v>
      </c>
      <c r="O357" s="132">
        <v>4.0890000000000003E-2</v>
      </c>
      <c r="P357" s="132">
        <v>4.3200000000000002E-2</v>
      </c>
      <c r="R357" s="131">
        <v>3215000</v>
      </c>
      <c r="S357" s="131">
        <v>1</v>
      </c>
      <c r="T357" s="131">
        <v>98.22</v>
      </c>
      <c r="U357" s="131">
        <v>3157.7730000000001</v>
      </c>
      <c r="W357" s="16" t="s">
        <v>15</v>
      </c>
      <c r="X357" s="132">
        <v>2.7E-4</v>
      </c>
      <c r="Y357" s="132">
        <v>3.3459999999999997E-2</v>
      </c>
      <c r="Z357" s="132">
        <v>4.3400000000000001E-3</v>
      </c>
    </row>
    <row r="358" spans="1:26">
      <c r="A358" t="s">
        <v>1213</v>
      </c>
      <c r="B358" t="s">
        <v>1248</v>
      </c>
      <c r="C358" t="s">
        <v>1290</v>
      </c>
      <c r="D358" t="s">
        <v>1371</v>
      </c>
      <c r="E358" t="s">
        <v>1372</v>
      </c>
      <c r="F358" t="s">
        <v>949</v>
      </c>
      <c r="G358" t="s">
        <v>204</v>
      </c>
      <c r="H358" t="s">
        <v>204</v>
      </c>
      <c r="I358" t="s">
        <v>340</v>
      </c>
      <c r="J358" t="s">
        <v>1261</v>
      </c>
      <c r="K358" t="s">
        <v>413</v>
      </c>
      <c r="L358" t="s">
        <v>1212</v>
      </c>
      <c r="M358" s="131">
        <v>0.01</v>
      </c>
      <c r="N358" t="s">
        <v>1373</v>
      </c>
      <c r="O358" s="132">
        <v>4.1669999999999999E-2</v>
      </c>
      <c r="P358" s="132">
        <v>0.1157</v>
      </c>
      <c r="R358" s="131">
        <v>3081829</v>
      </c>
      <c r="S358" s="131">
        <v>1</v>
      </c>
      <c r="T358" s="131">
        <v>99.97</v>
      </c>
      <c r="U358" s="131">
        <v>3080.904</v>
      </c>
      <c r="W358" s="16" t="s">
        <v>15</v>
      </c>
      <c r="X358" s="132">
        <v>6.9999999999999994E-5</v>
      </c>
      <c r="Y358" s="132">
        <v>3.2649999999999998E-2</v>
      </c>
      <c r="Z358" s="132">
        <v>4.2300000000000003E-3</v>
      </c>
    </row>
    <row r="359" spans="1:26">
      <c r="A359" t="s">
        <v>1213</v>
      </c>
      <c r="B359" t="s">
        <v>1248</v>
      </c>
      <c r="C359" t="s">
        <v>1386</v>
      </c>
      <c r="D359" t="s">
        <v>1397</v>
      </c>
      <c r="E359" t="s">
        <v>1398</v>
      </c>
      <c r="F359" t="s">
        <v>945</v>
      </c>
      <c r="G359" t="s">
        <v>204</v>
      </c>
      <c r="H359" t="s">
        <v>204</v>
      </c>
      <c r="I359" t="s">
        <v>340</v>
      </c>
      <c r="J359" t="s">
        <v>1261</v>
      </c>
      <c r="K359" t="s">
        <v>413</v>
      </c>
      <c r="L359" t="s">
        <v>1212</v>
      </c>
      <c r="M359" s="131">
        <v>0.66</v>
      </c>
      <c r="N359" t="s">
        <v>1399</v>
      </c>
      <c r="O359" s="132">
        <v>4.3020000000000003E-2</v>
      </c>
      <c r="P359" s="132">
        <v>4.1500000000000002E-2</v>
      </c>
      <c r="R359" s="131">
        <v>2510000</v>
      </c>
      <c r="S359" s="131">
        <v>1</v>
      </c>
      <c r="T359" s="131">
        <v>97.35</v>
      </c>
      <c r="U359" s="131">
        <v>2443.4850000000001</v>
      </c>
      <c r="W359" s="16" t="s">
        <v>15</v>
      </c>
      <c r="X359" s="132">
        <v>3.4000000000000002E-4</v>
      </c>
      <c r="Y359" s="132">
        <v>2.589E-2</v>
      </c>
      <c r="Z359" s="132">
        <v>3.3600000000000001E-3</v>
      </c>
    </row>
    <row r="360" spans="1:26">
      <c r="A360" t="s">
        <v>1213</v>
      </c>
      <c r="B360" t="s">
        <v>1248</v>
      </c>
      <c r="C360" t="s">
        <v>1267</v>
      </c>
      <c r="D360" t="s">
        <v>1287</v>
      </c>
      <c r="E360" t="s">
        <v>1288</v>
      </c>
      <c r="F360" t="s">
        <v>945</v>
      </c>
      <c r="G360" t="s">
        <v>204</v>
      </c>
      <c r="H360" t="s">
        <v>204</v>
      </c>
      <c r="I360" t="s">
        <v>340</v>
      </c>
      <c r="J360" t="s">
        <v>1261</v>
      </c>
      <c r="K360" t="s">
        <v>413</v>
      </c>
      <c r="L360" t="s">
        <v>1212</v>
      </c>
      <c r="M360" s="131">
        <v>0.92</v>
      </c>
      <c r="N360" t="s">
        <v>1289</v>
      </c>
      <c r="O360" s="132">
        <v>2.8199999999999999E-2</v>
      </c>
      <c r="P360" s="132">
        <v>4.1700000000000001E-2</v>
      </c>
      <c r="R360" s="131">
        <v>2447033</v>
      </c>
      <c r="S360" s="131">
        <v>1</v>
      </c>
      <c r="T360" s="131">
        <v>98.02</v>
      </c>
      <c r="U360" s="131">
        <v>2398.5819999999999</v>
      </c>
      <c r="W360" s="16" t="s">
        <v>15</v>
      </c>
      <c r="X360" s="132">
        <v>1E-4</v>
      </c>
      <c r="Y360" s="132">
        <v>2.5420000000000002E-2</v>
      </c>
      <c r="Z360" s="132">
        <v>3.29E-3</v>
      </c>
    </row>
    <row r="361" spans="1:26">
      <c r="A361" t="s">
        <v>1213</v>
      </c>
      <c r="B361" t="s">
        <v>1248</v>
      </c>
      <c r="C361" t="s">
        <v>1290</v>
      </c>
      <c r="D361" t="s">
        <v>1318</v>
      </c>
      <c r="E361" t="s">
        <v>1319</v>
      </c>
      <c r="F361" t="s">
        <v>949</v>
      </c>
      <c r="G361" t="s">
        <v>204</v>
      </c>
      <c r="H361" t="s">
        <v>204</v>
      </c>
      <c r="I361" t="s">
        <v>340</v>
      </c>
      <c r="J361" t="s">
        <v>1261</v>
      </c>
      <c r="K361" t="s">
        <v>413</v>
      </c>
      <c r="L361" t="s">
        <v>1212</v>
      </c>
      <c r="M361" s="131">
        <v>0.27</v>
      </c>
      <c r="N361" t="s">
        <v>1320</v>
      </c>
      <c r="O361" s="132">
        <v>4.0980000000000003E-2</v>
      </c>
      <c r="P361" s="132">
        <v>4.3200000000000002E-2</v>
      </c>
      <c r="R361" s="131">
        <v>1375000</v>
      </c>
      <c r="S361" s="131">
        <v>1</v>
      </c>
      <c r="T361" s="131">
        <v>98.86</v>
      </c>
      <c r="U361" s="131">
        <v>1359.325</v>
      </c>
      <c r="W361" s="16" t="s">
        <v>15</v>
      </c>
      <c r="X361" s="132">
        <v>1.1E-4</v>
      </c>
      <c r="Y361" s="132">
        <v>1.44E-2</v>
      </c>
      <c r="Z361" s="132">
        <v>1.8699999999999999E-3</v>
      </c>
    </row>
    <row r="362" spans="1:26">
      <c r="A362" t="s">
        <v>1213</v>
      </c>
      <c r="B362" t="s">
        <v>1248</v>
      </c>
      <c r="C362" t="s">
        <v>1290</v>
      </c>
      <c r="D362" t="s">
        <v>1335</v>
      </c>
      <c r="E362" t="s">
        <v>1336</v>
      </c>
      <c r="F362" t="s">
        <v>949</v>
      </c>
      <c r="G362" t="s">
        <v>204</v>
      </c>
      <c r="H362" t="s">
        <v>204</v>
      </c>
      <c r="I362" t="s">
        <v>340</v>
      </c>
      <c r="J362" t="s">
        <v>1261</v>
      </c>
      <c r="K362" t="s">
        <v>413</v>
      </c>
      <c r="L362" t="s">
        <v>1212</v>
      </c>
      <c r="M362" s="131">
        <v>0.35</v>
      </c>
      <c r="N362" t="s">
        <v>1337</v>
      </c>
      <c r="O362" s="132">
        <v>4.1759999999999999E-2</v>
      </c>
      <c r="P362" s="132">
        <v>4.2599999999999999E-2</v>
      </c>
      <c r="R362" s="131">
        <v>1060000</v>
      </c>
      <c r="S362" s="131">
        <v>1</v>
      </c>
      <c r="T362" s="131">
        <v>98.56</v>
      </c>
      <c r="U362" s="131">
        <v>1044.7360000000001</v>
      </c>
      <c r="W362" s="16" t="s">
        <v>15</v>
      </c>
      <c r="X362" s="132">
        <v>9.0000000000000006E-5</v>
      </c>
      <c r="Y362" s="132">
        <v>1.107E-2</v>
      </c>
      <c r="Z362" s="132">
        <v>1.4300000000000001E-3</v>
      </c>
    </row>
    <row r="363" spans="1:26">
      <c r="A363" t="s">
        <v>1213</v>
      </c>
      <c r="B363" t="s">
        <v>1248</v>
      </c>
      <c r="C363" t="s">
        <v>1258</v>
      </c>
      <c r="D363" t="s">
        <v>1309</v>
      </c>
      <c r="E363" t="s">
        <v>1310</v>
      </c>
      <c r="F363" t="s">
        <v>943</v>
      </c>
      <c r="G363" t="s">
        <v>204</v>
      </c>
      <c r="H363" t="s">
        <v>204</v>
      </c>
      <c r="I363" t="s">
        <v>340</v>
      </c>
      <c r="J363" t="s">
        <v>1265</v>
      </c>
      <c r="K363" t="s">
        <v>415</v>
      </c>
      <c r="L363" t="s">
        <v>1212</v>
      </c>
      <c r="M363" s="131">
        <v>1.83</v>
      </c>
      <c r="N363" t="s">
        <v>1311</v>
      </c>
      <c r="O363" s="132">
        <v>1.434E-2</v>
      </c>
      <c r="P363" s="132">
        <v>1.5699999999999999E-2</v>
      </c>
      <c r="R363" s="131">
        <v>815000</v>
      </c>
      <c r="S363" s="131">
        <v>1</v>
      </c>
      <c r="T363" s="131">
        <v>112.44</v>
      </c>
      <c r="U363" s="131">
        <v>916.38599999999997</v>
      </c>
      <c r="W363" s="16" t="s">
        <v>15</v>
      </c>
      <c r="X363" s="132">
        <v>4.0000000000000003E-5</v>
      </c>
      <c r="Y363" s="132">
        <v>9.7099999999999999E-3</v>
      </c>
      <c r="Z363" s="132">
        <v>1.2600000000000001E-3</v>
      </c>
    </row>
    <row r="364" spans="1:26">
      <c r="A364" t="s">
        <v>1213</v>
      </c>
      <c r="B364" t="s">
        <v>1248</v>
      </c>
      <c r="C364" t="s">
        <v>1321</v>
      </c>
      <c r="D364" t="s">
        <v>1428</v>
      </c>
      <c r="E364" t="s">
        <v>1429</v>
      </c>
      <c r="F364" t="s">
        <v>950</v>
      </c>
      <c r="G364" t="s">
        <v>205</v>
      </c>
      <c r="H364" t="s">
        <v>224</v>
      </c>
      <c r="I364" t="s">
        <v>314</v>
      </c>
      <c r="J364" t="s">
        <v>1430</v>
      </c>
      <c r="K364" t="s">
        <v>431</v>
      </c>
      <c r="L364" t="s">
        <v>1216</v>
      </c>
      <c r="M364" s="131">
        <v>0.11700000000000001</v>
      </c>
      <c r="N364" t="s">
        <v>1431</v>
      </c>
      <c r="O364" s="132">
        <v>5.407E-2</v>
      </c>
      <c r="P364" s="132">
        <v>4.7019999999999999E-2</v>
      </c>
      <c r="R364" s="131">
        <v>300000</v>
      </c>
      <c r="S364" s="131">
        <v>3.71</v>
      </c>
      <c r="T364" s="131">
        <v>99.436999999999998</v>
      </c>
      <c r="U364" s="131">
        <v>1106.732</v>
      </c>
      <c r="W364" s="16" t="s">
        <v>15</v>
      </c>
      <c r="X364" s="132">
        <v>0</v>
      </c>
      <c r="Y364" s="132">
        <v>1.1730000000000001E-2</v>
      </c>
      <c r="Z364" s="132">
        <v>1.5200000000000001E-3</v>
      </c>
    </row>
    <row r="365" spans="1:26">
      <c r="A365" t="s">
        <v>1213</v>
      </c>
      <c r="B365" t="s">
        <v>1248</v>
      </c>
      <c r="C365" t="s">
        <v>1321</v>
      </c>
      <c r="D365" t="s">
        <v>1465</v>
      </c>
      <c r="E365" t="s">
        <v>1466</v>
      </c>
      <c r="F365" t="s">
        <v>950</v>
      </c>
      <c r="G365" t="s">
        <v>205</v>
      </c>
      <c r="H365" t="s">
        <v>224</v>
      </c>
      <c r="I365" t="s">
        <v>314</v>
      </c>
      <c r="J365" t="s">
        <v>1430</v>
      </c>
      <c r="K365" t="s">
        <v>431</v>
      </c>
      <c r="L365" t="s">
        <v>1216</v>
      </c>
      <c r="M365" s="131">
        <v>0.249</v>
      </c>
      <c r="N365" t="s">
        <v>1467</v>
      </c>
      <c r="O365" s="132">
        <v>5.3330000000000002E-2</v>
      </c>
      <c r="P365" s="132">
        <v>4.5379999999999997E-2</v>
      </c>
      <c r="R365" s="131">
        <v>200000</v>
      </c>
      <c r="S365" s="131">
        <v>3.71</v>
      </c>
      <c r="T365" s="131">
        <v>98.856999999999999</v>
      </c>
      <c r="U365" s="131">
        <v>733.51900000000001</v>
      </c>
      <c r="W365" s="16" t="s">
        <v>15</v>
      </c>
      <c r="X365" s="132">
        <v>0</v>
      </c>
      <c r="Y365" s="132">
        <v>7.77E-3</v>
      </c>
      <c r="Z365" s="132">
        <v>1.01E-3</v>
      </c>
    </row>
    <row r="366" spans="1:26">
      <c r="A366" t="s">
        <v>1213</v>
      </c>
      <c r="B366" t="s">
        <v>1248</v>
      </c>
      <c r="C366" t="s">
        <v>1321</v>
      </c>
      <c r="D366" t="s">
        <v>1459</v>
      </c>
      <c r="E366" t="s">
        <v>1460</v>
      </c>
      <c r="F366" t="s">
        <v>950</v>
      </c>
      <c r="G366" t="s">
        <v>205</v>
      </c>
      <c r="H366" t="s">
        <v>224</v>
      </c>
      <c r="I366" t="s">
        <v>314</v>
      </c>
      <c r="J366" t="s">
        <v>1430</v>
      </c>
      <c r="K366" t="s">
        <v>431</v>
      </c>
      <c r="L366" t="s">
        <v>1216</v>
      </c>
      <c r="M366" s="131">
        <v>0.17399999999999999</v>
      </c>
      <c r="N366" t="s">
        <v>1461</v>
      </c>
      <c r="O366" s="132">
        <v>5.3949999999999998E-2</v>
      </c>
      <c r="P366" s="132">
        <v>4.5370000000000001E-2</v>
      </c>
      <c r="R366" s="131">
        <v>100000</v>
      </c>
      <c r="S366" s="131">
        <v>3.71</v>
      </c>
      <c r="T366" s="131">
        <v>99.195999999999998</v>
      </c>
      <c r="U366" s="131">
        <v>368.01600000000002</v>
      </c>
      <c r="W366" s="16" t="s">
        <v>15</v>
      </c>
      <c r="X366" s="132">
        <v>0</v>
      </c>
      <c r="Y366" s="132">
        <v>3.8999999999999998E-3</v>
      </c>
      <c r="Z366" s="132">
        <v>5.1000000000000004E-4</v>
      </c>
    </row>
    <row r="367" spans="1:26">
      <c r="A367" t="s">
        <v>1213</v>
      </c>
      <c r="B367" t="s">
        <v>1248</v>
      </c>
      <c r="C367" t="s">
        <v>1321</v>
      </c>
      <c r="D367" t="s">
        <v>1462</v>
      </c>
      <c r="E367" t="s">
        <v>1463</v>
      </c>
      <c r="F367" t="s">
        <v>950</v>
      </c>
      <c r="G367" t="s">
        <v>205</v>
      </c>
      <c r="H367" t="s">
        <v>224</v>
      </c>
      <c r="I367" t="s">
        <v>314</v>
      </c>
      <c r="J367" t="s">
        <v>1430</v>
      </c>
      <c r="K367" t="s">
        <v>431</v>
      </c>
      <c r="L367" t="s">
        <v>1216</v>
      </c>
      <c r="M367" s="131">
        <v>0.193</v>
      </c>
      <c r="N367" t="s">
        <v>1464</v>
      </c>
      <c r="O367" s="132">
        <v>5.3859999999999998E-2</v>
      </c>
      <c r="P367" s="132">
        <v>4.5030000000000001E-2</v>
      </c>
      <c r="R367" s="131">
        <v>100000</v>
      </c>
      <c r="S367" s="131">
        <v>3.71</v>
      </c>
      <c r="T367" s="131">
        <v>99.119</v>
      </c>
      <c r="U367" s="131">
        <v>367.73099999999999</v>
      </c>
      <c r="W367" s="16" t="s">
        <v>15</v>
      </c>
      <c r="X367" s="132">
        <v>0</v>
      </c>
      <c r="Y367" s="132">
        <v>3.8999999999999998E-3</v>
      </c>
      <c r="Z367" s="132">
        <v>5.1000000000000004E-4</v>
      </c>
    </row>
    <row r="368" spans="1:26">
      <c r="A368" t="s">
        <v>1213</v>
      </c>
      <c r="B368" t="s">
        <v>1248</v>
      </c>
      <c r="C368" t="s">
        <v>1321</v>
      </c>
      <c r="D368" t="s">
        <v>1483</v>
      </c>
      <c r="E368" t="s">
        <v>1484</v>
      </c>
      <c r="F368" t="s">
        <v>950</v>
      </c>
      <c r="G368" t="s">
        <v>205</v>
      </c>
      <c r="H368" t="s">
        <v>224</v>
      </c>
      <c r="I368" t="s">
        <v>314</v>
      </c>
      <c r="J368" t="s">
        <v>1324</v>
      </c>
      <c r="K368" t="s">
        <v>423</v>
      </c>
      <c r="L368" t="s">
        <v>1216</v>
      </c>
      <c r="M368" s="131">
        <v>0.21199999999999999</v>
      </c>
      <c r="N368" t="s">
        <v>1485</v>
      </c>
      <c r="O368" s="132">
        <v>5.3670000000000002E-2</v>
      </c>
      <c r="P368" s="132">
        <v>4.5690000000000001E-2</v>
      </c>
      <c r="R368" s="131">
        <v>50000</v>
      </c>
      <c r="S368" s="131">
        <v>3.71</v>
      </c>
      <c r="T368" s="131">
        <v>99.022000000000006</v>
      </c>
      <c r="U368" s="131">
        <v>183.68600000000001</v>
      </c>
      <c r="W368" s="16" t="s">
        <v>15</v>
      </c>
      <c r="X368" s="132">
        <v>0</v>
      </c>
      <c r="Y368" s="132">
        <v>1.9499999999999999E-3</v>
      </c>
      <c r="Z368" s="132">
        <v>2.5000000000000001E-4</v>
      </c>
    </row>
    <row r="369" spans="1:26">
      <c r="A369" t="s">
        <v>1213</v>
      </c>
      <c r="B369" t="s">
        <v>1250</v>
      </c>
      <c r="C369" t="s">
        <v>1258</v>
      </c>
      <c r="D369" t="s">
        <v>1259</v>
      </c>
      <c r="E369" t="s">
        <v>1260</v>
      </c>
      <c r="F369" t="s">
        <v>943</v>
      </c>
      <c r="G369" t="s">
        <v>204</v>
      </c>
      <c r="H369" t="s">
        <v>204</v>
      </c>
      <c r="I369" t="s">
        <v>340</v>
      </c>
      <c r="J369" t="s">
        <v>1261</v>
      </c>
      <c r="K369" t="s">
        <v>413</v>
      </c>
      <c r="L369" t="s">
        <v>1212</v>
      </c>
      <c r="M369" s="131">
        <v>1.07</v>
      </c>
      <c r="N369" t="s">
        <v>1262</v>
      </c>
      <c r="O369" s="132">
        <v>1.5299999999999999E-3</v>
      </c>
      <c r="P369" s="132">
        <v>1.2999999999999999E-2</v>
      </c>
      <c r="R369" s="131">
        <v>104343201</v>
      </c>
      <c r="S369" s="131">
        <v>1</v>
      </c>
      <c r="T369" s="131">
        <v>116.02</v>
      </c>
      <c r="U369" s="131">
        <v>121058.982</v>
      </c>
      <c r="W369" s="16" t="s">
        <v>15</v>
      </c>
      <c r="X369" s="132">
        <v>4.81E-3</v>
      </c>
      <c r="Y369" s="132">
        <v>8.8859999999999995E-2</v>
      </c>
      <c r="Z369" s="132">
        <v>3.6209999999999999E-2</v>
      </c>
    </row>
    <row r="370" spans="1:26">
      <c r="A370" t="s">
        <v>1213</v>
      </c>
      <c r="B370" t="s">
        <v>1250</v>
      </c>
      <c r="C370" t="s">
        <v>1258</v>
      </c>
      <c r="D370" t="s">
        <v>1263</v>
      </c>
      <c r="E370" t="s">
        <v>1264</v>
      </c>
      <c r="F370" t="s">
        <v>943</v>
      </c>
      <c r="G370" t="s">
        <v>204</v>
      </c>
      <c r="H370" t="s">
        <v>204</v>
      </c>
      <c r="I370" t="s">
        <v>340</v>
      </c>
      <c r="J370" t="s">
        <v>1265</v>
      </c>
      <c r="K370" t="s">
        <v>415</v>
      </c>
      <c r="L370" t="s">
        <v>1212</v>
      </c>
      <c r="M370" s="131">
        <v>3.97</v>
      </c>
      <c r="N370" t="s">
        <v>1266</v>
      </c>
      <c r="O370" s="132">
        <v>1.306E-2</v>
      </c>
      <c r="P370" s="132">
        <v>1.7999999999999999E-2</v>
      </c>
      <c r="R370" s="131">
        <v>94385559</v>
      </c>
      <c r="S370" s="131">
        <v>1</v>
      </c>
      <c r="T370" s="131">
        <v>102.6</v>
      </c>
      <c r="U370" s="131">
        <v>96839.584000000003</v>
      </c>
      <c r="W370" s="16" t="s">
        <v>15</v>
      </c>
      <c r="X370" s="132">
        <v>4.6299999999999996E-3</v>
      </c>
      <c r="Y370" s="132">
        <v>7.1080000000000004E-2</v>
      </c>
      <c r="Z370" s="132">
        <v>2.896E-2</v>
      </c>
    </row>
    <row r="371" spans="1:26">
      <c r="A371" t="s">
        <v>1213</v>
      </c>
      <c r="B371" t="s">
        <v>1250</v>
      </c>
      <c r="C371" t="s">
        <v>1258</v>
      </c>
      <c r="D371" t="s">
        <v>1309</v>
      </c>
      <c r="E371" t="s">
        <v>1310</v>
      </c>
      <c r="F371" t="s">
        <v>943</v>
      </c>
      <c r="G371" t="s">
        <v>204</v>
      </c>
      <c r="H371" t="s">
        <v>204</v>
      </c>
      <c r="I371" t="s">
        <v>340</v>
      </c>
      <c r="J371" t="s">
        <v>1265</v>
      </c>
      <c r="K371" t="s">
        <v>415</v>
      </c>
      <c r="L371" t="s">
        <v>1212</v>
      </c>
      <c r="M371" s="131">
        <v>1.83</v>
      </c>
      <c r="N371" t="s">
        <v>1311</v>
      </c>
      <c r="O371" s="132">
        <v>1.5200000000000001E-3</v>
      </c>
      <c r="P371" s="132">
        <v>1.5699999999999999E-2</v>
      </c>
      <c r="R371" s="131">
        <v>83220917</v>
      </c>
      <c r="S371" s="131">
        <v>1</v>
      </c>
      <c r="T371" s="131">
        <v>112.44</v>
      </c>
      <c r="U371" s="131">
        <v>93573.599000000002</v>
      </c>
      <c r="W371" s="16" t="s">
        <v>15</v>
      </c>
      <c r="X371" s="132">
        <v>4.1200000000000004E-3</v>
      </c>
      <c r="Y371" s="132">
        <v>6.8680000000000005E-2</v>
      </c>
      <c r="Z371" s="132">
        <v>2.7990000000000001E-2</v>
      </c>
    </row>
    <row r="372" spans="1:26">
      <c r="A372" t="s">
        <v>1213</v>
      </c>
      <c r="B372" t="s">
        <v>1250</v>
      </c>
      <c r="C372" t="s">
        <v>1258</v>
      </c>
      <c r="D372" t="s">
        <v>1300</v>
      </c>
      <c r="E372" t="s">
        <v>1301</v>
      </c>
      <c r="F372" t="s">
        <v>943</v>
      </c>
      <c r="G372" t="s">
        <v>204</v>
      </c>
      <c r="H372" t="s">
        <v>204</v>
      </c>
      <c r="I372" t="s">
        <v>340</v>
      </c>
      <c r="J372" t="s">
        <v>1265</v>
      </c>
      <c r="K372" t="s">
        <v>415</v>
      </c>
      <c r="L372" t="s">
        <v>1212</v>
      </c>
      <c r="M372" s="131">
        <v>4.6100000000000003</v>
      </c>
      <c r="N372" t="s">
        <v>1302</v>
      </c>
      <c r="O372" s="132">
        <v>2.5500000000000002E-3</v>
      </c>
      <c r="P372" s="132">
        <v>1.83E-2</v>
      </c>
      <c r="R372" s="131">
        <v>65767722</v>
      </c>
      <c r="S372" s="131">
        <v>1</v>
      </c>
      <c r="T372" s="131">
        <v>108.85</v>
      </c>
      <c r="U372" s="131">
        <v>71588.164999999994</v>
      </c>
      <c r="W372" s="16" t="s">
        <v>15</v>
      </c>
      <c r="X372" s="132">
        <v>2.4399999999999999E-3</v>
      </c>
      <c r="Y372" s="132">
        <v>5.2549999999999999E-2</v>
      </c>
      <c r="Z372" s="132">
        <v>2.1409999999999998E-2</v>
      </c>
    </row>
    <row r="373" spans="1:26">
      <c r="A373" t="s">
        <v>1213</v>
      </c>
      <c r="B373" t="s">
        <v>1250</v>
      </c>
      <c r="C373" t="s">
        <v>1267</v>
      </c>
      <c r="D373" t="s">
        <v>1347</v>
      </c>
      <c r="E373" t="s">
        <v>1348</v>
      </c>
      <c r="F373" t="s">
        <v>945</v>
      </c>
      <c r="G373" t="s">
        <v>204</v>
      </c>
      <c r="H373" t="s">
        <v>204</v>
      </c>
      <c r="I373" t="s">
        <v>340</v>
      </c>
      <c r="J373" t="s">
        <v>1261</v>
      </c>
      <c r="K373" t="s">
        <v>413</v>
      </c>
      <c r="L373" t="s">
        <v>1212</v>
      </c>
      <c r="M373" s="131">
        <v>3.86</v>
      </c>
      <c r="N373" t="s">
        <v>1349</v>
      </c>
      <c r="O373" s="132">
        <v>1.0319999999999999E-2</v>
      </c>
      <c r="P373" s="132">
        <v>4.5100000000000001E-2</v>
      </c>
      <c r="R373" s="131">
        <v>73900413</v>
      </c>
      <c r="S373" s="131">
        <v>1</v>
      </c>
      <c r="T373" s="131">
        <v>91.9</v>
      </c>
      <c r="U373" s="131">
        <v>67914.48</v>
      </c>
      <c r="W373" s="16" t="s">
        <v>15</v>
      </c>
      <c r="X373" s="132">
        <v>2.2100000000000002E-3</v>
      </c>
      <c r="Y373" s="132">
        <v>4.9849999999999998E-2</v>
      </c>
      <c r="Z373" s="132">
        <v>2.0310000000000002E-2</v>
      </c>
    </row>
    <row r="374" spans="1:26">
      <c r="A374" t="s">
        <v>1213</v>
      </c>
      <c r="B374" t="s">
        <v>1250</v>
      </c>
      <c r="C374" t="s">
        <v>1386</v>
      </c>
      <c r="D374" t="s">
        <v>1390</v>
      </c>
      <c r="E374" t="s">
        <v>1391</v>
      </c>
      <c r="F374" t="s">
        <v>945</v>
      </c>
      <c r="G374" t="s">
        <v>204</v>
      </c>
      <c r="H374" t="s">
        <v>204</v>
      </c>
      <c r="I374" t="s">
        <v>340</v>
      </c>
      <c r="J374" t="s">
        <v>1261</v>
      </c>
      <c r="K374" t="s">
        <v>413</v>
      </c>
      <c r="L374" t="s">
        <v>1212</v>
      </c>
      <c r="M374" s="131">
        <v>0.41</v>
      </c>
      <c r="N374" t="s">
        <v>1392</v>
      </c>
      <c r="O374" s="132">
        <v>4.3770000000000003E-2</v>
      </c>
      <c r="P374" s="132">
        <v>4.3099999999999999E-2</v>
      </c>
      <c r="R374" s="131">
        <v>63762678</v>
      </c>
      <c r="S374" s="131">
        <v>1</v>
      </c>
      <c r="T374" s="131">
        <v>98.28</v>
      </c>
      <c r="U374" s="131">
        <v>62665.96</v>
      </c>
      <c r="W374" s="16" t="s">
        <v>15</v>
      </c>
      <c r="X374" s="132">
        <v>6.8799999999999998E-3</v>
      </c>
      <c r="Y374" s="132">
        <v>4.5999999999999999E-2</v>
      </c>
      <c r="Z374" s="132">
        <v>1.874E-2</v>
      </c>
    </row>
    <row r="375" spans="1:26">
      <c r="A375" t="s">
        <v>1213</v>
      </c>
      <c r="B375" t="s">
        <v>1250</v>
      </c>
      <c r="C375" t="s">
        <v>1258</v>
      </c>
      <c r="D375" t="s">
        <v>1329</v>
      </c>
      <c r="E375" t="s">
        <v>1330</v>
      </c>
      <c r="F375" t="s">
        <v>943</v>
      </c>
      <c r="G375" t="s">
        <v>204</v>
      </c>
      <c r="H375" t="s">
        <v>204</v>
      </c>
      <c r="I375" t="s">
        <v>340</v>
      </c>
      <c r="J375" t="s">
        <v>1265</v>
      </c>
      <c r="K375" t="s">
        <v>415</v>
      </c>
      <c r="L375" t="s">
        <v>1212</v>
      </c>
      <c r="M375" s="131">
        <v>2.64</v>
      </c>
      <c r="N375" t="s">
        <v>1331</v>
      </c>
      <c r="O375" s="132">
        <v>-1.6670000000000001E-2</v>
      </c>
      <c r="P375" s="132">
        <v>1.6299999999999999E-2</v>
      </c>
      <c r="R375" s="131">
        <v>50332744</v>
      </c>
      <c r="S375" s="131">
        <v>1</v>
      </c>
      <c r="T375" s="131">
        <v>114.25</v>
      </c>
      <c r="U375" s="131">
        <v>57505.16</v>
      </c>
      <c r="W375" s="16" t="s">
        <v>15</v>
      </c>
      <c r="X375" s="132">
        <v>2.2599999999999999E-3</v>
      </c>
      <c r="Y375" s="132">
        <v>4.2209999999999998E-2</v>
      </c>
      <c r="Z375" s="132">
        <v>1.72E-2</v>
      </c>
    </row>
    <row r="376" spans="1:26">
      <c r="A376" t="s">
        <v>1213</v>
      </c>
      <c r="B376" t="s">
        <v>1250</v>
      </c>
      <c r="C376" t="s">
        <v>1267</v>
      </c>
      <c r="D376" t="s">
        <v>1368</v>
      </c>
      <c r="E376" t="s">
        <v>1369</v>
      </c>
      <c r="F376" t="s">
        <v>945</v>
      </c>
      <c r="G376" t="s">
        <v>204</v>
      </c>
      <c r="H376" t="s">
        <v>204</v>
      </c>
      <c r="I376" t="s">
        <v>340</v>
      </c>
      <c r="J376" t="s">
        <v>1261</v>
      </c>
      <c r="K376" t="s">
        <v>413</v>
      </c>
      <c r="L376" t="s">
        <v>1212</v>
      </c>
      <c r="M376" s="131">
        <v>2.89</v>
      </c>
      <c r="N376" t="s">
        <v>1370</v>
      </c>
      <c r="O376" s="132">
        <v>4.1079999999999998E-2</v>
      </c>
      <c r="P376" s="132">
        <v>4.4499999999999998E-2</v>
      </c>
      <c r="R376" s="131">
        <v>56568000</v>
      </c>
      <c r="S376" s="131">
        <v>1</v>
      </c>
      <c r="T376" s="131">
        <v>98.09</v>
      </c>
      <c r="U376" s="131">
        <v>55487.550999999999</v>
      </c>
      <c r="W376" s="16" t="s">
        <v>15</v>
      </c>
      <c r="X376" s="132">
        <v>3.2299999999999998E-3</v>
      </c>
      <c r="Y376" s="132">
        <v>4.0730000000000002E-2</v>
      </c>
      <c r="Z376" s="132">
        <v>1.66E-2</v>
      </c>
    </row>
    <row r="377" spans="1:26">
      <c r="A377" t="s">
        <v>1213</v>
      </c>
      <c r="B377" t="s">
        <v>1250</v>
      </c>
      <c r="C377" t="s">
        <v>1267</v>
      </c>
      <c r="D377" t="s">
        <v>1341</v>
      </c>
      <c r="E377" t="s">
        <v>1342</v>
      </c>
      <c r="F377" t="s">
        <v>945</v>
      </c>
      <c r="G377" t="s">
        <v>204</v>
      </c>
      <c r="H377" t="s">
        <v>204</v>
      </c>
      <c r="I377" t="s">
        <v>340</v>
      </c>
      <c r="J377" t="s">
        <v>1261</v>
      </c>
      <c r="K377" t="s">
        <v>413</v>
      </c>
      <c r="L377" t="s">
        <v>1212</v>
      </c>
      <c r="M377" s="131">
        <v>2.44</v>
      </c>
      <c r="N377" t="s">
        <v>1343</v>
      </c>
      <c r="O377" s="132">
        <v>1.2540000000000001E-2</v>
      </c>
      <c r="P377" s="132">
        <v>4.3999999999999997E-2</v>
      </c>
      <c r="R377" s="131">
        <v>55562887</v>
      </c>
      <c r="S377" s="131">
        <v>1</v>
      </c>
      <c r="T377" s="131">
        <v>95.44</v>
      </c>
      <c r="U377" s="131">
        <v>53029.218999999997</v>
      </c>
      <c r="W377" s="16" t="s">
        <v>15</v>
      </c>
      <c r="X377" s="132">
        <v>2.15E-3</v>
      </c>
      <c r="Y377" s="132">
        <v>3.8920000000000003E-2</v>
      </c>
      <c r="Z377" s="132">
        <v>1.5859999999999999E-2</v>
      </c>
    </row>
    <row r="378" spans="1:26">
      <c r="A378" t="s">
        <v>1213</v>
      </c>
      <c r="B378" t="s">
        <v>1250</v>
      </c>
      <c r="C378" t="s">
        <v>1290</v>
      </c>
      <c r="D378" t="s">
        <v>1315</v>
      </c>
      <c r="E378" t="s">
        <v>1316</v>
      </c>
      <c r="F378" t="s">
        <v>949</v>
      </c>
      <c r="G378" t="s">
        <v>204</v>
      </c>
      <c r="H378" t="s">
        <v>204</v>
      </c>
      <c r="I378" t="s">
        <v>340</v>
      </c>
      <c r="J378" t="s">
        <v>1261</v>
      </c>
      <c r="K378" t="s">
        <v>413</v>
      </c>
      <c r="L378" t="s">
        <v>1212</v>
      </c>
      <c r="M378" s="131">
        <v>0.5</v>
      </c>
      <c r="N378" t="s">
        <v>1317</v>
      </c>
      <c r="O378" s="132">
        <v>4.1430000000000002E-2</v>
      </c>
      <c r="P378" s="132">
        <v>4.3200000000000002E-2</v>
      </c>
      <c r="R378" s="131">
        <v>46152841</v>
      </c>
      <c r="S378" s="131">
        <v>1</v>
      </c>
      <c r="T378" s="131">
        <v>97.9</v>
      </c>
      <c r="U378" s="131">
        <v>45183.631000000001</v>
      </c>
      <c r="W378" s="16" t="s">
        <v>15</v>
      </c>
      <c r="X378" s="132">
        <v>3.8500000000000001E-3</v>
      </c>
      <c r="Y378" s="132">
        <v>3.3169999999999998E-2</v>
      </c>
      <c r="Z378" s="132">
        <v>1.3509999999999999E-2</v>
      </c>
    </row>
    <row r="379" spans="1:26">
      <c r="A379" t="s">
        <v>1213</v>
      </c>
      <c r="B379" t="s">
        <v>1250</v>
      </c>
      <c r="C379" t="s">
        <v>1290</v>
      </c>
      <c r="D379" t="s">
        <v>1303</v>
      </c>
      <c r="E379" t="s">
        <v>1304</v>
      </c>
      <c r="F379" t="s">
        <v>949</v>
      </c>
      <c r="G379" t="s">
        <v>204</v>
      </c>
      <c r="H379" t="s">
        <v>204</v>
      </c>
      <c r="I379" t="s">
        <v>340</v>
      </c>
      <c r="J379" t="s">
        <v>1265</v>
      </c>
      <c r="K379" t="s">
        <v>415</v>
      </c>
      <c r="L379" t="s">
        <v>1212</v>
      </c>
      <c r="M379" s="131">
        <v>0.92</v>
      </c>
      <c r="N379" t="s">
        <v>1305</v>
      </c>
      <c r="O379" s="132">
        <v>4.19E-2</v>
      </c>
      <c r="P379" s="132">
        <v>4.2900000000000001E-2</v>
      </c>
      <c r="R379" s="131">
        <v>46664400</v>
      </c>
      <c r="S379" s="131">
        <v>1</v>
      </c>
      <c r="T379" s="131">
        <v>96.2</v>
      </c>
      <c r="U379" s="131">
        <v>44891.152999999998</v>
      </c>
      <c r="W379" s="16" t="s">
        <v>15</v>
      </c>
      <c r="X379" s="132">
        <v>3.8899999999999998E-3</v>
      </c>
      <c r="Y379" s="132">
        <v>3.295E-2</v>
      </c>
      <c r="Z379" s="132">
        <v>1.3429999999999999E-2</v>
      </c>
    </row>
    <row r="380" spans="1:26">
      <c r="A380" t="s">
        <v>1213</v>
      </c>
      <c r="B380" t="s">
        <v>1250</v>
      </c>
      <c r="C380" t="s">
        <v>1290</v>
      </c>
      <c r="D380" t="s">
        <v>1338</v>
      </c>
      <c r="E380" t="s">
        <v>1339</v>
      </c>
      <c r="F380" t="s">
        <v>949</v>
      </c>
      <c r="G380" t="s">
        <v>204</v>
      </c>
      <c r="H380" t="s">
        <v>204</v>
      </c>
      <c r="I380" t="s">
        <v>340</v>
      </c>
      <c r="J380" t="s">
        <v>1261</v>
      </c>
      <c r="K380" t="s">
        <v>413</v>
      </c>
      <c r="L380" t="s">
        <v>1212</v>
      </c>
      <c r="M380" s="131">
        <v>0.18</v>
      </c>
      <c r="N380" t="s">
        <v>1340</v>
      </c>
      <c r="O380" s="132">
        <v>4.1230000000000003E-2</v>
      </c>
      <c r="P380" s="132">
        <v>4.2700000000000002E-2</v>
      </c>
      <c r="R380" s="131">
        <v>43260369</v>
      </c>
      <c r="S380" s="131">
        <v>1</v>
      </c>
      <c r="T380" s="131">
        <v>99.27</v>
      </c>
      <c r="U380" s="131">
        <v>42944.567999999999</v>
      </c>
      <c r="W380" s="16" t="s">
        <v>15</v>
      </c>
      <c r="X380" s="132">
        <v>1.08E-3</v>
      </c>
      <c r="Y380" s="132">
        <v>3.1519999999999999E-2</v>
      </c>
      <c r="Z380" s="132">
        <v>1.2840000000000001E-2</v>
      </c>
    </row>
    <row r="381" spans="1:26">
      <c r="A381" t="s">
        <v>1213</v>
      </c>
      <c r="B381" t="s">
        <v>1250</v>
      </c>
      <c r="C381" t="s">
        <v>1386</v>
      </c>
      <c r="D381" t="s">
        <v>1387</v>
      </c>
      <c r="E381" t="s">
        <v>1388</v>
      </c>
      <c r="F381" t="s">
        <v>945</v>
      </c>
      <c r="G381" t="s">
        <v>204</v>
      </c>
      <c r="H381" t="s">
        <v>204</v>
      </c>
      <c r="I381" t="s">
        <v>340</v>
      </c>
      <c r="J381" t="s">
        <v>1261</v>
      </c>
      <c r="K381" t="s">
        <v>413</v>
      </c>
      <c r="L381" t="s">
        <v>1212</v>
      </c>
      <c r="M381" s="131">
        <v>0.16</v>
      </c>
      <c r="N381" t="s">
        <v>1389</v>
      </c>
      <c r="O381" s="132">
        <v>4.1910000000000003E-2</v>
      </c>
      <c r="P381" s="132">
        <v>4.2500000000000003E-2</v>
      </c>
      <c r="R381" s="131">
        <v>40685597</v>
      </c>
      <c r="S381" s="131">
        <v>1</v>
      </c>
      <c r="T381" s="131">
        <v>99.33</v>
      </c>
      <c r="U381" s="131">
        <v>40413.004000000001</v>
      </c>
      <c r="W381" s="16" t="s">
        <v>15</v>
      </c>
      <c r="X381" s="132">
        <v>4.4000000000000003E-3</v>
      </c>
      <c r="Y381" s="132">
        <v>2.9659999999999999E-2</v>
      </c>
      <c r="Z381" s="132">
        <v>1.209E-2</v>
      </c>
    </row>
    <row r="382" spans="1:26">
      <c r="A382" t="s">
        <v>1213</v>
      </c>
      <c r="B382" t="s">
        <v>1250</v>
      </c>
      <c r="C382" t="s">
        <v>1267</v>
      </c>
      <c r="D382" t="s">
        <v>1287</v>
      </c>
      <c r="E382" t="s">
        <v>1288</v>
      </c>
      <c r="F382" t="s">
        <v>945</v>
      </c>
      <c r="G382" t="s">
        <v>204</v>
      </c>
      <c r="H382" t="s">
        <v>204</v>
      </c>
      <c r="I382" t="s">
        <v>340</v>
      </c>
      <c r="J382" t="s">
        <v>1261</v>
      </c>
      <c r="K382" t="s">
        <v>413</v>
      </c>
      <c r="L382" t="s">
        <v>1212</v>
      </c>
      <c r="M382" s="131">
        <v>0.92</v>
      </c>
      <c r="N382" t="s">
        <v>1289</v>
      </c>
      <c r="O382" s="132">
        <v>1.7299999999999999E-2</v>
      </c>
      <c r="P382" s="132">
        <v>4.1700000000000001E-2</v>
      </c>
      <c r="R382" s="131">
        <v>36149589</v>
      </c>
      <c r="S382" s="131">
        <v>1</v>
      </c>
      <c r="T382" s="131">
        <v>98.02</v>
      </c>
      <c r="U382" s="131">
        <v>35433.826999999997</v>
      </c>
      <c r="W382" s="16" t="s">
        <v>15</v>
      </c>
      <c r="X382" s="132">
        <v>1.5200000000000001E-3</v>
      </c>
      <c r="Y382" s="132">
        <v>2.6009999999999998E-2</v>
      </c>
      <c r="Z382" s="132">
        <v>1.06E-2</v>
      </c>
    </row>
    <row r="383" spans="1:26">
      <c r="A383" t="s">
        <v>1213</v>
      </c>
      <c r="B383" t="s">
        <v>1250</v>
      </c>
      <c r="C383" t="s">
        <v>1267</v>
      </c>
      <c r="D383" t="s">
        <v>1274</v>
      </c>
      <c r="E383" t="s">
        <v>1275</v>
      </c>
      <c r="F383" t="s">
        <v>945</v>
      </c>
      <c r="G383" t="s">
        <v>204</v>
      </c>
      <c r="H383" t="s">
        <v>204</v>
      </c>
      <c r="I383" t="s">
        <v>340</v>
      </c>
      <c r="J383" t="s">
        <v>1265</v>
      </c>
      <c r="K383" t="s">
        <v>415</v>
      </c>
      <c r="L383" t="s">
        <v>1212</v>
      </c>
      <c r="M383" s="131">
        <v>1.4</v>
      </c>
      <c r="N383" t="s">
        <v>1276</v>
      </c>
      <c r="O383" s="132">
        <v>3.1519999999999999E-2</v>
      </c>
      <c r="P383" s="132">
        <v>4.3799999999999999E-2</v>
      </c>
      <c r="R383" s="131">
        <v>35788909</v>
      </c>
      <c r="S383" s="131">
        <v>1</v>
      </c>
      <c r="T383" s="131">
        <v>95.1</v>
      </c>
      <c r="U383" s="131">
        <v>34035.252</v>
      </c>
      <c r="W383" s="16" t="s">
        <v>15</v>
      </c>
      <c r="X383" s="132">
        <v>1.2899999999999999E-3</v>
      </c>
      <c r="Y383" s="132">
        <v>2.4979999999999999E-2</v>
      </c>
      <c r="Z383" s="132">
        <v>1.018E-2</v>
      </c>
    </row>
    <row r="384" spans="1:26">
      <c r="A384" t="s">
        <v>1213</v>
      </c>
      <c r="B384" t="s">
        <v>1250</v>
      </c>
      <c r="C384" t="s">
        <v>1290</v>
      </c>
      <c r="D384" t="s">
        <v>1362</v>
      </c>
      <c r="E384" t="s">
        <v>1363</v>
      </c>
      <c r="F384" t="s">
        <v>949</v>
      </c>
      <c r="G384" t="s">
        <v>204</v>
      </c>
      <c r="H384" t="s">
        <v>204</v>
      </c>
      <c r="I384" t="s">
        <v>340</v>
      </c>
      <c r="J384" t="s">
        <v>1261</v>
      </c>
      <c r="K384" t="s">
        <v>413</v>
      </c>
      <c r="L384" t="s">
        <v>1212</v>
      </c>
      <c r="M384" s="131">
        <v>0.1</v>
      </c>
      <c r="N384" t="s">
        <v>1364</v>
      </c>
      <c r="O384" s="132">
        <v>4.1880000000000001E-2</v>
      </c>
      <c r="P384" s="132">
        <v>4.36E-2</v>
      </c>
      <c r="R384" s="131">
        <v>33425059</v>
      </c>
      <c r="S384" s="131">
        <v>1</v>
      </c>
      <c r="T384" s="131">
        <v>99.58</v>
      </c>
      <c r="U384" s="131">
        <v>33284.673999999999</v>
      </c>
      <c r="W384" s="16" t="s">
        <v>15</v>
      </c>
      <c r="X384" s="132">
        <v>8.4000000000000003E-4</v>
      </c>
      <c r="Y384" s="132">
        <v>2.443E-2</v>
      </c>
      <c r="Z384" s="132">
        <v>9.9500000000000005E-3</v>
      </c>
    </row>
    <row r="385" spans="1:26">
      <c r="A385" t="s">
        <v>1213</v>
      </c>
      <c r="B385" t="s">
        <v>1250</v>
      </c>
      <c r="C385" t="s">
        <v>1290</v>
      </c>
      <c r="D385" t="s">
        <v>1294</v>
      </c>
      <c r="E385" t="s">
        <v>1295</v>
      </c>
      <c r="F385" t="s">
        <v>949</v>
      </c>
      <c r="G385" t="s">
        <v>204</v>
      </c>
      <c r="H385" t="s">
        <v>204</v>
      </c>
      <c r="I385" t="s">
        <v>340</v>
      </c>
      <c r="J385" t="s">
        <v>1265</v>
      </c>
      <c r="K385" t="s">
        <v>415</v>
      </c>
      <c r="L385" t="s">
        <v>1212</v>
      </c>
      <c r="M385" s="131">
        <v>0.85</v>
      </c>
      <c r="N385" t="s">
        <v>1296</v>
      </c>
      <c r="O385" s="132">
        <v>4.163E-2</v>
      </c>
      <c r="P385" s="132">
        <v>4.3200000000000002E-2</v>
      </c>
      <c r="R385" s="131">
        <v>31498763</v>
      </c>
      <c r="S385" s="131">
        <v>1</v>
      </c>
      <c r="T385" s="131">
        <v>96.48</v>
      </c>
      <c r="U385" s="131">
        <v>30390.007000000001</v>
      </c>
      <c r="W385" s="16" t="s">
        <v>15</v>
      </c>
      <c r="X385" s="132">
        <v>2.6199999999999999E-3</v>
      </c>
      <c r="Y385" s="132">
        <v>2.231E-2</v>
      </c>
      <c r="Z385" s="132">
        <v>9.0900000000000009E-3</v>
      </c>
    </row>
    <row r="386" spans="1:26">
      <c r="A386" t="s">
        <v>1213</v>
      </c>
      <c r="B386" t="s">
        <v>1250</v>
      </c>
      <c r="C386" t="s">
        <v>1267</v>
      </c>
      <c r="D386" t="s">
        <v>1281</v>
      </c>
      <c r="E386" t="s">
        <v>1282</v>
      </c>
      <c r="F386" t="s">
        <v>945</v>
      </c>
      <c r="G386" t="s">
        <v>204</v>
      </c>
      <c r="H386" t="s">
        <v>204</v>
      </c>
      <c r="I386" t="s">
        <v>340</v>
      </c>
      <c r="J386" t="s">
        <v>1261</v>
      </c>
      <c r="K386" t="s">
        <v>413</v>
      </c>
      <c r="L386" t="s">
        <v>1212</v>
      </c>
      <c r="M386" s="131">
        <v>5.33</v>
      </c>
      <c r="N386" t="s">
        <v>1283</v>
      </c>
      <c r="O386" s="132">
        <v>1.214E-2</v>
      </c>
      <c r="P386" s="132">
        <v>4.6300000000000001E-2</v>
      </c>
      <c r="R386" s="131">
        <v>33100566</v>
      </c>
      <c r="S386" s="131">
        <v>1</v>
      </c>
      <c r="T386" s="131">
        <v>83.24</v>
      </c>
      <c r="U386" s="131">
        <v>27552.911</v>
      </c>
      <c r="W386" s="16" t="s">
        <v>15</v>
      </c>
      <c r="X386" s="132">
        <v>8.8000000000000003E-4</v>
      </c>
      <c r="Y386" s="132">
        <v>2.0219999999999998E-2</v>
      </c>
      <c r="Z386" s="132">
        <v>8.2400000000000008E-3</v>
      </c>
    </row>
    <row r="387" spans="1:26">
      <c r="A387" t="s">
        <v>1213</v>
      </c>
      <c r="B387" t="s">
        <v>1250</v>
      </c>
      <c r="C387" t="s">
        <v>1258</v>
      </c>
      <c r="D387" t="s">
        <v>1297</v>
      </c>
      <c r="E387" t="s">
        <v>1298</v>
      </c>
      <c r="F387" t="s">
        <v>943</v>
      </c>
      <c r="G387" t="s">
        <v>204</v>
      </c>
      <c r="H387" t="s">
        <v>204</v>
      </c>
      <c r="I387" t="s">
        <v>340</v>
      </c>
      <c r="J387" t="s">
        <v>1265</v>
      </c>
      <c r="K387" t="s">
        <v>415</v>
      </c>
      <c r="L387" t="s">
        <v>1212</v>
      </c>
      <c r="M387" s="131">
        <v>7.14</v>
      </c>
      <c r="N387" t="s">
        <v>1299</v>
      </c>
      <c r="O387" s="132">
        <v>8.6899999999999998E-3</v>
      </c>
      <c r="P387" s="132">
        <v>1.9900000000000001E-2</v>
      </c>
      <c r="R387" s="131">
        <v>25372353</v>
      </c>
      <c r="S387" s="131">
        <v>1</v>
      </c>
      <c r="T387" s="131">
        <v>101.1</v>
      </c>
      <c r="U387" s="131">
        <v>25651.449000000001</v>
      </c>
      <c r="W387" s="16" t="s">
        <v>15</v>
      </c>
      <c r="X387" s="132">
        <v>8.3000000000000001E-4</v>
      </c>
      <c r="Y387" s="132">
        <v>1.883E-2</v>
      </c>
      <c r="Z387" s="132">
        <v>7.6699999999999997E-3</v>
      </c>
    </row>
    <row r="388" spans="1:26">
      <c r="A388" t="s">
        <v>1213</v>
      </c>
      <c r="B388" t="s">
        <v>1250</v>
      </c>
      <c r="C388" t="s">
        <v>1267</v>
      </c>
      <c r="D388" t="s">
        <v>1359</v>
      </c>
      <c r="E388" t="s">
        <v>1360</v>
      </c>
      <c r="F388" t="s">
        <v>945</v>
      </c>
      <c r="G388" t="s">
        <v>204</v>
      </c>
      <c r="H388" t="s">
        <v>204</v>
      </c>
      <c r="I388" t="s">
        <v>340</v>
      </c>
      <c r="J388" t="s">
        <v>1261</v>
      </c>
      <c r="K388" t="s">
        <v>413</v>
      </c>
      <c r="L388" t="s">
        <v>1212</v>
      </c>
      <c r="M388" s="131">
        <v>11.26</v>
      </c>
      <c r="N388" t="s">
        <v>1361</v>
      </c>
      <c r="O388" s="132">
        <v>2.8299999999999999E-2</v>
      </c>
      <c r="P388" s="132">
        <v>5.04E-2</v>
      </c>
      <c r="R388" s="131">
        <v>36872664</v>
      </c>
      <c r="S388" s="131">
        <v>1</v>
      </c>
      <c r="T388" s="131">
        <v>67.92</v>
      </c>
      <c r="U388" s="131">
        <v>25043.913</v>
      </c>
      <c r="W388" s="16" t="s">
        <v>15</v>
      </c>
      <c r="X388" s="132">
        <v>1.15E-3</v>
      </c>
      <c r="Y388" s="132">
        <v>1.8380000000000001E-2</v>
      </c>
      <c r="Z388" s="132">
        <v>7.4900000000000001E-3</v>
      </c>
    </row>
    <row r="389" spans="1:26">
      <c r="A389" t="s">
        <v>1213</v>
      </c>
      <c r="B389" t="s">
        <v>1250</v>
      </c>
      <c r="C389" t="s">
        <v>1290</v>
      </c>
      <c r="D389" t="s">
        <v>1326</v>
      </c>
      <c r="E389" t="s">
        <v>1327</v>
      </c>
      <c r="F389" t="s">
        <v>949</v>
      </c>
      <c r="G389" t="s">
        <v>204</v>
      </c>
      <c r="H389" t="s">
        <v>204</v>
      </c>
      <c r="I389" t="s">
        <v>340</v>
      </c>
      <c r="J389" t="s">
        <v>1261</v>
      </c>
      <c r="K389" t="s">
        <v>413</v>
      </c>
      <c r="L389" t="s">
        <v>1212</v>
      </c>
      <c r="M389" s="131">
        <v>0.6</v>
      </c>
      <c r="N389" t="s">
        <v>1328</v>
      </c>
      <c r="O389" s="132">
        <v>4.2860000000000002E-2</v>
      </c>
      <c r="P389" s="132">
        <v>4.2900000000000001E-2</v>
      </c>
      <c r="R389" s="131">
        <v>24463881</v>
      </c>
      <c r="S389" s="131">
        <v>1</v>
      </c>
      <c r="T389" s="131">
        <v>97.52</v>
      </c>
      <c r="U389" s="131">
        <v>23857.177</v>
      </c>
      <c r="W389" s="16" t="s">
        <v>15</v>
      </c>
      <c r="X389" s="132">
        <v>1.75E-3</v>
      </c>
      <c r="Y389" s="132">
        <v>1.7510000000000001E-2</v>
      </c>
      <c r="Z389" s="132">
        <v>7.1399999999999996E-3</v>
      </c>
    </row>
    <row r="390" spans="1:26">
      <c r="A390" t="s">
        <v>1213</v>
      </c>
      <c r="B390" t="s">
        <v>1250</v>
      </c>
      <c r="C390" t="s">
        <v>1290</v>
      </c>
      <c r="D390" t="s">
        <v>1344</v>
      </c>
      <c r="E390" t="s">
        <v>1345</v>
      </c>
      <c r="F390" t="s">
        <v>949</v>
      </c>
      <c r="G390" t="s">
        <v>204</v>
      </c>
      <c r="H390" t="s">
        <v>204</v>
      </c>
      <c r="I390" t="s">
        <v>340</v>
      </c>
      <c r="J390" t="s">
        <v>1261</v>
      </c>
      <c r="K390" t="s">
        <v>413</v>
      </c>
      <c r="L390" t="s">
        <v>1212</v>
      </c>
      <c r="M390" s="131">
        <v>0.75</v>
      </c>
      <c r="N390" t="s">
        <v>1346</v>
      </c>
      <c r="O390" s="132">
        <v>4.3189999999999999E-2</v>
      </c>
      <c r="P390" s="132">
        <v>4.2799999999999998E-2</v>
      </c>
      <c r="R390" s="131">
        <v>24620134</v>
      </c>
      <c r="S390" s="131">
        <v>1</v>
      </c>
      <c r="T390" s="131">
        <v>96.9</v>
      </c>
      <c r="U390" s="131">
        <v>23856.91</v>
      </c>
      <c r="W390" s="16" t="s">
        <v>15</v>
      </c>
      <c r="X390" s="132">
        <v>2.0500000000000002E-3</v>
      </c>
      <c r="Y390" s="132">
        <v>1.7510000000000001E-2</v>
      </c>
      <c r="Z390" s="132">
        <v>7.1399999999999996E-3</v>
      </c>
    </row>
    <row r="391" spans="1:26">
      <c r="A391" t="s">
        <v>1213</v>
      </c>
      <c r="B391" t="s">
        <v>1250</v>
      </c>
      <c r="C391" t="s">
        <v>1290</v>
      </c>
      <c r="D391" t="s">
        <v>1371</v>
      </c>
      <c r="E391" t="s">
        <v>1372</v>
      </c>
      <c r="F391" t="s">
        <v>949</v>
      </c>
      <c r="G391" t="s">
        <v>204</v>
      </c>
      <c r="H391" t="s">
        <v>204</v>
      </c>
      <c r="I391" t="s">
        <v>340</v>
      </c>
      <c r="J391" t="s">
        <v>1261</v>
      </c>
      <c r="K391" t="s">
        <v>413</v>
      </c>
      <c r="L391" t="s">
        <v>1212</v>
      </c>
      <c r="M391" s="131">
        <v>0.01</v>
      </c>
      <c r="N391" t="s">
        <v>1373</v>
      </c>
      <c r="O391" s="132">
        <v>4.1680000000000002E-2</v>
      </c>
      <c r="P391" s="132">
        <v>0.1157</v>
      </c>
      <c r="R391" s="131">
        <v>13174042</v>
      </c>
      <c r="S391" s="131">
        <v>1</v>
      </c>
      <c r="T391" s="131">
        <v>99.97</v>
      </c>
      <c r="U391" s="131">
        <v>13170.09</v>
      </c>
      <c r="W391" s="16" t="s">
        <v>15</v>
      </c>
      <c r="X391" s="132">
        <v>2.9999999999999997E-4</v>
      </c>
      <c r="Y391" s="132">
        <v>9.6699999999999998E-3</v>
      </c>
      <c r="Z391" s="132">
        <v>3.9399999999999999E-3</v>
      </c>
    </row>
    <row r="392" spans="1:26">
      <c r="A392" t="s">
        <v>1213</v>
      </c>
      <c r="B392" t="s">
        <v>1250</v>
      </c>
      <c r="C392" t="s">
        <v>1290</v>
      </c>
      <c r="D392" t="s">
        <v>1291</v>
      </c>
      <c r="E392" t="s">
        <v>1292</v>
      </c>
      <c r="F392" t="s">
        <v>949</v>
      </c>
      <c r="G392" t="s">
        <v>204</v>
      </c>
      <c r="H392" t="s">
        <v>204</v>
      </c>
      <c r="I392" t="s">
        <v>340</v>
      </c>
      <c r="J392" t="s">
        <v>1261</v>
      </c>
      <c r="K392" t="s">
        <v>413</v>
      </c>
      <c r="L392" t="s">
        <v>1212</v>
      </c>
      <c r="M392" s="131">
        <v>0.42</v>
      </c>
      <c r="N392" t="s">
        <v>1293</v>
      </c>
      <c r="O392" s="132">
        <v>4.1119999999999997E-2</v>
      </c>
      <c r="P392" s="132">
        <v>4.3200000000000002E-2</v>
      </c>
      <c r="R392" s="131">
        <v>13305114</v>
      </c>
      <c r="S392" s="131">
        <v>1</v>
      </c>
      <c r="T392" s="131">
        <v>98.22</v>
      </c>
      <c r="U392" s="131">
        <v>13068.282999999999</v>
      </c>
      <c r="W392" s="16" t="s">
        <v>15</v>
      </c>
      <c r="X392" s="132">
        <v>1.1100000000000001E-3</v>
      </c>
      <c r="Y392" s="132">
        <v>9.5899999999999996E-3</v>
      </c>
      <c r="Z392" s="132">
        <v>3.9100000000000003E-3</v>
      </c>
    </row>
    <row r="393" spans="1:26">
      <c r="A393" t="s">
        <v>1213</v>
      </c>
      <c r="B393" t="s">
        <v>1250</v>
      </c>
      <c r="C393" t="s">
        <v>1267</v>
      </c>
      <c r="D393" t="s">
        <v>1377</v>
      </c>
      <c r="E393" t="s">
        <v>1378</v>
      </c>
      <c r="F393" t="s">
        <v>945</v>
      </c>
      <c r="G393" t="s">
        <v>204</v>
      </c>
      <c r="H393" t="s">
        <v>204</v>
      </c>
      <c r="I393" t="s">
        <v>340</v>
      </c>
      <c r="J393" t="s">
        <v>1261</v>
      </c>
      <c r="K393" t="s">
        <v>413</v>
      </c>
      <c r="L393" t="s">
        <v>1212</v>
      </c>
      <c r="M393" s="131">
        <v>14.32</v>
      </c>
      <c r="N393" t="s">
        <v>1379</v>
      </c>
      <c r="O393" s="132">
        <v>1.8919999999999999E-2</v>
      </c>
      <c r="P393" s="132">
        <v>5.3400000000000003E-2</v>
      </c>
      <c r="R393" s="131">
        <v>14602590</v>
      </c>
      <c r="S393" s="131">
        <v>1</v>
      </c>
      <c r="T393" s="131">
        <v>81.36</v>
      </c>
      <c r="U393" s="131">
        <v>11880.666999999999</v>
      </c>
      <c r="W393" s="16" t="s">
        <v>15</v>
      </c>
      <c r="X393" s="132">
        <v>5.5999999999999995E-4</v>
      </c>
      <c r="Y393" s="132">
        <v>8.7200000000000003E-3</v>
      </c>
      <c r="Z393" s="132">
        <v>3.5500000000000002E-3</v>
      </c>
    </row>
    <row r="394" spans="1:26">
      <c r="A394" t="s">
        <v>1213</v>
      </c>
      <c r="B394" t="s">
        <v>1250</v>
      </c>
      <c r="C394" t="s">
        <v>1290</v>
      </c>
      <c r="D394" t="s">
        <v>1350</v>
      </c>
      <c r="E394" t="s">
        <v>1351</v>
      </c>
      <c r="F394" t="s">
        <v>949</v>
      </c>
      <c r="G394" t="s">
        <v>204</v>
      </c>
      <c r="H394" t="s">
        <v>204</v>
      </c>
      <c r="I394" t="s">
        <v>340</v>
      </c>
      <c r="J394" t="s">
        <v>1261</v>
      </c>
      <c r="K394" t="s">
        <v>413</v>
      </c>
      <c r="L394" t="s">
        <v>1212</v>
      </c>
      <c r="M394" s="131">
        <v>0.67</v>
      </c>
      <c r="N394" t="s">
        <v>1352</v>
      </c>
      <c r="O394" s="132">
        <v>4.3389999999999998E-2</v>
      </c>
      <c r="P394" s="132">
        <v>4.2700000000000002E-2</v>
      </c>
      <c r="R394" s="131">
        <v>11503661</v>
      </c>
      <c r="S394" s="131">
        <v>1</v>
      </c>
      <c r="T394" s="131">
        <v>97.22</v>
      </c>
      <c r="U394" s="131">
        <v>11183.859</v>
      </c>
      <c r="W394" s="16" t="s">
        <v>15</v>
      </c>
      <c r="X394" s="132">
        <v>9.6000000000000002E-4</v>
      </c>
      <c r="Y394" s="132">
        <v>8.2100000000000003E-3</v>
      </c>
      <c r="Z394" s="132">
        <v>3.3400000000000001E-3</v>
      </c>
    </row>
    <row r="395" spans="1:26">
      <c r="A395" t="s">
        <v>1213</v>
      </c>
      <c r="B395" t="s">
        <v>1250</v>
      </c>
      <c r="C395" t="s">
        <v>1386</v>
      </c>
      <c r="D395" t="s">
        <v>1397</v>
      </c>
      <c r="E395" t="s">
        <v>1398</v>
      </c>
      <c r="F395" t="s">
        <v>945</v>
      </c>
      <c r="G395" t="s">
        <v>204</v>
      </c>
      <c r="H395" t="s">
        <v>204</v>
      </c>
      <c r="I395" t="s">
        <v>340</v>
      </c>
      <c r="J395" t="s">
        <v>1261</v>
      </c>
      <c r="K395" t="s">
        <v>413</v>
      </c>
      <c r="L395" t="s">
        <v>1212</v>
      </c>
      <c r="M395" s="131">
        <v>0.66</v>
      </c>
      <c r="N395" t="s">
        <v>1399</v>
      </c>
      <c r="O395" s="132">
        <v>4.2959999999999998E-2</v>
      </c>
      <c r="P395" s="132">
        <v>4.1500000000000002E-2</v>
      </c>
      <c r="R395" s="131">
        <v>8778208</v>
      </c>
      <c r="S395" s="131">
        <v>1</v>
      </c>
      <c r="T395" s="131">
        <v>97.35</v>
      </c>
      <c r="U395" s="131">
        <v>8545.5849999999991</v>
      </c>
      <c r="W395" s="16" t="s">
        <v>15</v>
      </c>
      <c r="X395" s="132">
        <v>1.1800000000000001E-3</v>
      </c>
      <c r="Y395" s="132">
        <v>6.2700000000000004E-3</v>
      </c>
      <c r="Z395" s="132">
        <v>2.5600000000000002E-3</v>
      </c>
    </row>
    <row r="396" spans="1:26">
      <c r="A396" t="s">
        <v>1213</v>
      </c>
      <c r="B396" t="s">
        <v>1250</v>
      </c>
      <c r="C396" t="s">
        <v>1258</v>
      </c>
      <c r="D396" t="s">
        <v>1332</v>
      </c>
      <c r="E396" t="s">
        <v>1333</v>
      </c>
      <c r="F396" t="s">
        <v>943</v>
      </c>
      <c r="G396" t="s">
        <v>204</v>
      </c>
      <c r="H396" t="s">
        <v>204</v>
      </c>
      <c r="I396" t="s">
        <v>340</v>
      </c>
      <c r="J396" t="s">
        <v>1261</v>
      </c>
      <c r="K396" t="s">
        <v>413</v>
      </c>
      <c r="L396" t="s">
        <v>1212</v>
      </c>
      <c r="M396" s="131">
        <v>8.43</v>
      </c>
      <c r="N396" t="s">
        <v>1334</v>
      </c>
      <c r="O396" s="132">
        <v>1.4619999999999999E-2</v>
      </c>
      <c r="P396" s="132">
        <v>2.1299999999999999E-2</v>
      </c>
      <c r="R396" s="131">
        <v>8400000</v>
      </c>
      <c r="S396" s="131">
        <v>1</v>
      </c>
      <c r="T396" s="131">
        <v>100.1</v>
      </c>
      <c r="U396" s="131">
        <v>8408.4</v>
      </c>
      <c r="W396" s="16" t="s">
        <v>15</v>
      </c>
      <c r="X396" s="132">
        <v>8.1999999999999998E-4</v>
      </c>
      <c r="Y396" s="132">
        <v>6.1700000000000001E-3</v>
      </c>
      <c r="Z396" s="132">
        <v>2.5100000000000001E-3</v>
      </c>
    </row>
    <row r="397" spans="1:26">
      <c r="A397" t="s">
        <v>1213</v>
      </c>
      <c r="B397" t="s">
        <v>1250</v>
      </c>
      <c r="C397" t="s">
        <v>1267</v>
      </c>
      <c r="D397" t="s">
        <v>1353</v>
      </c>
      <c r="E397" t="s">
        <v>1354</v>
      </c>
      <c r="F397" t="s">
        <v>945</v>
      </c>
      <c r="G397" t="s">
        <v>204</v>
      </c>
      <c r="H397" t="s">
        <v>204</v>
      </c>
      <c r="I397" t="s">
        <v>340</v>
      </c>
      <c r="J397" t="s">
        <v>1261</v>
      </c>
      <c r="K397" t="s">
        <v>413</v>
      </c>
      <c r="L397" t="s">
        <v>1212</v>
      </c>
      <c r="M397" s="131">
        <v>8.52</v>
      </c>
      <c r="N397" t="s">
        <v>1355</v>
      </c>
      <c r="O397" s="132">
        <v>4.0439999999999997E-2</v>
      </c>
      <c r="P397" s="132">
        <v>4.8800000000000003E-2</v>
      </c>
      <c r="R397" s="131">
        <v>8230000</v>
      </c>
      <c r="S397" s="131">
        <v>1</v>
      </c>
      <c r="T397" s="131">
        <v>94.93</v>
      </c>
      <c r="U397" s="131">
        <v>7812.7389999999996</v>
      </c>
      <c r="W397" s="16" t="s">
        <v>15</v>
      </c>
      <c r="X397" s="132">
        <v>4.8000000000000001E-4</v>
      </c>
      <c r="Y397" s="132">
        <v>5.7299999999999999E-3</v>
      </c>
      <c r="Z397" s="132">
        <v>2.3400000000000001E-3</v>
      </c>
    </row>
    <row r="398" spans="1:26">
      <c r="A398" t="s">
        <v>1213</v>
      </c>
      <c r="B398" t="s">
        <v>1250</v>
      </c>
      <c r="C398" t="s">
        <v>1290</v>
      </c>
      <c r="D398" t="s">
        <v>1318</v>
      </c>
      <c r="E398" t="s">
        <v>1319</v>
      </c>
      <c r="F398" t="s">
        <v>949</v>
      </c>
      <c r="G398" t="s">
        <v>204</v>
      </c>
      <c r="H398" t="s">
        <v>204</v>
      </c>
      <c r="I398" t="s">
        <v>340</v>
      </c>
      <c r="J398" t="s">
        <v>1261</v>
      </c>
      <c r="K398" t="s">
        <v>413</v>
      </c>
      <c r="L398" t="s">
        <v>1212</v>
      </c>
      <c r="M398" s="131">
        <v>0.27</v>
      </c>
      <c r="N398" t="s">
        <v>1320</v>
      </c>
      <c r="O398" s="132">
        <v>4.1270000000000001E-2</v>
      </c>
      <c r="P398" s="132">
        <v>4.3200000000000002E-2</v>
      </c>
      <c r="R398" s="131">
        <v>6232562</v>
      </c>
      <c r="S398" s="131">
        <v>1</v>
      </c>
      <c r="T398" s="131">
        <v>98.86</v>
      </c>
      <c r="U398" s="131">
        <v>6161.5110000000004</v>
      </c>
      <c r="W398" s="16" t="s">
        <v>15</v>
      </c>
      <c r="X398" s="132">
        <v>5.1999999999999995E-4</v>
      </c>
      <c r="Y398" s="132">
        <v>4.5199999999999997E-3</v>
      </c>
      <c r="Z398" s="132">
        <v>1.8400000000000001E-3</v>
      </c>
    </row>
    <row r="399" spans="1:26">
      <c r="A399" t="s">
        <v>1213</v>
      </c>
      <c r="B399" t="s">
        <v>1250</v>
      </c>
      <c r="C399" t="s">
        <v>1290</v>
      </c>
      <c r="D399" t="s">
        <v>1335</v>
      </c>
      <c r="E399" t="s">
        <v>1336</v>
      </c>
      <c r="F399" t="s">
        <v>949</v>
      </c>
      <c r="G399" t="s">
        <v>204</v>
      </c>
      <c r="H399" t="s">
        <v>204</v>
      </c>
      <c r="I399" t="s">
        <v>340</v>
      </c>
      <c r="J399" t="s">
        <v>1261</v>
      </c>
      <c r="K399" t="s">
        <v>413</v>
      </c>
      <c r="L399" t="s">
        <v>1212</v>
      </c>
      <c r="M399" s="131">
        <v>0.35</v>
      </c>
      <c r="N399" t="s">
        <v>1337</v>
      </c>
      <c r="O399" s="132">
        <v>4.2029999999999998E-2</v>
      </c>
      <c r="P399" s="132">
        <v>4.2599999999999999E-2</v>
      </c>
      <c r="R399" s="131">
        <v>5440000</v>
      </c>
      <c r="S399" s="131">
        <v>1</v>
      </c>
      <c r="T399" s="131">
        <v>98.56</v>
      </c>
      <c r="U399" s="131">
        <v>5361.6639999999998</v>
      </c>
      <c r="W399" s="16" t="s">
        <v>15</v>
      </c>
      <c r="X399" s="132">
        <v>4.4999999999999999E-4</v>
      </c>
      <c r="Y399" s="132">
        <v>3.9399999999999999E-3</v>
      </c>
      <c r="Z399" s="132">
        <v>1.6000000000000001E-3</v>
      </c>
    </row>
    <row r="400" spans="1:26">
      <c r="A400" t="s">
        <v>1213</v>
      </c>
      <c r="B400" t="s">
        <v>1250</v>
      </c>
      <c r="C400" t="s">
        <v>1267</v>
      </c>
      <c r="D400" t="s">
        <v>1356</v>
      </c>
      <c r="E400" t="s">
        <v>1357</v>
      </c>
      <c r="F400" t="s">
        <v>945</v>
      </c>
      <c r="G400" t="s">
        <v>204</v>
      </c>
      <c r="H400" t="s">
        <v>204</v>
      </c>
      <c r="I400" t="s">
        <v>340</v>
      </c>
      <c r="J400" t="s">
        <v>1261</v>
      </c>
      <c r="K400" t="s">
        <v>413</v>
      </c>
      <c r="L400" t="s">
        <v>1212</v>
      </c>
      <c r="M400" s="131">
        <v>7.17</v>
      </c>
      <c r="N400" t="s">
        <v>1358</v>
      </c>
      <c r="O400" s="132">
        <v>4.2029999999999998E-2</v>
      </c>
      <c r="P400" s="132">
        <v>4.7500000000000001E-2</v>
      </c>
      <c r="R400" s="131">
        <v>6000000</v>
      </c>
      <c r="S400" s="131">
        <v>1</v>
      </c>
      <c r="T400" s="131">
        <v>78.98</v>
      </c>
      <c r="U400" s="131">
        <v>4738.8</v>
      </c>
      <c r="W400" s="16" t="s">
        <v>15</v>
      </c>
      <c r="X400" s="132">
        <v>2.0000000000000001E-4</v>
      </c>
      <c r="Y400" s="132">
        <v>3.48E-3</v>
      </c>
      <c r="Z400" s="132">
        <v>1.42E-3</v>
      </c>
    </row>
    <row r="401" spans="1:26">
      <c r="A401" t="s">
        <v>1213</v>
      </c>
      <c r="B401" t="s">
        <v>1250</v>
      </c>
      <c r="C401" t="s">
        <v>1393</v>
      </c>
      <c r="D401" t="s">
        <v>1394</v>
      </c>
      <c r="E401" t="s">
        <v>1395</v>
      </c>
      <c r="F401" t="s">
        <v>950</v>
      </c>
      <c r="G401" t="s">
        <v>205</v>
      </c>
      <c r="H401" t="s">
        <v>204</v>
      </c>
      <c r="I401" t="s">
        <v>314</v>
      </c>
      <c r="J401" t="s">
        <v>1396</v>
      </c>
      <c r="K401" t="s">
        <v>431</v>
      </c>
      <c r="L401" t="s">
        <v>1218</v>
      </c>
      <c r="M401" s="131">
        <v>1.863</v>
      </c>
      <c r="N401" t="s">
        <v>1314</v>
      </c>
      <c r="O401" s="132">
        <v>3.3669999999999999E-2</v>
      </c>
      <c r="P401" s="132">
        <v>3.8539999999999998E-2</v>
      </c>
      <c r="R401" s="131">
        <v>1000000</v>
      </c>
      <c r="S401" s="131">
        <v>4.1524000000000001</v>
      </c>
      <c r="T401" s="131">
        <f>U401*1000/R401/S401*100</f>
        <v>106.65583758790098</v>
      </c>
      <c r="U401" s="131">
        <v>4428.777</v>
      </c>
      <c r="W401" s="16" t="s">
        <v>15</v>
      </c>
      <c r="X401" s="132">
        <v>4.2000000000000002E-4</v>
      </c>
      <c r="Y401" s="132">
        <v>3.2499999999999999E-3</v>
      </c>
      <c r="Z401" s="132">
        <v>1.32E-3</v>
      </c>
    </row>
    <row r="402" spans="1:26">
      <c r="A402" t="s">
        <v>1213</v>
      </c>
      <c r="B402" t="s">
        <v>1250</v>
      </c>
      <c r="C402" t="s">
        <v>1258</v>
      </c>
      <c r="D402" t="s">
        <v>1400</v>
      </c>
      <c r="E402" t="s">
        <v>1401</v>
      </c>
      <c r="F402" t="s">
        <v>943</v>
      </c>
      <c r="G402" t="s">
        <v>204</v>
      </c>
      <c r="H402" t="s">
        <v>204</v>
      </c>
      <c r="I402" t="s">
        <v>340</v>
      </c>
      <c r="J402" t="s">
        <v>1261</v>
      </c>
      <c r="K402" t="s">
        <v>413</v>
      </c>
      <c r="L402" t="s">
        <v>1212</v>
      </c>
      <c r="M402" s="131">
        <v>18.399999999999999</v>
      </c>
      <c r="N402" t="s">
        <v>1402</v>
      </c>
      <c r="O402" s="132">
        <v>2.49E-3</v>
      </c>
      <c r="P402" s="132">
        <v>2.2700000000000001E-2</v>
      </c>
      <c r="R402" s="131">
        <v>3171612</v>
      </c>
      <c r="S402" s="131">
        <v>1</v>
      </c>
      <c r="T402" s="131">
        <v>92.5</v>
      </c>
      <c r="U402" s="131">
        <v>2933.741</v>
      </c>
      <c r="W402" s="16" t="s">
        <v>15</v>
      </c>
      <c r="X402" s="132">
        <v>1.6000000000000001E-4</v>
      </c>
      <c r="Y402" s="132">
        <v>2.15E-3</v>
      </c>
      <c r="Z402" s="132">
        <v>8.8000000000000003E-4</v>
      </c>
    </row>
    <row r="403" spans="1:26">
      <c r="A403" t="s">
        <v>1213</v>
      </c>
      <c r="B403" t="s">
        <v>1250</v>
      </c>
      <c r="C403" t="s">
        <v>1267</v>
      </c>
      <c r="D403" t="s">
        <v>1403</v>
      </c>
      <c r="E403" t="s">
        <v>1404</v>
      </c>
      <c r="F403" t="s">
        <v>945</v>
      </c>
      <c r="G403" t="s">
        <v>204</v>
      </c>
      <c r="H403" t="s">
        <v>204</v>
      </c>
      <c r="I403" t="s">
        <v>340</v>
      </c>
      <c r="J403" t="s">
        <v>1261</v>
      </c>
      <c r="K403" t="s">
        <v>413</v>
      </c>
      <c r="L403" t="s">
        <v>1212</v>
      </c>
      <c r="M403" s="131">
        <v>16.7</v>
      </c>
      <c r="N403" t="s">
        <v>1405</v>
      </c>
      <c r="O403" s="132">
        <v>3.261E-2</v>
      </c>
      <c r="P403" s="132">
        <v>5.4399999999999997E-2</v>
      </c>
      <c r="R403" s="131">
        <v>3381621</v>
      </c>
      <c r="S403" s="131">
        <v>1</v>
      </c>
      <c r="T403" s="131">
        <v>64.7</v>
      </c>
      <c r="U403" s="131">
        <v>2187.9090000000001</v>
      </c>
      <c r="W403" s="16" t="s">
        <v>15</v>
      </c>
      <c r="X403" s="132">
        <v>1.9000000000000001E-4</v>
      </c>
      <c r="Y403" s="132">
        <v>1.6100000000000001E-3</v>
      </c>
      <c r="Z403" s="132">
        <v>6.4999999999999997E-4</v>
      </c>
    </row>
    <row r="404" spans="1:26">
      <c r="A404" t="s">
        <v>1213</v>
      </c>
      <c r="B404" t="s">
        <v>1250</v>
      </c>
      <c r="C404" t="s">
        <v>1267</v>
      </c>
      <c r="D404" t="s">
        <v>1271</v>
      </c>
      <c r="E404" t="s">
        <v>1272</v>
      </c>
      <c r="F404" t="s">
        <v>945</v>
      </c>
      <c r="G404" t="s">
        <v>204</v>
      </c>
      <c r="H404" t="s">
        <v>204</v>
      </c>
      <c r="I404" t="s">
        <v>340</v>
      </c>
      <c r="J404" t="s">
        <v>1261</v>
      </c>
      <c r="K404" t="s">
        <v>413</v>
      </c>
      <c r="L404" t="s">
        <v>1212</v>
      </c>
      <c r="M404" s="131">
        <v>11.32</v>
      </c>
      <c r="N404" t="s">
        <v>1273</v>
      </c>
      <c r="O404" s="132">
        <v>3.3500000000000002E-2</v>
      </c>
      <c r="P404" s="132">
        <v>5.1700000000000003E-2</v>
      </c>
      <c r="R404" s="131">
        <v>1627356</v>
      </c>
      <c r="S404" s="131">
        <v>1</v>
      </c>
      <c r="T404" s="131">
        <v>107.34</v>
      </c>
      <c r="U404" s="131">
        <v>1746.8040000000001</v>
      </c>
      <c r="W404" s="16" t="s">
        <v>15</v>
      </c>
      <c r="X404" s="132">
        <v>6.9999999999999994E-5</v>
      </c>
      <c r="Y404" s="132">
        <v>1.2800000000000001E-3</v>
      </c>
      <c r="Z404" s="132">
        <v>5.1999999999999995E-4</v>
      </c>
    </row>
    <row r="405" spans="1:26">
      <c r="A405" t="s">
        <v>1213</v>
      </c>
      <c r="B405" t="s">
        <v>1250</v>
      </c>
      <c r="C405" t="s">
        <v>1267</v>
      </c>
      <c r="D405" t="s">
        <v>1312</v>
      </c>
      <c r="E405" t="s">
        <v>1313</v>
      </c>
      <c r="F405" t="s">
        <v>945</v>
      </c>
      <c r="G405" t="s">
        <v>204</v>
      </c>
      <c r="H405" t="s">
        <v>204</v>
      </c>
      <c r="I405" t="s">
        <v>340</v>
      </c>
      <c r="J405" t="s">
        <v>1261</v>
      </c>
      <c r="K405" t="s">
        <v>413</v>
      </c>
      <c r="L405" t="s">
        <v>1212</v>
      </c>
      <c r="M405" s="131">
        <v>1.91</v>
      </c>
      <c r="N405" t="s">
        <v>1314</v>
      </c>
      <c r="O405" s="132">
        <v>4.444E-2</v>
      </c>
      <c r="P405" s="132">
        <v>4.3200000000000002E-2</v>
      </c>
      <c r="R405" s="131">
        <v>855000</v>
      </c>
      <c r="S405" s="131">
        <v>1</v>
      </c>
      <c r="T405" s="131">
        <v>109.5</v>
      </c>
      <c r="U405" s="131">
        <v>936.22500000000002</v>
      </c>
      <c r="W405" s="16" t="s">
        <v>15</v>
      </c>
      <c r="X405" s="132">
        <v>6.0000000000000002E-5</v>
      </c>
      <c r="Y405" s="132">
        <v>6.8999999999999997E-4</v>
      </c>
      <c r="Z405" s="132">
        <v>2.7999999999999998E-4</v>
      </c>
    </row>
    <row r="406" spans="1:26">
      <c r="A406" t="s">
        <v>1213</v>
      </c>
      <c r="B406" t="s">
        <v>1250</v>
      </c>
      <c r="C406" t="s">
        <v>1267</v>
      </c>
      <c r="D406" t="s">
        <v>1306</v>
      </c>
      <c r="E406" t="s">
        <v>1307</v>
      </c>
      <c r="F406" t="s">
        <v>945</v>
      </c>
      <c r="G406" t="s">
        <v>204</v>
      </c>
      <c r="H406" t="s">
        <v>204</v>
      </c>
      <c r="I406" t="s">
        <v>340</v>
      </c>
      <c r="J406" t="s">
        <v>1265</v>
      </c>
      <c r="K406" t="s">
        <v>415</v>
      </c>
      <c r="L406" t="s">
        <v>1212</v>
      </c>
      <c r="M406" s="131">
        <v>4.0599999999999996</v>
      </c>
      <c r="N406" t="s">
        <v>1308</v>
      </c>
      <c r="O406" s="132">
        <v>3.1660000000000001E-2</v>
      </c>
      <c r="P406" s="132">
        <v>4.5600000000000002E-2</v>
      </c>
      <c r="R406" s="131">
        <v>920000</v>
      </c>
      <c r="S406" s="131">
        <v>1</v>
      </c>
      <c r="T406" s="131">
        <v>99.02</v>
      </c>
      <c r="U406" s="131">
        <v>910.98400000000004</v>
      </c>
      <c r="W406" s="16" t="s">
        <v>15</v>
      </c>
      <c r="X406" s="132">
        <v>3.0000000000000001E-5</v>
      </c>
      <c r="Y406" s="132">
        <v>6.7000000000000002E-4</v>
      </c>
      <c r="Z406" s="132">
        <v>2.7E-4</v>
      </c>
    </row>
    <row r="407" spans="1:26">
      <c r="A407" t="s">
        <v>1213</v>
      </c>
      <c r="B407" t="s">
        <v>1250</v>
      </c>
      <c r="C407" t="s">
        <v>1277</v>
      </c>
      <c r="D407" t="s">
        <v>1284</v>
      </c>
      <c r="E407" t="s">
        <v>1285</v>
      </c>
      <c r="F407" t="s">
        <v>946</v>
      </c>
      <c r="G407" t="s">
        <v>204</v>
      </c>
      <c r="H407" t="s">
        <v>204</v>
      </c>
      <c r="I407" t="s">
        <v>340</v>
      </c>
      <c r="J407" t="s">
        <v>1261</v>
      </c>
      <c r="K407" t="s">
        <v>413</v>
      </c>
      <c r="L407" t="s">
        <v>1212</v>
      </c>
      <c r="M407" s="131">
        <v>1.61</v>
      </c>
      <c r="N407" t="s">
        <v>1286</v>
      </c>
      <c r="O407" s="132">
        <v>2.3700000000000001E-3</v>
      </c>
      <c r="P407" s="132">
        <v>4.7E-2</v>
      </c>
      <c r="R407" s="131">
        <v>765187</v>
      </c>
      <c r="S407" s="131">
        <v>1</v>
      </c>
      <c r="T407" s="131">
        <v>99.82</v>
      </c>
      <c r="U407" s="131">
        <v>763.81</v>
      </c>
      <c r="W407" s="16" t="s">
        <v>15</v>
      </c>
      <c r="X407" s="132">
        <v>4.0000000000000003E-5</v>
      </c>
      <c r="Y407" s="132">
        <v>5.5999999999999995E-4</v>
      </c>
      <c r="Z407" s="132">
        <v>2.3000000000000001E-4</v>
      </c>
    </row>
    <row r="408" spans="1:26">
      <c r="A408" t="s">
        <v>1213</v>
      </c>
      <c r="B408" t="s">
        <v>1250</v>
      </c>
      <c r="C408" t="s">
        <v>1406</v>
      </c>
      <c r="D408" t="s">
        <v>1407</v>
      </c>
      <c r="E408" t="s">
        <v>1408</v>
      </c>
      <c r="F408" t="s">
        <v>947</v>
      </c>
      <c r="G408" t="s">
        <v>204</v>
      </c>
      <c r="H408" t="s">
        <v>204</v>
      </c>
      <c r="I408" t="s">
        <v>340</v>
      </c>
      <c r="J408" t="s">
        <v>1261</v>
      </c>
      <c r="K408" t="s">
        <v>413</v>
      </c>
      <c r="L408" t="s">
        <v>1212</v>
      </c>
      <c r="M408" s="131">
        <v>5.27</v>
      </c>
      <c r="N408" t="s">
        <v>1409</v>
      </c>
      <c r="O408" s="132">
        <v>10</v>
      </c>
      <c r="P408" s="132">
        <v>6.6600000000000006E-2</v>
      </c>
      <c r="R408" s="131">
        <v>150000</v>
      </c>
      <c r="S408" s="131">
        <v>1</v>
      </c>
      <c r="T408" s="131">
        <v>307.94</v>
      </c>
      <c r="U408" s="131">
        <v>461.91</v>
      </c>
      <c r="W408" s="16" t="s">
        <v>15</v>
      </c>
      <c r="X408" s="132">
        <v>8.0000000000000007E-5</v>
      </c>
      <c r="Y408" s="132">
        <v>3.4000000000000002E-4</v>
      </c>
      <c r="Z408" s="132">
        <v>1.3999999999999999E-4</v>
      </c>
    </row>
    <row r="409" spans="1:26">
      <c r="A409" t="s">
        <v>1213</v>
      </c>
      <c r="B409" t="s">
        <v>1250</v>
      </c>
      <c r="C409" t="s">
        <v>1321</v>
      </c>
      <c r="D409" t="s">
        <v>1413</v>
      </c>
      <c r="E409" t="s">
        <v>1414</v>
      </c>
      <c r="F409" t="s">
        <v>950</v>
      </c>
      <c r="G409" t="s">
        <v>205</v>
      </c>
      <c r="H409" t="s">
        <v>224</v>
      </c>
      <c r="I409" t="s">
        <v>314</v>
      </c>
      <c r="J409" t="s">
        <v>1324</v>
      </c>
      <c r="K409" t="s">
        <v>423</v>
      </c>
      <c r="L409" t="s">
        <v>1216</v>
      </c>
      <c r="M409" s="131">
        <v>13.621</v>
      </c>
      <c r="N409" t="s">
        <v>1415</v>
      </c>
      <c r="O409" s="132">
        <v>5.0849999999999999E-2</v>
      </c>
      <c r="P409" s="132">
        <v>4.1570000000000003E-2</v>
      </c>
      <c r="R409" s="131">
        <v>7195000</v>
      </c>
      <c r="S409" s="131">
        <v>3.71</v>
      </c>
      <c r="T409" s="131">
        <f>U409*1000/R409/S409*100</f>
        <v>74.515598395861147</v>
      </c>
      <c r="U409" s="131">
        <v>19890.784</v>
      </c>
      <c r="W409" s="16" t="s">
        <v>15</v>
      </c>
      <c r="X409" s="132">
        <v>1E-4</v>
      </c>
      <c r="Y409" s="132">
        <v>1.46E-2</v>
      </c>
      <c r="Z409" s="132">
        <v>5.9500000000000004E-3</v>
      </c>
    </row>
    <row r="410" spans="1:26">
      <c r="A410" t="s">
        <v>1213</v>
      </c>
      <c r="B410" t="s">
        <v>1250</v>
      </c>
      <c r="C410" t="s">
        <v>1393</v>
      </c>
      <c r="D410" t="s">
        <v>1410</v>
      </c>
      <c r="E410" t="s">
        <v>1411</v>
      </c>
      <c r="F410" t="s">
        <v>950</v>
      </c>
      <c r="G410" t="s">
        <v>205</v>
      </c>
      <c r="H410" t="s">
        <v>204</v>
      </c>
      <c r="I410" t="s">
        <v>314</v>
      </c>
      <c r="J410" t="s">
        <v>1396</v>
      </c>
      <c r="K410" t="s">
        <v>431</v>
      </c>
      <c r="L410" t="s">
        <v>1218</v>
      </c>
      <c r="M410" s="131">
        <v>2.161</v>
      </c>
      <c r="N410" t="s">
        <v>1412</v>
      </c>
      <c r="O410" s="132">
        <v>4.3159999999999997E-2</v>
      </c>
      <c r="P410" s="132">
        <v>3.8539999999999998E-2</v>
      </c>
      <c r="R410" s="131">
        <v>2900000</v>
      </c>
      <c r="S410" s="131">
        <v>4.1524000000000001</v>
      </c>
      <c r="T410" s="131">
        <v>95.367999999999995</v>
      </c>
      <c r="U410" s="131">
        <v>11484.175999999999</v>
      </c>
      <c r="W410" s="16" t="s">
        <v>15</v>
      </c>
      <c r="X410" s="132">
        <v>1.0200000000000001E-3</v>
      </c>
      <c r="Y410" s="132">
        <v>8.43E-3</v>
      </c>
      <c r="Z410" s="132">
        <v>3.4299999999999999E-3</v>
      </c>
    </row>
    <row r="411" spans="1:26">
      <c r="A411" t="s">
        <v>1213</v>
      </c>
      <c r="B411" t="s">
        <v>1250</v>
      </c>
      <c r="C411" t="s">
        <v>1321</v>
      </c>
      <c r="D411" t="s">
        <v>1435</v>
      </c>
      <c r="E411" t="s">
        <v>1436</v>
      </c>
      <c r="F411" t="s">
        <v>950</v>
      </c>
      <c r="G411" t="s">
        <v>205</v>
      </c>
      <c r="H411" t="s">
        <v>224</v>
      </c>
      <c r="I411" t="s">
        <v>314</v>
      </c>
      <c r="J411" t="s">
        <v>1324</v>
      </c>
      <c r="K411" t="s">
        <v>423</v>
      </c>
      <c r="L411" t="s">
        <v>1216</v>
      </c>
      <c r="M411" s="131">
        <v>13.86</v>
      </c>
      <c r="N411" t="s">
        <v>1437</v>
      </c>
      <c r="O411" s="132">
        <v>4.9959999999999997E-2</v>
      </c>
      <c r="P411" s="132">
        <v>4.0809999999999999E-2</v>
      </c>
      <c r="R411" s="131">
        <v>3060000</v>
      </c>
      <c r="S411" s="131">
        <v>3.71</v>
      </c>
      <c r="T411" s="131">
        <f t="shared" ref="T411:T414" si="0">U411*1000/R411/S411*100</f>
        <v>65.859424272853801</v>
      </c>
      <c r="U411" s="131">
        <v>7476.7569999999996</v>
      </c>
      <c r="W411" s="16" t="s">
        <v>15</v>
      </c>
      <c r="X411" s="132">
        <v>4.0000000000000003E-5</v>
      </c>
      <c r="Y411" s="132">
        <v>5.4900000000000001E-3</v>
      </c>
      <c r="Z411" s="132">
        <v>2.2399999999999998E-3</v>
      </c>
    </row>
    <row r="412" spans="1:26">
      <c r="A412" t="s">
        <v>1213</v>
      </c>
      <c r="B412" t="s">
        <v>1250</v>
      </c>
      <c r="C412" t="s">
        <v>1321</v>
      </c>
      <c r="D412" t="s">
        <v>1450</v>
      </c>
      <c r="E412" t="s">
        <v>1451</v>
      </c>
      <c r="F412" t="s">
        <v>950</v>
      </c>
      <c r="G412" t="s">
        <v>205</v>
      </c>
      <c r="H412" t="s">
        <v>224</v>
      </c>
      <c r="I412" t="s">
        <v>314</v>
      </c>
      <c r="J412" t="s">
        <v>1324</v>
      </c>
      <c r="K412" t="s">
        <v>423</v>
      </c>
      <c r="L412" t="s">
        <v>1216</v>
      </c>
      <c r="M412" s="131">
        <v>13.656000000000001</v>
      </c>
      <c r="N412" t="s">
        <v>1452</v>
      </c>
      <c r="O412" s="132">
        <v>4.6690000000000002E-2</v>
      </c>
      <c r="P412" s="132">
        <v>4.1950000000000001E-2</v>
      </c>
      <c r="R412" s="131">
        <v>1903000</v>
      </c>
      <c r="S412" s="131">
        <v>3.71</v>
      </c>
      <c r="T412" s="131">
        <f t="shared" si="0"/>
        <v>90.468730745751145</v>
      </c>
      <c r="U412" s="131">
        <v>6387.21</v>
      </c>
      <c r="W412" s="16" t="s">
        <v>15</v>
      </c>
      <c r="X412" s="132">
        <v>5.0000000000000002E-5</v>
      </c>
      <c r="Y412" s="132">
        <v>4.6899999999999997E-3</v>
      </c>
      <c r="Z412" s="132">
        <v>1.91E-3</v>
      </c>
    </row>
    <row r="413" spans="1:26">
      <c r="A413" t="s">
        <v>1213</v>
      </c>
      <c r="B413" t="s">
        <v>1250</v>
      </c>
      <c r="C413" t="s">
        <v>1321</v>
      </c>
      <c r="D413" t="s">
        <v>1432</v>
      </c>
      <c r="E413" t="s">
        <v>1433</v>
      </c>
      <c r="F413" t="s">
        <v>950</v>
      </c>
      <c r="G413" t="s">
        <v>205</v>
      </c>
      <c r="H413" t="s">
        <v>224</v>
      </c>
      <c r="I413" t="s">
        <v>314</v>
      </c>
      <c r="J413" t="s">
        <v>1324</v>
      </c>
      <c r="K413" t="s">
        <v>423</v>
      </c>
      <c r="L413" t="s">
        <v>1216</v>
      </c>
      <c r="M413" s="131">
        <v>13.48</v>
      </c>
      <c r="N413" t="s">
        <v>1434</v>
      </c>
      <c r="O413" s="132">
        <v>4.129E-2</v>
      </c>
      <c r="P413" s="132">
        <v>4.1930000000000002E-2</v>
      </c>
      <c r="R413" s="131">
        <v>1800000</v>
      </c>
      <c r="S413" s="131">
        <v>3.71</v>
      </c>
      <c r="T413" s="131">
        <f t="shared" si="0"/>
        <v>93.062518718179092</v>
      </c>
      <c r="U413" s="131">
        <v>6214.7150000000001</v>
      </c>
      <c r="W413" s="16" t="s">
        <v>15</v>
      </c>
      <c r="X413" s="132">
        <v>4.0000000000000003E-5</v>
      </c>
      <c r="Y413" s="132">
        <v>4.5599999999999998E-3</v>
      </c>
      <c r="Z413" s="132">
        <v>1.8600000000000001E-3</v>
      </c>
    </row>
    <row r="414" spans="1:26">
      <c r="A414" t="s">
        <v>1213</v>
      </c>
      <c r="B414" t="s">
        <v>1250</v>
      </c>
      <c r="C414" t="s">
        <v>1321</v>
      </c>
      <c r="D414" t="s">
        <v>1492</v>
      </c>
      <c r="E414" t="s">
        <v>1493</v>
      </c>
      <c r="F414" t="s">
        <v>950</v>
      </c>
      <c r="G414" t="s">
        <v>205</v>
      </c>
      <c r="H414" t="s">
        <v>224</v>
      </c>
      <c r="I414" t="s">
        <v>314</v>
      </c>
      <c r="J414" t="s">
        <v>1324</v>
      </c>
      <c r="K414" t="s">
        <v>423</v>
      </c>
      <c r="L414" t="s">
        <v>1216</v>
      </c>
      <c r="M414" s="131">
        <v>15.438000000000001</v>
      </c>
      <c r="N414" t="s">
        <v>1494</v>
      </c>
      <c r="O414" s="132">
        <v>4.7719999999999999E-2</v>
      </c>
      <c r="P414" s="132">
        <v>4.2290000000000001E-2</v>
      </c>
      <c r="R414" s="131">
        <v>2150000</v>
      </c>
      <c r="S414" s="131">
        <v>3.71</v>
      </c>
      <c r="T414" s="131">
        <f t="shared" si="0"/>
        <v>76.187500783551684</v>
      </c>
      <c r="U414" s="131">
        <v>6077.0959999999995</v>
      </c>
      <c r="W414" s="16" t="s">
        <v>15</v>
      </c>
      <c r="X414" s="132">
        <v>5.0000000000000002E-5</v>
      </c>
      <c r="Y414" s="132">
        <v>4.4600000000000004E-3</v>
      </c>
      <c r="Z414" s="132">
        <v>1.82E-3</v>
      </c>
    </row>
    <row r="415" spans="1:26">
      <c r="A415" t="s">
        <v>1213</v>
      </c>
      <c r="B415" t="s">
        <v>1250</v>
      </c>
      <c r="C415" t="s">
        <v>1393</v>
      </c>
      <c r="D415" t="s">
        <v>1438</v>
      </c>
      <c r="E415" t="s">
        <v>1439</v>
      </c>
      <c r="F415" t="s">
        <v>950</v>
      </c>
      <c r="G415" t="s">
        <v>205</v>
      </c>
      <c r="H415" t="s">
        <v>204</v>
      </c>
      <c r="I415" t="s">
        <v>314</v>
      </c>
      <c r="J415" t="s">
        <v>1396</v>
      </c>
      <c r="K415" t="s">
        <v>431</v>
      </c>
      <c r="L415" t="s">
        <v>1216</v>
      </c>
      <c r="M415" s="131">
        <v>7.2709999999999999</v>
      </c>
      <c r="N415" t="s">
        <v>1440</v>
      </c>
      <c r="O415" s="132">
        <v>5.8799999999999998E-2</v>
      </c>
      <c r="P415" s="132">
        <v>5.491E-2</v>
      </c>
      <c r="R415" s="131">
        <v>1630000</v>
      </c>
      <c r="S415" s="131">
        <v>3.71</v>
      </c>
      <c r="T415" s="131">
        <v>100.07899999999999</v>
      </c>
      <c r="U415" s="131">
        <v>6052.0770000000002</v>
      </c>
      <c r="W415" s="16" t="s">
        <v>15</v>
      </c>
      <c r="X415" s="132">
        <v>5.4000000000000001E-4</v>
      </c>
      <c r="Y415" s="132">
        <v>4.4400000000000004E-3</v>
      </c>
      <c r="Z415" s="132">
        <v>1.81E-3</v>
      </c>
    </row>
    <row r="416" spans="1:26">
      <c r="A416" t="s">
        <v>1213</v>
      </c>
      <c r="B416" t="s">
        <v>1250</v>
      </c>
      <c r="C416" t="s">
        <v>1321</v>
      </c>
      <c r="D416" t="s">
        <v>1495</v>
      </c>
      <c r="E416" t="s">
        <v>1496</v>
      </c>
      <c r="F416" t="s">
        <v>950</v>
      </c>
      <c r="G416" t="s">
        <v>205</v>
      </c>
      <c r="H416" t="s">
        <v>224</v>
      </c>
      <c r="I416" t="s">
        <v>314</v>
      </c>
      <c r="J416" t="s">
        <v>1324</v>
      </c>
      <c r="K416" t="s">
        <v>423</v>
      </c>
      <c r="L416" t="s">
        <v>1216</v>
      </c>
      <c r="M416" s="131">
        <v>13.497</v>
      </c>
      <c r="N416" t="s">
        <v>1497</v>
      </c>
      <c r="O416" s="132">
        <v>4.4920000000000002E-2</v>
      </c>
      <c r="P416" s="132">
        <v>4.1610000000000001E-2</v>
      </c>
      <c r="R416" s="131">
        <v>1990000</v>
      </c>
      <c r="S416" s="131">
        <v>3.71</v>
      </c>
      <c r="T416" s="131">
        <f t="shared" ref="T416:T418" si="1">U416*1000/R416/S416*100</f>
        <v>78.437470370721542</v>
      </c>
      <c r="U416" s="131">
        <v>5790.96</v>
      </c>
      <c r="W416" s="16" t="s">
        <v>15</v>
      </c>
      <c r="X416" s="132">
        <v>3.0000000000000001E-5</v>
      </c>
      <c r="Y416" s="132">
        <v>4.2500000000000003E-3</v>
      </c>
      <c r="Z416" s="132">
        <v>1.73E-3</v>
      </c>
    </row>
    <row r="417" spans="1:26">
      <c r="A417" t="s">
        <v>1213</v>
      </c>
      <c r="B417" t="s">
        <v>1250</v>
      </c>
      <c r="C417" t="s">
        <v>1321</v>
      </c>
      <c r="D417" t="s">
        <v>1425</v>
      </c>
      <c r="E417" t="s">
        <v>1426</v>
      </c>
      <c r="F417" t="s">
        <v>950</v>
      </c>
      <c r="G417" t="s">
        <v>205</v>
      </c>
      <c r="H417" t="s">
        <v>224</v>
      </c>
      <c r="I417" t="s">
        <v>314</v>
      </c>
      <c r="J417" t="s">
        <v>1324</v>
      </c>
      <c r="K417" t="s">
        <v>423</v>
      </c>
      <c r="L417" t="s">
        <v>1216</v>
      </c>
      <c r="M417" s="131">
        <v>11.063000000000001</v>
      </c>
      <c r="N417" t="s">
        <v>1427</v>
      </c>
      <c r="O417" s="132">
        <v>4.863E-2</v>
      </c>
      <c r="P417" s="132">
        <v>3.8940000000000002E-2</v>
      </c>
      <c r="R417" s="131">
        <v>1510000</v>
      </c>
      <c r="S417" s="131">
        <v>3.71</v>
      </c>
      <c r="T417" s="131">
        <f t="shared" si="1"/>
        <v>96.171899823280555</v>
      </c>
      <c r="U417" s="131">
        <v>5387.6459999999997</v>
      </c>
      <c r="W417" s="16" t="s">
        <v>15</v>
      </c>
      <c r="X417" s="132">
        <v>6.0000000000000002E-5</v>
      </c>
      <c r="Y417" s="132">
        <v>3.9500000000000004E-3</v>
      </c>
      <c r="Z417" s="132">
        <v>1.6100000000000001E-3</v>
      </c>
    </row>
    <row r="418" spans="1:26">
      <c r="A418" t="s">
        <v>1213</v>
      </c>
      <c r="B418" t="s">
        <v>1250</v>
      </c>
      <c r="C418" t="s">
        <v>1321</v>
      </c>
      <c r="D418" t="s">
        <v>1422</v>
      </c>
      <c r="E418" t="s">
        <v>1423</v>
      </c>
      <c r="F418" t="s">
        <v>950</v>
      </c>
      <c r="G418" t="s">
        <v>205</v>
      </c>
      <c r="H418" t="s">
        <v>224</v>
      </c>
      <c r="I418" t="s">
        <v>314</v>
      </c>
      <c r="J418" t="s">
        <v>1324</v>
      </c>
      <c r="K418" t="s">
        <v>423</v>
      </c>
      <c r="L418" t="s">
        <v>1216</v>
      </c>
      <c r="M418" s="131">
        <v>13.465</v>
      </c>
      <c r="N418" t="s">
        <v>1424</v>
      </c>
      <c r="O418" s="132">
        <v>3.9759999999999997E-2</v>
      </c>
      <c r="P418" s="132">
        <v>4.1549999999999997E-2</v>
      </c>
      <c r="R418" s="131">
        <v>1601000</v>
      </c>
      <c r="S418" s="131">
        <v>3.71</v>
      </c>
      <c r="T418" s="131">
        <f t="shared" si="1"/>
        <v>83.281254472019668</v>
      </c>
      <c r="U418" s="131">
        <v>4946.665</v>
      </c>
      <c r="W418" s="16" t="s">
        <v>15</v>
      </c>
      <c r="X418" s="132">
        <v>4.0000000000000003E-5</v>
      </c>
      <c r="Y418" s="132">
        <v>3.63E-3</v>
      </c>
      <c r="Z418" s="132">
        <v>1.48E-3</v>
      </c>
    </row>
    <row r="419" spans="1:26">
      <c r="A419" t="s">
        <v>1213</v>
      </c>
      <c r="B419" t="s">
        <v>1250</v>
      </c>
      <c r="C419" t="s">
        <v>1321</v>
      </c>
      <c r="D419" t="s">
        <v>1419</v>
      </c>
      <c r="E419" t="s">
        <v>1420</v>
      </c>
      <c r="F419" t="s">
        <v>950</v>
      </c>
      <c r="G419" t="s">
        <v>205</v>
      </c>
      <c r="H419" t="s">
        <v>224</v>
      </c>
      <c r="I419" t="s">
        <v>314</v>
      </c>
      <c r="J419" t="s">
        <v>1324</v>
      </c>
      <c r="K419" t="s">
        <v>423</v>
      </c>
      <c r="L419" t="s">
        <v>1216</v>
      </c>
      <c r="M419" s="131">
        <v>14.205</v>
      </c>
      <c r="N419" t="s">
        <v>1421</v>
      </c>
      <c r="O419" s="132">
        <v>4.3130000000000002E-2</v>
      </c>
      <c r="P419" s="132">
        <v>4.2119999999999998E-2</v>
      </c>
      <c r="R419" s="131">
        <v>1450000</v>
      </c>
      <c r="S419" s="131">
        <v>3.71</v>
      </c>
      <c r="T419" s="131">
        <v>84.875</v>
      </c>
      <c r="U419" s="131">
        <v>4565.8509999999997</v>
      </c>
      <c r="W419" s="16" t="s">
        <v>15</v>
      </c>
      <c r="X419" s="132">
        <v>3.0000000000000001E-5</v>
      </c>
      <c r="Y419" s="132">
        <v>3.3500000000000001E-3</v>
      </c>
      <c r="Z419" s="132">
        <v>1.3699999999999999E-3</v>
      </c>
    </row>
    <row r="420" spans="1:26">
      <c r="A420" t="s">
        <v>1213</v>
      </c>
      <c r="B420" t="s">
        <v>1250</v>
      </c>
      <c r="C420" t="s">
        <v>1321</v>
      </c>
      <c r="D420" t="s">
        <v>1416</v>
      </c>
      <c r="E420" t="s">
        <v>1417</v>
      </c>
      <c r="F420" t="s">
        <v>950</v>
      </c>
      <c r="G420" t="s">
        <v>205</v>
      </c>
      <c r="H420" t="s">
        <v>224</v>
      </c>
      <c r="I420" t="s">
        <v>314</v>
      </c>
      <c r="J420" t="s">
        <v>1324</v>
      </c>
      <c r="K420" t="s">
        <v>423</v>
      </c>
      <c r="L420" t="s">
        <v>1216</v>
      </c>
      <c r="M420" s="131">
        <v>4.319</v>
      </c>
      <c r="N420" t="s">
        <v>1418</v>
      </c>
      <c r="O420" s="132">
        <v>4.9459999999999997E-2</v>
      </c>
      <c r="P420" s="132">
        <v>3.5589999999999997E-2</v>
      </c>
      <c r="R420" s="131">
        <v>1200000</v>
      </c>
      <c r="S420" s="131">
        <v>3.71</v>
      </c>
      <c r="T420" s="131">
        <v>99.625</v>
      </c>
      <c r="U420" s="131">
        <v>4435.3050000000003</v>
      </c>
      <c r="W420" s="16" t="s">
        <v>15</v>
      </c>
      <c r="X420" s="132">
        <v>3.0000000000000001E-5</v>
      </c>
      <c r="Y420" s="132">
        <v>3.2599999999999999E-3</v>
      </c>
      <c r="Z420" s="132">
        <v>1.33E-3</v>
      </c>
    </row>
    <row r="421" spans="1:26">
      <c r="A421" t="s">
        <v>1213</v>
      </c>
      <c r="B421" t="s">
        <v>1250</v>
      </c>
      <c r="C421" t="s">
        <v>1321</v>
      </c>
      <c r="D421" t="s">
        <v>1428</v>
      </c>
      <c r="E421" t="s">
        <v>1429</v>
      </c>
      <c r="F421" t="s">
        <v>950</v>
      </c>
      <c r="G421" t="s">
        <v>205</v>
      </c>
      <c r="H421" t="s">
        <v>224</v>
      </c>
      <c r="I421" t="s">
        <v>314</v>
      </c>
      <c r="J421" t="s">
        <v>1430</v>
      </c>
      <c r="K421" t="s">
        <v>431</v>
      </c>
      <c r="L421" t="s">
        <v>1216</v>
      </c>
      <c r="M421" s="131">
        <v>0.11700000000000001</v>
      </c>
      <c r="N421" t="s">
        <v>1431</v>
      </c>
      <c r="O421" s="132">
        <v>5.407E-2</v>
      </c>
      <c r="P421" s="132">
        <v>4.7019999999999999E-2</v>
      </c>
      <c r="R421" s="131">
        <v>1200000</v>
      </c>
      <c r="S421" s="131">
        <v>3.71</v>
      </c>
      <c r="T421" s="131">
        <f>U421*1000/R421/S421*100</f>
        <v>99.43679245283019</v>
      </c>
      <c r="U421" s="131">
        <v>4426.9260000000004</v>
      </c>
      <c r="W421" s="16" t="s">
        <v>15</v>
      </c>
      <c r="X421" s="132">
        <v>1.0000000000000001E-5</v>
      </c>
      <c r="Y421" s="132">
        <v>3.2499999999999999E-3</v>
      </c>
      <c r="Z421" s="132">
        <v>1.32E-3</v>
      </c>
    </row>
    <row r="422" spans="1:26">
      <c r="A422" t="s">
        <v>1213</v>
      </c>
      <c r="B422" t="s">
        <v>1250</v>
      </c>
      <c r="C422" t="s">
        <v>1321</v>
      </c>
      <c r="D422" t="s">
        <v>1465</v>
      </c>
      <c r="E422" t="s">
        <v>1466</v>
      </c>
      <c r="F422" t="s">
        <v>950</v>
      </c>
      <c r="G422" t="s">
        <v>205</v>
      </c>
      <c r="H422" t="s">
        <v>224</v>
      </c>
      <c r="I422" t="s">
        <v>314</v>
      </c>
      <c r="J422" t="s">
        <v>1430</v>
      </c>
      <c r="K422" t="s">
        <v>431</v>
      </c>
      <c r="L422" t="s">
        <v>1216</v>
      </c>
      <c r="M422" s="131">
        <v>0.249</v>
      </c>
      <c r="N422" t="s">
        <v>1467</v>
      </c>
      <c r="O422" s="132">
        <v>5.3330000000000002E-2</v>
      </c>
      <c r="P422" s="132">
        <v>4.5379999999999997E-2</v>
      </c>
      <c r="R422" s="131">
        <v>1200000</v>
      </c>
      <c r="S422" s="131">
        <v>3.71</v>
      </c>
      <c r="T422" s="131">
        <v>98.856999999999999</v>
      </c>
      <c r="U422" s="131">
        <v>4401.1139999999996</v>
      </c>
      <c r="W422" s="16" t="s">
        <v>15</v>
      </c>
      <c r="X422" s="132">
        <v>1.0000000000000001E-5</v>
      </c>
      <c r="Y422" s="132">
        <v>3.2299999999999998E-3</v>
      </c>
      <c r="Z422" s="132">
        <v>1.32E-3</v>
      </c>
    </row>
    <row r="423" spans="1:26">
      <c r="A423" t="s">
        <v>1213</v>
      </c>
      <c r="B423" t="s">
        <v>1250</v>
      </c>
      <c r="C423" t="s">
        <v>1321</v>
      </c>
      <c r="D423" t="s">
        <v>1498</v>
      </c>
      <c r="E423" t="s">
        <v>1499</v>
      </c>
      <c r="F423" t="s">
        <v>950</v>
      </c>
      <c r="G423" t="s">
        <v>205</v>
      </c>
      <c r="H423" t="s">
        <v>224</v>
      </c>
      <c r="I423" t="s">
        <v>314</v>
      </c>
      <c r="J423" t="s">
        <v>1324</v>
      </c>
      <c r="K423" t="s">
        <v>423</v>
      </c>
      <c r="L423" t="s">
        <v>1216</v>
      </c>
      <c r="M423" s="131">
        <v>10.927</v>
      </c>
      <c r="N423" t="s">
        <v>1500</v>
      </c>
      <c r="O423" s="132">
        <v>4.394E-2</v>
      </c>
      <c r="P423" s="132">
        <v>3.9480000000000001E-2</v>
      </c>
      <c r="R423" s="131">
        <v>1000000</v>
      </c>
      <c r="S423" s="131">
        <v>3.71</v>
      </c>
      <c r="T423" s="131">
        <v>106.578</v>
      </c>
      <c r="U423" s="131">
        <v>3954.0479999999998</v>
      </c>
      <c r="W423" s="16" t="s">
        <v>15</v>
      </c>
      <c r="X423" s="132">
        <v>2.0000000000000002E-5</v>
      </c>
      <c r="Y423" s="132">
        <v>2.8999999999999998E-3</v>
      </c>
      <c r="Z423" s="132">
        <v>1.1800000000000001E-3</v>
      </c>
    </row>
    <row r="424" spans="1:26">
      <c r="A424" t="s">
        <v>1213</v>
      </c>
      <c r="B424" t="s">
        <v>1250</v>
      </c>
      <c r="C424" t="s">
        <v>1321</v>
      </c>
      <c r="D424" t="s">
        <v>1501</v>
      </c>
      <c r="E424" t="s">
        <v>1502</v>
      </c>
      <c r="F424" t="s">
        <v>950</v>
      </c>
      <c r="G424" t="s">
        <v>205</v>
      </c>
      <c r="H424" t="s">
        <v>224</v>
      </c>
      <c r="I424" t="s">
        <v>314</v>
      </c>
      <c r="J424" t="s">
        <v>1324</v>
      </c>
      <c r="K424" t="s">
        <v>423</v>
      </c>
      <c r="L424" t="s">
        <v>1216</v>
      </c>
      <c r="M424" s="131">
        <v>0.16</v>
      </c>
      <c r="N424" t="s">
        <v>1503</v>
      </c>
      <c r="O424" s="132">
        <v>5.4219999999999997E-2</v>
      </c>
      <c r="P424" s="132">
        <v>4.5330000000000002E-2</v>
      </c>
      <c r="R424" s="131">
        <v>1030000</v>
      </c>
      <c r="S424" s="131">
        <v>3.71</v>
      </c>
      <c r="T424" s="131">
        <f t="shared" ref="T424:T430" si="2">U424*1000/R424/S424*100</f>
        <v>100.24742888545784</v>
      </c>
      <c r="U424" s="131">
        <v>3830.7550000000001</v>
      </c>
      <c r="W424" s="16" t="s">
        <v>15</v>
      </c>
      <c r="X424" s="132">
        <v>3.0000000000000001E-5</v>
      </c>
      <c r="Y424" s="132">
        <v>2.81E-3</v>
      </c>
      <c r="Z424" s="132">
        <v>1.15E-3</v>
      </c>
    </row>
    <row r="425" spans="1:26">
      <c r="A425" t="s">
        <v>1213</v>
      </c>
      <c r="B425" t="s">
        <v>1250</v>
      </c>
      <c r="C425" t="s">
        <v>1393</v>
      </c>
      <c r="D425" t="s">
        <v>1441</v>
      </c>
      <c r="E425" t="s">
        <v>1442</v>
      </c>
      <c r="F425" t="s">
        <v>950</v>
      </c>
      <c r="G425" t="s">
        <v>205</v>
      </c>
      <c r="H425" t="s">
        <v>204</v>
      </c>
      <c r="I425" t="s">
        <v>314</v>
      </c>
      <c r="J425" t="s">
        <v>1396</v>
      </c>
      <c r="K425" t="s">
        <v>431</v>
      </c>
      <c r="L425" t="s">
        <v>1216</v>
      </c>
      <c r="M425" s="131">
        <v>13.723000000000001</v>
      </c>
      <c r="N425" t="s">
        <v>1443</v>
      </c>
      <c r="O425" s="132">
        <v>5.851E-2</v>
      </c>
      <c r="P425" s="132">
        <v>6.105E-2</v>
      </c>
      <c r="R425" s="131">
        <v>1080000</v>
      </c>
      <c r="S425" s="131">
        <v>3.71</v>
      </c>
      <c r="T425" s="131">
        <f t="shared" si="2"/>
        <v>95.215508635319964</v>
      </c>
      <c r="U425" s="131">
        <v>3815.0949999999998</v>
      </c>
      <c r="W425" s="16" t="s">
        <v>15</v>
      </c>
      <c r="X425" s="132">
        <v>3.6000000000000002E-4</v>
      </c>
      <c r="Y425" s="132">
        <v>2.8E-3</v>
      </c>
      <c r="Z425" s="132">
        <v>1.14E-3</v>
      </c>
    </row>
    <row r="426" spans="1:26">
      <c r="A426" t="s">
        <v>1213</v>
      </c>
      <c r="B426" t="s">
        <v>1250</v>
      </c>
      <c r="C426" t="s">
        <v>1321</v>
      </c>
      <c r="D426" t="s">
        <v>1459</v>
      </c>
      <c r="E426" t="s">
        <v>1460</v>
      </c>
      <c r="F426" t="s">
        <v>950</v>
      </c>
      <c r="G426" t="s">
        <v>205</v>
      </c>
      <c r="H426" t="s">
        <v>224</v>
      </c>
      <c r="I426" t="s">
        <v>314</v>
      </c>
      <c r="J426" t="s">
        <v>1430</v>
      </c>
      <c r="K426" t="s">
        <v>431</v>
      </c>
      <c r="L426" t="s">
        <v>1216</v>
      </c>
      <c r="M426" s="131">
        <v>0.17399999999999999</v>
      </c>
      <c r="N426" t="s">
        <v>1461</v>
      </c>
      <c r="O426" s="132">
        <v>5.3949999999999998E-2</v>
      </c>
      <c r="P426" s="132">
        <v>4.5370000000000001E-2</v>
      </c>
      <c r="R426" s="131">
        <v>1000000</v>
      </c>
      <c r="S426" s="131">
        <v>3.71</v>
      </c>
      <c r="T426" s="131">
        <f t="shared" si="2"/>
        <v>99.195606469002698</v>
      </c>
      <c r="U426" s="131">
        <v>3680.1570000000002</v>
      </c>
      <c r="W426" s="16" t="s">
        <v>15</v>
      </c>
      <c r="X426" s="132">
        <v>1.0000000000000001E-5</v>
      </c>
      <c r="Y426" s="132">
        <v>2.7000000000000001E-3</v>
      </c>
      <c r="Z426" s="132">
        <v>1.1000000000000001E-3</v>
      </c>
    </row>
    <row r="427" spans="1:26">
      <c r="A427" t="s">
        <v>1213</v>
      </c>
      <c r="B427" t="s">
        <v>1250</v>
      </c>
      <c r="C427" t="s">
        <v>1321</v>
      </c>
      <c r="D427" t="s">
        <v>1474</v>
      </c>
      <c r="E427" t="s">
        <v>1475</v>
      </c>
      <c r="F427" t="s">
        <v>950</v>
      </c>
      <c r="G427" t="s">
        <v>205</v>
      </c>
      <c r="H427" t="s">
        <v>224</v>
      </c>
      <c r="I427" t="s">
        <v>314</v>
      </c>
      <c r="J427" t="s">
        <v>1324</v>
      </c>
      <c r="K427" t="s">
        <v>423</v>
      </c>
      <c r="L427" t="s">
        <v>1216</v>
      </c>
      <c r="M427" s="131">
        <v>6.7380000000000004</v>
      </c>
      <c r="N427" t="s">
        <v>1476</v>
      </c>
      <c r="O427" s="132">
        <v>4.3659999999999997E-2</v>
      </c>
      <c r="P427" s="132">
        <v>3.6880000000000003E-2</v>
      </c>
      <c r="R427" s="131">
        <v>1100000</v>
      </c>
      <c r="S427" s="131">
        <v>3.71</v>
      </c>
      <c r="T427" s="131">
        <f t="shared" si="2"/>
        <v>88.796863513844642</v>
      </c>
      <c r="U427" s="131">
        <v>3623.8</v>
      </c>
      <c r="W427" s="16" t="s">
        <v>15</v>
      </c>
      <c r="X427" s="132">
        <v>1.0000000000000001E-5</v>
      </c>
      <c r="Y427" s="132">
        <v>2.66E-3</v>
      </c>
      <c r="Z427" s="132">
        <v>1.08E-3</v>
      </c>
    </row>
    <row r="428" spans="1:26">
      <c r="A428" t="s">
        <v>1213</v>
      </c>
      <c r="B428" t="s">
        <v>1250</v>
      </c>
      <c r="C428" t="s">
        <v>1321</v>
      </c>
      <c r="D428" t="s">
        <v>1456</v>
      </c>
      <c r="E428" t="s">
        <v>1457</v>
      </c>
      <c r="F428" t="s">
        <v>950</v>
      </c>
      <c r="G428" t="s">
        <v>205</v>
      </c>
      <c r="H428" t="s">
        <v>224</v>
      </c>
      <c r="I428" t="s">
        <v>314</v>
      </c>
      <c r="J428" t="s">
        <v>1324</v>
      </c>
      <c r="K428" t="s">
        <v>423</v>
      </c>
      <c r="L428" t="s">
        <v>1216</v>
      </c>
      <c r="M428" s="131">
        <v>0.26300000000000001</v>
      </c>
      <c r="N428" t="s">
        <v>1458</v>
      </c>
      <c r="O428" s="132">
        <v>-0.19467000000000001</v>
      </c>
      <c r="P428" s="132">
        <v>3.2849999999999997E-2</v>
      </c>
      <c r="R428" s="131">
        <v>765000</v>
      </c>
      <c r="S428" s="131">
        <v>3.71</v>
      </c>
      <c r="T428" s="131">
        <f t="shared" si="2"/>
        <v>119.67767736025228</v>
      </c>
      <c r="U428" s="131">
        <v>3396.6320000000001</v>
      </c>
      <c r="W428" s="16" t="s">
        <v>15</v>
      </c>
      <c r="X428" s="132">
        <v>2.0000000000000002E-5</v>
      </c>
      <c r="Y428" s="132">
        <v>2.49E-3</v>
      </c>
      <c r="Z428" s="132">
        <v>1.0200000000000001E-3</v>
      </c>
    </row>
    <row r="429" spans="1:26">
      <c r="A429" t="s">
        <v>1213</v>
      </c>
      <c r="B429" t="s">
        <v>1250</v>
      </c>
      <c r="C429" t="s">
        <v>1321</v>
      </c>
      <c r="D429" t="s">
        <v>1483</v>
      </c>
      <c r="E429" t="s">
        <v>1484</v>
      </c>
      <c r="F429" t="s">
        <v>950</v>
      </c>
      <c r="G429" t="s">
        <v>205</v>
      </c>
      <c r="H429" t="s">
        <v>224</v>
      </c>
      <c r="I429" t="s">
        <v>314</v>
      </c>
      <c r="J429" t="s">
        <v>1324</v>
      </c>
      <c r="K429" t="s">
        <v>423</v>
      </c>
      <c r="L429" t="s">
        <v>1216</v>
      </c>
      <c r="M429" s="131">
        <v>0.21199999999999999</v>
      </c>
      <c r="N429" t="s">
        <v>1485</v>
      </c>
      <c r="O429" s="132">
        <v>5.3670000000000002E-2</v>
      </c>
      <c r="P429" s="132">
        <v>4.5690000000000001E-2</v>
      </c>
      <c r="R429" s="131">
        <v>900000</v>
      </c>
      <c r="S429" s="131">
        <v>3.71</v>
      </c>
      <c r="T429" s="131">
        <f t="shared" si="2"/>
        <v>99.02231206948187</v>
      </c>
      <c r="U429" s="131">
        <v>3306.355</v>
      </c>
      <c r="W429" s="16" t="s">
        <v>15</v>
      </c>
      <c r="X429" s="132">
        <v>1.0000000000000001E-5</v>
      </c>
      <c r="Y429" s="132">
        <v>2.4299999999999999E-3</v>
      </c>
      <c r="Z429" s="132">
        <v>9.8999999999999999E-4</v>
      </c>
    </row>
    <row r="430" spans="1:26">
      <c r="A430" t="s">
        <v>1213</v>
      </c>
      <c r="B430" t="s">
        <v>1250</v>
      </c>
      <c r="C430" t="s">
        <v>1393</v>
      </c>
      <c r="D430" t="s">
        <v>1471</v>
      </c>
      <c r="E430" t="s">
        <v>1472</v>
      </c>
      <c r="F430" t="s">
        <v>950</v>
      </c>
      <c r="G430" t="s">
        <v>205</v>
      </c>
      <c r="H430" t="s">
        <v>204</v>
      </c>
      <c r="I430" t="s">
        <v>314</v>
      </c>
      <c r="J430" t="s">
        <v>1396</v>
      </c>
      <c r="K430" t="s">
        <v>431</v>
      </c>
      <c r="L430" t="s">
        <v>1216</v>
      </c>
      <c r="M430" s="131">
        <v>3.91</v>
      </c>
      <c r="N430" t="s">
        <v>1473</v>
      </c>
      <c r="O430" s="132">
        <v>4.929E-2</v>
      </c>
      <c r="P430" s="132">
        <v>4.8899999999999999E-2</v>
      </c>
      <c r="R430" s="131">
        <v>810000</v>
      </c>
      <c r="S430" s="131">
        <v>3.71</v>
      </c>
      <c r="T430" s="131">
        <f t="shared" si="2"/>
        <v>101.71674819473562</v>
      </c>
      <c r="U430" s="131">
        <v>3056.69</v>
      </c>
      <c r="W430" s="16" t="s">
        <v>15</v>
      </c>
      <c r="X430" s="132">
        <v>4.0000000000000002E-4</v>
      </c>
      <c r="Y430" s="132">
        <v>2.2399999999999998E-3</v>
      </c>
      <c r="Z430" s="132">
        <v>9.1E-4</v>
      </c>
    </row>
    <row r="431" spans="1:26">
      <c r="A431" t="s">
        <v>1213</v>
      </c>
      <c r="B431" t="s">
        <v>1250</v>
      </c>
      <c r="C431" t="s">
        <v>1321</v>
      </c>
      <c r="D431" t="s">
        <v>1462</v>
      </c>
      <c r="E431" t="s">
        <v>1463</v>
      </c>
      <c r="F431" t="s">
        <v>950</v>
      </c>
      <c r="G431" t="s">
        <v>205</v>
      </c>
      <c r="H431" t="s">
        <v>224</v>
      </c>
      <c r="I431" t="s">
        <v>314</v>
      </c>
      <c r="J431" t="s">
        <v>1430</v>
      </c>
      <c r="K431" t="s">
        <v>431</v>
      </c>
      <c r="L431" t="s">
        <v>1216</v>
      </c>
      <c r="M431" s="131">
        <v>0.193</v>
      </c>
      <c r="N431" t="s">
        <v>1464</v>
      </c>
      <c r="O431" s="132">
        <v>5.3859999999999998E-2</v>
      </c>
      <c r="P431" s="132">
        <v>4.5030000000000001E-2</v>
      </c>
      <c r="R431" s="131">
        <v>800000</v>
      </c>
      <c r="S431" s="131">
        <v>3.71</v>
      </c>
      <c r="T431" s="131">
        <v>99.119</v>
      </c>
      <c r="U431" s="131">
        <v>2941.8490000000002</v>
      </c>
      <c r="W431" s="16" t="s">
        <v>15</v>
      </c>
      <c r="X431" s="132">
        <v>1.0000000000000001E-5</v>
      </c>
      <c r="Y431" s="132">
        <v>2.16E-3</v>
      </c>
      <c r="Z431" s="132">
        <v>8.8000000000000003E-4</v>
      </c>
    </row>
    <row r="432" spans="1:26">
      <c r="A432" t="s">
        <v>1213</v>
      </c>
      <c r="B432" t="s">
        <v>1250</v>
      </c>
      <c r="C432" t="s">
        <v>1321</v>
      </c>
      <c r="D432" t="s">
        <v>1477</v>
      </c>
      <c r="E432" t="s">
        <v>1478</v>
      </c>
      <c r="F432" t="s">
        <v>950</v>
      </c>
      <c r="G432" t="s">
        <v>205</v>
      </c>
      <c r="H432" t="s">
        <v>224</v>
      </c>
      <c r="I432" t="s">
        <v>314</v>
      </c>
      <c r="J432" t="s">
        <v>1324</v>
      </c>
      <c r="K432" t="s">
        <v>423</v>
      </c>
      <c r="L432" t="s">
        <v>1216</v>
      </c>
      <c r="M432" s="131">
        <v>14.803000000000001</v>
      </c>
      <c r="N432" t="s">
        <v>1479</v>
      </c>
      <c r="O432" s="132">
        <v>3.984E-2</v>
      </c>
      <c r="P432" s="132">
        <v>4.2139999999999997E-2</v>
      </c>
      <c r="R432" s="131">
        <v>733000</v>
      </c>
      <c r="S432" s="131">
        <v>3.71</v>
      </c>
      <c r="T432" s="131">
        <f t="shared" ref="T432:T434" si="3">U432*1000/R432/S432*100</f>
        <v>81.937464836381153</v>
      </c>
      <c r="U432" s="131">
        <v>2228.232</v>
      </c>
      <c r="W432" s="16" t="s">
        <v>15</v>
      </c>
      <c r="X432" s="132">
        <v>2.0000000000000002E-5</v>
      </c>
      <c r="Y432" s="132">
        <v>1.64E-3</v>
      </c>
      <c r="Z432" s="132">
        <v>6.7000000000000002E-4</v>
      </c>
    </row>
    <row r="433" spans="1:26">
      <c r="A433" t="s">
        <v>1213</v>
      </c>
      <c r="B433" t="s">
        <v>1250</v>
      </c>
      <c r="C433" t="s">
        <v>1321</v>
      </c>
      <c r="D433" t="s">
        <v>1480</v>
      </c>
      <c r="E433" t="s">
        <v>1481</v>
      </c>
      <c r="F433" t="s">
        <v>950</v>
      </c>
      <c r="G433" t="s">
        <v>205</v>
      </c>
      <c r="H433" t="s">
        <v>224</v>
      </c>
      <c r="I433" t="s">
        <v>314</v>
      </c>
      <c r="J433" t="s">
        <v>1324</v>
      </c>
      <c r="K433" t="s">
        <v>423</v>
      </c>
      <c r="L433" t="s">
        <v>1216</v>
      </c>
      <c r="M433" s="131">
        <v>6.1219999999999999</v>
      </c>
      <c r="N433" t="s">
        <v>1482</v>
      </c>
      <c r="O433" s="132">
        <v>4.4580000000000002E-2</v>
      </c>
      <c r="P433" s="132">
        <v>3.6380000000000003E-2</v>
      </c>
      <c r="R433" s="131">
        <v>670000</v>
      </c>
      <c r="S433" s="131">
        <v>3.71</v>
      </c>
      <c r="T433" s="131">
        <f t="shared" si="3"/>
        <v>89.015689745343366</v>
      </c>
      <c r="U433" s="131">
        <v>2212.663</v>
      </c>
      <c r="W433" s="16" t="s">
        <v>15</v>
      </c>
      <c r="X433" s="132">
        <v>0</v>
      </c>
      <c r="Y433" s="132">
        <v>1.6199999999999999E-3</v>
      </c>
      <c r="Z433" s="132">
        <v>6.6E-4</v>
      </c>
    </row>
    <row r="434" spans="1:26">
      <c r="A434" t="s">
        <v>1213</v>
      </c>
      <c r="B434" t="s">
        <v>1250</v>
      </c>
      <c r="C434" t="s">
        <v>1321</v>
      </c>
      <c r="D434" t="s">
        <v>1444</v>
      </c>
      <c r="E434" t="s">
        <v>1445</v>
      </c>
      <c r="F434" t="s">
        <v>950</v>
      </c>
      <c r="G434" t="s">
        <v>205</v>
      </c>
      <c r="H434" t="s">
        <v>224</v>
      </c>
      <c r="I434" t="s">
        <v>314</v>
      </c>
      <c r="J434" t="s">
        <v>1324</v>
      </c>
      <c r="K434" t="s">
        <v>423</v>
      </c>
      <c r="L434" t="s">
        <v>1216</v>
      </c>
      <c r="M434" s="131">
        <v>10.106999999999999</v>
      </c>
      <c r="N434" t="s">
        <v>1446</v>
      </c>
      <c r="O434" s="132">
        <v>4.956E-2</v>
      </c>
      <c r="P434" s="132">
        <v>3.8390000000000001E-2</v>
      </c>
      <c r="R434" s="131">
        <v>525000</v>
      </c>
      <c r="S434" s="131">
        <v>3.71</v>
      </c>
      <c r="T434" s="131">
        <f t="shared" si="3"/>
        <v>106.15628289051469</v>
      </c>
      <c r="U434" s="131">
        <v>2067.6590000000001</v>
      </c>
      <c r="W434" s="16" t="s">
        <v>15</v>
      </c>
      <c r="X434" s="132">
        <v>2.0000000000000002E-5</v>
      </c>
      <c r="Y434" s="132">
        <v>1.5200000000000001E-3</v>
      </c>
      <c r="Z434" s="132">
        <v>6.2E-4</v>
      </c>
    </row>
    <row r="435" spans="1:26">
      <c r="A435" t="s">
        <v>1213</v>
      </c>
      <c r="B435" t="s">
        <v>1250</v>
      </c>
      <c r="C435" t="s">
        <v>1321</v>
      </c>
      <c r="D435" t="s">
        <v>1447</v>
      </c>
      <c r="E435" t="s">
        <v>1448</v>
      </c>
      <c r="F435" t="s">
        <v>950</v>
      </c>
      <c r="G435" t="s">
        <v>205</v>
      </c>
      <c r="H435" t="s">
        <v>224</v>
      </c>
      <c r="I435" t="s">
        <v>314</v>
      </c>
      <c r="J435" t="s">
        <v>1324</v>
      </c>
      <c r="K435" t="s">
        <v>423</v>
      </c>
      <c r="L435" t="s">
        <v>1216</v>
      </c>
      <c r="M435" s="131">
        <v>7.3710000000000004</v>
      </c>
      <c r="N435" t="s">
        <v>1449</v>
      </c>
      <c r="O435" s="132">
        <v>3.916E-2</v>
      </c>
      <c r="P435" s="132">
        <v>3.755E-2</v>
      </c>
      <c r="R435" s="131">
        <v>500000</v>
      </c>
      <c r="S435" s="131">
        <v>3.71</v>
      </c>
      <c r="T435" s="131">
        <v>107.578</v>
      </c>
      <c r="U435" s="131">
        <v>1995.5740000000001</v>
      </c>
      <c r="W435" s="16" t="s">
        <v>15</v>
      </c>
      <c r="X435" s="132">
        <v>0</v>
      </c>
      <c r="Y435" s="132">
        <v>1.4599999999999999E-3</v>
      </c>
      <c r="Z435" s="132">
        <v>5.9999999999999995E-4</v>
      </c>
    </row>
    <row r="436" spans="1:26">
      <c r="A436" t="s">
        <v>1213</v>
      </c>
      <c r="B436" t="s">
        <v>1250</v>
      </c>
      <c r="C436" t="s">
        <v>1321</v>
      </c>
      <c r="D436" t="s">
        <v>1453</v>
      </c>
      <c r="E436" t="s">
        <v>1454</v>
      </c>
      <c r="F436" t="s">
        <v>950</v>
      </c>
      <c r="G436" t="s">
        <v>205</v>
      </c>
      <c r="H436" t="s">
        <v>224</v>
      </c>
      <c r="I436" t="s">
        <v>314</v>
      </c>
      <c r="J436" t="s">
        <v>1324</v>
      </c>
      <c r="K436" t="s">
        <v>423</v>
      </c>
      <c r="L436" t="s">
        <v>1216</v>
      </c>
      <c r="M436" s="131">
        <v>0.2</v>
      </c>
      <c r="N436" t="s">
        <v>1455</v>
      </c>
      <c r="O436" s="132">
        <v>5.4260000000000003E-2</v>
      </c>
      <c r="P436" s="132">
        <v>4.3779999999999999E-2</v>
      </c>
      <c r="R436" s="131">
        <v>525000</v>
      </c>
      <c r="S436" s="131">
        <v>3.71</v>
      </c>
      <c r="T436" s="131">
        <f t="shared" ref="T436:T438" si="4">U436*1000/R436/S436*100</f>
        <v>99.541676293158758</v>
      </c>
      <c r="U436" s="131">
        <v>1938.8230000000001</v>
      </c>
      <c r="W436" s="16" t="s">
        <v>15</v>
      </c>
      <c r="X436" s="132">
        <v>1.0000000000000001E-5</v>
      </c>
      <c r="Y436" s="132">
        <v>1.42E-3</v>
      </c>
      <c r="Z436" s="132">
        <v>5.8E-4</v>
      </c>
    </row>
    <row r="437" spans="1:26">
      <c r="A437" t="s">
        <v>1213</v>
      </c>
      <c r="B437" t="s">
        <v>1250</v>
      </c>
      <c r="C437" t="s">
        <v>1321</v>
      </c>
      <c r="D437" t="s">
        <v>1504</v>
      </c>
      <c r="E437" t="s">
        <v>1505</v>
      </c>
      <c r="F437" t="s">
        <v>950</v>
      </c>
      <c r="G437" t="s">
        <v>205</v>
      </c>
      <c r="H437" t="s">
        <v>224</v>
      </c>
      <c r="I437" t="s">
        <v>314</v>
      </c>
      <c r="J437" t="s">
        <v>1324</v>
      </c>
      <c r="K437" t="s">
        <v>423</v>
      </c>
      <c r="L437" t="s">
        <v>1216</v>
      </c>
      <c r="M437" s="131">
        <v>3.5000000000000003E-2</v>
      </c>
      <c r="N437" t="s">
        <v>1506</v>
      </c>
      <c r="O437" s="132">
        <v>5.2670000000000002E-2</v>
      </c>
      <c r="P437" s="132">
        <v>4.2470000000000001E-2</v>
      </c>
      <c r="R437" s="131">
        <v>500000</v>
      </c>
      <c r="S437" s="131">
        <v>3.71</v>
      </c>
      <c r="T437" s="131">
        <f t="shared" si="4"/>
        <v>100.08334231805931</v>
      </c>
      <c r="U437" s="131">
        <v>1856.546</v>
      </c>
      <c r="W437" s="16" t="s">
        <v>15</v>
      </c>
      <c r="X437" s="132">
        <v>1.0000000000000001E-5</v>
      </c>
      <c r="Y437" s="132">
        <v>1.3600000000000001E-3</v>
      </c>
      <c r="Z437" s="132">
        <v>5.5999999999999995E-4</v>
      </c>
    </row>
    <row r="438" spans="1:26">
      <c r="A438" t="s">
        <v>1213</v>
      </c>
      <c r="B438" t="s">
        <v>1250</v>
      </c>
      <c r="C438" t="s">
        <v>1321</v>
      </c>
      <c r="D438" t="s">
        <v>1507</v>
      </c>
      <c r="E438" t="s">
        <v>1508</v>
      </c>
      <c r="F438" t="s">
        <v>950</v>
      </c>
      <c r="G438" t="s">
        <v>205</v>
      </c>
      <c r="H438" t="s">
        <v>224</v>
      </c>
      <c r="I438" t="s">
        <v>314</v>
      </c>
      <c r="J438" t="s">
        <v>1324</v>
      </c>
      <c r="K438" t="s">
        <v>423</v>
      </c>
      <c r="L438" t="s">
        <v>1216</v>
      </c>
      <c r="M438" s="131">
        <v>0.16</v>
      </c>
      <c r="N438" t="s">
        <v>1503</v>
      </c>
      <c r="O438" s="132">
        <v>4.4679999999999997E-2</v>
      </c>
      <c r="P438" s="132">
        <v>4.65E-2</v>
      </c>
      <c r="R438" s="131">
        <v>500000</v>
      </c>
      <c r="S438" s="131">
        <v>3.71</v>
      </c>
      <c r="T438" s="131">
        <f t="shared" si="4"/>
        <v>99.941401617250676</v>
      </c>
      <c r="U438" s="131">
        <v>1853.913</v>
      </c>
      <c r="W438" s="16" t="s">
        <v>15</v>
      </c>
      <c r="X438" s="132">
        <v>1.0000000000000001E-5</v>
      </c>
      <c r="Y438" s="132">
        <v>1.3600000000000001E-3</v>
      </c>
      <c r="Z438" s="132">
        <v>5.5000000000000003E-4</v>
      </c>
    </row>
    <row r="439" spans="1:26">
      <c r="A439" t="s">
        <v>1213</v>
      </c>
      <c r="B439" t="s">
        <v>1250</v>
      </c>
      <c r="C439" t="s">
        <v>1393</v>
      </c>
      <c r="D439" t="s">
        <v>1486</v>
      </c>
      <c r="E439" t="s">
        <v>1487</v>
      </c>
      <c r="F439" t="s">
        <v>950</v>
      </c>
      <c r="G439" t="s">
        <v>205</v>
      </c>
      <c r="H439" t="s">
        <v>204</v>
      </c>
      <c r="I439" t="s">
        <v>344</v>
      </c>
      <c r="J439" t="s">
        <v>1396</v>
      </c>
      <c r="K439" t="s">
        <v>431</v>
      </c>
      <c r="L439" t="s">
        <v>1216</v>
      </c>
      <c r="M439" s="131">
        <v>3.0449999999999999</v>
      </c>
      <c r="N439" t="s">
        <v>1488</v>
      </c>
      <c r="O439" s="132">
        <v>3.0009999999999998E-2</v>
      </c>
      <c r="P439" s="132">
        <v>5.0639999999999998E-2</v>
      </c>
      <c r="R439" s="131">
        <v>480000</v>
      </c>
      <c r="S439" s="131">
        <v>3.71</v>
      </c>
      <c r="T439" s="131">
        <v>94.93</v>
      </c>
      <c r="U439" s="131">
        <v>1690.5139999999999</v>
      </c>
      <c r="W439" s="16" t="s">
        <v>15</v>
      </c>
      <c r="X439" s="132">
        <v>4.8000000000000001E-4</v>
      </c>
      <c r="Y439" s="132">
        <v>1.24E-3</v>
      </c>
      <c r="Z439" s="132">
        <v>5.1000000000000004E-4</v>
      </c>
    </row>
    <row r="440" spans="1:26">
      <c r="A440" t="s">
        <v>1213</v>
      </c>
      <c r="B440" t="s">
        <v>1250</v>
      </c>
      <c r="C440" t="s">
        <v>1393</v>
      </c>
      <c r="D440" t="s">
        <v>1489</v>
      </c>
      <c r="E440" t="s">
        <v>1490</v>
      </c>
      <c r="F440" t="s">
        <v>950</v>
      </c>
      <c r="G440" t="s">
        <v>205</v>
      </c>
      <c r="H440" t="s">
        <v>204</v>
      </c>
      <c r="I440" t="s">
        <v>314</v>
      </c>
      <c r="J440" t="s">
        <v>1396</v>
      </c>
      <c r="K440" t="s">
        <v>431</v>
      </c>
      <c r="L440" t="s">
        <v>1216</v>
      </c>
      <c r="M440" s="131">
        <v>4.8070000000000004</v>
      </c>
      <c r="N440" t="s">
        <v>1491</v>
      </c>
      <c r="O440" s="132">
        <v>2.2839999999999999E-2</v>
      </c>
      <c r="P440" s="132">
        <v>5.1319999999999998E-2</v>
      </c>
      <c r="R440" s="131">
        <v>150000</v>
      </c>
      <c r="S440" s="131">
        <v>3.71</v>
      </c>
      <c r="T440" s="131">
        <v>88.171999999999997</v>
      </c>
      <c r="U440" s="131">
        <v>490.67599999999999</v>
      </c>
      <c r="W440" s="16" t="s">
        <v>15</v>
      </c>
      <c r="X440" s="132">
        <v>1.4999999999999999E-4</v>
      </c>
      <c r="Y440" s="132">
        <v>3.6000000000000002E-4</v>
      </c>
      <c r="Z440" s="132">
        <v>1.4999999999999999E-4</v>
      </c>
    </row>
    <row r="441" spans="1:26">
      <c r="A441" t="s">
        <v>1213</v>
      </c>
      <c r="B441" t="s">
        <v>1251</v>
      </c>
      <c r="C441" t="s">
        <v>1258</v>
      </c>
      <c r="D441" t="s">
        <v>1259</v>
      </c>
      <c r="E441" t="s">
        <v>1260</v>
      </c>
      <c r="F441" t="s">
        <v>943</v>
      </c>
      <c r="G441" t="s">
        <v>204</v>
      </c>
      <c r="H441" t="s">
        <v>204</v>
      </c>
      <c r="I441" t="s">
        <v>340</v>
      </c>
      <c r="J441" t="s">
        <v>1261</v>
      </c>
      <c r="K441" t="s">
        <v>413</v>
      </c>
      <c r="L441" t="s">
        <v>1212</v>
      </c>
      <c r="M441" s="131">
        <v>1.07</v>
      </c>
      <c r="N441" t="s">
        <v>1262</v>
      </c>
      <c r="O441" s="132">
        <v>-1.08E-3</v>
      </c>
      <c r="P441" s="132">
        <v>1.2999999999999999E-2</v>
      </c>
      <c r="R441" s="131">
        <v>11997508</v>
      </c>
      <c r="S441" s="131">
        <v>1</v>
      </c>
      <c r="T441" s="131">
        <v>116.02</v>
      </c>
      <c r="U441" s="131">
        <v>13919.509</v>
      </c>
      <c r="W441" s="16" t="s">
        <v>15</v>
      </c>
      <c r="X441" s="132">
        <v>5.5000000000000003E-4</v>
      </c>
      <c r="Y441" s="132">
        <v>0.27685999999999999</v>
      </c>
      <c r="Z441" s="132">
        <v>5.0180000000000002E-2</v>
      </c>
    </row>
    <row r="442" spans="1:26">
      <c r="A442" t="s">
        <v>1213</v>
      </c>
      <c r="B442" t="s">
        <v>1251</v>
      </c>
      <c r="C442" t="s">
        <v>1258</v>
      </c>
      <c r="D442" t="s">
        <v>1329</v>
      </c>
      <c r="E442" t="s">
        <v>1330</v>
      </c>
      <c r="F442" t="s">
        <v>943</v>
      </c>
      <c r="G442" t="s">
        <v>204</v>
      </c>
      <c r="H442" t="s">
        <v>204</v>
      </c>
      <c r="I442" t="s">
        <v>340</v>
      </c>
      <c r="J442" t="s">
        <v>1265</v>
      </c>
      <c r="K442" t="s">
        <v>415</v>
      </c>
      <c r="L442" t="s">
        <v>1212</v>
      </c>
      <c r="M442" s="131">
        <v>2.64</v>
      </c>
      <c r="N442" t="s">
        <v>1331</v>
      </c>
      <c r="O442" s="132">
        <v>-2.2499999999999999E-2</v>
      </c>
      <c r="P442" s="132">
        <v>1.6299999999999999E-2</v>
      </c>
      <c r="R442" s="131">
        <v>6974977</v>
      </c>
      <c r="S442" s="131">
        <v>1</v>
      </c>
      <c r="T442" s="131">
        <v>114.25</v>
      </c>
      <c r="U442" s="131">
        <v>7968.9110000000001</v>
      </c>
      <c r="W442" s="16" t="s">
        <v>15</v>
      </c>
      <c r="X442" s="132">
        <v>3.1E-4</v>
      </c>
      <c r="Y442" s="132">
        <v>0.1585</v>
      </c>
      <c r="Z442" s="132">
        <v>2.8729999999999999E-2</v>
      </c>
    </row>
    <row r="443" spans="1:26">
      <c r="A443" t="s">
        <v>1213</v>
      </c>
      <c r="B443" t="s">
        <v>1251</v>
      </c>
      <c r="C443" t="s">
        <v>1267</v>
      </c>
      <c r="D443" t="s">
        <v>1347</v>
      </c>
      <c r="E443" t="s">
        <v>1348</v>
      </c>
      <c r="F443" t="s">
        <v>945</v>
      </c>
      <c r="G443" t="s">
        <v>204</v>
      </c>
      <c r="H443" t="s">
        <v>204</v>
      </c>
      <c r="I443" t="s">
        <v>340</v>
      </c>
      <c r="J443" t="s">
        <v>1261</v>
      </c>
      <c r="K443" t="s">
        <v>413</v>
      </c>
      <c r="L443" t="s">
        <v>1212</v>
      </c>
      <c r="M443" s="131">
        <v>3.86</v>
      </c>
      <c r="N443" t="s">
        <v>1349</v>
      </c>
      <c r="O443" s="132">
        <v>3.594E-2</v>
      </c>
      <c r="P443" s="132">
        <v>4.5100000000000001E-2</v>
      </c>
      <c r="R443" s="131">
        <v>8416697</v>
      </c>
      <c r="S443" s="131">
        <v>1</v>
      </c>
      <c r="T443" s="131">
        <v>91.9</v>
      </c>
      <c r="U443" s="131">
        <v>7734.9449999999997</v>
      </c>
      <c r="W443" s="16" t="s">
        <v>15</v>
      </c>
      <c r="X443" s="132">
        <v>2.5000000000000001E-4</v>
      </c>
      <c r="Y443" s="132">
        <v>0.15384999999999999</v>
      </c>
      <c r="Z443" s="132">
        <v>2.7879999999999999E-2</v>
      </c>
    </row>
    <row r="444" spans="1:26">
      <c r="A444" t="s">
        <v>1213</v>
      </c>
      <c r="B444" t="s">
        <v>1251</v>
      </c>
      <c r="C444" t="s">
        <v>1267</v>
      </c>
      <c r="D444" t="s">
        <v>1306</v>
      </c>
      <c r="E444" t="s">
        <v>1307</v>
      </c>
      <c r="F444" t="s">
        <v>945</v>
      </c>
      <c r="G444" t="s">
        <v>204</v>
      </c>
      <c r="H444" t="s">
        <v>204</v>
      </c>
      <c r="I444" t="s">
        <v>340</v>
      </c>
      <c r="J444" t="s">
        <v>1265</v>
      </c>
      <c r="K444" t="s">
        <v>415</v>
      </c>
      <c r="L444" t="s">
        <v>1212</v>
      </c>
      <c r="M444" s="131">
        <v>4.0599999999999996</v>
      </c>
      <c r="N444" t="s">
        <v>1308</v>
      </c>
      <c r="O444" s="132">
        <v>3.3250000000000002E-2</v>
      </c>
      <c r="P444" s="132">
        <v>4.5600000000000002E-2</v>
      </c>
      <c r="R444" s="131">
        <v>5150506</v>
      </c>
      <c r="S444" s="131">
        <v>1</v>
      </c>
      <c r="T444" s="131">
        <v>99.02</v>
      </c>
      <c r="U444" s="131">
        <v>5100.0309999999999</v>
      </c>
      <c r="W444" s="16" t="s">
        <v>15</v>
      </c>
      <c r="X444" s="132">
        <v>1.6000000000000001E-4</v>
      </c>
      <c r="Y444" s="132">
        <v>0.10144</v>
      </c>
      <c r="Z444" s="132">
        <v>1.8380000000000001E-2</v>
      </c>
    </row>
    <row r="445" spans="1:26">
      <c r="A445" t="s">
        <v>1213</v>
      </c>
      <c r="B445" t="s">
        <v>1251</v>
      </c>
      <c r="C445" t="s">
        <v>1258</v>
      </c>
      <c r="D445" t="s">
        <v>1300</v>
      </c>
      <c r="E445" t="s">
        <v>1301</v>
      </c>
      <c r="F445" t="s">
        <v>943</v>
      </c>
      <c r="G445" t="s">
        <v>204</v>
      </c>
      <c r="H445" t="s">
        <v>204</v>
      </c>
      <c r="I445" t="s">
        <v>340</v>
      </c>
      <c r="J445" t="s">
        <v>1265</v>
      </c>
      <c r="K445" t="s">
        <v>415</v>
      </c>
      <c r="L445" t="s">
        <v>1212</v>
      </c>
      <c r="M445" s="131">
        <v>4.6100000000000003</v>
      </c>
      <c r="N445" t="s">
        <v>1302</v>
      </c>
      <c r="O445" s="132">
        <v>5.3200000000000001E-3</v>
      </c>
      <c r="P445" s="132">
        <v>1.83E-2</v>
      </c>
      <c r="R445" s="131">
        <v>3917503</v>
      </c>
      <c r="S445" s="131">
        <v>1</v>
      </c>
      <c r="T445" s="131">
        <v>108.85</v>
      </c>
      <c r="U445" s="131">
        <v>4264.2020000000002</v>
      </c>
      <c r="W445" s="16" t="s">
        <v>15</v>
      </c>
      <c r="X445" s="132">
        <v>1.4999999999999999E-4</v>
      </c>
      <c r="Y445" s="132">
        <v>8.4820000000000007E-2</v>
      </c>
      <c r="Z445" s="132">
        <v>1.537E-2</v>
      </c>
    </row>
    <row r="446" spans="1:26">
      <c r="A446" t="s">
        <v>1213</v>
      </c>
      <c r="B446" t="s">
        <v>1251</v>
      </c>
      <c r="C446" t="s">
        <v>1267</v>
      </c>
      <c r="D446" t="s">
        <v>1281</v>
      </c>
      <c r="E446" t="s">
        <v>1282</v>
      </c>
      <c r="F446" t="s">
        <v>945</v>
      </c>
      <c r="G446" t="s">
        <v>204</v>
      </c>
      <c r="H446" t="s">
        <v>204</v>
      </c>
      <c r="I446" t="s">
        <v>340</v>
      </c>
      <c r="J446" t="s">
        <v>1261</v>
      </c>
      <c r="K446" t="s">
        <v>413</v>
      </c>
      <c r="L446" t="s">
        <v>1212</v>
      </c>
      <c r="M446" s="131">
        <v>5.33</v>
      </c>
      <c r="N446" t="s">
        <v>1283</v>
      </c>
      <c r="O446" s="132">
        <v>4.6370000000000001E-2</v>
      </c>
      <c r="P446" s="132">
        <v>4.6300000000000001E-2</v>
      </c>
      <c r="R446" s="131">
        <v>2446906</v>
      </c>
      <c r="S446" s="131">
        <v>1</v>
      </c>
      <c r="T446" s="131">
        <v>83.24</v>
      </c>
      <c r="U446" s="131">
        <v>2036.8050000000001</v>
      </c>
      <c r="W446" s="16" t="s">
        <v>15</v>
      </c>
      <c r="X446" s="132">
        <v>6.0000000000000002E-5</v>
      </c>
      <c r="Y446" s="132">
        <v>4.0509999999999997E-2</v>
      </c>
      <c r="Z446" s="132">
        <v>7.3400000000000002E-3</v>
      </c>
    </row>
    <row r="447" spans="1:26">
      <c r="A447" t="s">
        <v>1213</v>
      </c>
      <c r="B447" t="s">
        <v>1251</v>
      </c>
      <c r="C447" t="s">
        <v>1267</v>
      </c>
      <c r="D447" t="s">
        <v>1368</v>
      </c>
      <c r="E447" t="s">
        <v>1369</v>
      </c>
      <c r="F447" t="s">
        <v>945</v>
      </c>
      <c r="G447" t="s">
        <v>204</v>
      </c>
      <c r="H447" t="s">
        <v>204</v>
      </c>
      <c r="I447" t="s">
        <v>340</v>
      </c>
      <c r="J447" t="s">
        <v>1261</v>
      </c>
      <c r="K447" t="s">
        <v>413</v>
      </c>
      <c r="L447" t="s">
        <v>1212</v>
      </c>
      <c r="M447" s="131">
        <v>2.89</v>
      </c>
      <c r="N447" t="s">
        <v>1370</v>
      </c>
      <c r="O447" s="132">
        <v>4.4249999999999998E-2</v>
      </c>
      <c r="P447" s="132">
        <v>4.4499999999999998E-2</v>
      </c>
      <c r="R447" s="131">
        <v>1767981</v>
      </c>
      <c r="S447" s="131">
        <v>1</v>
      </c>
      <c r="T447" s="131">
        <v>98.09</v>
      </c>
      <c r="U447" s="131">
        <v>1734.213</v>
      </c>
      <c r="W447" s="16" t="s">
        <v>15</v>
      </c>
      <c r="X447" s="132">
        <v>1E-4</v>
      </c>
      <c r="Y447" s="132">
        <v>3.449E-2</v>
      </c>
      <c r="Z447" s="132">
        <v>6.2500000000000003E-3</v>
      </c>
    </row>
    <row r="448" spans="1:26">
      <c r="A448" t="s">
        <v>1213</v>
      </c>
      <c r="B448" t="s">
        <v>1251</v>
      </c>
      <c r="C448" t="s">
        <v>1258</v>
      </c>
      <c r="D448" t="s">
        <v>1263</v>
      </c>
      <c r="E448" t="s">
        <v>1264</v>
      </c>
      <c r="F448" t="s">
        <v>943</v>
      </c>
      <c r="G448" t="s">
        <v>204</v>
      </c>
      <c r="H448" t="s">
        <v>204</v>
      </c>
      <c r="I448" t="s">
        <v>340</v>
      </c>
      <c r="J448" t="s">
        <v>1265</v>
      </c>
      <c r="K448" t="s">
        <v>415</v>
      </c>
      <c r="L448" t="s">
        <v>1212</v>
      </c>
      <c r="M448" s="131">
        <v>3.97</v>
      </c>
      <c r="N448" t="s">
        <v>1266</v>
      </c>
      <c r="O448" s="132">
        <v>1.2070000000000001E-2</v>
      </c>
      <c r="P448" s="132">
        <v>1.7999999999999999E-2</v>
      </c>
      <c r="R448" s="131">
        <v>1648168</v>
      </c>
      <c r="S448" s="131">
        <v>1</v>
      </c>
      <c r="T448" s="131">
        <v>102.6</v>
      </c>
      <c r="U448" s="131">
        <v>1691.02</v>
      </c>
      <c r="W448" s="16" t="s">
        <v>15</v>
      </c>
      <c r="X448" s="132">
        <v>8.0000000000000007E-5</v>
      </c>
      <c r="Y448" s="132">
        <v>3.363E-2</v>
      </c>
      <c r="Z448" s="132">
        <v>6.1000000000000004E-3</v>
      </c>
    </row>
    <row r="449" spans="1:26">
      <c r="A449" t="s">
        <v>1213</v>
      </c>
      <c r="B449" t="s">
        <v>1251</v>
      </c>
      <c r="C449" t="s">
        <v>1277</v>
      </c>
      <c r="D449" t="s">
        <v>1278</v>
      </c>
      <c r="E449" t="s">
        <v>1279</v>
      </c>
      <c r="F449" t="s">
        <v>946</v>
      </c>
      <c r="G449" t="s">
        <v>204</v>
      </c>
      <c r="H449" t="s">
        <v>204</v>
      </c>
      <c r="I449" t="s">
        <v>340</v>
      </c>
      <c r="J449" t="s">
        <v>1261</v>
      </c>
      <c r="K449" t="s">
        <v>413</v>
      </c>
      <c r="L449" t="s">
        <v>1212</v>
      </c>
      <c r="M449" s="131">
        <v>5.42</v>
      </c>
      <c r="N449" t="s">
        <v>1280</v>
      </c>
      <c r="O449" s="132">
        <v>5.8199999999999997E-3</v>
      </c>
      <c r="P449" s="132">
        <v>4.8399999999999999E-2</v>
      </c>
      <c r="R449" s="131">
        <v>1695020</v>
      </c>
      <c r="S449" s="131">
        <v>1</v>
      </c>
      <c r="T449" s="131">
        <v>97.9</v>
      </c>
      <c r="U449" s="131">
        <v>1659.425</v>
      </c>
      <c r="W449" s="16" t="s">
        <v>15</v>
      </c>
      <c r="X449" s="132">
        <v>5.0000000000000002E-5</v>
      </c>
      <c r="Y449" s="132">
        <v>3.3009999999999998E-2</v>
      </c>
      <c r="Z449" s="132">
        <v>5.9800000000000001E-3</v>
      </c>
    </row>
    <row r="450" spans="1:26">
      <c r="A450" t="s">
        <v>1213</v>
      </c>
      <c r="B450" t="s">
        <v>1251</v>
      </c>
      <c r="C450" t="s">
        <v>1258</v>
      </c>
      <c r="D450" t="s">
        <v>1309</v>
      </c>
      <c r="E450" t="s">
        <v>1310</v>
      </c>
      <c r="F450" t="s">
        <v>943</v>
      </c>
      <c r="G450" t="s">
        <v>204</v>
      </c>
      <c r="H450" t="s">
        <v>204</v>
      </c>
      <c r="I450" t="s">
        <v>340</v>
      </c>
      <c r="J450" t="s">
        <v>1265</v>
      </c>
      <c r="K450" t="s">
        <v>415</v>
      </c>
      <c r="L450" t="s">
        <v>1212</v>
      </c>
      <c r="M450" s="131">
        <v>1.83</v>
      </c>
      <c r="N450" t="s">
        <v>1311</v>
      </c>
      <c r="O450" s="132">
        <v>1.354E-2</v>
      </c>
      <c r="P450" s="132">
        <v>1.5699999999999999E-2</v>
      </c>
      <c r="R450" s="131">
        <v>1130287</v>
      </c>
      <c r="S450" s="131">
        <v>1</v>
      </c>
      <c r="T450" s="131">
        <v>112.44</v>
      </c>
      <c r="U450" s="131">
        <v>1270.895</v>
      </c>
      <c r="W450" s="16" t="s">
        <v>15</v>
      </c>
      <c r="X450" s="132">
        <v>6.0000000000000002E-5</v>
      </c>
      <c r="Y450" s="132">
        <v>2.528E-2</v>
      </c>
      <c r="Z450" s="132">
        <v>4.5799999999999999E-3</v>
      </c>
    </row>
    <row r="451" spans="1:26">
      <c r="A451" t="s">
        <v>1213</v>
      </c>
      <c r="B451" t="s">
        <v>1251</v>
      </c>
      <c r="C451" t="s">
        <v>1258</v>
      </c>
      <c r="D451" t="s">
        <v>1297</v>
      </c>
      <c r="E451" t="s">
        <v>1298</v>
      </c>
      <c r="F451" t="s">
        <v>943</v>
      </c>
      <c r="G451" t="s">
        <v>204</v>
      </c>
      <c r="H451" t="s">
        <v>204</v>
      </c>
      <c r="I451" t="s">
        <v>340</v>
      </c>
      <c r="J451" t="s">
        <v>1265</v>
      </c>
      <c r="K451" t="s">
        <v>415</v>
      </c>
      <c r="L451" t="s">
        <v>1212</v>
      </c>
      <c r="M451" s="131">
        <v>7.14</v>
      </c>
      <c r="N451" t="s">
        <v>1299</v>
      </c>
      <c r="O451" s="132">
        <v>1.3520000000000001E-2</v>
      </c>
      <c r="P451" s="132">
        <v>1.9900000000000001E-2</v>
      </c>
      <c r="R451" s="131">
        <v>738362</v>
      </c>
      <c r="S451" s="131">
        <v>1</v>
      </c>
      <c r="T451" s="131">
        <v>101.1</v>
      </c>
      <c r="U451" s="131">
        <v>746.48400000000004</v>
      </c>
      <c r="W451" s="16" t="s">
        <v>15</v>
      </c>
      <c r="X451" s="132">
        <v>2.0000000000000002E-5</v>
      </c>
      <c r="Y451" s="132">
        <v>1.485E-2</v>
      </c>
      <c r="Z451" s="132">
        <v>2.6900000000000001E-3</v>
      </c>
    </row>
    <row r="452" spans="1:26">
      <c r="A452" t="s">
        <v>1213</v>
      </c>
      <c r="B452" t="s">
        <v>1251</v>
      </c>
      <c r="C452" t="s">
        <v>1267</v>
      </c>
      <c r="D452" t="s">
        <v>1341</v>
      </c>
      <c r="E452" t="s">
        <v>1342</v>
      </c>
      <c r="F452" t="s">
        <v>945</v>
      </c>
      <c r="G452" t="s">
        <v>204</v>
      </c>
      <c r="H452" t="s">
        <v>204</v>
      </c>
      <c r="I452" t="s">
        <v>340</v>
      </c>
      <c r="J452" t="s">
        <v>1261</v>
      </c>
      <c r="K452" t="s">
        <v>413</v>
      </c>
      <c r="L452" t="s">
        <v>1212</v>
      </c>
      <c r="M452" s="131">
        <v>2.44</v>
      </c>
      <c r="N452" t="s">
        <v>1343</v>
      </c>
      <c r="O452" s="132">
        <v>3.78E-2</v>
      </c>
      <c r="P452" s="132">
        <v>4.3999999999999997E-2</v>
      </c>
      <c r="R452" s="131">
        <v>779750</v>
      </c>
      <c r="S452" s="131">
        <v>1</v>
      </c>
      <c r="T452" s="131">
        <v>95.44</v>
      </c>
      <c r="U452" s="131">
        <v>744.19299999999998</v>
      </c>
      <c r="W452" s="16" t="s">
        <v>15</v>
      </c>
      <c r="X452" s="132">
        <v>3.0000000000000001E-5</v>
      </c>
      <c r="Y452" s="132">
        <v>1.4800000000000001E-2</v>
      </c>
      <c r="Z452" s="132">
        <v>2.6800000000000001E-3</v>
      </c>
    </row>
    <row r="453" spans="1:26">
      <c r="A453" t="s">
        <v>1213</v>
      </c>
      <c r="B453" t="s">
        <v>1251</v>
      </c>
      <c r="C453" t="s">
        <v>1267</v>
      </c>
      <c r="D453" t="s">
        <v>1312</v>
      </c>
      <c r="E453" t="s">
        <v>1313</v>
      </c>
      <c r="F453" t="s">
        <v>945</v>
      </c>
      <c r="G453" t="s">
        <v>204</v>
      </c>
      <c r="H453" t="s">
        <v>204</v>
      </c>
      <c r="I453" t="s">
        <v>340</v>
      </c>
      <c r="J453" t="s">
        <v>1261</v>
      </c>
      <c r="K453" t="s">
        <v>413</v>
      </c>
      <c r="L453" t="s">
        <v>1212</v>
      </c>
      <c r="M453" s="131">
        <v>1.91</v>
      </c>
      <c r="N453" t="s">
        <v>1314</v>
      </c>
      <c r="O453" s="132">
        <v>3.739E-2</v>
      </c>
      <c r="P453" s="132">
        <v>4.3200000000000002E-2</v>
      </c>
      <c r="R453" s="131">
        <v>586169</v>
      </c>
      <c r="S453" s="131">
        <v>1</v>
      </c>
      <c r="T453" s="131">
        <v>109.5</v>
      </c>
      <c r="U453" s="131">
        <v>641.85500000000002</v>
      </c>
      <c r="W453" s="16" t="s">
        <v>15</v>
      </c>
      <c r="X453" s="132">
        <v>4.0000000000000003E-5</v>
      </c>
      <c r="Y453" s="132">
        <v>1.277E-2</v>
      </c>
      <c r="Z453" s="132">
        <v>2.31E-3</v>
      </c>
    </row>
    <row r="454" spans="1:26">
      <c r="A454" t="s">
        <v>1213</v>
      </c>
      <c r="B454" t="s">
        <v>1251</v>
      </c>
      <c r="C454" t="s">
        <v>1267</v>
      </c>
      <c r="D454" t="s">
        <v>1274</v>
      </c>
      <c r="E454" t="s">
        <v>1275</v>
      </c>
      <c r="F454" t="s">
        <v>945</v>
      </c>
      <c r="G454" t="s">
        <v>204</v>
      </c>
      <c r="H454" t="s">
        <v>204</v>
      </c>
      <c r="I454" t="s">
        <v>340</v>
      </c>
      <c r="J454" t="s">
        <v>1265</v>
      </c>
      <c r="K454" t="s">
        <v>415</v>
      </c>
      <c r="L454" t="s">
        <v>1212</v>
      </c>
      <c r="M454" s="131">
        <v>1.4</v>
      </c>
      <c r="N454" t="s">
        <v>1276</v>
      </c>
      <c r="O454" s="132">
        <v>4.1059999999999999E-2</v>
      </c>
      <c r="P454" s="132">
        <v>4.3799999999999999E-2</v>
      </c>
      <c r="R454" s="131">
        <v>615695</v>
      </c>
      <c r="S454" s="131">
        <v>1</v>
      </c>
      <c r="T454" s="131">
        <v>95.1</v>
      </c>
      <c r="U454" s="131">
        <v>585.52599999999995</v>
      </c>
      <c r="W454" s="16" t="s">
        <v>15</v>
      </c>
      <c r="X454" s="132">
        <v>2.0000000000000002E-5</v>
      </c>
      <c r="Y454" s="132">
        <v>1.1650000000000001E-2</v>
      </c>
      <c r="Z454" s="132">
        <v>2.1099999999999999E-3</v>
      </c>
    </row>
    <row r="455" spans="1:26">
      <c r="A455" t="s">
        <v>1213</v>
      </c>
      <c r="B455" t="s">
        <v>1251</v>
      </c>
      <c r="C455" t="s">
        <v>1267</v>
      </c>
      <c r="D455" t="s">
        <v>1287</v>
      </c>
      <c r="E455" t="s">
        <v>1288</v>
      </c>
      <c r="F455" t="s">
        <v>945</v>
      </c>
      <c r="G455" t="s">
        <v>204</v>
      </c>
      <c r="H455" t="s">
        <v>204</v>
      </c>
      <c r="I455" t="s">
        <v>340</v>
      </c>
      <c r="J455" t="s">
        <v>1261</v>
      </c>
      <c r="K455" t="s">
        <v>413</v>
      </c>
      <c r="L455" t="s">
        <v>1212</v>
      </c>
      <c r="M455" s="131">
        <v>0.92</v>
      </c>
      <c r="N455" t="s">
        <v>1289</v>
      </c>
      <c r="O455" s="132">
        <v>3.3840000000000002E-2</v>
      </c>
      <c r="P455" s="132">
        <v>4.1700000000000001E-2</v>
      </c>
      <c r="R455" s="131">
        <v>100374</v>
      </c>
      <c r="S455" s="131">
        <v>1</v>
      </c>
      <c r="T455" s="131">
        <v>98.02</v>
      </c>
      <c r="U455" s="131">
        <v>98.387</v>
      </c>
      <c r="W455" s="16" t="s">
        <v>15</v>
      </c>
      <c r="X455" s="132">
        <v>0</v>
      </c>
      <c r="Y455" s="132">
        <v>1.9599999999999999E-3</v>
      </c>
      <c r="Z455" s="132">
        <v>3.5E-4</v>
      </c>
    </row>
    <row r="456" spans="1:26">
      <c r="A456" t="s">
        <v>1213</v>
      </c>
      <c r="B456" t="s">
        <v>1251</v>
      </c>
      <c r="C456" t="s">
        <v>1267</v>
      </c>
      <c r="D456" t="s">
        <v>1271</v>
      </c>
      <c r="E456" t="s">
        <v>1272</v>
      </c>
      <c r="F456" t="s">
        <v>945</v>
      </c>
      <c r="G456" t="s">
        <v>204</v>
      </c>
      <c r="H456" t="s">
        <v>204</v>
      </c>
      <c r="I456" t="s">
        <v>340</v>
      </c>
      <c r="J456" t="s">
        <v>1261</v>
      </c>
      <c r="K456" t="s">
        <v>413</v>
      </c>
      <c r="L456" t="s">
        <v>1212</v>
      </c>
      <c r="M456" s="131">
        <v>11.32</v>
      </c>
      <c r="N456" t="s">
        <v>1273</v>
      </c>
      <c r="O456" s="132">
        <v>3.1980000000000001E-2</v>
      </c>
      <c r="P456" s="132">
        <v>5.1700000000000003E-2</v>
      </c>
      <c r="R456" s="131">
        <v>73928</v>
      </c>
      <c r="S456" s="131">
        <v>1</v>
      </c>
      <c r="T456" s="131">
        <v>107.34</v>
      </c>
      <c r="U456" s="131">
        <v>79.353999999999999</v>
      </c>
      <c r="W456" s="16" t="s">
        <v>15</v>
      </c>
      <c r="X456" s="132">
        <v>0</v>
      </c>
      <c r="Y456" s="132">
        <v>1.58E-3</v>
      </c>
      <c r="Z456" s="132">
        <v>2.9E-4</v>
      </c>
    </row>
    <row r="457" spans="1:26">
      <c r="A457" t="s">
        <v>1213</v>
      </c>
      <c r="B457" t="s">
        <v>1252</v>
      </c>
      <c r="C457" t="s">
        <v>1258</v>
      </c>
      <c r="D457" t="s">
        <v>1259</v>
      </c>
      <c r="E457" t="s">
        <v>1260</v>
      </c>
      <c r="F457" t="s">
        <v>943</v>
      </c>
      <c r="G457" t="s">
        <v>204</v>
      </c>
      <c r="H457" t="s">
        <v>204</v>
      </c>
      <c r="I457" t="s">
        <v>340</v>
      </c>
      <c r="J457" t="s">
        <v>1261</v>
      </c>
      <c r="K457" t="s">
        <v>413</v>
      </c>
      <c r="L457" t="s">
        <v>1212</v>
      </c>
      <c r="M457" s="131">
        <v>1.07</v>
      </c>
      <c r="N457" t="s">
        <v>1262</v>
      </c>
      <c r="O457" s="132">
        <v>0.01</v>
      </c>
      <c r="P457" s="132">
        <v>1.2999999999999999E-2</v>
      </c>
      <c r="R457" s="131">
        <v>7060715</v>
      </c>
      <c r="S457" s="131">
        <v>1</v>
      </c>
      <c r="T457" s="131">
        <v>116.02</v>
      </c>
      <c r="U457" s="131">
        <v>8191.8419999999996</v>
      </c>
      <c r="W457" s="16" t="s">
        <v>15</v>
      </c>
      <c r="X457" s="132">
        <v>3.3E-4</v>
      </c>
      <c r="Y457" s="132">
        <v>0.22689999999999999</v>
      </c>
      <c r="Z457" s="132">
        <v>4.6719999999999998E-2</v>
      </c>
    </row>
    <row r="458" spans="1:26">
      <c r="A458" t="s">
        <v>1213</v>
      </c>
      <c r="B458" t="s">
        <v>1252</v>
      </c>
      <c r="C458" t="s">
        <v>1267</v>
      </c>
      <c r="D458" t="s">
        <v>1312</v>
      </c>
      <c r="E458" t="s">
        <v>1313</v>
      </c>
      <c r="F458" t="s">
        <v>945</v>
      </c>
      <c r="G458" t="s">
        <v>204</v>
      </c>
      <c r="H458" t="s">
        <v>204</v>
      </c>
      <c r="I458" t="s">
        <v>340</v>
      </c>
      <c r="J458" t="s">
        <v>1261</v>
      </c>
      <c r="K458" t="s">
        <v>413</v>
      </c>
      <c r="L458" t="s">
        <v>1212</v>
      </c>
      <c r="M458" s="131">
        <v>1.91</v>
      </c>
      <c r="N458" t="s">
        <v>1314</v>
      </c>
      <c r="O458" s="132">
        <v>3.9419999999999997E-2</v>
      </c>
      <c r="P458" s="132">
        <v>4.3200000000000002E-2</v>
      </c>
      <c r="R458" s="131">
        <v>4523350</v>
      </c>
      <c r="S458" s="131">
        <v>1</v>
      </c>
      <c r="T458" s="131">
        <v>109.5</v>
      </c>
      <c r="U458" s="131">
        <v>4953.0680000000002</v>
      </c>
      <c r="W458" s="16" t="s">
        <v>15</v>
      </c>
      <c r="X458" s="132">
        <v>2.9999999999999997E-4</v>
      </c>
      <c r="Y458" s="132">
        <v>0.13719000000000001</v>
      </c>
      <c r="Z458" s="132">
        <v>2.8250000000000001E-2</v>
      </c>
    </row>
    <row r="459" spans="1:26">
      <c r="A459" t="s">
        <v>1213</v>
      </c>
      <c r="B459" t="s">
        <v>1252</v>
      </c>
      <c r="C459" t="s">
        <v>1258</v>
      </c>
      <c r="D459" t="s">
        <v>1329</v>
      </c>
      <c r="E459" t="s">
        <v>1330</v>
      </c>
      <c r="F459" t="s">
        <v>943</v>
      </c>
      <c r="G459" t="s">
        <v>204</v>
      </c>
      <c r="H459" t="s">
        <v>204</v>
      </c>
      <c r="I459" t="s">
        <v>340</v>
      </c>
      <c r="J459" t="s">
        <v>1265</v>
      </c>
      <c r="K459" t="s">
        <v>415</v>
      </c>
      <c r="L459" t="s">
        <v>1212</v>
      </c>
      <c r="M459" s="131">
        <v>2.64</v>
      </c>
      <c r="N459" t="s">
        <v>1331</v>
      </c>
      <c r="O459" s="132">
        <v>-2.2519999999999998E-2</v>
      </c>
      <c r="P459" s="132">
        <v>1.6299999999999999E-2</v>
      </c>
      <c r="R459" s="131">
        <v>3909594</v>
      </c>
      <c r="S459" s="131">
        <v>1</v>
      </c>
      <c r="T459" s="131">
        <v>114.25</v>
      </c>
      <c r="U459" s="131">
        <v>4466.7110000000002</v>
      </c>
      <c r="W459" s="16" t="s">
        <v>15</v>
      </c>
      <c r="X459" s="132">
        <v>1.8000000000000001E-4</v>
      </c>
      <c r="Y459" s="132">
        <v>0.12372</v>
      </c>
      <c r="Z459" s="132">
        <v>2.547E-2</v>
      </c>
    </row>
    <row r="460" spans="1:26">
      <c r="A460" t="s">
        <v>1213</v>
      </c>
      <c r="B460" t="s">
        <v>1252</v>
      </c>
      <c r="C460" t="s">
        <v>1267</v>
      </c>
      <c r="D460" t="s">
        <v>1347</v>
      </c>
      <c r="E460" t="s">
        <v>1348</v>
      </c>
      <c r="F460" t="s">
        <v>945</v>
      </c>
      <c r="G460" t="s">
        <v>204</v>
      </c>
      <c r="H460" t="s">
        <v>204</v>
      </c>
      <c r="I460" t="s">
        <v>340</v>
      </c>
      <c r="J460" t="s">
        <v>1261</v>
      </c>
      <c r="K460" t="s">
        <v>413</v>
      </c>
      <c r="L460" t="s">
        <v>1212</v>
      </c>
      <c r="M460" s="131">
        <v>3.86</v>
      </c>
      <c r="N460" t="s">
        <v>1349</v>
      </c>
      <c r="O460" s="132">
        <v>3.5909999999999997E-2</v>
      </c>
      <c r="P460" s="132">
        <v>4.5100000000000001E-2</v>
      </c>
      <c r="R460" s="131">
        <v>3765202</v>
      </c>
      <c r="S460" s="131">
        <v>1</v>
      </c>
      <c r="T460" s="131">
        <v>91.9</v>
      </c>
      <c r="U460" s="131">
        <v>3460.221</v>
      </c>
      <c r="W460" s="16" t="s">
        <v>15</v>
      </c>
      <c r="X460" s="132">
        <v>1.1E-4</v>
      </c>
      <c r="Y460" s="132">
        <v>9.5839999999999995E-2</v>
      </c>
      <c r="Z460" s="132">
        <v>1.9730000000000001E-2</v>
      </c>
    </row>
    <row r="461" spans="1:26">
      <c r="A461" t="s">
        <v>1213</v>
      </c>
      <c r="B461" t="s">
        <v>1252</v>
      </c>
      <c r="C461" t="s">
        <v>1258</v>
      </c>
      <c r="D461" t="s">
        <v>1300</v>
      </c>
      <c r="E461" t="s">
        <v>1301</v>
      </c>
      <c r="F461" t="s">
        <v>943</v>
      </c>
      <c r="G461" t="s">
        <v>204</v>
      </c>
      <c r="H461" t="s">
        <v>204</v>
      </c>
      <c r="I461" t="s">
        <v>340</v>
      </c>
      <c r="J461" t="s">
        <v>1265</v>
      </c>
      <c r="K461" t="s">
        <v>415</v>
      </c>
      <c r="L461" t="s">
        <v>1212</v>
      </c>
      <c r="M461" s="131">
        <v>4.6100000000000003</v>
      </c>
      <c r="N461" t="s">
        <v>1302</v>
      </c>
      <c r="O461" s="132">
        <v>2.65E-3</v>
      </c>
      <c r="P461" s="132">
        <v>1.83E-2</v>
      </c>
      <c r="R461" s="131">
        <v>2694368</v>
      </c>
      <c r="S461" s="131">
        <v>1</v>
      </c>
      <c r="T461" s="131">
        <v>108.85</v>
      </c>
      <c r="U461" s="131">
        <v>2932.82</v>
      </c>
      <c r="W461" s="16" t="s">
        <v>15</v>
      </c>
      <c r="X461" s="132">
        <v>1E-4</v>
      </c>
      <c r="Y461" s="132">
        <v>8.1229999999999997E-2</v>
      </c>
      <c r="Z461" s="132">
        <v>1.6729999999999998E-2</v>
      </c>
    </row>
    <row r="462" spans="1:26">
      <c r="A462" t="s">
        <v>1213</v>
      </c>
      <c r="B462" t="s">
        <v>1252</v>
      </c>
      <c r="C462" t="s">
        <v>1267</v>
      </c>
      <c r="D462" t="s">
        <v>1274</v>
      </c>
      <c r="E462" t="s">
        <v>1275</v>
      </c>
      <c r="F462" t="s">
        <v>945</v>
      </c>
      <c r="G462" t="s">
        <v>204</v>
      </c>
      <c r="H462" t="s">
        <v>204</v>
      </c>
      <c r="I462" t="s">
        <v>340</v>
      </c>
      <c r="J462" t="s">
        <v>1265</v>
      </c>
      <c r="K462" t="s">
        <v>415</v>
      </c>
      <c r="L462" t="s">
        <v>1212</v>
      </c>
      <c r="M462" s="131">
        <v>1.4</v>
      </c>
      <c r="N462" t="s">
        <v>1276</v>
      </c>
      <c r="O462" s="132">
        <v>3.9820000000000001E-2</v>
      </c>
      <c r="P462" s="132">
        <v>4.3799999999999999E-2</v>
      </c>
      <c r="R462" s="131">
        <v>2987230</v>
      </c>
      <c r="S462" s="131">
        <v>1</v>
      </c>
      <c r="T462" s="131">
        <v>95.1</v>
      </c>
      <c r="U462" s="131">
        <v>2840.8560000000002</v>
      </c>
      <c r="W462" s="16" t="s">
        <v>15</v>
      </c>
      <c r="X462" s="132">
        <v>1.1E-4</v>
      </c>
      <c r="Y462" s="132">
        <v>7.8689999999999996E-2</v>
      </c>
      <c r="Z462" s="132">
        <v>1.6199999999999999E-2</v>
      </c>
    </row>
    <row r="463" spans="1:26">
      <c r="A463" t="s">
        <v>1213</v>
      </c>
      <c r="B463" t="s">
        <v>1252</v>
      </c>
      <c r="C463" t="s">
        <v>1258</v>
      </c>
      <c r="D463" t="s">
        <v>1309</v>
      </c>
      <c r="E463" t="s">
        <v>1310</v>
      </c>
      <c r="F463" t="s">
        <v>943</v>
      </c>
      <c r="G463" t="s">
        <v>204</v>
      </c>
      <c r="H463" t="s">
        <v>204</v>
      </c>
      <c r="I463" t="s">
        <v>340</v>
      </c>
      <c r="J463" t="s">
        <v>1265</v>
      </c>
      <c r="K463" t="s">
        <v>415</v>
      </c>
      <c r="L463" t="s">
        <v>1212</v>
      </c>
      <c r="M463" s="131">
        <v>1.83</v>
      </c>
      <c r="N463" t="s">
        <v>1311</v>
      </c>
      <c r="O463" s="132">
        <v>1.205E-2</v>
      </c>
      <c r="P463" s="132">
        <v>1.5699999999999999E-2</v>
      </c>
      <c r="R463" s="131">
        <v>2164774</v>
      </c>
      <c r="S463" s="131">
        <v>1</v>
      </c>
      <c r="T463" s="131">
        <v>112.44</v>
      </c>
      <c r="U463" s="131">
        <v>2434.0720000000001</v>
      </c>
      <c r="W463" s="16" t="s">
        <v>15</v>
      </c>
      <c r="X463" s="132">
        <v>1.1E-4</v>
      </c>
      <c r="Y463" s="132">
        <v>6.7419999999999994E-2</v>
      </c>
      <c r="Z463" s="132">
        <v>1.388E-2</v>
      </c>
    </row>
    <row r="464" spans="1:26">
      <c r="A464" t="s">
        <v>1213</v>
      </c>
      <c r="B464" t="s">
        <v>1252</v>
      </c>
      <c r="C464" t="s">
        <v>1267</v>
      </c>
      <c r="D464" t="s">
        <v>1281</v>
      </c>
      <c r="E464" t="s">
        <v>1282</v>
      </c>
      <c r="F464" t="s">
        <v>945</v>
      </c>
      <c r="G464" t="s">
        <v>204</v>
      </c>
      <c r="H464" t="s">
        <v>204</v>
      </c>
      <c r="I464" t="s">
        <v>340</v>
      </c>
      <c r="J464" t="s">
        <v>1261</v>
      </c>
      <c r="K464" t="s">
        <v>413</v>
      </c>
      <c r="L464" t="s">
        <v>1212</v>
      </c>
      <c r="M464" s="131">
        <v>5.33</v>
      </c>
      <c r="N464" t="s">
        <v>1283</v>
      </c>
      <c r="O464" s="132">
        <v>4.6829999999999997E-2</v>
      </c>
      <c r="P464" s="132">
        <v>4.6300000000000001E-2</v>
      </c>
      <c r="R464" s="131">
        <v>1636558</v>
      </c>
      <c r="S464" s="131">
        <v>1</v>
      </c>
      <c r="T464" s="131">
        <v>83.24</v>
      </c>
      <c r="U464" s="131">
        <v>1362.271</v>
      </c>
      <c r="W464" s="16" t="s">
        <v>15</v>
      </c>
      <c r="X464" s="132">
        <v>4.0000000000000003E-5</v>
      </c>
      <c r="Y464" s="132">
        <v>3.773E-2</v>
      </c>
      <c r="Z464" s="132">
        <v>7.77E-3</v>
      </c>
    </row>
    <row r="465" spans="1:26">
      <c r="A465" t="s">
        <v>1213</v>
      </c>
      <c r="B465" t="s">
        <v>1252</v>
      </c>
      <c r="C465" t="s">
        <v>1277</v>
      </c>
      <c r="D465" t="s">
        <v>1278</v>
      </c>
      <c r="E465" t="s">
        <v>1279</v>
      </c>
      <c r="F465" t="s">
        <v>946</v>
      </c>
      <c r="G465" t="s">
        <v>204</v>
      </c>
      <c r="H465" t="s">
        <v>204</v>
      </c>
      <c r="I465" t="s">
        <v>340</v>
      </c>
      <c r="J465" t="s">
        <v>1261</v>
      </c>
      <c r="K465" t="s">
        <v>413</v>
      </c>
      <c r="L465" t="s">
        <v>1212</v>
      </c>
      <c r="M465" s="131">
        <v>5.42</v>
      </c>
      <c r="N465" t="s">
        <v>1280</v>
      </c>
      <c r="O465" s="132">
        <v>5.8199999999999997E-3</v>
      </c>
      <c r="P465" s="132">
        <v>4.8399999999999999E-2</v>
      </c>
      <c r="R465" s="131">
        <v>1328262</v>
      </c>
      <c r="S465" s="131">
        <v>1</v>
      </c>
      <c r="T465" s="131">
        <v>97.9</v>
      </c>
      <c r="U465" s="131">
        <v>1300.3679999999999</v>
      </c>
      <c r="W465" s="16" t="s">
        <v>15</v>
      </c>
      <c r="X465" s="132">
        <v>4.0000000000000003E-5</v>
      </c>
      <c r="Y465" s="132">
        <v>3.6020000000000003E-2</v>
      </c>
      <c r="Z465" s="132">
        <v>7.4200000000000004E-3</v>
      </c>
    </row>
    <row r="466" spans="1:26">
      <c r="A466" t="s">
        <v>1213</v>
      </c>
      <c r="B466" t="s">
        <v>1252</v>
      </c>
      <c r="C466" t="s">
        <v>1258</v>
      </c>
      <c r="D466" t="s">
        <v>1297</v>
      </c>
      <c r="E466" t="s">
        <v>1298</v>
      </c>
      <c r="F466" t="s">
        <v>943</v>
      </c>
      <c r="G466" t="s">
        <v>204</v>
      </c>
      <c r="H466" t="s">
        <v>204</v>
      </c>
      <c r="I466" t="s">
        <v>340</v>
      </c>
      <c r="J466" t="s">
        <v>1265</v>
      </c>
      <c r="K466" t="s">
        <v>415</v>
      </c>
      <c r="L466" t="s">
        <v>1212</v>
      </c>
      <c r="M466" s="131">
        <v>7.14</v>
      </c>
      <c r="N466" t="s">
        <v>1299</v>
      </c>
      <c r="O466" s="132">
        <v>1.3769999999999999E-2</v>
      </c>
      <c r="P466" s="132">
        <v>1.9900000000000001E-2</v>
      </c>
      <c r="R466" s="131">
        <v>1211631</v>
      </c>
      <c r="S466" s="131">
        <v>1</v>
      </c>
      <c r="T466" s="131">
        <v>101.1</v>
      </c>
      <c r="U466" s="131">
        <v>1224.9590000000001</v>
      </c>
      <c r="W466" s="16" t="s">
        <v>15</v>
      </c>
      <c r="X466" s="132">
        <v>4.0000000000000003E-5</v>
      </c>
      <c r="Y466" s="132">
        <v>3.3930000000000002E-2</v>
      </c>
      <c r="Z466" s="132">
        <v>6.9899999999999997E-3</v>
      </c>
    </row>
    <row r="467" spans="1:26">
      <c r="A467" t="s">
        <v>1213</v>
      </c>
      <c r="B467" t="s">
        <v>1252</v>
      </c>
      <c r="C467" t="s">
        <v>1258</v>
      </c>
      <c r="D467" t="s">
        <v>1263</v>
      </c>
      <c r="E467" t="s">
        <v>1264</v>
      </c>
      <c r="F467" t="s">
        <v>943</v>
      </c>
      <c r="G467" t="s">
        <v>204</v>
      </c>
      <c r="H467" t="s">
        <v>204</v>
      </c>
      <c r="I467" t="s">
        <v>340</v>
      </c>
      <c r="J467" t="s">
        <v>1265</v>
      </c>
      <c r="K467" t="s">
        <v>415</v>
      </c>
      <c r="L467" t="s">
        <v>1212</v>
      </c>
      <c r="M467" s="131">
        <v>3.97</v>
      </c>
      <c r="N467" t="s">
        <v>1266</v>
      </c>
      <c r="O467" s="132">
        <v>1.2070000000000001E-2</v>
      </c>
      <c r="P467" s="132">
        <v>1.7999999999999999E-2</v>
      </c>
      <c r="R467" s="131">
        <v>1001821</v>
      </c>
      <c r="S467" s="131">
        <v>1</v>
      </c>
      <c r="T467" s="131">
        <v>102.6</v>
      </c>
      <c r="U467" s="131">
        <v>1027.8679999999999</v>
      </c>
      <c r="W467" s="16" t="s">
        <v>15</v>
      </c>
      <c r="X467" s="132">
        <v>5.0000000000000002E-5</v>
      </c>
      <c r="Y467" s="132">
        <v>2.8469999999999999E-2</v>
      </c>
      <c r="Z467" s="132">
        <v>5.8599999999999998E-3</v>
      </c>
    </row>
    <row r="468" spans="1:26">
      <c r="A468" t="s">
        <v>1213</v>
      </c>
      <c r="B468" t="s">
        <v>1252</v>
      </c>
      <c r="C468" t="s">
        <v>1267</v>
      </c>
      <c r="D468" t="s">
        <v>1306</v>
      </c>
      <c r="E468" t="s">
        <v>1307</v>
      </c>
      <c r="F468" t="s">
        <v>945</v>
      </c>
      <c r="G468" t="s">
        <v>204</v>
      </c>
      <c r="H468" t="s">
        <v>204</v>
      </c>
      <c r="I468" t="s">
        <v>340</v>
      </c>
      <c r="J468" t="s">
        <v>1265</v>
      </c>
      <c r="K468" t="s">
        <v>415</v>
      </c>
      <c r="L468" t="s">
        <v>1212</v>
      </c>
      <c r="M468" s="131">
        <v>4.0599999999999996</v>
      </c>
      <c r="N468" t="s">
        <v>1308</v>
      </c>
      <c r="O468" s="132">
        <v>3.5209999999999998E-2</v>
      </c>
      <c r="P468" s="132">
        <v>4.5600000000000002E-2</v>
      </c>
      <c r="R468" s="131">
        <v>910242</v>
      </c>
      <c r="S468" s="131">
        <v>1</v>
      </c>
      <c r="T468" s="131">
        <v>99.02</v>
      </c>
      <c r="U468" s="131">
        <v>901.322</v>
      </c>
      <c r="W468" s="16" t="s">
        <v>15</v>
      </c>
      <c r="X468" s="132">
        <v>3.0000000000000001E-5</v>
      </c>
      <c r="Y468" s="132">
        <v>2.4969999999999999E-2</v>
      </c>
      <c r="Z468" s="132">
        <v>5.1399999999999996E-3</v>
      </c>
    </row>
    <row r="469" spans="1:26">
      <c r="A469" t="s">
        <v>1213</v>
      </c>
      <c r="B469" t="s">
        <v>1252</v>
      </c>
      <c r="C469" t="s">
        <v>1267</v>
      </c>
      <c r="D469" t="s">
        <v>1341</v>
      </c>
      <c r="E469" t="s">
        <v>1342</v>
      </c>
      <c r="F469" t="s">
        <v>945</v>
      </c>
      <c r="G469" t="s">
        <v>204</v>
      </c>
      <c r="H469" t="s">
        <v>204</v>
      </c>
      <c r="I469" t="s">
        <v>340</v>
      </c>
      <c r="J469" t="s">
        <v>1261</v>
      </c>
      <c r="K469" t="s">
        <v>413</v>
      </c>
      <c r="L469" t="s">
        <v>1212</v>
      </c>
      <c r="M469" s="131">
        <v>2.44</v>
      </c>
      <c r="N469" t="s">
        <v>1343</v>
      </c>
      <c r="O469" s="132">
        <v>3.7810000000000003E-2</v>
      </c>
      <c r="P469" s="132">
        <v>4.3999999999999997E-2</v>
      </c>
      <c r="R469" s="131">
        <v>482274</v>
      </c>
      <c r="S469" s="131">
        <v>1</v>
      </c>
      <c r="T469" s="131">
        <v>95.44</v>
      </c>
      <c r="U469" s="131">
        <v>460.28199999999998</v>
      </c>
      <c r="W469" s="16" t="s">
        <v>15</v>
      </c>
      <c r="X469" s="132">
        <v>2.0000000000000002E-5</v>
      </c>
      <c r="Y469" s="132">
        <v>1.2749999999999999E-2</v>
      </c>
      <c r="Z469" s="132">
        <v>2.6199999999999999E-3</v>
      </c>
    </row>
    <row r="470" spans="1:26">
      <c r="A470" t="s">
        <v>1213</v>
      </c>
      <c r="B470" t="s">
        <v>1252</v>
      </c>
      <c r="C470" t="s">
        <v>1267</v>
      </c>
      <c r="D470" t="s">
        <v>1368</v>
      </c>
      <c r="E470" t="s">
        <v>1369</v>
      </c>
      <c r="F470" t="s">
        <v>945</v>
      </c>
      <c r="G470" t="s">
        <v>204</v>
      </c>
      <c r="H470" t="s">
        <v>204</v>
      </c>
      <c r="I470" t="s">
        <v>340</v>
      </c>
      <c r="J470" t="s">
        <v>1261</v>
      </c>
      <c r="K470" t="s">
        <v>413</v>
      </c>
      <c r="L470" t="s">
        <v>1212</v>
      </c>
      <c r="M470" s="131">
        <v>2.89</v>
      </c>
      <c r="N470" t="s">
        <v>1370</v>
      </c>
      <c r="O470" s="132">
        <v>4.4380000000000003E-2</v>
      </c>
      <c r="P470" s="132">
        <v>4.4499999999999998E-2</v>
      </c>
      <c r="R470" s="131">
        <v>406171</v>
      </c>
      <c r="S470" s="131">
        <v>1</v>
      </c>
      <c r="T470" s="131">
        <v>98.09</v>
      </c>
      <c r="U470" s="131">
        <v>398.41300000000001</v>
      </c>
      <c r="W470" s="16" t="s">
        <v>15</v>
      </c>
      <c r="X470" s="132">
        <v>2.0000000000000002E-5</v>
      </c>
      <c r="Y470" s="132">
        <v>1.1039999999999999E-2</v>
      </c>
      <c r="Z470" s="132">
        <v>2.2699999999999999E-3</v>
      </c>
    </row>
    <row r="471" spans="1:26">
      <c r="A471" t="s">
        <v>1213</v>
      </c>
      <c r="B471" t="s">
        <v>1252</v>
      </c>
      <c r="C471" t="s">
        <v>1258</v>
      </c>
      <c r="D471" t="s">
        <v>1509</v>
      </c>
      <c r="E471" t="s">
        <v>1510</v>
      </c>
      <c r="F471" t="s">
        <v>943</v>
      </c>
      <c r="G471" t="s">
        <v>204</v>
      </c>
      <c r="H471" t="s">
        <v>204</v>
      </c>
      <c r="I471" t="s">
        <v>340</v>
      </c>
      <c r="J471" t="s">
        <v>1261</v>
      </c>
      <c r="K471" t="s">
        <v>413</v>
      </c>
      <c r="L471" t="s">
        <v>1212</v>
      </c>
      <c r="M471" s="131">
        <v>13.85</v>
      </c>
      <c r="N471" t="s">
        <v>1511</v>
      </c>
      <c r="O471" s="132">
        <v>-1.7099999999999999E-3</v>
      </c>
      <c r="P471" s="132">
        <v>2.24E-2</v>
      </c>
      <c r="R471" s="131">
        <v>56149</v>
      </c>
      <c r="S471" s="131">
        <v>1</v>
      </c>
      <c r="T471" s="131">
        <v>132.61000000000001</v>
      </c>
      <c r="U471" s="131">
        <v>74.459000000000003</v>
      </c>
      <c r="W471" s="16" t="s">
        <v>15</v>
      </c>
      <c r="X471" s="132">
        <v>0</v>
      </c>
      <c r="Y471" s="132">
        <v>2.0600000000000002E-3</v>
      </c>
      <c r="Z471" s="132">
        <v>4.2000000000000002E-4</v>
      </c>
    </row>
    <row r="472" spans="1:26">
      <c r="A472" t="s">
        <v>1213</v>
      </c>
      <c r="B472" t="s">
        <v>1252</v>
      </c>
      <c r="C472" t="s">
        <v>1267</v>
      </c>
      <c r="D472" t="s">
        <v>1271</v>
      </c>
      <c r="E472" t="s">
        <v>1272</v>
      </c>
      <c r="F472" t="s">
        <v>945</v>
      </c>
      <c r="G472" t="s">
        <v>204</v>
      </c>
      <c r="H472" t="s">
        <v>204</v>
      </c>
      <c r="I472" t="s">
        <v>340</v>
      </c>
      <c r="J472" t="s">
        <v>1261</v>
      </c>
      <c r="K472" t="s">
        <v>413</v>
      </c>
      <c r="L472" t="s">
        <v>1212</v>
      </c>
      <c r="M472" s="131">
        <v>11.32</v>
      </c>
      <c r="N472" t="s">
        <v>1273</v>
      </c>
      <c r="O472" s="132">
        <v>3.1980000000000001E-2</v>
      </c>
      <c r="P472" s="132">
        <v>5.1700000000000003E-2</v>
      </c>
      <c r="R472" s="131">
        <v>36292</v>
      </c>
      <c r="S472" s="131">
        <v>1</v>
      </c>
      <c r="T472" s="131">
        <v>107.34</v>
      </c>
      <c r="U472" s="131">
        <v>38.956000000000003</v>
      </c>
      <c r="W472" s="16" t="s">
        <v>15</v>
      </c>
      <c r="X472" s="132">
        <v>0</v>
      </c>
      <c r="Y472" s="132">
        <v>1.08E-3</v>
      </c>
      <c r="Z472" s="132">
        <v>2.2000000000000001E-4</v>
      </c>
    </row>
    <row r="473" spans="1:26">
      <c r="A473" t="s">
        <v>1213</v>
      </c>
      <c r="B473" t="s">
        <v>1252</v>
      </c>
      <c r="C473" t="s">
        <v>1267</v>
      </c>
      <c r="D473" t="s">
        <v>1287</v>
      </c>
      <c r="E473" t="s">
        <v>1288</v>
      </c>
      <c r="F473" t="s">
        <v>945</v>
      </c>
      <c r="G473" t="s">
        <v>204</v>
      </c>
      <c r="H473" t="s">
        <v>204</v>
      </c>
      <c r="I473" t="s">
        <v>340</v>
      </c>
      <c r="J473" t="s">
        <v>1261</v>
      </c>
      <c r="K473" t="s">
        <v>413</v>
      </c>
      <c r="L473" t="s">
        <v>1212</v>
      </c>
      <c r="M473" s="131">
        <v>0.92</v>
      </c>
      <c r="N473" t="s">
        <v>1289</v>
      </c>
      <c r="O473" s="132">
        <v>3.3840000000000002E-2</v>
      </c>
      <c r="P473" s="132">
        <v>4.1700000000000001E-2</v>
      </c>
      <c r="R473" s="131">
        <v>35299</v>
      </c>
      <c r="S473" s="131">
        <v>1</v>
      </c>
      <c r="T473" s="131">
        <v>98.02</v>
      </c>
      <c r="U473" s="131">
        <v>34.6</v>
      </c>
      <c r="W473" s="16" t="s">
        <v>15</v>
      </c>
      <c r="X473" s="132">
        <v>0</v>
      </c>
      <c r="Y473" s="132">
        <v>9.6000000000000002E-4</v>
      </c>
      <c r="Z473" s="132">
        <v>2.0000000000000001E-4</v>
      </c>
    </row>
    <row r="474" spans="1:26">
      <c r="A474" t="s">
        <v>1213</v>
      </c>
      <c r="B474" t="s">
        <v>1253</v>
      </c>
      <c r="C474" t="s">
        <v>1258</v>
      </c>
      <c r="D474" t="s">
        <v>1259</v>
      </c>
      <c r="E474" t="s">
        <v>1260</v>
      </c>
      <c r="F474" t="s">
        <v>943</v>
      </c>
      <c r="G474" t="s">
        <v>204</v>
      </c>
      <c r="H474" t="s">
        <v>204</v>
      </c>
      <c r="I474" t="s">
        <v>340</v>
      </c>
      <c r="J474" t="s">
        <v>1261</v>
      </c>
      <c r="K474" t="s">
        <v>413</v>
      </c>
      <c r="L474" t="s">
        <v>1212</v>
      </c>
      <c r="M474" s="131">
        <v>1.07</v>
      </c>
      <c r="N474" t="s">
        <v>1262</v>
      </c>
      <c r="O474" s="132">
        <v>9.1400000000000006E-3</v>
      </c>
      <c r="P474" s="132">
        <v>1.2999999999999999E-2</v>
      </c>
      <c r="R474" s="131">
        <v>6163889</v>
      </c>
      <c r="S474" s="131">
        <v>1</v>
      </c>
      <c r="T474" s="131">
        <v>116.02</v>
      </c>
      <c r="U474" s="131">
        <v>7151.3440000000001</v>
      </c>
      <c r="W474" s="16" t="s">
        <v>15</v>
      </c>
      <c r="X474" s="132">
        <v>2.7999999999999998E-4</v>
      </c>
      <c r="Y474" s="132">
        <v>0.21708</v>
      </c>
      <c r="Z474" s="132">
        <v>6.1010000000000002E-2</v>
      </c>
    </row>
    <row r="475" spans="1:26">
      <c r="A475" t="s">
        <v>1213</v>
      </c>
      <c r="B475" t="s">
        <v>1253</v>
      </c>
      <c r="C475" t="s">
        <v>1258</v>
      </c>
      <c r="D475" t="s">
        <v>1309</v>
      </c>
      <c r="E475" t="s">
        <v>1310</v>
      </c>
      <c r="F475" t="s">
        <v>943</v>
      </c>
      <c r="G475" t="s">
        <v>204</v>
      </c>
      <c r="H475" t="s">
        <v>204</v>
      </c>
      <c r="I475" t="s">
        <v>340</v>
      </c>
      <c r="J475" t="s">
        <v>1265</v>
      </c>
      <c r="K475" t="s">
        <v>415</v>
      </c>
      <c r="L475" t="s">
        <v>1212</v>
      </c>
      <c r="M475" s="131">
        <v>1.83</v>
      </c>
      <c r="N475" t="s">
        <v>1311</v>
      </c>
      <c r="O475" s="132">
        <v>1.2149999999999999E-2</v>
      </c>
      <c r="P475" s="132">
        <v>1.5699999999999999E-2</v>
      </c>
      <c r="R475" s="131">
        <v>4091613</v>
      </c>
      <c r="S475" s="131">
        <v>1</v>
      </c>
      <c r="T475" s="131">
        <v>112.44</v>
      </c>
      <c r="U475" s="131">
        <v>4600.6099999999997</v>
      </c>
      <c r="W475" s="16" t="s">
        <v>15</v>
      </c>
      <c r="X475" s="132">
        <v>2.0000000000000001E-4</v>
      </c>
      <c r="Y475" s="132">
        <v>0.13965</v>
      </c>
      <c r="Z475" s="132">
        <v>3.925E-2</v>
      </c>
    </row>
    <row r="476" spans="1:26">
      <c r="A476" t="s">
        <v>1213</v>
      </c>
      <c r="B476" t="s">
        <v>1253</v>
      </c>
      <c r="C476" t="s">
        <v>1258</v>
      </c>
      <c r="D476" t="s">
        <v>1329</v>
      </c>
      <c r="E476" t="s">
        <v>1330</v>
      </c>
      <c r="F476" t="s">
        <v>943</v>
      </c>
      <c r="G476" t="s">
        <v>204</v>
      </c>
      <c r="H476" t="s">
        <v>204</v>
      </c>
      <c r="I476" t="s">
        <v>340</v>
      </c>
      <c r="J476" t="s">
        <v>1265</v>
      </c>
      <c r="K476" t="s">
        <v>415</v>
      </c>
      <c r="L476" t="s">
        <v>1212</v>
      </c>
      <c r="M476" s="131">
        <v>2.64</v>
      </c>
      <c r="N476" t="s">
        <v>1331</v>
      </c>
      <c r="O476" s="132">
        <v>-2.282E-2</v>
      </c>
      <c r="P476" s="132">
        <v>1.6299999999999999E-2</v>
      </c>
      <c r="R476" s="131">
        <v>3022433</v>
      </c>
      <c r="S476" s="131">
        <v>1</v>
      </c>
      <c r="T476" s="131">
        <v>114.25</v>
      </c>
      <c r="U476" s="131">
        <v>3453.13</v>
      </c>
      <c r="W476" s="16" t="s">
        <v>15</v>
      </c>
      <c r="X476" s="132">
        <v>1.3999999999999999E-4</v>
      </c>
      <c r="Y476" s="132">
        <v>0.10482</v>
      </c>
      <c r="Z476" s="132">
        <v>2.946E-2</v>
      </c>
    </row>
    <row r="477" spans="1:26">
      <c r="A477" t="s">
        <v>1213</v>
      </c>
      <c r="B477" t="s">
        <v>1253</v>
      </c>
      <c r="C477" t="s">
        <v>1258</v>
      </c>
      <c r="D477" t="s">
        <v>1300</v>
      </c>
      <c r="E477" t="s">
        <v>1301</v>
      </c>
      <c r="F477" t="s">
        <v>943</v>
      </c>
      <c r="G477" t="s">
        <v>204</v>
      </c>
      <c r="H477" t="s">
        <v>204</v>
      </c>
      <c r="I477" t="s">
        <v>340</v>
      </c>
      <c r="J477" t="s">
        <v>1265</v>
      </c>
      <c r="K477" t="s">
        <v>415</v>
      </c>
      <c r="L477" t="s">
        <v>1212</v>
      </c>
      <c r="M477" s="131">
        <v>4.6100000000000003</v>
      </c>
      <c r="N477" t="s">
        <v>1302</v>
      </c>
      <c r="O477" s="132">
        <v>5.2399999999999999E-3</v>
      </c>
      <c r="P477" s="132">
        <v>1.83E-2</v>
      </c>
      <c r="R477" s="131">
        <v>3036063</v>
      </c>
      <c r="S477" s="131">
        <v>1</v>
      </c>
      <c r="T477" s="131">
        <v>108.85</v>
      </c>
      <c r="U477" s="131">
        <v>3304.7550000000001</v>
      </c>
      <c r="W477" s="16" t="s">
        <v>15</v>
      </c>
      <c r="X477" s="132">
        <v>1.1E-4</v>
      </c>
      <c r="Y477" s="132">
        <v>0.10032000000000001</v>
      </c>
      <c r="Z477" s="132">
        <v>2.8199999999999999E-2</v>
      </c>
    </row>
    <row r="478" spans="1:26">
      <c r="A478" t="s">
        <v>1213</v>
      </c>
      <c r="B478" t="s">
        <v>1253</v>
      </c>
      <c r="C478" t="s">
        <v>1267</v>
      </c>
      <c r="D478" t="s">
        <v>1312</v>
      </c>
      <c r="E478" t="s">
        <v>1313</v>
      </c>
      <c r="F478" t="s">
        <v>945</v>
      </c>
      <c r="G478" t="s">
        <v>204</v>
      </c>
      <c r="H478" t="s">
        <v>204</v>
      </c>
      <c r="I478" t="s">
        <v>340</v>
      </c>
      <c r="J478" t="s">
        <v>1261</v>
      </c>
      <c r="K478" t="s">
        <v>413</v>
      </c>
      <c r="L478" t="s">
        <v>1212</v>
      </c>
      <c r="M478" s="131">
        <v>1.91</v>
      </c>
      <c r="N478" t="s">
        <v>1314</v>
      </c>
      <c r="O478" s="132">
        <v>3.9890000000000002E-2</v>
      </c>
      <c r="P478" s="132">
        <v>4.3200000000000002E-2</v>
      </c>
      <c r="R478" s="131">
        <v>2944032</v>
      </c>
      <c r="S478" s="131">
        <v>1</v>
      </c>
      <c r="T478" s="131">
        <v>109.5</v>
      </c>
      <c r="U478" s="131">
        <v>3223.7150000000001</v>
      </c>
      <c r="W478" s="16" t="s">
        <v>15</v>
      </c>
      <c r="X478" s="132">
        <v>2.0000000000000001E-4</v>
      </c>
      <c r="Y478" s="132">
        <v>9.7860000000000003E-2</v>
      </c>
      <c r="Z478" s="132">
        <v>2.75E-2</v>
      </c>
    </row>
    <row r="479" spans="1:26">
      <c r="A479" t="s">
        <v>1213</v>
      </c>
      <c r="B479" t="s">
        <v>1253</v>
      </c>
      <c r="C479" t="s">
        <v>1267</v>
      </c>
      <c r="D479" t="s">
        <v>1347</v>
      </c>
      <c r="E479" t="s">
        <v>1348</v>
      </c>
      <c r="F479" t="s">
        <v>945</v>
      </c>
      <c r="G479" t="s">
        <v>204</v>
      </c>
      <c r="H479" t="s">
        <v>204</v>
      </c>
      <c r="I479" t="s">
        <v>340</v>
      </c>
      <c r="J479" t="s">
        <v>1261</v>
      </c>
      <c r="K479" t="s">
        <v>413</v>
      </c>
      <c r="L479" t="s">
        <v>1212</v>
      </c>
      <c r="M479" s="131">
        <v>3.86</v>
      </c>
      <c r="N479" t="s">
        <v>1349</v>
      </c>
      <c r="O479" s="132">
        <v>3.5349999999999999E-2</v>
      </c>
      <c r="P479" s="132">
        <v>4.5100000000000001E-2</v>
      </c>
      <c r="R479" s="131">
        <v>2448799</v>
      </c>
      <c r="S479" s="131">
        <v>1</v>
      </c>
      <c r="T479" s="131">
        <v>91.9</v>
      </c>
      <c r="U479" s="131">
        <v>2250.4459999999999</v>
      </c>
      <c r="W479" s="16" t="s">
        <v>15</v>
      </c>
      <c r="X479" s="132">
        <v>6.9999999999999994E-5</v>
      </c>
      <c r="Y479" s="132">
        <v>6.8309999999999996E-2</v>
      </c>
      <c r="Z479" s="132">
        <v>1.9199999999999998E-2</v>
      </c>
    </row>
    <row r="480" spans="1:26">
      <c r="A480" t="s">
        <v>1213</v>
      </c>
      <c r="B480" t="s">
        <v>1253</v>
      </c>
      <c r="C480" t="s">
        <v>1258</v>
      </c>
      <c r="D480" t="s">
        <v>1297</v>
      </c>
      <c r="E480" t="s">
        <v>1298</v>
      </c>
      <c r="F480" t="s">
        <v>943</v>
      </c>
      <c r="G480" t="s">
        <v>204</v>
      </c>
      <c r="H480" t="s">
        <v>204</v>
      </c>
      <c r="I480" t="s">
        <v>340</v>
      </c>
      <c r="J480" t="s">
        <v>1265</v>
      </c>
      <c r="K480" t="s">
        <v>415</v>
      </c>
      <c r="L480" t="s">
        <v>1212</v>
      </c>
      <c r="M480" s="131">
        <v>7.14</v>
      </c>
      <c r="N480" t="s">
        <v>1299</v>
      </c>
      <c r="O480" s="132">
        <v>1.2800000000000001E-2</v>
      </c>
      <c r="P480" s="132">
        <v>1.9900000000000001E-2</v>
      </c>
      <c r="R480" s="131">
        <v>1928495</v>
      </c>
      <c r="S480" s="131">
        <v>1</v>
      </c>
      <c r="T480" s="131">
        <v>101.1</v>
      </c>
      <c r="U480" s="131">
        <v>1949.7080000000001</v>
      </c>
      <c r="W480" s="16" t="s">
        <v>15</v>
      </c>
      <c r="X480" s="132">
        <v>6.0000000000000002E-5</v>
      </c>
      <c r="Y480" s="132">
        <v>5.9180000000000003E-2</v>
      </c>
      <c r="Z480" s="132">
        <v>1.6629999999999999E-2</v>
      </c>
    </row>
    <row r="481" spans="1:26">
      <c r="A481" t="s">
        <v>1213</v>
      </c>
      <c r="B481" t="s">
        <v>1253</v>
      </c>
      <c r="C481" t="s">
        <v>1267</v>
      </c>
      <c r="D481" t="s">
        <v>1281</v>
      </c>
      <c r="E481" t="s">
        <v>1282</v>
      </c>
      <c r="F481" t="s">
        <v>945</v>
      </c>
      <c r="G481" t="s">
        <v>204</v>
      </c>
      <c r="H481" t="s">
        <v>204</v>
      </c>
      <c r="I481" t="s">
        <v>340</v>
      </c>
      <c r="J481" t="s">
        <v>1261</v>
      </c>
      <c r="K481" t="s">
        <v>413</v>
      </c>
      <c r="L481" t="s">
        <v>1212</v>
      </c>
      <c r="M481" s="131">
        <v>5.33</v>
      </c>
      <c r="N481" t="s">
        <v>1283</v>
      </c>
      <c r="O481" s="132">
        <v>4.4040000000000003E-2</v>
      </c>
      <c r="P481" s="132">
        <v>4.6300000000000001E-2</v>
      </c>
      <c r="R481" s="131">
        <v>2176565</v>
      </c>
      <c r="S481" s="131">
        <v>1</v>
      </c>
      <c r="T481" s="131">
        <v>83.24</v>
      </c>
      <c r="U481" s="131">
        <v>1811.7729999999999</v>
      </c>
      <c r="W481" s="16" t="s">
        <v>15</v>
      </c>
      <c r="X481" s="132">
        <v>6.0000000000000002E-5</v>
      </c>
      <c r="Y481" s="132">
        <v>5.5E-2</v>
      </c>
      <c r="Z481" s="132">
        <v>1.546E-2</v>
      </c>
    </row>
    <row r="482" spans="1:26">
      <c r="A482" t="s">
        <v>1213</v>
      </c>
      <c r="B482" t="s">
        <v>1253</v>
      </c>
      <c r="C482" t="s">
        <v>1267</v>
      </c>
      <c r="D482" t="s">
        <v>1274</v>
      </c>
      <c r="E482" t="s">
        <v>1275</v>
      </c>
      <c r="F482" t="s">
        <v>945</v>
      </c>
      <c r="G482" t="s">
        <v>204</v>
      </c>
      <c r="H482" t="s">
        <v>204</v>
      </c>
      <c r="I482" t="s">
        <v>340</v>
      </c>
      <c r="J482" t="s">
        <v>1265</v>
      </c>
      <c r="K482" t="s">
        <v>415</v>
      </c>
      <c r="L482" t="s">
        <v>1212</v>
      </c>
      <c r="M482" s="131">
        <v>1.4</v>
      </c>
      <c r="N482" t="s">
        <v>1276</v>
      </c>
      <c r="O482" s="132">
        <v>4.0820000000000002E-2</v>
      </c>
      <c r="P482" s="132">
        <v>4.3799999999999999E-2</v>
      </c>
      <c r="R482" s="131">
        <v>1873960</v>
      </c>
      <c r="S482" s="131">
        <v>1</v>
      </c>
      <c r="T482" s="131">
        <v>95.1</v>
      </c>
      <c r="U482" s="131">
        <v>1782.136</v>
      </c>
      <c r="W482" s="16" t="s">
        <v>15</v>
      </c>
      <c r="X482" s="132">
        <v>6.9999999999999994E-5</v>
      </c>
      <c r="Y482" s="132">
        <v>5.4100000000000002E-2</v>
      </c>
      <c r="Z482" s="132">
        <v>1.52E-2</v>
      </c>
    </row>
    <row r="483" spans="1:26">
      <c r="A483" t="s">
        <v>1213</v>
      </c>
      <c r="B483" t="s">
        <v>1253</v>
      </c>
      <c r="C483" t="s">
        <v>1267</v>
      </c>
      <c r="D483" t="s">
        <v>1368</v>
      </c>
      <c r="E483" t="s">
        <v>1369</v>
      </c>
      <c r="F483" t="s">
        <v>945</v>
      </c>
      <c r="G483" t="s">
        <v>204</v>
      </c>
      <c r="H483" t="s">
        <v>204</v>
      </c>
      <c r="I483" t="s">
        <v>340</v>
      </c>
      <c r="J483" t="s">
        <v>1261</v>
      </c>
      <c r="K483" t="s">
        <v>413</v>
      </c>
      <c r="L483" t="s">
        <v>1212</v>
      </c>
      <c r="M483" s="131">
        <v>2.89</v>
      </c>
      <c r="N483" t="s">
        <v>1370</v>
      </c>
      <c r="O483" s="132">
        <v>4.0849999999999997E-2</v>
      </c>
      <c r="P483" s="132">
        <v>4.4499999999999998E-2</v>
      </c>
      <c r="R483" s="131">
        <v>1528083</v>
      </c>
      <c r="S483" s="131">
        <v>1</v>
      </c>
      <c r="T483" s="131">
        <v>98.09</v>
      </c>
      <c r="U483" s="131">
        <v>1498.8969999999999</v>
      </c>
      <c r="W483" s="16" t="s">
        <v>15</v>
      </c>
      <c r="X483" s="132">
        <v>9.0000000000000006E-5</v>
      </c>
      <c r="Y483" s="132">
        <v>4.5499999999999999E-2</v>
      </c>
      <c r="Z483" s="132">
        <v>1.2789999999999999E-2</v>
      </c>
    </row>
    <row r="484" spans="1:26">
      <c r="A484" t="s">
        <v>1213</v>
      </c>
      <c r="B484" t="s">
        <v>1253</v>
      </c>
      <c r="C484" t="s">
        <v>1277</v>
      </c>
      <c r="D484" t="s">
        <v>1278</v>
      </c>
      <c r="E484" t="s">
        <v>1279</v>
      </c>
      <c r="F484" t="s">
        <v>946</v>
      </c>
      <c r="G484" t="s">
        <v>204</v>
      </c>
      <c r="H484" t="s">
        <v>204</v>
      </c>
      <c r="I484" t="s">
        <v>340</v>
      </c>
      <c r="J484" t="s">
        <v>1261</v>
      </c>
      <c r="K484" t="s">
        <v>413</v>
      </c>
      <c r="L484" t="s">
        <v>1212</v>
      </c>
      <c r="M484" s="131">
        <v>5.42</v>
      </c>
      <c r="N484" t="s">
        <v>1280</v>
      </c>
      <c r="O484" s="132">
        <v>5.7999999999999996E-3</v>
      </c>
      <c r="P484" s="132">
        <v>4.8399999999999999E-2</v>
      </c>
      <c r="R484" s="131">
        <v>1210782</v>
      </c>
      <c r="S484" s="131">
        <v>1</v>
      </c>
      <c r="T484" s="131">
        <v>97.9</v>
      </c>
      <c r="U484" s="131">
        <v>1185.356</v>
      </c>
      <c r="W484" s="16" t="s">
        <v>15</v>
      </c>
      <c r="X484" s="132">
        <v>4.0000000000000003E-5</v>
      </c>
      <c r="Y484" s="132">
        <v>3.5979999999999998E-2</v>
      </c>
      <c r="Z484" s="132">
        <v>1.0109999999999999E-2</v>
      </c>
    </row>
    <row r="485" spans="1:26">
      <c r="A485" t="s">
        <v>1213</v>
      </c>
      <c r="B485" t="s">
        <v>1253</v>
      </c>
      <c r="C485" t="s">
        <v>1267</v>
      </c>
      <c r="D485" t="s">
        <v>1341</v>
      </c>
      <c r="E485" t="s">
        <v>1342</v>
      </c>
      <c r="F485" t="s">
        <v>945</v>
      </c>
      <c r="G485" t="s">
        <v>204</v>
      </c>
      <c r="H485" t="s">
        <v>204</v>
      </c>
      <c r="I485" t="s">
        <v>340</v>
      </c>
      <c r="J485" t="s">
        <v>1261</v>
      </c>
      <c r="K485" t="s">
        <v>413</v>
      </c>
      <c r="L485" t="s">
        <v>1212</v>
      </c>
      <c r="M485" s="131">
        <v>2.44</v>
      </c>
      <c r="N485" t="s">
        <v>1343</v>
      </c>
      <c r="O485" s="132">
        <v>3.7789999999999997E-2</v>
      </c>
      <c r="P485" s="132">
        <v>4.3999999999999997E-2</v>
      </c>
      <c r="R485" s="131">
        <v>358816</v>
      </c>
      <c r="S485" s="131">
        <v>1</v>
      </c>
      <c r="T485" s="131">
        <v>95.44</v>
      </c>
      <c r="U485" s="131">
        <v>342.45400000000001</v>
      </c>
      <c r="W485" s="16" t="s">
        <v>15</v>
      </c>
      <c r="X485" s="132">
        <v>1.0000000000000001E-5</v>
      </c>
      <c r="Y485" s="132">
        <v>1.04E-2</v>
      </c>
      <c r="Z485" s="132">
        <v>2.9199999999999999E-3</v>
      </c>
    </row>
    <row r="486" spans="1:26">
      <c r="A486" t="s">
        <v>1213</v>
      </c>
      <c r="B486" t="s">
        <v>1253</v>
      </c>
      <c r="C486" t="s">
        <v>1267</v>
      </c>
      <c r="D486" t="s">
        <v>1306</v>
      </c>
      <c r="E486" t="s">
        <v>1307</v>
      </c>
      <c r="F486" t="s">
        <v>945</v>
      </c>
      <c r="G486" t="s">
        <v>204</v>
      </c>
      <c r="H486" t="s">
        <v>204</v>
      </c>
      <c r="I486" t="s">
        <v>340</v>
      </c>
      <c r="J486" t="s">
        <v>1265</v>
      </c>
      <c r="K486" t="s">
        <v>415</v>
      </c>
      <c r="L486" t="s">
        <v>1212</v>
      </c>
      <c r="M486" s="131">
        <v>4.0599999999999996</v>
      </c>
      <c r="N486" t="s">
        <v>1308</v>
      </c>
      <c r="O486" s="132">
        <v>3.2730000000000002E-2</v>
      </c>
      <c r="P486" s="132">
        <v>4.5600000000000002E-2</v>
      </c>
      <c r="R486" s="131">
        <v>319926</v>
      </c>
      <c r="S486" s="131">
        <v>1</v>
      </c>
      <c r="T486" s="131">
        <v>99.02</v>
      </c>
      <c r="U486" s="131">
        <v>316.791</v>
      </c>
      <c r="W486" s="16" t="s">
        <v>15</v>
      </c>
      <c r="X486" s="132">
        <v>1.0000000000000001E-5</v>
      </c>
      <c r="Y486" s="132">
        <v>9.6200000000000001E-3</v>
      </c>
      <c r="Z486" s="132">
        <v>2.7000000000000001E-3</v>
      </c>
    </row>
    <row r="487" spans="1:26">
      <c r="A487" t="s">
        <v>1213</v>
      </c>
      <c r="B487" t="s">
        <v>1253</v>
      </c>
      <c r="C487" t="s">
        <v>1267</v>
      </c>
      <c r="D487" t="s">
        <v>1287</v>
      </c>
      <c r="E487" t="s">
        <v>1288</v>
      </c>
      <c r="F487" t="s">
        <v>945</v>
      </c>
      <c r="G487" t="s">
        <v>204</v>
      </c>
      <c r="H487" t="s">
        <v>204</v>
      </c>
      <c r="I487" t="s">
        <v>340</v>
      </c>
      <c r="J487" t="s">
        <v>1261</v>
      </c>
      <c r="K487" t="s">
        <v>413</v>
      </c>
      <c r="L487" t="s">
        <v>1212</v>
      </c>
      <c r="M487" s="131">
        <v>0.92</v>
      </c>
      <c r="N487" t="s">
        <v>1289</v>
      </c>
      <c r="O487" s="132">
        <v>3.3840000000000002E-2</v>
      </c>
      <c r="P487" s="132">
        <v>4.1700000000000001E-2</v>
      </c>
      <c r="R487" s="131">
        <v>40660</v>
      </c>
      <c r="S487" s="131">
        <v>1</v>
      </c>
      <c r="T487" s="131">
        <v>98.02</v>
      </c>
      <c r="U487" s="131">
        <v>39.854999999999997</v>
      </c>
      <c r="W487" s="16" t="s">
        <v>15</v>
      </c>
      <c r="X487" s="132">
        <v>0</v>
      </c>
      <c r="Y487" s="132">
        <v>1.2099999999999999E-3</v>
      </c>
      <c r="Z487" s="132">
        <v>3.4000000000000002E-4</v>
      </c>
    </row>
    <row r="488" spans="1:26">
      <c r="A488" t="s">
        <v>1213</v>
      </c>
      <c r="B488" t="s">
        <v>1253</v>
      </c>
      <c r="C488" t="s">
        <v>1267</v>
      </c>
      <c r="D488" t="s">
        <v>1271</v>
      </c>
      <c r="E488" t="s">
        <v>1272</v>
      </c>
      <c r="F488" t="s">
        <v>945</v>
      </c>
      <c r="G488" t="s">
        <v>204</v>
      </c>
      <c r="H488" t="s">
        <v>204</v>
      </c>
      <c r="I488" t="s">
        <v>340</v>
      </c>
      <c r="J488" t="s">
        <v>1261</v>
      </c>
      <c r="K488" t="s">
        <v>413</v>
      </c>
      <c r="L488" t="s">
        <v>1212</v>
      </c>
      <c r="M488" s="131">
        <v>11.32</v>
      </c>
      <c r="N488" t="s">
        <v>1273</v>
      </c>
      <c r="O488" s="132">
        <v>3.1980000000000001E-2</v>
      </c>
      <c r="P488" s="132">
        <v>5.1700000000000003E-2</v>
      </c>
      <c r="R488" s="131">
        <v>29616</v>
      </c>
      <c r="S488" s="131">
        <v>1</v>
      </c>
      <c r="T488" s="131">
        <v>107.34</v>
      </c>
      <c r="U488" s="131">
        <v>31.79</v>
      </c>
      <c r="W488" s="16" t="s">
        <v>15</v>
      </c>
      <c r="X488" s="132">
        <v>0</v>
      </c>
      <c r="Y488" s="132">
        <v>9.7000000000000005E-4</v>
      </c>
      <c r="Z488" s="132">
        <v>2.7E-4</v>
      </c>
    </row>
    <row r="489" spans="1:26">
      <c r="A489" t="s">
        <v>1213</v>
      </c>
      <c r="B489" t="s">
        <v>1254</v>
      </c>
      <c r="C489" t="s">
        <v>1290</v>
      </c>
      <c r="D489" t="s">
        <v>1350</v>
      </c>
      <c r="E489" t="s">
        <v>1351</v>
      </c>
      <c r="F489" t="s">
        <v>949</v>
      </c>
      <c r="G489" t="s">
        <v>204</v>
      </c>
      <c r="H489" t="s">
        <v>204</v>
      </c>
      <c r="I489" t="s">
        <v>340</v>
      </c>
      <c r="J489" t="s">
        <v>1261</v>
      </c>
      <c r="K489" t="s">
        <v>413</v>
      </c>
      <c r="L489" t="s">
        <v>1212</v>
      </c>
      <c r="M489" s="131">
        <v>0.67</v>
      </c>
      <c r="N489" t="s">
        <v>1352</v>
      </c>
      <c r="O489" s="132">
        <v>4.2590000000000003E-2</v>
      </c>
      <c r="P489" s="132">
        <v>4.2700000000000002E-2</v>
      </c>
      <c r="R489" s="131">
        <v>151510527</v>
      </c>
      <c r="S489" s="131">
        <v>1</v>
      </c>
      <c r="T489" s="131">
        <v>97.22</v>
      </c>
      <c r="U489" s="131">
        <v>147298.53400000001</v>
      </c>
      <c r="W489" s="16" t="s">
        <v>15</v>
      </c>
      <c r="X489" s="132">
        <v>1.2630000000000001E-2</v>
      </c>
      <c r="Y489" s="132">
        <v>0.15969</v>
      </c>
      <c r="Z489" s="132">
        <v>4.8640000000000003E-2</v>
      </c>
    </row>
    <row r="490" spans="1:26">
      <c r="A490" t="s">
        <v>1213</v>
      </c>
      <c r="B490" t="s">
        <v>1254</v>
      </c>
      <c r="C490" t="s">
        <v>1258</v>
      </c>
      <c r="D490" t="s">
        <v>1259</v>
      </c>
      <c r="E490" t="s">
        <v>1260</v>
      </c>
      <c r="F490" t="s">
        <v>943</v>
      </c>
      <c r="G490" t="s">
        <v>204</v>
      </c>
      <c r="H490" t="s">
        <v>204</v>
      </c>
      <c r="I490" t="s">
        <v>340</v>
      </c>
      <c r="J490" t="s">
        <v>1261</v>
      </c>
      <c r="K490" t="s">
        <v>413</v>
      </c>
      <c r="L490" t="s">
        <v>1212</v>
      </c>
      <c r="M490" s="131">
        <v>1.07</v>
      </c>
      <c r="N490" t="s">
        <v>1262</v>
      </c>
      <c r="O490" s="132">
        <v>-1.917E-2</v>
      </c>
      <c r="P490" s="132">
        <v>1.2999999999999999E-2</v>
      </c>
      <c r="R490" s="131">
        <v>125861655</v>
      </c>
      <c r="S490" s="131">
        <v>1</v>
      </c>
      <c r="T490" s="131">
        <v>116.02</v>
      </c>
      <c r="U490" s="131">
        <v>146024.69200000001</v>
      </c>
      <c r="W490" s="16" t="s">
        <v>15</v>
      </c>
      <c r="X490" s="132">
        <v>5.7999999999999996E-3</v>
      </c>
      <c r="Y490" s="132">
        <v>0.15831000000000001</v>
      </c>
      <c r="Z490" s="132">
        <v>4.8219999999999999E-2</v>
      </c>
    </row>
    <row r="491" spans="1:26">
      <c r="A491" t="s">
        <v>1213</v>
      </c>
      <c r="B491" t="s">
        <v>1254</v>
      </c>
      <c r="C491" t="s">
        <v>1267</v>
      </c>
      <c r="D491" t="s">
        <v>1347</v>
      </c>
      <c r="E491" t="s">
        <v>1348</v>
      </c>
      <c r="F491" t="s">
        <v>945</v>
      </c>
      <c r="G491" t="s">
        <v>204</v>
      </c>
      <c r="H491" t="s">
        <v>204</v>
      </c>
      <c r="I491" t="s">
        <v>340</v>
      </c>
      <c r="J491" t="s">
        <v>1261</v>
      </c>
      <c r="K491" t="s">
        <v>413</v>
      </c>
      <c r="L491" t="s">
        <v>1212</v>
      </c>
      <c r="M491" s="131">
        <v>3.86</v>
      </c>
      <c r="N491" t="s">
        <v>1349</v>
      </c>
      <c r="O491" s="132">
        <v>3.4939999999999999E-2</v>
      </c>
      <c r="P491" s="132">
        <v>4.5100000000000001E-2</v>
      </c>
      <c r="R491" s="131">
        <v>144409656</v>
      </c>
      <c r="S491" s="131">
        <v>1</v>
      </c>
      <c r="T491" s="131">
        <v>91.9</v>
      </c>
      <c r="U491" s="131">
        <v>132712.47399999999</v>
      </c>
      <c r="W491" s="16" t="s">
        <v>15</v>
      </c>
      <c r="X491" s="132">
        <v>4.3099999999999996E-3</v>
      </c>
      <c r="Y491" s="132">
        <v>0.14388000000000001</v>
      </c>
      <c r="Z491" s="132">
        <v>4.3830000000000001E-2</v>
      </c>
    </row>
    <row r="492" spans="1:26">
      <c r="A492" t="s">
        <v>1213</v>
      </c>
      <c r="B492" t="s">
        <v>1254</v>
      </c>
      <c r="C492" t="s">
        <v>1258</v>
      </c>
      <c r="D492" t="s">
        <v>1297</v>
      </c>
      <c r="E492" t="s">
        <v>1298</v>
      </c>
      <c r="F492" t="s">
        <v>943</v>
      </c>
      <c r="G492" t="s">
        <v>204</v>
      </c>
      <c r="H492" t="s">
        <v>204</v>
      </c>
      <c r="I492" t="s">
        <v>340</v>
      </c>
      <c r="J492" t="s">
        <v>1265</v>
      </c>
      <c r="K492" t="s">
        <v>415</v>
      </c>
      <c r="L492" t="s">
        <v>1212</v>
      </c>
      <c r="M492" s="131">
        <v>7.14</v>
      </c>
      <c r="N492" t="s">
        <v>1299</v>
      </c>
      <c r="O492" s="132">
        <v>8.3800000000000003E-3</v>
      </c>
      <c r="P492" s="132">
        <v>1.9900000000000001E-2</v>
      </c>
      <c r="R492" s="131">
        <v>60889535</v>
      </c>
      <c r="S492" s="131">
        <v>1</v>
      </c>
      <c r="T492" s="131">
        <v>101.1</v>
      </c>
      <c r="U492" s="131">
        <v>61559.32</v>
      </c>
      <c r="W492" s="16" t="s">
        <v>15</v>
      </c>
      <c r="X492" s="132">
        <v>1.98E-3</v>
      </c>
      <c r="Y492" s="132">
        <v>6.6739999999999994E-2</v>
      </c>
      <c r="Z492" s="132">
        <v>2.0330000000000001E-2</v>
      </c>
    </row>
    <row r="493" spans="1:26">
      <c r="A493" t="s">
        <v>1213</v>
      </c>
      <c r="B493" t="s">
        <v>1254</v>
      </c>
      <c r="C493" t="s">
        <v>1258</v>
      </c>
      <c r="D493" t="s">
        <v>1263</v>
      </c>
      <c r="E493" t="s">
        <v>1264</v>
      </c>
      <c r="F493" t="s">
        <v>943</v>
      </c>
      <c r="G493" t="s">
        <v>204</v>
      </c>
      <c r="H493" t="s">
        <v>204</v>
      </c>
      <c r="I493" t="s">
        <v>340</v>
      </c>
      <c r="J493" t="s">
        <v>1265</v>
      </c>
      <c r="K493" t="s">
        <v>415</v>
      </c>
      <c r="L493" t="s">
        <v>1212</v>
      </c>
      <c r="M493" s="131">
        <v>3.97</v>
      </c>
      <c r="N493" t="s">
        <v>1266</v>
      </c>
      <c r="O493" s="132">
        <v>1.1650000000000001E-2</v>
      </c>
      <c r="P493" s="132">
        <v>1.7999999999999999E-2</v>
      </c>
      <c r="R493" s="131">
        <v>54100000</v>
      </c>
      <c r="S493" s="131">
        <v>1</v>
      </c>
      <c r="T493" s="131">
        <v>102.6</v>
      </c>
      <c r="U493" s="131">
        <v>55506.6</v>
      </c>
      <c r="W493" s="16" t="s">
        <v>15</v>
      </c>
      <c r="X493" s="132">
        <v>2.65E-3</v>
      </c>
      <c r="Y493" s="132">
        <v>6.0179999999999997E-2</v>
      </c>
      <c r="Z493" s="132">
        <v>1.8329999999999999E-2</v>
      </c>
    </row>
    <row r="494" spans="1:26">
      <c r="A494" t="s">
        <v>1213</v>
      </c>
      <c r="B494" t="s">
        <v>1254</v>
      </c>
      <c r="C494" t="s">
        <v>1267</v>
      </c>
      <c r="D494" t="s">
        <v>1374</v>
      </c>
      <c r="E494" t="s">
        <v>1375</v>
      </c>
      <c r="F494" t="s">
        <v>945</v>
      </c>
      <c r="G494" t="s">
        <v>204</v>
      </c>
      <c r="H494" t="s">
        <v>204</v>
      </c>
      <c r="I494" t="s">
        <v>340</v>
      </c>
      <c r="J494" t="s">
        <v>1265</v>
      </c>
      <c r="K494" t="s">
        <v>415</v>
      </c>
      <c r="L494" t="s">
        <v>1212</v>
      </c>
      <c r="M494" s="131">
        <v>0.08</v>
      </c>
      <c r="N494" t="s">
        <v>1376</v>
      </c>
      <c r="O494" s="132">
        <v>3.5000000000000001E-3</v>
      </c>
      <c r="P494" s="132">
        <v>4.3499999999999997E-2</v>
      </c>
      <c r="R494" s="131">
        <v>48299218</v>
      </c>
      <c r="S494" s="131">
        <v>1</v>
      </c>
      <c r="T494" s="131">
        <v>100.05</v>
      </c>
      <c r="U494" s="131">
        <v>48323.368000000002</v>
      </c>
      <c r="W494" s="16" t="s">
        <v>15</v>
      </c>
      <c r="X494" s="132">
        <v>5.9500000000000004E-3</v>
      </c>
      <c r="Y494" s="132">
        <v>5.2389999999999999E-2</v>
      </c>
      <c r="Z494" s="132">
        <v>1.5959999999999998E-2</v>
      </c>
    </row>
    <row r="495" spans="1:26">
      <c r="A495" t="s">
        <v>1213</v>
      </c>
      <c r="B495" t="s">
        <v>1254</v>
      </c>
      <c r="C495" t="s">
        <v>1290</v>
      </c>
      <c r="D495" t="s">
        <v>1326</v>
      </c>
      <c r="E495" t="s">
        <v>1327</v>
      </c>
      <c r="F495" t="s">
        <v>949</v>
      </c>
      <c r="G495" t="s">
        <v>204</v>
      </c>
      <c r="H495" t="s">
        <v>204</v>
      </c>
      <c r="I495" t="s">
        <v>340</v>
      </c>
      <c r="J495" t="s">
        <v>1261</v>
      </c>
      <c r="K495" t="s">
        <v>413</v>
      </c>
      <c r="L495" t="s">
        <v>1212</v>
      </c>
      <c r="M495" s="131">
        <v>0.6</v>
      </c>
      <c r="N495" t="s">
        <v>1328</v>
      </c>
      <c r="O495" s="132">
        <v>4.2860000000000002E-2</v>
      </c>
      <c r="P495" s="132">
        <v>4.2900000000000001E-2</v>
      </c>
      <c r="R495" s="131">
        <v>44761017</v>
      </c>
      <c r="S495" s="131">
        <v>1</v>
      </c>
      <c r="T495" s="131">
        <v>97.52</v>
      </c>
      <c r="U495" s="131">
        <v>43650.944000000003</v>
      </c>
      <c r="W495" s="16" t="s">
        <v>15</v>
      </c>
      <c r="X495" s="132">
        <v>3.2000000000000002E-3</v>
      </c>
      <c r="Y495" s="132">
        <v>4.7320000000000001E-2</v>
      </c>
      <c r="Z495" s="132">
        <v>1.4420000000000001E-2</v>
      </c>
    </row>
    <row r="496" spans="1:26">
      <c r="A496" t="s">
        <v>1213</v>
      </c>
      <c r="B496" t="s">
        <v>1254</v>
      </c>
      <c r="C496" t="s">
        <v>1258</v>
      </c>
      <c r="D496" t="s">
        <v>1329</v>
      </c>
      <c r="E496" t="s">
        <v>1330</v>
      </c>
      <c r="F496" t="s">
        <v>943</v>
      </c>
      <c r="G496" t="s">
        <v>204</v>
      </c>
      <c r="H496" t="s">
        <v>204</v>
      </c>
      <c r="I496" t="s">
        <v>340</v>
      </c>
      <c r="J496" t="s">
        <v>1265</v>
      </c>
      <c r="K496" t="s">
        <v>415</v>
      </c>
      <c r="L496" t="s">
        <v>1212</v>
      </c>
      <c r="M496" s="131">
        <v>2.64</v>
      </c>
      <c r="N496" t="s">
        <v>1331</v>
      </c>
      <c r="O496" s="132">
        <v>-3.3189999999999997E-2</v>
      </c>
      <c r="P496" s="132">
        <v>1.6299999999999999E-2</v>
      </c>
      <c r="R496" s="131">
        <v>34718613</v>
      </c>
      <c r="S496" s="131">
        <v>1</v>
      </c>
      <c r="T496" s="131">
        <v>114.25</v>
      </c>
      <c r="U496" s="131">
        <v>39666.014999999999</v>
      </c>
      <c r="W496" s="16" t="s">
        <v>15</v>
      </c>
      <c r="X496" s="132">
        <v>1.56E-3</v>
      </c>
      <c r="Y496" s="132">
        <v>4.2999999999999997E-2</v>
      </c>
      <c r="Z496" s="132">
        <v>1.3100000000000001E-2</v>
      </c>
    </row>
    <row r="497" spans="1:26">
      <c r="A497" t="s">
        <v>1213</v>
      </c>
      <c r="B497" t="s">
        <v>1254</v>
      </c>
      <c r="C497" t="s">
        <v>1267</v>
      </c>
      <c r="D497" t="s">
        <v>1281</v>
      </c>
      <c r="E497" t="s">
        <v>1282</v>
      </c>
      <c r="F497" t="s">
        <v>945</v>
      </c>
      <c r="G497" t="s">
        <v>204</v>
      </c>
      <c r="H497" t="s">
        <v>204</v>
      </c>
      <c r="I497" t="s">
        <v>340</v>
      </c>
      <c r="J497" t="s">
        <v>1261</v>
      </c>
      <c r="K497" t="s">
        <v>413</v>
      </c>
      <c r="L497" t="s">
        <v>1212</v>
      </c>
      <c r="M497" s="131">
        <v>5.33</v>
      </c>
      <c r="N497" t="s">
        <v>1283</v>
      </c>
      <c r="O497" s="132">
        <v>4.2849999999999999E-2</v>
      </c>
      <c r="P497" s="132">
        <v>4.6300000000000001E-2</v>
      </c>
      <c r="R497" s="131">
        <v>45540000</v>
      </c>
      <c r="S497" s="131">
        <v>1</v>
      </c>
      <c r="T497" s="131">
        <v>83.24</v>
      </c>
      <c r="U497" s="131">
        <v>37907.495999999999</v>
      </c>
      <c r="W497" s="16" t="s">
        <v>15</v>
      </c>
      <c r="X497" s="132">
        <v>1.2099999999999999E-3</v>
      </c>
      <c r="Y497" s="132">
        <v>4.1099999999999998E-2</v>
      </c>
      <c r="Z497" s="132">
        <v>1.252E-2</v>
      </c>
    </row>
    <row r="498" spans="1:26">
      <c r="A498" t="s">
        <v>1213</v>
      </c>
      <c r="B498" t="s">
        <v>1254</v>
      </c>
      <c r="C498" t="s">
        <v>1267</v>
      </c>
      <c r="D498" t="s">
        <v>1356</v>
      </c>
      <c r="E498" t="s">
        <v>1357</v>
      </c>
      <c r="F498" t="s">
        <v>945</v>
      </c>
      <c r="G498" t="s">
        <v>204</v>
      </c>
      <c r="H498" t="s">
        <v>204</v>
      </c>
      <c r="I498" t="s">
        <v>340</v>
      </c>
      <c r="J498" t="s">
        <v>1261</v>
      </c>
      <c r="K498" t="s">
        <v>413</v>
      </c>
      <c r="L498" t="s">
        <v>1212</v>
      </c>
      <c r="M498" s="131">
        <v>7.17</v>
      </c>
      <c r="N498" t="s">
        <v>1358</v>
      </c>
      <c r="O498" s="132">
        <v>4.0239999999999998E-2</v>
      </c>
      <c r="P498" s="132">
        <v>4.7500000000000001E-2</v>
      </c>
      <c r="R498" s="131">
        <v>46285012</v>
      </c>
      <c r="S498" s="131">
        <v>1</v>
      </c>
      <c r="T498" s="131">
        <v>78.98</v>
      </c>
      <c r="U498" s="131">
        <v>36555.902000000002</v>
      </c>
      <c r="W498" s="16" t="s">
        <v>15</v>
      </c>
      <c r="X498" s="132">
        <v>1.5399999999999999E-3</v>
      </c>
      <c r="Y498" s="132">
        <v>3.9629999999999999E-2</v>
      </c>
      <c r="Z498" s="132">
        <v>1.2070000000000001E-2</v>
      </c>
    </row>
    <row r="499" spans="1:26">
      <c r="A499" t="s">
        <v>1213</v>
      </c>
      <c r="B499" t="s">
        <v>1254</v>
      </c>
      <c r="C499" t="s">
        <v>1267</v>
      </c>
      <c r="D499" t="s">
        <v>1306</v>
      </c>
      <c r="E499" t="s">
        <v>1307</v>
      </c>
      <c r="F499" t="s">
        <v>945</v>
      </c>
      <c r="G499" t="s">
        <v>204</v>
      </c>
      <c r="H499" t="s">
        <v>204</v>
      </c>
      <c r="I499" t="s">
        <v>340</v>
      </c>
      <c r="J499" t="s">
        <v>1265</v>
      </c>
      <c r="K499" t="s">
        <v>415</v>
      </c>
      <c r="L499" t="s">
        <v>1212</v>
      </c>
      <c r="M499" s="131">
        <v>4.0599999999999996</v>
      </c>
      <c r="N499" t="s">
        <v>1308</v>
      </c>
      <c r="O499" s="132">
        <v>3.5200000000000002E-2</v>
      </c>
      <c r="P499" s="132">
        <v>4.5600000000000002E-2</v>
      </c>
      <c r="R499" s="131">
        <v>31487632</v>
      </c>
      <c r="S499" s="131">
        <v>1</v>
      </c>
      <c r="T499" s="131">
        <v>99.02</v>
      </c>
      <c r="U499" s="131">
        <v>31179.053</v>
      </c>
      <c r="W499" s="16" t="s">
        <v>15</v>
      </c>
      <c r="X499" s="132">
        <v>9.6000000000000002E-4</v>
      </c>
      <c r="Y499" s="132">
        <v>3.3799999999999997E-2</v>
      </c>
      <c r="Z499" s="132">
        <v>1.03E-2</v>
      </c>
    </row>
    <row r="500" spans="1:26">
      <c r="A500" t="s">
        <v>1213</v>
      </c>
      <c r="B500" t="s">
        <v>1254</v>
      </c>
      <c r="C500" t="s">
        <v>1267</v>
      </c>
      <c r="D500" t="s">
        <v>1341</v>
      </c>
      <c r="E500" t="s">
        <v>1342</v>
      </c>
      <c r="F500" t="s">
        <v>945</v>
      </c>
      <c r="G500" t="s">
        <v>204</v>
      </c>
      <c r="H500" t="s">
        <v>204</v>
      </c>
      <c r="I500" t="s">
        <v>340</v>
      </c>
      <c r="J500" t="s">
        <v>1261</v>
      </c>
      <c r="K500" t="s">
        <v>413</v>
      </c>
      <c r="L500" t="s">
        <v>1212</v>
      </c>
      <c r="M500" s="131">
        <v>2.44</v>
      </c>
      <c r="N500" t="s">
        <v>1343</v>
      </c>
      <c r="O500" s="132">
        <v>4.428E-2</v>
      </c>
      <c r="P500" s="132">
        <v>4.3999999999999997E-2</v>
      </c>
      <c r="R500" s="131">
        <v>29803000</v>
      </c>
      <c r="S500" s="131">
        <v>1</v>
      </c>
      <c r="T500" s="131">
        <v>95.44</v>
      </c>
      <c r="U500" s="131">
        <v>28443.983</v>
      </c>
      <c r="W500" s="16" t="s">
        <v>15</v>
      </c>
      <c r="X500" s="132">
        <v>1.15E-3</v>
      </c>
      <c r="Y500" s="132">
        <v>3.0839999999999999E-2</v>
      </c>
      <c r="Z500" s="132">
        <v>9.3900000000000008E-3</v>
      </c>
    </row>
    <row r="501" spans="1:26">
      <c r="A501" t="s">
        <v>1213</v>
      </c>
      <c r="B501" t="s">
        <v>1254</v>
      </c>
      <c r="C501" t="s">
        <v>1258</v>
      </c>
      <c r="D501" t="s">
        <v>1300</v>
      </c>
      <c r="E501" t="s">
        <v>1301</v>
      </c>
      <c r="F501" t="s">
        <v>943</v>
      </c>
      <c r="G501" t="s">
        <v>204</v>
      </c>
      <c r="H501" t="s">
        <v>204</v>
      </c>
      <c r="I501" t="s">
        <v>340</v>
      </c>
      <c r="J501" t="s">
        <v>1265</v>
      </c>
      <c r="K501" t="s">
        <v>415</v>
      </c>
      <c r="L501" t="s">
        <v>1212</v>
      </c>
      <c r="M501" s="131">
        <v>4.6100000000000003</v>
      </c>
      <c r="N501" t="s">
        <v>1302</v>
      </c>
      <c r="O501" s="132">
        <v>1.205E-2</v>
      </c>
      <c r="P501" s="132">
        <v>1.83E-2</v>
      </c>
      <c r="R501" s="131">
        <v>25000000</v>
      </c>
      <c r="S501" s="131">
        <v>1</v>
      </c>
      <c r="T501" s="131">
        <v>108.85</v>
      </c>
      <c r="U501" s="131">
        <v>27212.5</v>
      </c>
      <c r="W501" s="16" t="s">
        <v>15</v>
      </c>
      <c r="X501" s="132">
        <v>9.3000000000000005E-4</v>
      </c>
      <c r="Y501" s="132">
        <v>2.9499999999999998E-2</v>
      </c>
      <c r="Z501" s="132">
        <v>8.9899999999999997E-3</v>
      </c>
    </row>
    <row r="502" spans="1:26">
      <c r="A502" t="s">
        <v>1213</v>
      </c>
      <c r="B502" t="s">
        <v>1254</v>
      </c>
      <c r="C502" t="s">
        <v>1267</v>
      </c>
      <c r="D502" t="s">
        <v>1377</v>
      </c>
      <c r="E502" t="s">
        <v>1378</v>
      </c>
      <c r="F502" t="s">
        <v>945</v>
      </c>
      <c r="G502" t="s">
        <v>204</v>
      </c>
      <c r="H502" t="s">
        <v>204</v>
      </c>
      <c r="I502" t="s">
        <v>340</v>
      </c>
      <c r="J502" t="s">
        <v>1261</v>
      </c>
      <c r="K502" t="s">
        <v>413</v>
      </c>
      <c r="L502" t="s">
        <v>1212</v>
      </c>
      <c r="M502" s="131">
        <v>14.32</v>
      </c>
      <c r="N502" t="s">
        <v>1379</v>
      </c>
      <c r="O502" s="132">
        <v>4.2889999999999998E-2</v>
      </c>
      <c r="P502" s="132">
        <v>5.3400000000000003E-2</v>
      </c>
      <c r="R502" s="131">
        <v>31363606</v>
      </c>
      <c r="S502" s="131">
        <v>1</v>
      </c>
      <c r="T502" s="131">
        <v>81.36</v>
      </c>
      <c r="U502" s="131">
        <v>25517.43</v>
      </c>
      <c r="W502" s="16" t="s">
        <v>15</v>
      </c>
      <c r="X502" s="132">
        <v>1.1900000000000001E-3</v>
      </c>
      <c r="Y502" s="132">
        <v>2.7660000000000001E-2</v>
      </c>
      <c r="Z502" s="132">
        <v>8.43E-3</v>
      </c>
    </row>
    <row r="503" spans="1:26">
      <c r="A503" t="s">
        <v>1213</v>
      </c>
      <c r="B503" t="s">
        <v>1254</v>
      </c>
      <c r="C503" t="s">
        <v>1267</v>
      </c>
      <c r="D503" t="s">
        <v>1287</v>
      </c>
      <c r="E503" t="s">
        <v>1288</v>
      </c>
      <c r="F503" t="s">
        <v>945</v>
      </c>
      <c r="G503" t="s">
        <v>204</v>
      </c>
      <c r="H503" t="s">
        <v>204</v>
      </c>
      <c r="I503" t="s">
        <v>340</v>
      </c>
      <c r="J503" t="s">
        <v>1261</v>
      </c>
      <c r="K503" t="s">
        <v>413</v>
      </c>
      <c r="L503" t="s">
        <v>1212</v>
      </c>
      <c r="M503" s="131">
        <v>0.92</v>
      </c>
      <c r="N503" t="s">
        <v>1289</v>
      </c>
      <c r="O503" s="132">
        <v>1.042E-2</v>
      </c>
      <c r="P503" s="132">
        <v>4.1700000000000001E-2</v>
      </c>
      <c r="R503" s="131">
        <v>24533605</v>
      </c>
      <c r="S503" s="131">
        <v>1</v>
      </c>
      <c r="T503" s="131">
        <v>98.02</v>
      </c>
      <c r="U503" s="131">
        <v>24047.84</v>
      </c>
      <c r="W503" s="16" t="s">
        <v>15</v>
      </c>
      <c r="X503" s="132">
        <v>1.0300000000000001E-3</v>
      </c>
      <c r="Y503" s="132">
        <v>2.6069999999999999E-2</v>
      </c>
      <c r="Z503" s="132">
        <v>7.9399999999999991E-3</v>
      </c>
    </row>
    <row r="504" spans="1:26">
      <c r="A504" t="s">
        <v>1213</v>
      </c>
      <c r="B504" t="s">
        <v>1254</v>
      </c>
      <c r="C504" t="s">
        <v>1267</v>
      </c>
      <c r="D504" t="s">
        <v>1368</v>
      </c>
      <c r="E504" t="s">
        <v>1369</v>
      </c>
      <c r="F504" t="s">
        <v>945</v>
      </c>
      <c r="G504" t="s">
        <v>204</v>
      </c>
      <c r="H504" t="s">
        <v>204</v>
      </c>
      <c r="I504" t="s">
        <v>340</v>
      </c>
      <c r="J504" t="s">
        <v>1261</v>
      </c>
      <c r="K504" t="s">
        <v>413</v>
      </c>
      <c r="L504" t="s">
        <v>1212</v>
      </c>
      <c r="M504" s="131">
        <v>2.89</v>
      </c>
      <c r="N504" t="s">
        <v>1370</v>
      </c>
      <c r="O504" s="132">
        <v>4.3490000000000001E-2</v>
      </c>
      <c r="P504" s="132">
        <v>4.4499999999999998E-2</v>
      </c>
      <c r="R504" s="131">
        <v>20238489</v>
      </c>
      <c r="S504" s="131">
        <v>1</v>
      </c>
      <c r="T504" s="131">
        <v>98.09</v>
      </c>
      <c r="U504" s="131">
        <v>19851.934000000001</v>
      </c>
      <c r="W504" s="16" t="s">
        <v>15</v>
      </c>
      <c r="X504" s="132">
        <v>1.16E-3</v>
      </c>
      <c r="Y504" s="132">
        <v>2.1520000000000001E-2</v>
      </c>
      <c r="Z504" s="132">
        <v>6.5599999999999999E-3</v>
      </c>
    </row>
    <row r="505" spans="1:26">
      <c r="A505" t="s">
        <v>1213</v>
      </c>
      <c r="B505" t="s">
        <v>1254</v>
      </c>
      <c r="C505" t="s">
        <v>1290</v>
      </c>
      <c r="D505" t="s">
        <v>1338</v>
      </c>
      <c r="E505" t="s">
        <v>1339</v>
      </c>
      <c r="F505" t="s">
        <v>949</v>
      </c>
      <c r="G505" t="s">
        <v>204</v>
      </c>
      <c r="H505" t="s">
        <v>204</v>
      </c>
      <c r="I505" t="s">
        <v>340</v>
      </c>
      <c r="J505" t="s">
        <v>1261</v>
      </c>
      <c r="K505" t="s">
        <v>413</v>
      </c>
      <c r="L505" t="s">
        <v>1212</v>
      </c>
      <c r="M505" s="131">
        <v>0.18</v>
      </c>
      <c r="N505" t="s">
        <v>1340</v>
      </c>
      <c r="O505" s="132">
        <v>4.2799999999999998E-2</v>
      </c>
      <c r="P505" s="132">
        <v>4.2700000000000002E-2</v>
      </c>
      <c r="R505" s="131">
        <v>10632543</v>
      </c>
      <c r="S505" s="131">
        <v>1</v>
      </c>
      <c r="T505" s="131">
        <v>99.27</v>
      </c>
      <c r="U505" s="131">
        <v>10554.924999999999</v>
      </c>
      <c r="W505" s="16" t="s">
        <v>15</v>
      </c>
      <c r="X505" s="132">
        <v>2.7E-4</v>
      </c>
      <c r="Y505" s="132">
        <v>1.1440000000000001E-2</v>
      </c>
      <c r="Z505" s="132">
        <v>3.49E-3</v>
      </c>
    </row>
    <row r="506" spans="1:26">
      <c r="A506" t="s">
        <v>1213</v>
      </c>
      <c r="B506" t="s">
        <v>1254</v>
      </c>
      <c r="C506" t="s">
        <v>1258</v>
      </c>
      <c r="D506" t="s">
        <v>1400</v>
      </c>
      <c r="E506" t="s">
        <v>1401</v>
      </c>
      <c r="F506" t="s">
        <v>943</v>
      </c>
      <c r="G506" t="s">
        <v>204</v>
      </c>
      <c r="H506" t="s">
        <v>204</v>
      </c>
      <c r="I506" t="s">
        <v>340</v>
      </c>
      <c r="J506" t="s">
        <v>1261</v>
      </c>
      <c r="K506" t="s">
        <v>413</v>
      </c>
      <c r="L506" t="s">
        <v>1212</v>
      </c>
      <c r="M506" s="131">
        <v>18.399999999999999</v>
      </c>
      <c r="N506" t="s">
        <v>1402</v>
      </c>
      <c r="O506" s="132">
        <v>1.583E-2</v>
      </c>
      <c r="P506" s="132">
        <v>2.2700000000000001E-2</v>
      </c>
      <c r="R506" s="131">
        <v>6851623</v>
      </c>
      <c r="S506" s="131">
        <v>1</v>
      </c>
      <c r="T506" s="131">
        <v>92.5</v>
      </c>
      <c r="U506" s="131">
        <v>6337.7510000000002</v>
      </c>
      <c r="W506" s="16" t="s">
        <v>15</v>
      </c>
      <c r="X506" s="132">
        <v>3.5E-4</v>
      </c>
      <c r="Y506" s="132">
        <v>6.8700000000000002E-3</v>
      </c>
      <c r="Z506" s="132">
        <v>2.0899999999999998E-3</v>
      </c>
    </row>
    <row r="507" spans="1:26">
      <c r="A507" t="s">
        <v>1213</v>
      </c>
      <c r="B507" t="s">
        <v>1254</v>
      </c>
      <c r="C507" t="s">
        <v>1267</v>
      </c>
      <c r="D507" t="s">
        <v>1271</v>
      </c>
      <c r="E507" t="s">
        <v>1272</v>
      </c>
      <c r="F507" t="s">
        <v>945</v>
      </c>
      <c r="G507" t="s">
        <v>204</v>
      </c>
      <c r="H507" t="s">
        <v>204</v>
      </c>
      <c r="I507" t="s">
        <v>340</v>
      </c>
      <c r="J507" t="s">
        <v>1261</v>
      </c>
      <c r="K507" t="s">
        <v>413</v>
      </c>
      <c r="L507" t="s">
        <v>1212</v>
      </c>
      <c r="M507" s="131">
        <v>11.32</v>
      </c>
      <c r="N507" t="s">
        <v>1273</v>
      </c>
      <c r="O507" s="132">
        <v>2.7230000000000001E-2</v>
      </c>
      <c r="P507" s="132">
        <v>5.1700000000000003E-2</v>
      </c>
      <c r="R507" s="131">
        <v>33072</v>
      </c>
      <c r="S507" s="131">
        <v>1</v>
      </c>
      <c r="T507" s="131">
        <v>107.34</v>
      </c>
      <c r="U507" s="131">
        <v>35.499000000000002</v>
      </c>
      <c r="W507" s="16" t="s">
        <v>15</v>
      </c>
      <c r="X507" s="132">
        <v>0</v>
      </c>
      <c r="Y507" s="132">
        <v>4.0000000000000003E-5</v>
      </c>
      <c r="Z507" s="132">
        <v>1.0000000000000001E-5</v>
      </c>
    </row>
    <row r="508" spans="1:26">
      <c r="A508" t="s">
        <v>1213</v>
      </c>
      <c r="B508" t="s">
        <v>1255</v>
      </c>
      <c r="C508" t="s">
        <v>1290</v>
      </c>
      <c r="D508" t="s">
        <v>1344</v>
      </c>
      <c r="E508" t="s">
        <v>1345</v>
      </c>
      <c r="F508" t="s">
        <v>949</v>
      </c>
      <c r="G508" t="s">
        <v>204</v>
      </c>
      <c r="H508" t="s">
        <v>204</v>
      </c>
      <c r="I508" t="s">
        <v>340</v>
      </c>
      <c r="J508" t="s">
        <v>1261</v>
      </c>
      <c r="K508" t="s">
        <v>413</v>
      </c>
      <c r="L508" t="s">
        <v>1212</v>
      </c>
      <c r="M508" s="131">
        <v>0.75</v>
      </c>
      <c r="N508" t="s">
        <v>1346</v>
      </c>
      <c r="O508" s="132">
        <v>4.0910000000000002E-2</v>
      </c>
      <c r="P508" s="132">
        <v>4.2799999999999998E-2</v>
      </c>
      <c r="R508" s="131">
        <v>32349921</v>
      </c>
      <c r="S508" s="131">
        <v>1</v>
      </c>
      <c r="T508" s="131">
        <v>96.9</v>
      </c>
      <c r="U508" s="131">
        <v>31347.073</v>
      </c>
      <c r="W508" s="16" t="s">
        <v>15</v>
      </c>
      <c r="X508" s="132">
        <v>2.7000000000000001E-3</v>
      </c>
      <c r="Y508" s="132">
        <v>0.33812999999999999</v>
      </c>
      <c r="Z508" s="132">
        <v>3.1640000000000001E-2</v>
      </c>
    </row>
    <row r="509" spans="1:26">
      <c r="A509" t="s">
        <v>1213</v>
      </c>
      <c r="B509" t="s">
        <v>1255</v>
      </c>
      <c r="C509" t="s">
        <v>1290</v>
      </c>
      <c r="D509" t="s">
        <v>1326</v>
      </c>
      <c r="E509" t="s">
        <v>1327</v>
      </c>
      <c r="F509" t="s">
        <v>949</v>
      </c>
      <c r="G509" t="s">
        <v>204</v>
      </c>
      <c r="H509" t="s">
        <v>204</v>
      </c>
      <c r="I509" t="s">
        <v>340</v>
      </c>
      <c r="J509" t="s">
        <v>1261</v>
      </c>
      <c r="K509" t="s">
        <v>413</v>
      </c>
      <c r="L509" t="s">
        <v>1212</v>
      </c>
      <c r="M509" s="131">
        <v>0.6</v>
      </c>
      <c r="N509" t="s">
        <v>1328</v>
      </c>
      <c r="O509" s="132">
        <v>4.2259999999999999E-2</v>
      </c>
      <c r="P509" s="132">
        <v>4.2900000000000001E-2</v>
      </c>
      <c r="R509" s="131">
        <v>25706797</v>
      </c>
      <c r="S509" s="131">
        <v>1</v>
      </c>
      <c r="T509" s="131">
        <v>97.52</v>
      </c>
      <c r="U509" s="131">
        <v>25069.268</v>
      </c>
      <c r="W509" s="16" t="s">
        <v>15</v>
      </c>
      <c r="X509" s="132">
        <v>1.8400000000000001E-3</v>
      </c>
      <c r="Y509" s="132">
        <v>0.27040999999999998</v>
      </c>
      <c r="Z509" s="132">
        <v>2.53E-2</v>
      </c>
    </row>
    <row r="510" spans="1:26">
      <c r="A510" t="s">
        <v>1213</v>
      </c>
      <c r="B510" t="s">
        <v>1255</v>
      </c>
      <c r="C510" t="s">
        <v>1267</v>
      </c>
      <c r="D510" t="s">
        <v>1271</v>
      </c>
      <c r="E510" t="s">
        <v>1272</v>
      </c>
      <c r="F510" t="s">
        <v>945</v>
      </c>
      <c r="G510" t="s">
        <v>204</v>
      </c>
      <c r="H510" t="s">
        <v>204</v>
      </c>
      <c r="I510" t="s">
        <v>340</v>
      </c>
      <c r="J510" t="s">
        <v>1261</v>
      </c>
      <c r="K510" t="s">
        <v>413</v>
      </c>
      <c r="L510" t="s">
        <v>1212</v>
      </c>
      <c r="M510" s="131">
        <v>11.32</v>
      </c>
      <c r="N510" t="s">
        <v>1273</v>
      </c>
      <c r="O510" s="132">
        <v>3.8420000000000003E-2</v>
      </c>
      <c r="P510" s="132">
        <v>5.1700000000000003E-2</v>
      </c>
      <c r="R510" s="131">
        <v>18106121</v>
      </c>
      <c r="S510" s="131">
        <v>1</v>
      </c>
      <c r="T510" s="131">
        <v>107.34</v>
      </c>
      <c r="U510" s="131">
        <v>19435.11</v>
      </c>
      <c r="W510" s="16" t="s">
        <v>15</v>
      </c>
      <c r="X510" s="132">
        <v>8.1999999999999998E-4</v>
      </c>
      <c r="Y510" s="132">
        <v>0.20963999999999999</v>
      </c>
      <c r="Z510" s="132">
        <v>1.9619999999999999E-2</v>
      </c>
    </row>
    <row r="511" spans="1:26">
      <c r="A511" t="s">
        <v>1213</v>
      </c>
      <c r="B511" t="s">
        <v>1255</v>
      </c>
      <c r="C511" t="s">
        <v>1267</v>
      </c>
      <c r="D511" t="s">
        <v>1356</v>
      </c>
      <c r="E511" t="s">
        <v>1357</v>
      </c>
      <c r="F511" t="s">
        <v>945</v>
      </c>
      <c r="G511" t="s">
        <v>204</v>
      </c>
      <c r="H511" t="s">
        <v>204</v>
      </c>
      <c r="I511" t="s">
        <v>340</v>
      </c>
      <c r="J511" t="s">
        <v>1261</v>
      </c>
      <c r="K511" t="s">
        <v>413</v>
      </c>
      <c r="L511" t="s">
        <v>1212</v>
      </c>
      <c r="M511" s="131">
        <v>7.17</v>
      </c>
      <c r="N511" t="s">
        <v>1358</v>
      </c>
      <c r="O511" s="132">
        <v>4.2279999999999998E-2</v>
      </c>
      <c r="P511" s="132">
        <v>4.7500000000000001E-2</v>
      </c>
      <c r="R511" s="131">
        <v>12597502</v>
      </c>
      <c r="S511" s="131">
        <v>1</v>
      </c>
      <c r="T511" s="131">
        <v>78.98</v>
      </c>
      <c r="U511" s="131">
        <v>9949.5069999999996</v>
      </c>
      <c r="W511" s="16" t="s">
        <v>15</v>
      </c>
      <c r="X511" s="132">
        <v>4.2000000000000002E-4</v>
      </c>
      <c r="Y511" s="132">
        <v>0.10732</v>
      </c>
      <c r="Z511" s="132">
        <v>1.004E-2</v>
      </c>
    </row>
    <row r="512" spans="1:26">
      <c r="A512" t="s">
        <v>1213</v>
      </c>
      <c r="B512" t="s">
        <v>1255</v>
      </c>
      <c r="C512" t="s">
        <v>1267</v>
      </c>
      <c r="D512" t="s">
        <v>1359</v>
      </c>
      <c r="E512" t="s">
        <v>1360</v>
      </c>
      <c r="F512" t="s">
        <v>945</v>
      </c>
      <c r="G512" t="s">
        <v>204</v>
      </c>
      <c r="H512" t="s">
        <v>204</v>
      </c>
      <c r="I512" t="s">
        <v>340</v>
      </c>
      <c r="J512" t="s">
        <v>1261</v>
      </c>
      <c r="K512" t="s">
        <v>413</v>
      </c>
      <c r="L512" t="s">
        <v>1212</v>
      </c>
      <c r="M512" s="131">
        <v>11.26</v>
      </c>
      <c r="N512" t="s">
        <v>1361</v>
      </c>
      <c r="O512" s="132">
        <v>3.8089999999999999E-2</v>
      </c>
      <c r="P512" s="132">
        <v>5.04E-2</v>
      </c>
      <c r="R512" s="131">
        <v>10169332</v>
      </c>
      <c r="S512" s="131">
        <v>1</v>
      </c>
      <c r="T512" s="131">
        <v>67.92</v>
      </c>
      <c r="U512" s="131">
        <v>6907.01</v>
      </c>
      <c r="W512" s="16" t="s">
        <v>15</v>
      </c>
      <c r="X512" s="132">
        <v>3.2000000000000003E-4</v>
      </c>
      <c r="Y512" s="132">
        <v>7.4499999999999997E-2</v>
      </c>
      <c r="Z512" s="132">
        <v>6.9699999999999996E-3</v>
      </c>
    </row>
    <row r="513" spans="1:26">
      <c r="A513" t="s">
        <v>1213</v>
      </c>
      <c r="B513" t="s">
        <v>1256</v>
      </c>
      <c r="C513" t="s">
        <v>1258</v>
      </c>
      <c r="D513" t="s">
        <v>1259</v>
      </c>
      <c r="E513" t="s">
        <v>1260</v>
      </c>
      <c r="F513" t="s">
        <v>943</v>
      </c>
      <c r="G513" t="s">
        <v>204</v>
      </c>
      <c r="H513" t="s">
        <v>204</v>
      </c>
      <c r="I513" t="s">
        <v>340</v>
      </c>
      <c r="J513" t="s">
        <v>1261</v>
      </c>
      <c r="K513" t="s">
        <v>413</v>
      </c>
      <c r="L513" t="s">
        <v>1212</v>
      </c>
      <c r="M513" s="131">
        <v>1.07</v>
      </c>
      <c r="N513" t="s">
        <v>1262</v>
      </c>
      <c r="O513" s="132">
        <v>-1.56E-3</v>
      </c>
      <c r="P513" s="132">
        <v>1.2999999999999999E-2</v>
      </c>
      <c r="R513" s="131">
        <v>20190726</v>
      </c>
      <c r="S513" s="131">
        <v>1</v>
      </c>
      <c r="T513" s="131">
        <v>116.02</v>
      </c>
      <c r="U513" s="131">
        <v>23425.279999999999</v>
      </c>
      <c r="W513" s="16" t="s">
        <v>15</v>
      </c>
      <c r="X513" s="132">
        <v>9.3000000000000005E-4</v>
      </c>
      <c r="Y513" s="132">
        <v>0.15045</v>
      </c>
      <c r="Z513" s="132">
        <v>0.12073</v>
      </c>
    </row>
    <row r="514" spans="1:26">
      <c r="A514" t="s">
        <v>1213</v>
      </c>
      <c r="B514" t="s">
        <v>1256</v>
      </c>
      <c r="C514" t="s">
        <v>1267</v>
      </c>
      <c r="D514" t="s">
        <v>1347</v>
      </c>
      <c r="E514" t="s">
        <v>1348</v>
      </c>
      <c r="F514" t="s">
        <v>945</v>
      </c>
      <c r="G514" t="s">
        <v>204</v>
      </c>
      <c r="H514" t="s">
        <v>204</v>
      </c>
      <c r="I514" t="s">
        <v>340</v>
      </c>
      <c r="J514" t="s">
        <v>1261</v>
      </c>
      <c r="K514" t="s">
        <v>413</v>
      </c>
      <c r="L514" t="s">
        <v>1212</v>
      </c>
      <c r="M514" s="131">
        <v>3.86</v>
      </c>
      <c r="N514" t="s">
        <v>1349</v>
      </c>
      <c r="O514" s="132">
        <v>3.6080000000000001E-2</v>
      </c>
      <c r="P514" s="132">
        <v>4.5100000000000001E-2</v>
      </c>
      <c r="R514" s="131">
        <v>20950081</v>
      </c>
      <c r="S514" s="131">
        <v>1</v>
      </c>
      <c r="T514" s="131">
        <v>91.9</v>
      </c>
      <c r="U514" s="131">
        <v>19253.124</v>
      </c>
      <c r="W514" s="16" t="s">
        <v>15</v>
      </c>
      <c r="X514" s="132">
        <v>6.3000000000000003E-4</v>
      </c>
      <c r="Y514" s="132">
        <v>0.12365</v>
      </c>
      <c r="Z514" s="132">
        <v>9.9229999999999999E-2</v>
      </c>
    </row>
    <row r="515" spans="1:26">
      <c r="A515" t="s">
        <v>1213</v>
      </c>
      <c r="B515" t="s">
        <v>1256</v>
      </c>
      <c r="C515" t="s">
        <v>1258</v>
      </c>
      <c r="D515" t="s">
        <v>1300</v>
      </c>
      <c r="E515" t="s">
        <v>1301</v>
      </c>
      <c r="F515" t="s">
        <v>943</v>
      </c>
      <c r="G515" t="s">
        <v>204</v>
      </c>
      <c r="H515" t="s">
        <v>204</v>
      </c>
      <c r="I515" t="s">
        <v>340</v>
      </c>
      <c r="J515" t="s">
        <v>1265</v>
      </c>
      <c r="K515" t="s">
        <v>415</v>
      </c>
      <c r="L515" t="s">
        <v>1212</v>
      </c>
      <c r="M515" s="131">
        <v>4.6100000000000003</v>
      </c>
      <c r="N515" t="s">
        <v>1302</v>
      </c>
      <c r="O515" s="132">
        <v>1.1209999999999999E-2</v>
      </c>
      <c r="P515" s="132">
        <v>1.83E-2</v>
      </c>
      <c r="R515" s="131">
        <v>16115635</v>
      </c>
      <c r="S515" s="131">
        <v>1</v>
      </c>
      <c r="T515" s="131">
        <v>108.85</v>
      </c>
      <c r="U515" s="131">
        <v>17541.868999999999</v>
      </c>
      <c r="W515" s="16" t="s">
        <v>15</v>
      </c>
      <c r="X515" s="132">
        <v>5.9999999999999995E-4</v>
      </c>
      <c r="Y515" s="132">
        <v>0.11266</v>
      </c>
      <c r="Z515" s="132">
        <v>9.0410000000000004E-2</v>
      </c>
    </row>
    <row r="516" spans="1:26">
      <c r="A516" t="s">
        <v>1213</v>
      </c>
      <c r="B516" t="s">
        <v>1256</v>
      </c>
      <c r="C516" t="s">
        <v>1290</v>
      </c>
      <c r="D516" t="s">
        <v>1362</v>
      </c>
      <c r="E516" t="s">
        <v>1363</v>
      </c>
      <c r="F516" t="s">
        <v>949</v>
      </c>
      <c r="G516" t="s">
        <v>204</v>
      </c>
      <c r="H516" t="s">
        <v>204</v>
      </c>
      <c r="I516" t="s">
        <v>340</v>
      </c>
      <c r="J516" t="s">
        <v>1261</v>
      </c>
      <c r="K516" t="s">
        <v>413</v>
      </c>
      <c r="L516" t="s">
        <v>1212</v>
      </c>
      <c r="M516" s="131">
        <v>0.1</v>
      </c>
      <c r="N516" t="s">
        <v>1364</v>
      </c>
      <c r="O516" s="132">
        <v>4.0689999999999997E-2</v>
      </c>
      <c r="P516" s="132">
        <v>4.36E-2</v>
      </c>
      <c r="R516" s="131">
        <v>16301655</v>
      </c>
      <c r="S516" s="131">
        <v>1</v>
      </c>
      <c r="T516" s="131">
        <v>99.58</v>
      </c>
      <c r="U516" s="131">
        <v>16233.188</v>
      </c>
      <c r="W516" s="16" t="s">
        <v>15</v>
      </c>
      <c r="X516" s="132">
        <v>4.0999999999999999E-4</v>
      </c>
      <c r="Y516" s="132">
        <v>0.10426000000000001</v>
      </c>
      <c r="Z516" s="132">
        <v>8.3659999999999998E-2</v>
      </c>
    </row>
    <row r="517" spans="1:26">
      <c r="A517" t="s">
        <v>1213</v>
      </c>
      <c r="B517" t="s">
        <v>1256</v>
      </c>
      <c r="C517" t="s">
        <v>1258</v>
      </c>
      <c r="D517" t="s">
        <v>1309</v>
      </c>
      <c r="E517" t="s">
        <v>1310</v>
      </c>
      <c r="F517" t="s">
        <v>943</v>
      </c>
      <c r="G517" t="s">
        <v>204</v>
      </c>
      <c r="H517" t="s">
        <v>204</v>
      </c>
      <c r="I517" t="s">
        <v>340</v>
      </c>
      <c r="J517" t="s">
        <v>1265</v>
      </c>
      <c r="K517" t="s">
        <v>415</v>
      </c>
      <c r="L517" t="s">
        <v>1212</v>
      </c>
      <c r="M517" s="131">
        <v>1.83</v>
      </c>
      <c r="N517" t="s">
        <v>1311</v>
      </c>
      <c r="O517" s="132">
        <v>-5.6800000000000002E-3</v>
      </c>
      <c r="P517" s="132">
        <v>1.5699999999999999E-2</v>
      </c>
      <c r="R517" s="131">
        <v>14371836</v>
      </c>
      <c r="S517" s="131">
        <v>1</v>
      </c>
      <c r="T517" s="131">
        <v>112.44</v>
      </c>
      <c r="U517" s="131">
        <v>16159.691999999999</v>
      </c>
      <c r="W517" s="16" t="s">
        <v>15</v>
      </c>
      <c r="X517" s="132">
        <v>7.1000000000000002E-4</v>
      </c>
      <c r="Y517" s="132">
        <v>0.10378</v>
      </c>
      <c r="Z517" s="132">
        <v>8.3280000000000007E-2</v>
      </c>
    </row>
    <row r="518" spans="1:26">
      <c r="A518" t="s">
        <v>1213</v>
      </c>
      <c r="B518" t="s">
        <v>1256</v>
      </c>
      <c r="C518" t="s">
        <v>1258</v>
      </c>
      <c r="D518" t="s">
        <v>1329</v>
      </c>
      <c r="E518" t="s">
        <v>1330</v>
      </c>
      <c r="F518" t="s">
        <v>943</v>
      </c>
      <c r="G518" t="s">
        <v>204</v>
      </c>
      <c r="H518" t="s">
        <v>204</v>
      </c>
      <c r="I518" t="s">
        <v>340</v>
      </c>
      <c r="J518" t="s">
        <v>1265</v>
      </c>
      <c r="K518" t="s">
        <v>415</v>
      </c>
      <c r="L518" t="s">
        <v>1212</v>
      </c>
      <c r="M518" s="131">
        <v>2.64</v>
      </c>
      <c r="N518" t="s">
        <v>1331</v>
      </c>
      <c r="O518" s="132">
        <v>-6.3099999999999996E-3</v>
      </c>
      <c r="P518" s="132">
        <v>1.6299999999999999E-2</v>
      </c>
      <c r="R518" s="131">
        <v>12753907</v>
      </c>
      <c r="S518" s="131">
        <v>1</v>
      </c>
      <c r="T518" s="131">
        <v>114.25</v>
      </c>
      <c r="U518" s="131">
        <v>14571.339</v>
      </c>
      <c r="W518" s="16" t="s">
        <v>15</v>
      </c>
      <c r="X518" s="132">
        <v>5.6999999999999998E-4</v>
      </c>
      <c r="Y518" s="132">
        <v>9.3579999999999997E-2</v>
      </c>
      <c r="Z518" s="132">
        <v>7.51E-2</v>
      </c>
    </row>
    <row r="519" spans="1:26">
      <c r="A519" t="s">
        <v>1213</v>
      </c>
      <c r="B519" t="s">
        <v>1256</v>
      </c>
      <c r="C519" t="s">
        <v>1267</v>
      </c>
      <c r="D519" t="s">
        <v>1274</v>
      </c>
      <c r="E519" t="s">
        <v>1275</v>
      </c>
      <c r="F519" t="s">
        <v>945</v>
      </c>
      <c r="G519" t="s">
        <v>204</v>
      </c>
      <c r="H519" t="s">
        <v>204</v>
      </c>
      <c r="I519" t="s">
        <v>340</v>
      </c>
      <c r="J519" t="s">
        <v>1265</v>
      </c>
      <c r="K519" t="s">
        <v>415</v>
      </c>
      <c r="L519" t="s">
        <v>1212</v>
      </c>
      <c r="M519" s="131">
        <v>1.4</v>
      </c>
      <c r="N519" t="s">
        <v>1276</v>
      </c>
      <c r="O519" s="132">
        <v>8.2100000000000003E-3</v>
      </c>
      <c r="P519" s="132">
        <v>4.3799999999999999E-2</v>
      </c>
      <c r="R519" s="131">
        <v>14135896</v>
      </c>
      <c r="S519" s="131">
        <v>1</v>
      </c>
      <c r="T519" s="131">
        <v>95.1</v>
      </c>
      <c r="U519" s="131">
        <v>13443.236999999999</v>
      </c>
      <c r="W519" s="16" t="s">
        <v>15</v>
      </c>
      <c r="X519" s="132">
        <v>5.1000000000000004E-4</v>
      </c>
      <c r="Y519" s="132">
        <v>8.634E-2</v>
      </c>
      <c r="Z519" s="132">
        <v>6.9279999999999994E-2</v>
      </c>
    </row>
    <row r="520" spans="1:26">
      <c r="A520" t="s">
        <v>1213</v>
      </c>
      <c r="B520" t="s">
        <v>1256</v>
      </c>
      <c r="C520" t="s">
        <v>1267</v>
      </c>
      <c r="D520" t="s">
        <v>1356</v>
      </c>
      <c r="E520" t="s">
        <v>1357</v>
      </c>
      <c r="F520" t="s">
        <v>945</v>
      </c>
      <c r="G520" t="s">
        <v>204</v>
      </c>
      <c r="H520" t="s">
        <v>204</v>
      </c>
      <c r="I520" t="s">
        <v>340</v>
      </c>
      <c r="J520" t="s">
        <v>1261</v>
      </c>
      <c r="K520" t="s">
        <v>413</v>
      </c>
      <c r="L520" t="s">
        <v>1212</v>
      </c>
      <c r="M520" s="131">
        <v>7.17</v>
      </c>
      <c r="N520" t="s">
        <v>1358</v>
      </c>
      <c r="O520" s="132">
        <v>4.088E-2</v>
      </c>
      <c r="P520" s="132">
        <v>4.7500000000000001E-2</v>
      </c>
      <c r="R520" s="131">
        <v>10110319</v>
      </c>
      <c r="S520" s="131">
        <v>1</v>
      </c>
      <c r="T520" s="131">
        <v>78.98</v>
      </c>
      <c r="U520" s="131">
        <v>7985.13</v>
      </c>
      <c r="W520" s="16" t="s">
        <v>15</v>
      </c>
      <c r="X520" s="132">
        <v>3.4000000000000002E-4</v>
      </c>
      <c r="Y520" s="132">
        <v>5.1279999999999999E-2</v>
      </c>
      <c r="Z520" s="132">
        <v>4.1149999999999999E-2</v>
      </c>
    </row>
    <row r="521" spans="1:26">
      <c r="A521" t="s">
        <v>1213</v>
      </c>
      <c r="B521" t="s">
        <v>1256</v>
      </c>
      <c r="C521" t="s">
        <v>1267</v>
      </c>
      <c r="D521" t="s">
        <v>1281</v>
      </c>
      <c r="E521" t="s">
        <v>1282</v>
      </c>
      <c r="F521" t="s">
        <v>945</v>
      </c>
      <c r="G521" t="s">
        <v>204</v>
      </c>
      <c r="H521" t="s">
        <v>204</v>
      </c>
      <c r="I521" t="s">
        <v>340</v>
      </c>
      <c r="J521" t="s">
        <v>1261</v>
      </c>
      <c r="K521" t="s">
        <v>413</v>
      </c>
      <c r="L521" t="s">
        <v>1212</v>
      </c>
      <c r="M521" s="131">
        <v>5.33</v>
      </c>
      <c r="N521" t="s">
        <v>1283</v>
      </c>
      <c r="O521" s="132">
        <v>2.4639999999999999E-2</v>
      </c>
      <c r="P521" s="132">
        <v>4.6300000000000001E-2</v>
      </c>
      <c r="R521" s="131">
        <v>8732230</v>
      </c>
      <c r="S521" s="131">
        <v>1</v>
      </c>
      <c r="T521" s="131">
        <v>83.24</v>
      </c>
      <c r="U521" s="131">
        <v>7268.7079999999996</v>
      </c>
      <c r="W521" s="16" t="s">
        <v>15</v>
      </c>
      <c r="X521" s="132">
        <v>2.3000000000000001E-4</v>
      </c>
      <c r="Y521" s="132">
        <v>4.6679999999999999E-2</v>
      </c>
      <c r="Z521" s="132">
        <v>3.746E-2</v>
      </c>
    </row>
    <row r="522" spans="1:26">
      <c r="A522" t="s">
        <v>1213</v>
      </c>
      <c r="B522" t="s">
        <v>1256</v>
      </c>
      <c r="C522" t="s">
        <v>1290</v>
      </c>
      <c r="D522" t="s">
        <v>1350</v>
      </c>
      <c r="E522" t="s">
        <v>1351</v>
      </c>
      <c r="F522" t="s">
        <v>949</v>
      </c>
      <c r="G522" t="s">
        <v>204</v>
      </c>
      <c r="H522" t="s">
        <v>204</v>
      </c>
      <c r="I522" t="s">
        <v>340</v>
      </c>
      <c r="J522" t="s">
        <v>1261</v>
      </c>
      <c r="K522" t="s">
        <v>413</v>
      </c>
      <c r="L522" t="s">
        <v>1212</v>
      </c>
      <c r="M522" s="131">
        <v>0.67</v>
      </c>
      <c r="N522" t="s">
        <v>1352</v>
      </c>
      <c r="O522" s="132">
        <v>4.2389999999999997E-2</v>
      </c>
      <c r="P522" s="132">
        <v>4.2700000000000002E-2</v>
      </c>
      <c r="R522" s="131">
        <v>6616613</v>
      </c>
      <c r="S522" s="131">
        <v>1</v>
      </c>
      <c r="T522" s="131">
        <v>97.22</v>
      </c>
      <c r="U522" s="131">
        <v>6432.6710000000003</v>
      </c>
      <c r="W522" s="16" t="s">
        <v>15</v>
      </c>
      <c r="X522" s="132">
        <v>5.5000000000000003E-4</v>
      </c>
      <c r="Y522" s="132">
        <v>4.1309999999999999E-2</v>
      </c>
      <c r="Z522" s="132">
        <v>3.3149999999999999E-2</v>
      </c>
    </row>
    <row r="523" spans="1:26">
      <c r="A523" t="s">
        <v>1213</v>
      </c>
      <c r="B523" t="s">
        <v>1256</v>
      </c>
      <c r="C523" t="s">
        <v>1267</v>
      </c>
      <c r="D523" t="s">
        <v>1368</v>
      </c>
      <c r="E523" t="s">
        <v>1369</v>
      </c>
      <c r="F523" t="s">
        <v>945</v>
      </c>
      <c r="G523" t="s">
        <v>204</v>
      </c>
      <c r="H523" t="s">
        <v>204</v>
      </c>
      <c r="I523" t="s">
        <v>340</v>
      </c>
      <c r="J523" t="s">
        <v>1261</v>
      </c>
      <c r="K523" t="s">
        <v>413</v>
      </c>
      <c r="L523" t="s">
        <v>1212</v>
      </c>
      <c r="M523" s="131">
        <v>2.89</v>
      </c>
      <c r="N523" t="s">
        <v>1370</v>
      </c>
      <c r="O523" s="132">
        <v>4.4639999999999999E-2</v>
      </c>
      <c r="P523" s="132">
        <v>4.4499999999999998E-2</v>
      </c>
      <c r="R523" s="131">
        <v>5297338</v>
      </c>
      <c r="S523" s="131">
        <v>1</v>
      </c>
      <c r="T523" s="131">
        <v>98.09</v>
      </c>
      <c r="U523" s="131">
        <v>5196.1589999999997</v>
      </c>
      <c r="W523" s="16" t="s">
        <v>15</v>
      </c>
      <c r="X523" s="132">
        <v>2.9999999999999997E-4</v>
      </c>
      <c r="Y523" s="132">
        <v>3.3369999999999997E-2</v>
      </c>
      <c r="Z523" s="132">
        <v>2.6780000000000002E-2</v>
      </c>
    </row>
    <row r="524" spans="1:26">
      <c r="A524" t="s">
        <v>1213</v>
      </c>
      <c r="B524" t="s">
        <v>1256</v>
      </c>
      <c r="C524" t="s">
        <v>1290</v>
      </c>
      <c r="D524" t="s">
        <v>1338</v>
      </c>
      <c r="E524" t="s">
        <v>1339</v>
      </c>
      <c r="F524" t="s">
        <v>949</v>
      </c>
      <c r="G524" t="s">
        <v>204</v>
      </c>
      <c r="H524" t="s">
        <v>204</v>
      </c>
      <c r="I524" t="s">
        <v>340</v>
      </c>
      <c r="J524" t="s">
        <v>1261</v>
      </c>
      <c r="K524" t="s">
        <v>413</v>
      </c>
      <c r="L524" t="s">
        <v>1212</v>
      </c>
      <c r="M524" s="131">
        <v>0.18</v>
      </c>
      <c r="N524" t="s">
        <v>1340</v>
      </c>
      <c r="O524" s="132">
        <v>4.2630000000000001E-2</v>
      </c>
      <c r="P524" s="132">
        <v>4.2700000000000002E-2</v>
      </c>
      <c r="R524" s="131">
        <v>2832855</v>
      </c>
      <c r="S524" s="131">
        <v>1</v>
      </c>
      <c r="T524" s="131">
        <v>99.27</v>
      </c>
      <c r="U524" s="131">
        <v>2812.1750000000002</v>
      </c>
      <c r="W524" s="16" t="s">
        <v>15</v>
      </c>
      <c r="X524" s="132">
        <v>6.9999999999999994E-5</v>
      </c>
      <c r="Y524" s="132">
        <v>1.806E-2</v>
      </c>
      <c r="Z524" s="132">
        <v>1.4489999999999999E-2</v>
      </c>
    </row>
    <row r="525" spans="1:26">
      <c r="A525" t="s">
        <v>1213</v>
      </c>
      <c r="B525" t="s">
        <v>1256</v>
      </c>
      <c r="C525" t="s">
        <v>1267</v>
      </c>
      <c r="D525" t="s">
        <v>1374</v>
      </c>
      <c r="E525" t="s">
        <v>1375</v>
      </c>
      <c r="F525" t="s">
        <v>945</v>
      </c>
      <c r="G525" t="s">
        <v>204</v>
      </c>
      <c r="H525" t="s">
        <v>204</v>
      </c>
      <c r="I525" t="s">
        <v>340</v>
      </c>
      <c r="J525" t="s">
        <v>1265</v>
      </c>
      <c r="K525" t="s">
        <v>415</v>
      </c>
      <c r="L525" t="s">
        <v>1212</v>
      </c>
      <c r="M525" s="131">
        <v>0.08</v>
      </c>
      <c r="N525" t="s">
        <v>1376</v>
      </c>
      <c r="O525" s="132">
        <v>2.3500000000000001E-3</v>
      </c>
      <c r="P525" s="132">
        <v>4.3499999999999997E-2</v>
      </c>
      <c r="R525" s="131">
        <v>2448387</v>
      </c>
      <c r="S525" s="131">
        <v>1</v>
      </c>
      <c r="T525" s="131">
        <v>100.05</v>
      </c>
      <c r="U525" s="131">
        <v>2449.6109999999999</v>
      </c>
      <c r="W525" s="16" t="s">
        <v>15</v>
      </c>
      <c r="X525" s="132">
        <v>2.9999999999999997E-4</v>
      </c>
      <c r="Y525" s="132">
        <v>1.5730000000000001E-2</v>
      </c>
      <c r="Z525" s="132">
        <v>1.2619999999999999E-2</v>
      </c>
    </row>
    <row r="526" spans="1:26">
      <c r="A526" t="s">
        <v>1213</v>
      </c>
      <c r="B526" t="s">
        <v>1256</v>
      </c>
      <c r="C526" t="s">
        <v>1258</v>
      </c>
      <c r="D526" t="s">
        <v>1509</v>
      </c>
      <c r="E526" t="s">
        <v>1510</v>
      </c>
      <c r="F526" t="s">
        <v>943</v>
      </c>
      <c r="G526" t="s">
        <v>204</v>
      </c>
      <c r="H526" t="s">
        <v>204</v>
      </c>
      <c r="I526" t="s">
        <v>340</v>
      </c>
      <c r="J526" t="s">
        <v>1261</v>
      </c>
      <c r="K526" t="s">
        <v>413</v>
      </c>
      <c r="L526" t="s">
        <v>1212</v>
      </c>
      <c r="M526" s="131">
        <v>13.85</v>
      </c>
      <c r="N526" t="s">
        <v>1511</v>
      </c>
      <c r="O526" s="132">
        <v>-4.5100000000000001E-3</v>
      </c>
      <c r="P526" s="132">
        <v>2.24E-2</v>
      </c>
      <c r="R526" s="131">
        <v>1217656</v>
      </c>
      <c r="S526" s="131">
        <v>1</v>
      </c>
      <c r="T526" s="131">
        <v>132.61000000000001</v>
      </c>
      <c r="U526" s="131">
        <v>1614.7339999999999</v>
      </c>
      <c r="W526" s="16" t="s">
        <v>15</v>
      </c>
      <c r="X526" s="132">
        <v>6.0000000000000002E-5</v>
      </c>
      <c r="Y526" s="132">
        <v>1.0370000000000001E-2</v>
      </c>
      <c r="Z526" s="132">
        <v>8.3199999999999993E-3</v>
      </c>
    </row>
    <row r="527" spans="1:26">
      <c r="A527" t="s">
        <v>1213</v>
      </c>
      <c r="B527" t="s">
        <v>1256</v>
      </c>
      <c r="C527" t="s">
        <v>1267</v>
      </c>
      <c r="D527" t="s">
        <v>1377</v>
      </c>
      <c r="E527" t="s">
        <v>1378</v>
      </c>
      <c r="F527" t="s">
        <v>945</v>
      </c>
      <c r="G527" t="s">
        <v>204</v>
      </c>
      <c r="H527" t="s">
        <v>204</v>
      </c>
      <c r="I527" t="s">
        <v>340</v>
      </c>
      <c r="J527" t="s">
        <v>1261</v>
      </c>
      <c r="K527" t="s">
        <v>413</v>
      </c>
      <c r="L527" t="s">
        <v>1212</v>
      </c>
      <c r="M527" s="131">
        <v>14.32</v>
      </c>
      <c r="N527" t="s">
        <v>1379</v>
      </c>
      <c r="O527" s="132">
        <v>5.5140000000000002E-2</v>
      </c>
      <c r="P527" s="132">
        <v>5.3400000000000003E-2</v>
      </c>
      <c r="R527" s="131">
        <v>1260715</v>
      </c>
      <c r="S527" s="131">
        <v>1</v>
      </c>
      <c r="T527" s="131">
        <v>81.36</v>
      </c>
      <c r="U527" s="131">
        <v>1025.7180000000001</v>
      </c>
      <c r="W527" s="16" t="s">
        <v>15</v>
      </c>
      <c r="X527" s="132">
        <v>5.0000000000000002E-5</v>
      </c>
      <c r="Y527" s="132">
        <v>6.5900000000000004E-3</v>
      </c>
      <c r="Z527" s="132">
        <v>5.2900000000000004E-3</v>
      </c>
    </row>
    <row r="528" spans="1:26">
      <c r="A528" t="s">
        <v>1213</v>
      </c>
      <c r="B528" t="s">
        <v>1256</v>
      </c>
      <c r="C528" t="s">
        <v>1267</v>
      </c>
      <c r="D528" t="s">
        <v>1312</v>
      </c>
      <c r="E528" t="s">
        <v>1313</v>
      </c>
      <c r="F528" t="s">
        <v>945</v>
      </c>
      <c r="G528" t="s">
        <v>204</v>
      </c>
      <c r="H528" t="s">
        <v>204</v>
      </c>
      <c r="I528" t="s">
        <v>340</v>
      </c>
      <c r="J528" t="s">
        <v>1261</v>
      </c>
      <c r="K528" t="s">
        <v>413</v>
      </c>
      <c r="L528" t="s">
        <v>1212</v>
      </c>
      <c r="M528" s="131">
        <v>1.91</v>
      </c>
      <c r="N528" t="s">
        <v>1314</v>
      </c>
      <c r="O528" s="132">
        <v>4.3639999999999998E-2</v>
      </c>
      <c r="P528" s="132">
        <v>4.3200000000000002E-2</v>
      </c>
      <c r="R528" s="131">
        <v>267004</v>
      </c>
      <c r="S528" s="131">
        <v>1</v>
      </c>
      <c r="T528" s="131">
        <v>109.5</v>
      </c>
      <c r="U528" s="131">
        <v>292.36900000000003</v>
      </c>
      <c r="W528" s="16" t="s">
        <v>15</v>
      </c>
      <c r="X528" s="132">
        <v>2.0000000000000002E-5</v>
      </c>
      <c r="Y528" s="132">
        <v>1.8799999999999999E-3</v>
      </c>
      <c r="Z528" s="132">
        <v>1.5100000000000001E-3</v>
      </c>
    </row>
    <row r="529" spans="1:26">
      <c r="A529" t="s">
        <v>1213</v>
      </c>
      <c r="B529" t="s">
        <v>1257</v>
      </c>
      <c r="C529" t="s">
        <v>1258</v>
      </c>
      <c r="D529" t="s">
        <v>1259</v>
      </c>
      <c r="E529" t="s">
        <v>1260</v>
      </c>
      <c r="F529" t="s">
        <v>943</v>
      </c>
      <c r="G529" t="s">
        <v>204</v>
      </c>
      <c r="H529" t="s">
        <v>204</v>
      </c>
      <c r="I529" t="s">
        <v>340</v>
      </c>
      <c r="J529" t="s">
        <v>1261</v>
      </c>
      <c r="K529" t="s">
        <v>413</v>
      </c>
      <c r="L529" t="s">
        <v>1212</v>
      </c>
      <c r="M529" s="131">
        <v>1.07</v>
      </c>
      <c r="N529" t="s">
        <v>1262</v>
      </c>
      <c r="O529" s="132">
        <v>6.2199999999999998E-3</v>
      </c>
      <c r="P529" s="132">
        <v>1.2999999999999999E-2</v>
      </c>
      <c r="R529" s="131">
        <v>17528373</v>
      </c>
      <c r="S529" s="131">
        <v>1</v>
      </c>
      <c r="T529" s="131">
        <v>116.02</v>
      </c>
      <c r="U529" s="131">
        <v>20336.418000000001</v>
      </c>
      <c r="W529" s="16" t="s">
        <v>15</v>
      </c>
      <c r="X529" s="132">
        <v>8.0999999999999996E-4</v>
      </c>
      <c r="Y529" s="132">
        <v>0.19225999999999999</v>
      </c>
      <c r="Z529" s="132">
        <v>7.4660000000000004E-2</v>
      </c>
    </row>
    <row r="530" spans="1:26">
      <c r="A530" t="s">
        <v>1213</v>
      </c>
      <c r="B530" t="s">
        <v>1257</v>
      </c>
      <c r="C530" t="s">
        <v>1258</v>
      </c>
      <c r="D530" t="s">
        <v>1329</v>
      </c>
      <c r="E530" t="s">
        <v>1330</v>
      </c>
      <c r="F530" t="s">
        <v>943</v>
      </c>
      <c r="G530" t="s">
        <v>204</v>
      </c>
      <c r="H530" t="s">
        <v>204</v>
      </c>
      <c r="I530" t="s">
        <v>340</v>
      </c>
      <c r="J530" t="s">
        <v>1265</v>
      </c>
      <c r="K530" t="s">
        <v>415</v>
      </c>
      <c r="L530" t="s">
        <v>1212</v>
      </c>
      <c r="M530" s="131">
        <v>2.64</v>
      </c>
      <c r="N530" t="s">
        <v>1331</v>
      </c>
      <c r="O530" s="132">
        <v>-2.7730000000000001E-2</v>
      </c>
      <c r="P530" s="132">
        <v>1.6299999999999999E-2</v>
      </c>
      <c r="R530" s="131">
        <v>15936217</v>
      </c>
      <c r="S530" s="131">
        <v>1</v>
      </c>
      <c r="T530" s="131">
        <v>114.25</v>
      </c>
      <c r="U530" s="131">
        <v>18207.128000000001</v>
      </c>
      <c r="W530" s="16" t="s">
        <v>15</v>
      </c>
      <c r="X530" s="132">
        <v>7.1000000000000002E-4</v>
      </c>
      <c r="Y530" s="132">
        <v>0.17213000000000001</v>
      </c>
      <c r="Z530" s="132">
        <v>6.6839999999999997E-2</v>
      </c>
    </row>
    <row r="531" spans="1:26">
      <c r="A531" t="s">
        <v>1213</v>
      </c>
      <c r="B531" t="s">
        <v>1257</v>
      </c>
      <c r="C531" t="s">
        <v>1267</v>
      </c>
      <c r="D531" t="s">
        <v>1306</v>
      </c>
      <c r="E531" t="s">
        <v>1307</v>
      </c>
      <c r="F531" t="s">
        <v>945</v>
      </c>
      <c r="G531" t="s">
        <v>204</v>
      </c>
      <c r="H531" t="s">
        <v>204</v>
      </c>
      <c r="I531" t="s">
        <v>340</v>
      </c>
      <c r="J531" t="s">
        <v>1265</v>
      </c>
      <c r="K531" t="s">
        <v>415</v>
      </c>
      <c r="L531" t="s">
        <v>1212</v>
      </c>
      <c r="M531" s="131">
        <v>4.0599999999999996</v>
      </c>
      <c r="N531" t="s">
        <v>1308</v>
      </c>
      <c r="O531" s="132">
        <v>3.4250000000000003E-2</v>
      </c>
      <c r="P531" s="132">
        <v>4.5600000000000002E-2</v>
      </c>
      <c r="R531" s="131">
        <v>12472131</v>
      </c>
      <c r="S531" s="131">
        <v>1</v>
      </c>
      <c r="T531" s="131">
        <v>99.02</v>
      </c>
      <c r="U531" s="131">
        <v>12349.904</v>
      </c>
      <c r="W531" s="16" t="s">
        <v>15</v>
      </c>
      <c r="X531" s="132">
        <v>3.8000000000000002E-4</v>
      </c>
      <c r="Y531" s="132">
        <v>0.11675000000000001</v>
      </c>
      <c r="Z531" s="132">
        <v>4.5339999999999998E-2</v>
      </c>
    </row>
    <row r="532" spans="1:26">
      <c r="A532" t="s">
        <v>1213</v>
      </c>
      <c r="B532" t="s">
        <v>1257</v>
      </c>
      <c r="C532" t="s">
        <v>1258</v>
      </c>
      <c r="D532" t="s">
        <v>1309</v>
      </c>
      <c r="E532" t="s">
        <v>1310</v>
      </c>
      <c r="F532" t="s">
        <v>943</v>
      </c>
      <c r="G532" t="s">
        <v>204</v>
      </c>
      <c r="H532" t="s">
        <v>204</v>
      </c>
      <c r="I532" t="s">
        <v>340</v>
      </c>
      <c r="J532" t="s">
        <v>1265</v>
      </c>
      <c r="K532" t="s">
        <v>415</v>
      </c>
      <c r="L532" t="s">
        <v>1212</v>
      </c>
      <c r="M532" s="131">
        <v>1.83</v>
      </c>
      <c r="N532" t="s">
        <v>1311</v>
      </c>
      <c r="O532" s="132">
        <v>1.18E-2</v>
      </c>
      <c r="P532" s="132">
        <v>1.5699999999999999E-2</v>
      </c>
      <c r="R532" s="131">
        <v>10067861</v>
      </c>
      <c r="S532" s="131">
        <v>1</v>
      </c>
      <c r="T532" s="131">
        <v>112.44</v>
      </c>
      <c r="U532" s="131">
        <v>11320.303</v>
      </c>
      <c r="W532" s="16" t="s">
        <v>15</v>
      </c>
      <c r="X532" s="132">
        <v>5.0000000000000001E-4</v>
      </c>
      <c r="Y532" s="132">
        <v>0.10702</v>
      </c>
      <c r="Z532" s="132">
        <v>4.156E-2</v>
      </c>
    </row>
    <row r="533" spans="1:26">
      <c r="A533" t="s">
        <v>1213</v>
      </c>
      <c r="B533" t="s">
        <v>1257</v>
      </c>
      <c r="C533" t="s">
        <v>1258</v>
      </c>
      <c r="D533" t="s">
        <v>1300</v>
      </c>
      <c r="E533" t="s">
        <v>1301</v>
      </c>
      <c r="F533" t="s">
        <v>943</v>
      </c>
      <c r="G533" t="s">
        <v>204</v>
      </c>
      <c r="H533" t="s">
        <v>204</v>
      </c>
      <c r="I533" t="s">
        <v>340</v>
      </c>
      <c r="J533" t="s">
        <v>1265</v>
      </c>
      <c r="K533" t="s">
        <v>415</v>
      </c>
      <c r="L533" t="s">
        <v>1212</v>
      </c>
      <c r="M533" s="131">
        <v>4.6100000000000003</v>
      </c>
      <c r="N533" t="s">
        <v>1302</v>
      </c>
      <c r="O533" s="132">
        <v>1.043E-2</v>
      </c>
      <c r="P533" s="132">
        <v>1.83E-2</v>
      </c>
      <c r="R533" s="131">
        <v>8034943</v>
      </c>
      <c r="S533" s="131">
        <v>1</v>
      </c>
      <c r="T533" s="131">
        <v>108.85</v>
      </c>
      <c r="U533" s="131">
        <v>8746.0349999999999</v>
      </c>
      <c r="W533" s="16" t="s">
        <v>15</v>
      </c>
      <c r="X533" s="132">
        <v>2.9999999999999997E-4</v>
      </c>
      <c r="Y533" s="132">
        <v>8.2680000000000003E-2</v>
      </c>
      <c r="Z533" s="132">
        <v>3.211E-2</v>
      </c>
    </row>
    <row r="534" spans="1:26">
      <c r="A534" t="s">
        <v>1213</v>
      </c>
      <c r="B534" t="s">
        <v>1257</v>
      </c>
      <c r="C534" t="s">
        <v>1267</v>
      </c>
      <c r="D534" t="s">
        <v>1347</v>
      </c>
      <c r="E534" t="s">
        <v>1348</v>
      </c>
      <c r="F534" t="s">
        <v>945</v>
      </c>
      <c r="G534" t="s">
        <v>204</v>
      </c>
      <c r="H534" t="s">
        <v>204</v>
      </c>
      <c r="I534" t="s">
        <v>340</v>
      </c>
      <c r="J534" t="s">
        <v>1261</v>
      </c>
      <c r="K534" t="s">
        <v>413</v>
      </c>
      <c r="L534" t="s">
        <v>1212</v>
      </c>
      <c r="M534" s="131">
        <v>3.86</v>
      </c>
      <c r="N534" t="s">
        <v>1349</v>
      </c>
      <c r="O534" s="132">
        <v>3.5889999999999998E-2</v>
      </c>
      <c r="P534" s="132">
        <v>4.5100000000000001E-2</v>
      </c>
      <c r="R534" s="131">
        <v>7297988</v>
      </c>
      <c r="S534" s="131">
        <v>1</v>
      </c>
      <c r="T534" s="131">
        <v>91.9</v>
      </c>
      <c r="U534" s="131">
        <v>6706.8509999999997</v>
      </c>
      <c r="W534" s="16" t="s">
        <v>15</v>
      </c>
      <c r="X534" s="132">
        <v>2.2000000000000001E-4</v>
      </c>
      <c r="Y534" s="132">
        <v>6.3409999999999994E-2</v>
      </c>
      <c r="Z534" s="132">
        <v>2.462E-2</v>
      </c>
    </row>
    <row r="535" spans="1:26">
      <c r="A535" t="s">
        <v>1213</v>
      </c>
      <c r="B535" t="s">
        <v>1257</v>
      </c>
      <c r="C535" t="s">
        <v>1277</v>
      </c>
      <c r="D535" t="s">
        <v>1278</v>
      </c>
      <c r="E535" t="s">
        <v>1279</v>
      </c>
      <c r="F535" t="s">
        <v>946</v>
      </c>
      <c r="G535" t="s">
        <v>204</v>
      </c>
      <c r="H535" t="s">
        <v>204</v>
      </c>
      <c r="I535" t="s">
        <v>340</v>
      </c>
      <c r="J535" t="s">
        <v>1261</v>
      </c>
      <c r="K535" t="s">
        <v>413</v>
      </c>
      <c r="L535" t="s">
        <v>1212</v>
      </c>
      <c r="M535" s="131">
        <v>5.42</v>
      </c>
      <c r="N535" t="s">
        <v>1280</v>
      </c>
      <c r="O535" s="132">
        <v>4.8500000000000001E-3</v>
      </c>
      <c r="P535" s="132">
        <v>4.8399999999999999E-2</v>
      </c>
      <c r="R535" s="131">
        <v>5969240</v>
      </c>
      <c r="S535" s="131">
        <v>1</v>
      </c>
      <c r="T535" s="131">
        <v>97.9</v>
      </c>
      <c r="U535" s="131">
        <v>5843.8860000000004</v>
      </c>
      <c r="W535" s="16" t="s">
        <v>15</v>
      </c>
      <c r="X535" s="132">
        <v>1.9000000000000001E-4</v>
      </c>
      <c r="Y535" s="132">
        <v>5.525E-2</v>
      </c>
      <c r="Z535" s="132">
        <v>2.145E-2</v>
      </c>
    </row>
    <row r="536" spans="1:26">
      <c r="A536" t="s">
        <v>1213</v>
      </c>
      <c r="B536" t="s">
        <v>1257</v>
      </c>
      <c r="C536" t="s">
        <v>1267</v>
      </c>
      <c r="D536" t="s">
        <v>1312</v>
      </c>
      <c r="E536" t="s">
        <v>1313</v>
      </c>
      <c r="F536" t="s">
        <v>945</v>
      </c>
      <c r="G536" t="s">
        <v>204</v>
      </c>
      <c r="H536" t="s">
        <v>204</v>
      </c>
      <c r="I536" t="s">
        <v>340</v>
      </c>
      <c r="J536" t="s">
        <v>1261</v>
      </c>
      <c r="K536" t="s">
        <v>413</v>
      </c>
      <c r="L536" t="s">
        <v>1212</v>
      </c>
      <c r="M536" s="131">
        <v>1.91</v>
      </c>
      <c r="N536" t="s">
        <v>1314</v>
      </c>
      <c r="O536" s="132">
        <v>3.8420000000000003E-2</v>
      </c>
      <c r="P536" s="132">
        <v>4.3200000000000002E-2</v>
      </c>
      <c r="R536" s="131">
        <v>4953484</v>
      </c>
      <c r="S536" s="131">
        <v>1</v>
      </c>
      <c r="T536" s="131">
        <v>109.5</v>
      </c>
      <c r="U536" s="131">
        <v>5424.0649999999996</v>
      </c>
      <c r="W536" s="16" t="s">
        <v>15</v>
      </c>
      <c r="X536" s="132">
        <v>3.3E-4</v>
      </c>
      <c r="Y536" s="132">
        <v>5.1279999999999999E-2</v>
      </c>
      <c r="Z536" s="132">
        <v>1.9910000000000001E-2</v>
      </c>
    </row>
    <row r="537" spans="1:26">
      <c r="A537" t="s">
        <v>1213</v>
      </c>
      <c r="B537" t="s">
        <v>1257</v>
      </c>
      <c r="C537" t="s">
        <v>1267</v>
      </c>
      <c r="D537" t="s">
        <v>1274</v>
      </c>
      <c r="E537" t="s">
        <v>1275</v>
      </c>
      <c r="F537" t="s">
        <v>945</v>
      </c>
      <c r="G537" t="s">
        <v>204</v>
      </c>
      <c r="H537" t="s">
        <v>204</v>
      </c>
      <c r="I537" t="s">
        <v>340</v>
      </c>
      <c r="J537" t="s">
        <v>1265</v>
      </c>
      <c r="K537" t="s">
        <v>415</v>
      </c>
      <c r="L537" t="s">
        <v>1212</v>
      </c>
      <c r="M537" s="131">
        <v>1.4</v>
      </c>
      <c r="N537" t="s">
        <v>1276</v>
      </c>
      <c r="O537" s="132">
        <v>4.0129999999999999E-2</v>
      </c>
      <c r="P537" s="132">
        <v>4.3799999999999999E-2</v>
      </c>
      <c r="R537" s="131">
        <v>4861753</v>
      </c>
      <c r="S537" s="131">
        <v>1</v>
      </c>
      <c r="T537" s="131">
        <v>95.1</v>
      </c>
      <c r="U537" s="131">
        <v>4623.527</v>
      </c>
      <c r="W537" s="16" t="s">
        <v>15</v>
      </c>
      <c r="X537" s="132">
        <v>1.7000000000000001E-4</v>
      </c>
      <c r="Y537" s="132">
        <v>4.3709999999999999E-2</v>
      </c>
      <c r="Z537" s="132">
        <v>1.6969999999999999E-2</v>
      </c>
    </row>
    <row r="538" spans="1:26">
      <c r="A538" t="s">
        <v>1213</v>
      </c>
      <c r="B538" t="s">
        <v>1257</v>
      </c>
      <c r="C538" t="s">
        <v>1267</v>
      </c>
      <c r="D538" t="s">
        <v>1368</v>
      </c>
      <c r="E538" t="s">
        <v>1369</v>
      </c>
      <c r="F538" t="s">
        <v>945</v>
      </c>
      <c r="G538" t="s">
        <v>204</v>
      </c>
      <c r="H538" t="s">
        <v>204</v>
      </c>
      <c r="I538" t="s">
        <v>340</v>
      </c>
      <c r="J538" t="s">
        <v>1261</v>
      </c>
      <c r="K538" t="s">
        <v>413</v>
      </c>
      <c r="L538" t="s">
        <v>1212</v>
      </c>
      <c r="M538" s="131">
        <v>2.89</v>
      </c>
      <c r="N538" t="s">
        <v>1370</v>
      </c>
      <c r="O538" s="132">
        <v>4.0849999999999997E-2</v>
      </c>
      <c r="P538" s="132">
        <v>4.4499999999999998E-2</v>
      </c>
      <c r="R538" s="131">
        <v>4471917</v>
      </c>
      <c r="S538" s="131">
        <v>1</v>
      </c>
      <c r="T538" s="131">
        <v>98.09</v>
      </c>
      <c r="U538" s="131">
        <v>4386.5029999999997</v>
      </c>
      <c r="W538" s="16" t="s">
        <v>15</v>
      </c>
      <c r="X538" s="132">
        <v>2.5999999999999998E-4</v>
      </c>
      <c r="Y538" s="132">
        <v>4.147E-2</v>
      </c>
      <c r="Z538" s="132">
        <v>1.61E-2</v>
      </c>
    </row>
    <row r="539" spans="1:26">
      <c r="A539" t="s">
        <v>1213</v>
      </c>
      <c r="B539" t="s">
        <v>1257</v>
      </c>
      <c r="C539" t="s">
        <v>1267</v>
      </c>
      <c r="D539" t="s">
        <v>1281</v>
      </c>
      <c r="E539" t="s">
        <v>1282</v>
      </c>
      <c r="F539" t="s">
        <v>945</v>
      </c>
      <c r="G539" t="s">
        <v>204</v>
      </c>
      <c r="H539" t="s">
        <v>204</v>
      </c>
      <c r="I539" t="s">
        <v>340</v>
      </c>
      <c r="J539" t="s">
        <v>1261</v>
      </c>
      <c r="K539" t="s">
        <v>413</v>
      </c>
      <c r="L539" t="s">
        <v>1212</v>
      </c>
      <c r="M539" s="131">
        <v>5.33</v>
      </c>
      <c r="N539" t="s">
        <v>1283</v>
      </c>
      <c r="O539" s="132">
        <v>4.4269999999999997E-2</v>
      </c>
      <c r="P539" s="132">
        <v>4.6300000000000001E-2</v>
      </c>
      <c r="R539" s="131">
        <v>3573135</v>
      </c>
      <c r="S539" s="131">
        <v>1</v>
      </c>
      <c r="T539" s="131">
        <v>83.24</v>
      </c>
      <c r="U539" s="131">
        <v>2974.2779999999998</v>
      </c>
      <c r="W539" s="16" t="s">
        <v>15</v>
      </c>
      <c r="X539" s="132">
        <v>9.0000000000000006E-5</v>
      </c>
      <c r="Y539" s="132">
        <v>2.8119999999999999E-2</v>
      </c>
      <c r="Z539" s="132">
        <v>1.0919999999999999E-2</v>
      </c>
    </row>
    <row r="540" spans="1:26">
      <c r="A540" t="s">
        <v>1213</v>
      </c>
      <c r="B540" t="s">
        <v>1257</v>
      </c>
      <c r="C540" t="s">
        <v>1258</v>
      </c>
      <c r="D540" t="s">
        <v>1297</v>
      </c>
      <c r="E540" t="s">
        <v>1298</v>
      </c>
      <c r="F540" t="s">
        <v>943</v>
      </c>
      <c r="G540" t="s">
        <v>204</v>
      </c>
      <c r="H540" t="s">
        <v>204</v>
      </c>
      <c r="I540" t="s">
        <v>340</v>
      </c>
      <c r="J540" t="s">
        <v>1265</v>
      </c>
      <c r="K540" t="s">
        <v>415</v>
      </c>
      <c r="L540" t="s">
        <v>1212</v>
      </c>
      <c r="M540" s="131">
        <v>7.14</v>
      </c>
      <c r="N540" t="s">
        <v>1299</v>
      </c>
      <c r="O540" s="132">
        <v>1.3599999999999999E-2</v>
      </c>
      <c r="P540" s="132">
        <v>1.9900000000000001E-2</v>
      </c>
      <c r="R540" s="131">
        <v>2551295</v>
      </c>
      <c r="S540" s="131">
        <v>1</v>
      </c>
      <c r="T540" s="131">
        <v>101.1</v>
      </c>
      <c r="U540" s="131">
        <v>2579.3589999999999</v>
      </c>
      <c r="W540" s="16" t="s">
        <v>15</v>
      </c>
      <c r="X540" s="132">
        <v>8.0000000000000007E-5</v>
      </c>
      <c r="Y540" s="132">
        <v>2.4379999999999999E-2</v>
      </c>
      <c r="Z540" s="132">
        <v>9.4699999999999993E-3</v>
      </c>
    </row>
    <row r="541" spans="1:26">
      <c r="A541" t="s">
        <v>1213</v>
      </c>
      <c r="B541" t="s">
        <v>1257</v>
      </c>
      <c r="C541" t="s">
        <v>1290</v>
      </c>
      <c r="D541" t="s">
        <v>1315</v>
      </c>
      <c r="E541" t="s">
        <v>1316</v>
      </c>
      <c r="F541" t="s">
        <v>949</v>
      </c>
      <c r="G541" t="s">
        <v>204</v>
      </c>
      <c r="H541" t="s">
        <v>204</v>
      </c>
      <c r="I541" t="s">
        <v>340</v>
      </c>
      <c r="J541" t="s">
        <v>1261</v>
      </c>
      <c r="K541" t="s">
        <v>413</v>
      </c>
      <c r="L541" t="s">
        <v>1212</v>
      </c>
      <c r="M541" s="131">
        <v>0.5</v>
      </c>
      <c r="N541" t="s">
        <v>1317</v>
      </c>
      <c r="O541" s="132">
        <v>4.0809999999999999E-2</v>
      </c>
      <c r="P541" s="132">
        <v>4.3200000000000002E-2</v>
      </c>
      <c r="R541" s="131">
        <v>1300000</v>
      </c>
      <c r="S541" s="131">
        <v>1</v>
      </c>
      <c r="T541" s="131">
        <v>97.9</v>
      </c>
      <c r="U541" s="131">
        <v>1272.7</v>
      </c>
      <c r="W541" s="16" t="s">
        <v>15</v>
      </c>
      <c r="X541" s="132">
        <v>1.1E-4</v>
      </c>
      <c r="Y541" s="132">
        <v>1.2030000000000001E-2</v>
      </c>
      <c r="Z541" s="132">
        <v>4.6699999999999997E-3</v>
      </c>
    </row>
    <row r="542" spans="1:26">
      <c r="A542" t="s">
        <v>1213</v>
      </c>
      <c r="B542" t="s">
        <v>1257</v>
      </c>
      <c r="C542" t="s">
        <v>1267</v>
      </c>
      <c r="D542" t="s">
        <v>1341</v>
      </c>
      <c r="E542" t="s">
        <v>1342</v>
      </c>
      <c r="F542" t="s">
        <v>945</v>
      </c>
      <c r="G542" t="s">
        <v>204</v>
      </c>
      <c r="H542" t="s">
        <v>204</v>
      </c>
      <c r="I542" t="s">
        <v>340</v>
      </c>
      <c r="J542" t="s">
        <v>1261</v>
      </c>
      <c r="K542" t="s">
        <v>413</v>
      </c>
      <c r="L542" t="s">
        <v>1212</v>
      </c>
      <c r="M542" s="131">
        <v>2.44</v>
      </c>
      <c r="N542" t="s">
        <v>1343</v>
      </c>
      <c r="O542" s="132">
        <v>3.7819999999999999E-2</v>
      </c>
      <c r="P542" s="132">
        <v>4.3999999999999997E-2</v>
      </c>
      <c r="R542" s="131">
        <v>675395</v>
      </c>
      <c r="S542" s="131">
        <v>1</v>
      </c>
      <c r="T542" s="131">
        <v>95.44</v>
      </c>
      <c r="U542" s="131">
        <v>644.59699999999998</v>
      </c>
      <c r="W542" s="16" t="s">
        <v>15</v>
      </c>
      <c r="X542" s="132">
        <v>3.0000000000000001E-5</v>
      </c>
      <c r="Y542" s="132">
        <v>6.0899999999999999E-3</v>
      </c>
      <c r="Z542" s="132">
        <v>2.3700000000000001E-3</v>
      </c>
    </row>
    <row r="543" spans="1:26">
      <c r="A543" t="s">
        <v>1213</v>
      </c>
      <c r="B543" t="s">
        <v>1257</v>
      </c>
      <c r="C543" t="s">
        <v>1267</v>
      </c>
      <c r="D543" t="s">
        <v>1374</v>
      </c>
      <c r="E543" t="s">
        <v>1375</v>
      </c>
      <c r="F543" t="s">
        <v>945</v>
      </c>
      <c r="G543" t="s">
        <v>204</v>
      </c>
      <c r="H543" t="s">
        <v>204</v>
      </c>
      <c r="I543" t="s">
        <v>340</v>
      </c>
      <c r="J543" t="s">
        <v>1265</v>
      </c>
      <c r="K543" t="s">
        <v>415</v>
      </c>
      <c r="L543" t="s">
        <v>1212</v>
      </c>
      <c r="M543" s="131">
        <v>0.08</v>
      </c>
      <c r="N543" t="s">
        <v>1376</v>
      </c>
      <c r="O543" s="132">
        <v>3.1519999999999999E-2</v>
      </c>
      <c r="P543" s="132">
        <v>4.3499999999999997E-2</v>
      </c>
      <c r="R543" s="131">
        <v>207398</v>
      </c>
      <c r="S543" s="131">
        <v>1</v>
      </c>
      <c r="T543" s="131">
        <v>100.05</v>
      </c>
      <c r="U543" s="131">
        <v>207.50200000000001</v>
      </c>
      <c r="W543" s="16" t="s">
        <v>15</v>
      </c>
      <c r="X543" s="132">
        <v>3.0000000000000001E-5</v>
      </c>
      <c r="Y543" s="132">
        <v>1.9599999999999999E-3</v>
      </c>
      <c r="Z543" s="132">
        <v>7.6000000000000004E-4</v>
      </c>
    </row>
    <row r="544" spans="1:26">
      <c r="A544" t="s">
        <v>1213</v>
      </c>
      <c r="B544" t="s">
        <v>1257</v>
      </c>
      <c r="C544" t="s">
        <v>1267</v>
      </c>
      <c r="D544" t="s">
        <v>1287</v>
      </c>
      <c r="E544" t="s">
        <v>1288</v>
      </c>
      <c r="F544" t="s">
        <v>945</v>
      </c>
      <c r="G544" t="s">
        <v>204</v>
      </c>
      <c r="H544" t="s">
        <v>204</v>
      </c>
      <c r="I544" t="s">
        <v>340</v>
      </c>
      <c r="J544" t="s">
        <v>1261</v>
      </c>
      <c r="K544" t="s">
        <v>413</v>
      </c>
      <c r="L544" t="s">
        <v>1212</v>
      </c>
      <c r="M544" s="131">
        <v>0.92</v>
      </c>
      <c r="N544" t="s">
        <v>1289</v>
      </c>
      <c r="O544" s="132">
        <v>3.3840000000000002E-2</v>
      </c>
      <c r="P544" s="132">
        <v>4.1700000000000001E-2</v>
      </c>
      <c r="R544" s="131">
        <v>79094</v>
      </c>
      <c r="S544" s="131">
        <v>1</v>
      </c>
      <c r="T544" s="131">
        <v>98.02</v>
      </c>
      <c r="U544" s="131">
        <v>77.528000000000006</v>
      </c>
      <c r="W544" s="16" t="s">
        <v>15</v>
      </c>
      <c r="X544" s="132">
        <v>0</v>
      </c>
      <c r="Y544" s="132">
        <v>7.2999999999999996E-4</v>
      </c>
      <c r="Z544" s="132">
        <v>2.7999999999999998E-4</v>
      </c>
    </row>
    <row r="545" spans="1:26">
      <c r="A545" t="s">
        <v>1213</v>
      </c>
      <c r="B545" t="s">
        <v>1257</v>
      </c>
      <c r="C545" t="s">
        <v>1267</v>
      </c>
      <c r="D545" t="s">
        <v>1271</v>
      </c>
      <c r="E545" t="s">
        <v>1272</v>
      </c>
      <c r="F545" t="s">
        <v>945</v>
      </c>
      <c r="G545" t="s">
        <v>204</v>
      </c>
      <c r="H545" t="s">
        <v>204</v>
      </c>
      <c r="I545" t="s">
        <v>340</v>
      </c>
      <c r="J545" t="s">
        <v>1261</v>
      </c>
      <c r="K545" t="s">
        <v>413</v>
      </c>
      <c r="L545" t="s">
        <v>1212</v>
      </c>
      <c r="M545" s="131">
        <v>11.32</v>
      </c>
      <c r="N545" t="s">
        <v>1273</v>
      </c>
      <c r="O545" s="132">
        <v>3.1980000000000001E-2</v>
      </c>
      <c r="P545" s="132">
        <v>5.1700000000000003E-2</v>
      </c>
      <c r="R545" s="131">
        <v>70805</v>
      </c>
      <c r="S545" s="131">
        <v>1</v>
      </c>
      <c r="T545" s="131">
        <v>107.34</v>
      </c>
      <c r="U545" s="131">
        <v>76.001999999999995</v>
      </c>
      <c r="W545" s="16" t="s">
        <v>15</v>
      </c>
      <c r="X545" s="132">
        <v>0</v>
      </c>
      <c r="Y545" s="132">
        <v>7.2000000000000005E-4</v>
      </c>
      <c r="Z545" s="132">
        <v>2.7999999999999998E-4</v>
      </c>
    </row>
    <row r="546" spans="1:26">
      <c r="A546"/>
    </row>
  </sheetData>
  <sheetProtection formatColumns="0"/>
  <autoFilter ref="A1:AA545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545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1"/>
  <sheetViews>
    <sheetView rightToLeft="1" workbookViewId="0">
      <selection activeCell="M26" sqref="M26"/>
    </sheetView>
  </sheetViews>
  <sheetFormatPr defaultColWidth="11.625" defaultRowHeight="14.25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56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85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</row>
    <row r="2" spans="1:36">
      <c r="A2" t="s">
        <v>1213</v>
      </c>
      <c r="B2" t="s">
        <v>1247</v>
      </c>
      <c r="C2" t="s">
        <v>1512</v>
      </c>
      <c r="D2" t="s">
        <v>1513</v>
      </c>
      <c r="E2" t="s">
        <v>309</v>
      </c>
      <c r="F2" t="s">
        <v>1514</v>
      </c>
      <c r="G2" t="s">
        <v>1515</v>
      </c>
      <c r="H2" t="s">
        <v>321</v>
      </c>
      <c r="I2" t="s">
        <v>314</v>
      </c>
      <c r="J2" t="s">
        <v>204</v>
      </c>
      <c r="K2" t="s">
        <v>204</v>
      </c>
      <c r="L2" t="s">
        <v>340</v>
      </c>
      <c r="M2" t="s">
        <v>448</v>
      </c>
      <c r="N2" t="s">
        <v>339</v>
      </c>
      <c r="O2" t="s">
        <v>1215</v>
      </c>
      <c r="P2" t="s">
        <v>413</v>
      </c>
      <c r="Q2" t="s">
        <v>407</v>
      </c>
      <c r="R2" t="s">
        <v>1212</v>
      </c>
      <c r="S2" s="131">
        <v>0.68</v>
      </c>
      <c r="T2" t="s">
        <v>899</v>
      </c>
      <c r="U2" t="s">
        <v>1516</v>
      </c>
      <c r="V2" s="132">
        <v>-0.90053000000000005</v>
      </c>
      <c r="W2" s="132">
        <v>4.41E-2</v>
      </c>
      <c r="X2" t="s">
        <v>412</v>
      </c>
      <c r="Y2" t="s">
        <v>339</v>
      </c>
      <c r="Z2" s="131">
        <v>20000</v>
      </c>
      <c r="AA2" s="131">
        <v>1</v>
      </c>
      <c r="AB2" s="131">
        <v>1015.42</v>
      </c>
      <c r="AC2" s="16"/>
      <c r="AD2" s="131">
        <v>203.084</v>
      </c>
      <c r="AE2" s="16"/>
      <c r="AF2"/>
      <c r="AG2" s="16" t="s">
        <v>15</v>
      </c>
      <c r="AH2" s="132">
        <v>1.0000000000000001E-5</v>
      </c>
      <c r="AI2" s="132">
        <v>1</v>
      </c>
      <c r="AJ2" s="132">
        <v>6.6E-4</v>
      </c>
    </row>
    <row r="3" spans="1:36">
      <c r="A3" t="s">
        <v>1213</v>
      </c>
      <c r="B3" t="s">
        <v>1248</v>
      </c>
      <c r="C3" t="s">
        <v>1512</v>
      </c>
      <c r="D3" t="s">
        <v>1513</v>
      </c>
      <c r="E3" t="s">
        <v>309</v>
      </c>
      <c r="F3" t="s">
        <v>1514</v>
      </c>
      <c r="G3" t="s">
        <v>1515</v>
      </c>
      <c r="H3" t="s">
        <v>321</v>
      </c>
      <c r="I3" t="s">
        <v>314</v>
      </c>
      <c r="J3" t="s">
        <v>204</v>
      </c>
      <c r="K3" t="s">
        <v>204</v>
      </c>
      <c r="L3" t="s">
        <v>340</v>
      </c>
      <c r="M3" t="s">
        <v>448</v>
      </c>
      <c r="N3" t="s">
        <v>339</v>
      </c>
      <c r="O3" t="s">
        <v>1215</v>
      </c>
      <c r="P3" t="s">
        <v>413</v>
      </c>
      <c r="Q3" t="s">
        <v>407</v>
      </c>
      <c r="R3" t="s">
        <v>1212</v>
      </c>
      <c r="S3" s="131">
        <v>0.68</v>
      </c>
      <c r="T3" t="s">
        <v>899</v>
      </c>
      <c r="U3" t="s">
        <v>1516</v>
      </c>
      <c r="V3" s="132">
        <v>-0.90053000000000005</v>
      </c>
      <c r="W3" s="132">
        <v>4.41E-2</v>
      </c>
      <c r="X3" t="s">
        <v>412</v>
      </c>
      <c r="Y3" t="s">
        <v>339</v>
      </c>
      <c r="Z3" s="131">
        <v>50000</v>
      </c>
      <c r="AA3" s="131">
        <v>1</v>
      </c>
      <c r="AB3" s="131">
        <v>1015.42</v>
      </c>
      <c r="AC3" s="16"/>
      <c r="AD3" s="131">
        <v>507.71</v>
      </c>
      <c r="AE3" s="16"/>
      <c r="AG3" s="16" t="s">
        <v>15</v>
      </c>
      <c r="AH3" s="132">
        <v>2.0000000000000002E-5</v>
      </c>
      <c r="AI3" s="132">
        <v>1</v>
      </c>
      <c r="AJ3" s="132">
        <v>6.9999999999999999E-4</v>
      </c>
    </row>
    <row r="4" spans="1:36">
      <c r="A4" t="s">
        <v>1213</v>
      </c>
      <c r="B4" t="s">
        <v>1250</v>
      </c>
      <c r="C4" t="s">
        <v>1512</v>
      </c>
      <c r="D4" t="s">
        <v>1513</v>
      </c>
      <c r="E4" t="s">
        <v>309</v>
      </c>
      <c r="F4" t="s">
        <v>1514</v>
      </c>
      <c r="G4" t="s">
        <v>1515</v>
      </c>
      <c r="H4" t="s">
        <v>321</v>
      </c>
      <c r="I4" t="s">
        <v>314</v>
      </c>
      <c r="J4" t="s">
        <v>204</v>
      </c>
      <c r="K4" t="s">
        <v>204</v>
      </c>
      <c r="L4" t="s">
        <v>340</v>
      </c>
      <c r="M4" t="s">
        <v>448</v>
      </c>
      <c r="N4" t="s">
        <v>339</v>
      </c>
      <c r="O4" t="s">
        <v>1215</v>
      </c>
      <c r="P4" t="s">
        <v>413</v>
      </c>
      <c r="Q4" t="s">
        <v>407</v>
      </c>
      <c r="R4" t="s">
        <v>1212</v>
      </c>
      <c r="S4" s="131">
        <v>0.68</v>
      </c>
      <c r="T4" t="s">
        <v>899</v>
      </c>
      <c r="U4" t="s">
        <v>1516</v>
      </c>
      <c r="V4" s="132">
        <v>-0.90053000000000005</v>
      </c>
      <c r="W4" s="132">
        <v>4.41E-2</v>
      </c>
      <c r="X4" t="s">
        <v>412</v>
      </c>
      <c r="Y4" t="s">
        <v>339</v>
      </c>
      <c r="Z4" s="131">
        <v>330000</v>
      </c>
      <c r="AA4" s="131">
        <v>1</v>
      </c>
      <c r="AB4" s="131">
        <v>1015.42</v>
      </c>
      <c r="AC4" s="16"/>
      <c r="AD4" s="131">
        <v>3350.886</v>
      </c>
      <c r="AE4" s="16"/>
      <c r="AG4" s="16" t="s">
        <v>15</v>
      </c>
      <c r="AH4" s="132">
        <v>1.4999999999999999E-4</v>
      </c>
      <c r="AI4" s="132">
        <v>1</v>
      </c>
      <c r="AJ4" s="132">
        <v>1E-3</v>
      </c>
    </row>
    <row r="5" spans="1:36">
      <c r="A5" t="s">
        <v>1213</v>
      </c>
      <c r="B5" t="s">
        <v>1214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/>
      <c r="P5" s="16"/>
      <c r="Q5" s="16"/>
      <c r="R5" s="16"/>
      <c r="S5" s="16"/>
      <c r="T5" s="109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G5" s="16"/>
    </row>
    <row r="6" spans="1:36">
      <c r="A6" t="s">
        <v>1213</v>
      </c>
      <c r="B6" t="s">
        <v>1217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/>
      <c r="P6" s="16"/>
      <c r="Q6" s="16"/>
      <c r="R6" s="16"/>
      <c r="S6" s="16"/>
      <c r="T6" s="109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G6"/>
    </row>
    <row r="7" spans="1:36">
      <c r="A7" t="s">
        <v>1213</v>
      </c>
      <c r="B7" t="s">
        <v>1220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/>
      <c r="P7" s="16"/>
      <c r="Q7" s="16"/>
      <c r="R7" s="16"/>
      <c r="S7" s="16"/>
      <c r="T7" s="109"/>
      <c r="U7" s="16"/>
      <c r="V7" s="16"/>
      <c r="W7" s="16"/>
      <c r="X7" s="16"/>
      <c r="Y7" s="16"/>
      <c r="Z7" s="16"/>
      <c r="AB7"/>
      <c r="AC7"/>
      <c r="AG7"/>
    </row>
    <row r="8" spans="1:36">
      <c r="A8" t="s">
        <v>1213</v>
      </c>
      <c r="B8" t="s">
        <v>1221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/>
      <c r="P8" s="16"/>
      <c r="Q8" s="16"/>
      <c r="R8" s="16"/>
      <c r="S8" s="16"/>
      <c r="T8" s="109"/>
      <c r="U8" s="16"/>
      <c r="V8" s="16"/>
      <c r="W8" s="16"/>
      <c r="X8" s="16"/>
      <c r="Y8" s="16"/>
      <c r="Z8" s="16"/>
      <c r="AB8" s="109"/>
      <c r="AC8" s="109"/>
      <c r="AD8" s="109"/>
      <c r="AG8" s="16"/>
    </row>
    <row r="9" spans="1:36">
      <c r="A9" t="s">
        <v>1213</v>
      </c>
      <c r="B9" t="s">
        <v>1222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/>
      <c r="P9" s="16"/>
      <c r="Q9" s="16"/>
      <c r="R9" s="16"/>
      <c r="S9" s="16"/>
      <c r="T9" s="109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G9" s="16"/>
    </row>
    <row r="10" spans="1:36">
      <c r="A10" t="s">
        <v>1213</v>
      </c>
      <c r="B10" t="s">
        <v>1223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109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/>
    </row>
    <row r="11" spans="1:36">
      <c r="A11" t="s">
        <v>1213</v>
      </c>
      <c r="B11" t="s">
        <v>1224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109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6">
      <c r="A12" t="s">
        <v>1213</v>
      </c>
      <c r="B12" t="s">
        <v>1225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109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6">
      <c r="A13" t="s">
        <v>1213</v>
      </c>
      <c r="B13" t="s">
        <v>1230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109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6">
      <c r="A14" t="s">
        <v>1213</v>
      </c>
      <c r="B14" t="s">
        <v>1231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109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6">
      <c r="A15" t="s">
        <v>1213</v>
      </c>
      <c r="B15" t="s">
        <v>1232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109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6">
      <c r="A16" t="s">
        <v>1213</v>
      </c>
      <c r="B16" t="s">
        <v>1233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109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>
      <c r="A17" t="s">
        <v>1213</v>
      </c>
      <c r="B17" t="s">
        <v>1234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09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>
      <c r="A18" t="s">
        <v>1213</v>
      </c>
      <c r="B18" t="s">
        <v>1235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09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>
      <c r="A19" t="s">
        <v>1213</v>
      </c>
      <c r="B19" t="s">
        <v>1238</v>
      </c>
      <c r="E19" s="16"/>
      <c r="H19" s="16"/>
      <c r="I19" s="16"/>
      <c r="J19" s="16"/>
      <c r="K19" s="16"/>
      <c r="L19" s="16"/>
      <c r="M19" s="16"/>
      <c r="N19" s="16"/>
      <c r="O19"/>
      <c r="P19" s="16"/>
      <c r="Q19" s="16"/>
      <c r="T19" s="109"/>
      <c r="X19" s="16"/>
      <c r="Y19" s="16"/>
      <c r="AG19" s="16"/>
    </row>
    <row r="20" spans="1:33">
      <c r="A20" t="s">
        <v>1213</v>
      </c>
      <c r="B20" t="s">
        <v>1241</v>
      </c>
      <c r="T20" s="108"/>
    </row>
    <row r="21" spans="1:33">
      <c r="A21" t="s">
        <v>1213</v>
      </c>
      <c r="B21" t="s">
        <v>1242</v>
      </c>
      <c r="T21" s="108"/>
    </row>
    <row r="22" spans="1:33">
      <c r="A22" t="s">
        <v>1213</v>
      </c>
      <c r="B22" t="s">
        <v>1243</v>
      </c>
      <c r="T22" s="108"/>
    </row>
    <row r="23" spans="1:33">
      <c r="A23" t="s">
        <v>1213</v>
      </c>
      <c r="B23" t="s">
        <v>1244</v>
      </c>
      <c r="T23" s="108"/>
    </row>
    <row r="24" spans="1:33">
      <c r="A24" t="s">
        <v>1213</v>
      </c>
      <c r="B24">
        <v>15108</v>
      </c>
      <c r="T24"/>
    </row>
    <row r="25" spans="1:33">
      <c r="A25" t="s">
        <v>1213</v>
      </c>
      <c r="B25" t="s">
        <v>1251</v>
      </c>
    </row>
    <row r="26" spans="1:33">
      <c r="A26" t="s">
        <v>1213</v>
      </c>
      <c r="B26" t="s">
        <v>1252</v>
      </c>
    </row>
    <row r="27" spans="1:33">
      <c r="A27" t="s">
        <v>1213</v>
      </c>
      <c r="B27" t="s">
        <v>1253</v>
      </c>
    </row>
    <row r="28" spans="1:33">
      <c r="A28" t="s">
        <v>1213</v>
      </c>
      <c r="B28" t="s">
        <v>1254</v>
      </c>
    </row>
    <row r="29" spans="1:33">
      <c r="A29" t="s">
        <v>1213</v>
      </c>
      <c r="B29" t="s">
        <v>1255</v>
      </c>
    </row>
    <row r="30" spans="1:33">
      <c r="A30" t="s">
        <v>1213</v>
      </c>
      <c r="B30" t="s">
        <v>1256</v>
      </c>
    </row>
    <row r="31" spans="1:33">
      <c r="A31" t="s">
        <v>1213</v>
      </c>
      <c r="B31" t="s">
        <v>1257</v>
      </c>
    </row>
    <row r="1048571" spans="12:14">
      <c r="L1048571" s="6"/>
      <c r="N1048571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dataValidations count="15">
    <dataValidation type="list" allowBlank="1" showInputMessage="1" showErrorMessage="1" sqref="L1048571:L1048576">
      <formula1>Stock_Exchange_Gov_Bonds</formula1>
    </dataValidation>
    <dataValidation type="list" allowBlank="1" showInputMessage="1" showErrorMessage="1" sqref="N1048571:N1048576 N2:N19">
      <formula1>Holding_interest</formula1>
    </dataValidation>
    <dataValidation type="list" allowBlank="1" showInputMessage="1" showErrorMessage="1" sqref="AG8:AG19 AG2:AG5">
      <formula1>In_the_books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P2:P19">
      <formula1>Rating_Agency</formula1>
    </dataValidation>
    <dataValidation type="list" allowBlank="1" showInputMessage="1" showErrorMessage="1" sqref="Q2:Q19">
      <formula1>What_is_rated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T2:T19">
      <formula1>Underlying_Interest_Rates</formula1>
    </dataValidation>
    <dataValidation type="list" allowBlank="1" showInputMessage="1" showErrorMessage="1" sqref="Y2:Y19">
      <formula1>Yes_No_Bad_Debt</formula1>
    </dataValidation>
    <dataValidation type="list" allowBlank="1" showInputMessage="1" showErrorMessage="1" sqref="X2:X19">
      <formula1>Subordination_Risk</formula1>
    </dataValidation>
    <dataValidation type="list" allowBlank="1" showInputMessage="1" showErrorMessage="1" sqref="E2:E19">
      <formula1>Issuer_Number_Type_2</formula1>
    </dataValidation>
    <dataValidation type="list" allowBlank="1" showInputMessage="1" showErrorMessage="1" sqref="H3:H19">
      <formula1>Type_of_Security_ID_Fund</formula1>
    </dataValidation>
    <dataValidation type="list" allowBlank="1" showInputMessage="1" showErrorMessage="1" sqref="M2:M19">
      <formula1>Industry_Sector</formula1>
    </dataValidation>
    <dataValidation type="list" allowBlank="1" showInputMessage="1" showErrorMessage="1" sqref="L2:L19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Q2114"/>
  <sheetViews>
    <sheetView rightToLeft="1" zoomScaleNormal="100" workbookViewId="0">
      <selection activeCell="F29" sqref="F29:F30"/>
    </sheetView>
  </sheetViews>
  <sheetFormatPr defaultColWidth="11.625" defaultRowHeight="14.25"/>
  <cols>
    <col min="1" max="4" width="11.625" style="2"/>
    <col min="5" max="5" width="11.625" style="4" customWidth="1"/>
    <col min="6" max="6" width="31" style="2" bestFit="1" customWidth="1"/>
    <col min="7" max="8" width="11.625" style="2"/>
    <col min="9" max="13" width="11.625" style="2" customWidth="1"/>
    <col min="14" max="14" width="39" style="2" bestFit="1" customWidth="1"/>
    <col min="15" max="22" width="11.625" style="2" customWidth="1"/>
    <col min="23" max="23" width="11.625" style="2"/>
    <col min="24" max="25" width="11.625" style="4"/>
    <col min="26" max="26" width="13.5" style="2" bestFit="1" customWidth="1"/>
    <col min="27" max="34" width="11.625" style="2"/>
    <col min="35" max="35" width="14.125" style="2" bestFit="1" customWidth="1"/>
    <col min="36" max="36" width="15.125" style="2" bestFit="1" customWidth="1"/>
    <col min="37" max="16384" width="11.625" style="2"/>
  </cols>
  <sheetData>
    <row r="1" spans="1:4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62</v>
      </c>
      <c r="W1" s="17" t="s">
        <v>74</v>
      </c>
      <c r="X1" s="17" t="s">
        <v>86</v>
      </c>
      <c r="Y1" s="17" t="s">
        <v>87</v>
      </c>
      <c r="Z1" s="17" t="s">
        <v>76</v>
      </c>
      <c r="AA1" s="17" t="s">
        <v>61</v>
      </c>
      <c r="AB1" s="17" t="s">
        <v>77</v>
      </c>
      <c r="AC1" s="17" t="s">
        <v>75</v>
      </c>
      <c r="AD1" s="17" t="s">
        <v>63</v>
      </c>
      <c r="AE1" s="17" t="s">
        <v>78</v>
      </c>
      <c r="AF1" s="17" t="s">
        <v>88</v>
      </c>
      <c r="AG1" s="17" t="s">
        <v>17</v>
      </c>
      <c r="AH1" s="17" t="s">
        <v>79</v>
      </c>
      <c r="AI1" s="17" t="s">
        <v>64</v>
      </c>
      <c r="AJ1" s="17" t="s">
        <v>65</v>
      </c>
      <c r="AP1"/>
      <c r="AQ1"/>
    </row>
    <row r="2" spans="1:43" s="160" customFormat="1">
      <c r="A2" s="153" t="s">
        <v>1213</v>
      </c>
      <c r="B2" s="160">
        <v>12936</v>
      </c>
      <c r="C2" s="153" t="s">
        <v>1517</v>
      </c>
      <c r="D2" s="153" t="s">
        <v>1518</v>
      </c>
      <c r="E2" s="153" t="s">
        <v>311</v>
      </c>
      <c r="F2" s="153" t="s">
        <v>1519</v>
      </c>
      <c r="G2" s="153" t="s">
        <v>1520</v>
      </c>
      <c r="H2" s="153" t="s">
        <v>321</v>
      </c>
      <c r="I2" s="153" t="s">
        <v>951</v>
      </c>
      <c r="J2" s="153" t="s">
        <v>204</v>
      </c>
      <c r="K2" s="153" t="s">
        <v>224</v>
      </c>
      <c r="L2" s="153" t="s">
        <v>325</v>
      </c>
      <c r="M2" s="153" t="s">
        <v>340</v>
      </c>
      <c r="N2" s="153" t="s">
        <v>465</v>
      </c>
      <c r="O2" s="153" t="s">
        <v>339</v>
      </c>
      <c r="P2" s="153" t="s">
        <v>1521</v>
      </c>
      <c r="Q2" s="153" t="s">
        <v>413</v>
      </c>
      <c r="R2" s="153" t="s">
        <v>407</v>
      </c>
      <c r="S2" s="153" t="s">
        <v>1212</v>
      </c>
      <c r="T2" s="154">
        <v>1.84</v>
      </c>
      <c r="U2" s="153" t="s">
        <v>1522</v>
      </c>
      <c r="V2" s="155">
        <v>7.3730000000000004E-2</v>
      </c>
      <c r="W2" s="155">
        <v>7.3700000000000002E-2</v>
      </c>
      <c r="X2" s="153" t="s">
        <v>412</v>
      </c>
      <c r="Y2" s="153" t="s">
        <v>339</v>
      </c>
      <c r="Z2" s="154">
        <v>686384.83</v>
      </c>
      <c r="AA2" s="154">
        <v>1</v>
      </c>
      <c r="AB2" s="154">
        <v>99.55</v>
      </c>
      <c r="AC2" s="156"/>
      <c r="AD2" s="154">
        <v>683.29600000000005</v>
      </c>
      <c r="AE2" s="156"/>
      <c r="AF2" s="156"/>
      <c r="AG2" s="157" t="s">
        <v>15</v>
      </c>
      <c r="AH2" s="155">
        <v>3.7200000000000002E-3</v>
      </c>
      <c r="AI2" s="155">
        <f>AD2/SUMIF(B:B,B2,AD:AD)</f>
        <v>3.9020783582120237E-2</v>
      </c>
      <c r="AJ2" s="155">
        <v>6.4221124199389176E-3</v>
      </c>
      <c r="AP2" s="153"/>
      <c r="AQ2" s="153"/>
    </row>
    <row r="3" spans="1:43" s="160" customFormat="1">
      <c r="A3" s="153" t="s">
        <v>1213</v>
      </c>
      <c r="B3" s="160">
        <v>12936</v>
      </c>
      <c r="C3" s="153" t="s">
        <v>1523</v>
      </c>
      <c r="D3" s="153" t="s">
        <v>1524</v>
      </c>
      <c r="E3" s="153" t="s">
        <v>311</v>
      </c>
      <c r="F3" s="153" t="s">
        <v>1525</v>
      </c>
      <c r="G3" s="153" t="s">
        <v>1526</v>
      </c>
      <c r="H3" s="153" t="s">
        <v>321</v>
      </c>
      <c r="I3" s="153" t="s">
        <v>951</v>
      </c>
      <c r="J3" s="153" t="s">
        <v>204</v>
      </c>
      <c r="K3" s="153" t="s">
        <v>224</v>
      </c>
      <c r="L3" s="153" t="s">
        <v>325</v>
      </c>
      <c r="M3" s="153" t="s">
        <v>340</v>
      </c>
      <c r="N3" s="153" t="s">
        <v>447</v>
      </c>
      <c r="O3" s="153" t="s">
        <v>339</v>
      </c>
      <c r="P3" s="153" t="s">
        <v>1527</v>
      </c>
      <c r="Q3" s="153" t="s">
        <v>415</v>
      </c>
      <c r="R3" s="153" t="s">
        <v>407</v>
      </c>
      <c r="S3" s="153" t="s">
        <v>1212</v>
      </c>
      <c r="T3" s="154">
        <v>2.5099999999999998</v>
      </c>
      <c r="U3" s="153" t="s">
        <v>1528</v>
      </c>
      <c r="V3" s="155">
        <v>6.5000000000000002E-2</v>
      </c>
      <c r="W3" s="155">
        <v>8.3799999999999999E-2</v>
      </c>
      <c r="X3" s="153" t="s">
        <v>412</v>
      </c>
      <c r="Y3" s="153" t="s">
        <v>339</v>
      </c>
      <c r="Z3" s="154">
        <v>542000</v>
      </c>
      <c r="AA3" s="154">
        <v>1</v>
      </c>
      <c r="AB3" s="154">
        <v>97.5</v>
      </c>
      <c r="AC3" s="156"/>
      <c r="AD3" s="154">
        <v>528.45000000000005</v>
      </c>
      <c r="AE3" s="156"/>
      <c r="AF3" s="158"/>
      <c r="AG3" s="157" t="s">
        <v>15</v>
      </c>
      <c r="AH3" s="155">
        <v>8.9999999999999998E-4</v>
      </c>
      <c r="AI3" s="155">
        <f t="shared" ref="AI3:AI66" si="0">AD3/SUMIF(B:B,B3,AD:AD)</f>
        <v>3.0178038630361427E-2</v>
      </c>
      <c r="AJ3" s="155">
        <v>4.966757171587015E-3</v>
      </c>
      <c r="AP3" s="153"/>
      <c r="AQ3" s="153"/>
    </row>
    <row r="4" spans="1:43" s="160" customFormat="1">
      <c r="A4" s="153" t="s">
        <v>1213</v>
      </c>
      <c r="B4" s="160">
        <v>12936</v>
      </c>
      <c r="C4" s="153" t="s">
        <v>1529</v>
      </c>
      <c r="D4" s="153" t="s">
        <v>1530</v>
      </c>
      <c r="E4" s="153" t="s">
        <v>309</v>
      </c>
      <c r="F4" s="153" t="s">
        <v>1531</v>
      </c>
      <c r="G4" s="153" t="s">
        <v>1532</v>
      </c>
      <c r="H4" s="153" t="s">
        <v>321</v>
      </c>
      <c r="I4" s="153" t="s">
        <v>754</v>
      </c>
      <c r="J4" s="153" t="s">
        <v>204</v>
      </c>
      <c r="K4" s="153" t="s">
        <v>204</v>
      </c>
      <c r="L4" s="153" t="s">
        <v>325</v>
      </c>
      <c r="M4" s="153" t="s">
        <v>340</v>
      </c>
      <c r="N4" s="153" t="s">
        <v>440</v>
      </c>
      <c r="O4" s="153" t="s">
        <v>339</v>
      </c>
      <c r="P4" s="153" t="s">
        <v>1527</v>
      </c>
      <c r="Q4" s="153" t="s">
        <v>415</v>
      </c>
      <c r="R4" s="153" t="s">
        <v>407</v>
      </c>
      <c r="S4" s="153" t="s">
        <v>1212</v>
      </c>
      <c r="T4" s="154">
        <v>5.98</v>
      </c>
      <c r="U4" s="153" t="s">
        <v>1533</v>
      </c>
      <c r="V4" s="155">
        <v>3.5229999999999997E-2</v>
      </c>
      <c r="W4" s="155">
        <v>4.2599999999999999E-2</v>
      </c>
      <c r="X4" s="153" t="s">
        <v>412</v>
      </c>
      <c r="Y4" s="153" t="s">
        <v>339</v>
      </c>
      <c r="Z4" s="154">
        <v>518000</v>
      </c>
      <c r="AA4" s="154">
        <v>1</v>
      </c>
      <c r="AB4" s="154">
        <v>101.08</v>
      </c>
      <c r="AC4" s="156"/>
      <c r="AD4" s="154">
        <v>523.59400000000005</v>
      </c>
      <c r="AE4" s="156"/>
      <c r="AF4" s="158"/>
      <c r="AG4" s="157" t="s">
        <v>15</v>
      </c>
      <c r="AH4" s="155">
        <v>4.2000000000000002E-4</v>
      </c>
      <c r="AI4" s="155">
        <f t="shared" si="0"/>
        <v>2.9900728467452852E-2</v>
      </c>
      <c r="AJ4" s="155">
        <v>4.9211169543001828E-3</v>
      </c>
      <c r="AP4" s="153"/>
      <c r="AQ4" s="153"/>
    </row>
    <row r="5" spans="1:43" s="160" customFormat="1">
      <c r="A5" s="153" t="s">
        <v>1213</v>
      </c>
      <c r="B5" s="160">
        <v>12936</v>
      </c>
      <c r="C5" s="153" t="s">
        <v>1534</v>
      </c>
      <c r="D5" s="153" t="s">
        <v>1535</v>
      </c>
      <c r="E5" s="153" t="s">
        <v>309</v>
      </c>
      <c r="F5" s="153" t="s">
        <v>1536</v>
      </c>
      <c r="G5" s="153" t="s">
        <v>1537</v>
      </c>
      <c r="H5" s="153" t="s">
        <v>321</v>
      </c>
      <c r="I5" s="153" t="s">
        <v>754</v>
      </c>
      <c r="J5" s="153" t="s">
        <v>204</v>
      </c>
      <c r="K5" s="153" t="s">
        <v>204</v>
      </c>
      <c r="L5" s="153" t="s">
        <v>325</v>
      </c>
      <c r="M5" s="153" t="s">
        <v>340</v>
      </c>
      <c r="N5" s="153" t="s">
        <v>464</v>
      </c>
      <c r="O5" s="153" t="s">
        <v>339</v>
      </c>
      <c r="P5" s="153" t="s">
        <v>1538</v>
      </c>
      <c r="Q5" s="153" t="s">
        <v>413</v>
      </c>
      <c r="R5" s="153" t="s">
        <v>407</v>
      </c>
      <c r="S5" s="153" t="s">
        <v>1212</v>
      </c>
      <c r="T5" s="154">
        <v>3.33</v>
      </c>
      <c r="U5" s="153" t="s">
        <v>1539</v>
      </c>
      <c r="V5" s="155">
        <v>2.1610000000000001E-2</v>
      </c>
      <c r="W5" s="155">
        <v>2.92E-2</v>
      </c>
      <c r="X5" s="153" t="s">
        <v>412</v>
      </c>
      <c r="Y5" s="153" t="s">
        <v>339</v>
      </c>
      <c r="Z5" s="154">
        <v>449000</v>
      </c>
      <c r="AA5" s="154">
        <v>1</v>
      </c>
      <c r="AB5" s="154">
        <v>107.2</v>
      </c>
      <c r="AC5" s="154">
        <v>5.8159999999999998</v>
      </c>
      <c r="AD5" s="154">
        <v>487.14400000000001</v>
      </c>
      <c r="AE5" s="156"/>
      <c r="AF5" s="158"/>
      <c r="AG5" s="157" t="s">
        <v>15</v>
      </c>
      <c r="AH5" s="155">
        <v>1.9000000000000001E-4</v>
      </c>
      <c r="AI5" s="155">
        <f t="shared" si="0"/>
        <v>2.7819189044467375E-2</v>
      </c>
      <c r="AJ5" s="155">
        <v>4.578533362845273E-3</v>
      </c>
      <c r="AP5" s="153"/>
      <c r="AQ5" s="153"/>
    </row>
    <row r="6" spans="1:43" s="160" customFormat="1">
      <c r="A6" s="153" t="s">
        <v>1213</v>
      </c>
      <c r="B6" s="160">
        <v>12936</v>
      </c>
      <c r="C6" s="153" t="s">
        <v>1540</v>
      </c>
      <c r="D6" s="153" t="s">
        <v>1541</v>
      </c>
      <c r="E6" s="153" t="s">
        <v>80</v>
      </c>
      <c r="F6" s="153" t="s">
        <v>1542</v>
      </c>
      <c r="G6" s="153" t="s">
        <v>1543</v>
      </c>
      <c r="H6" s="153" t="s">
        <v>321</v>
      </c>
      <c r="I6" s="153" t="s">
        <v>755</v>
      </c>
      <c r="J6" s="153" t="s">
        <v>204</v>
      </c>
      <c r="K6" s="153" t="s">
        <v>224</v>
      </c>
      <c r="L6" s="153" t="s">
        <v>325</v>
      </c>
      <c r="M6" s="153" t="s">
        <v>340</v>
      </c>
      <c r="N6" s="153" t="s">
        <v>443</v>
      </c>
      <c r="O6" s="153" t="s">
        <v>339</v>
      </c>
      <c r="P6" s="153" t="s">
        <v>1544</v>
      </c>
      <c r="Q6" s="153" t="s">
        <v>415</v>
      </c>
      <c r="R6" s="153" t="s">
        <v>407</v>
      </c>
      <c r="S6" s="153" t="s">
        <v>1212</v>
      </c>
      <c r="T6" s="154">
        <v>1.77</v>
      </c>
      <c r="U6" s="153" t="s">
        <v>1545</v>
      </c>
      <c r="V6" s="155">
        <v>2.7200000000000002E-3</v>
      </c>
      <c r="W6" s="155">
        <v>8.1500000000000003E-2</v>
      </c>
      <c r="X6" s="153" t="s">
        <v>412</v>
      </c>
      <c r="Y6" s="153" t="s">
        <v>339</v>
      </c>
      <c r="Z6" s="154">
        <v>450000</v>
      </c>
      <c r="AA6" s="154">
        <v>1</v>
      </c>
      <c r="AB6" s="154">
        <v>104.6</v>
      </c>
      <c r="AC6" s="156"/>
      <c r="AD6" s="154">
        <v>470.7</v>
      </c>
      <c r="AE6" s="158"/>
      <c r="AF6" s="158"/>
      <c r="AG6" s="157" t="s">
        <v>15</v>
      </c>
      <c r="AH6" s="155">
        <v>1.07E-3</v>
      </c>
      <c r="AI6" s="155">
        <f t="shared" si="0"/>
        <v>2.6880126375837112E-2</v>
      </c>
      <c r="AJ6" s="155">
        <v>4.4239806995288256E-3</v>
      </c>
      <c r="AP6" s="153"/>
      <c r="AQ6" s="153"/>
    </row>
    <row r="7" spans="1:43" s="160" customFormat="1">
      <c r="A7" s="153" t="s">
        <v>1213</v>
      </c>
      <c r="B7" s="160">
        <v>12936</v>
      </c>
      <c r="C7" s="153" t="s">
        <v>1546</v>
      </c>
      <c r="D7" s="153" t="s">
        <v>1547</v>
      </c>
      <c r="E7" s="153" t="s">
        <v>309</v>
      </c>
      <c r="F7" s="153" t="s">
        <v>1548</v>
      </c>
      <c r="G7" s="153" t="s">
        <v>1549</v>
      </c>
      <c r="H7" s="153" t="s">
        <v>321</v>
      </c>
      <c r="I7" s="153" t="s">
        <v>754</v>
      </c>
      <c r="J7" s="153" t="s">
        <v>204</v>
      </c>
      <c r="K7" s="153" t="s">
        <v>204</v>
      </c>
      <c r="L7" s="153" t="s">
        <v>325</v>
      </c>
      <c r="M7" s="153" t="s">
        <v>340</v>
      </c>
      <c r="N7" s="153" t="s">
        <v>443</v>
      </c>
      <c r="O7" s="153" t="s">
        <v>339</v>
      </c>
      <c r="P7" s="153" t="s">
        <v>1544</v>
      </c>
      <c r="Q7" s="153" t="s">
        <v>415</v>
      </c>
      <c r="R7" s="153" t="s">
        <v>407</v>
      </c>
      <c r="S7" s="153" t="s">
        <v>1212</v>
      </c>
      <c r="T7" s="154">
        <v>1.66</v>
      </c>
      <c r="U7" s="153" t="s">
        <v>1343</v>
      </c>
      <c r="V7" s="155">
        <v>3.5400000000000001E-2</v>
      </c>
      <c r="W7" s="155">
        <v>3.2199999999999999E-2</v>
      </c>
      <c r="X7" s="153" t="s">
        <v>412</v>
      </c>
      <c r="Y7" s="153" t="s">
        <v>339</v>
      </c>
      <c r="Z7" s="154">
        <v>400000</v>
      </c>
      <c r="AA7" s="154">
        <v>1</v>
      </c>
      <c r="AB7" s="154">
        <v>107.7</v>
      </c>
      <c r="AC7" s="156"/>
      <c r="AD7" s="154">
        <v>430.8</v>
      </c>
      <c r="AE7" s="158"/>
      <c r="AF7" s="158"/>
      <c r="AG7" s="157" t="s">
        <v>15</v>
      </c>
      <c r="AH7" s="155">
        <v>3.6000000000000002E-4</v>
      </c>
      <c r="AI7" s="155">
        <f t="shared" si="0"/>
        <v>2.4601568818165772E-2</v>
      </c>
      <c r="AJ7" s="155">
        <v>4.0489715006522585E-3</v>
      </c>
      <c r="AP7" s="153"/>
      <c r="AQ7" s="153"/>
    </row>
    <row r="8" spans="1:43" s="160" customFormat="1">
      <c r="A8" s="153" t="s">
        <v>1213</v>
      </c>
      <c r="B8" s="160">
        <v>12936</v>
      </c>
      <c r="C8" s="153" t="s">
        <v>1550</v>
      </c>
      <c r="D8" s="153" t="s">
        <v>1551</v>
      </c>
      <c r="E8" s="153" t="s">
        <v>311</v>
      </c>
      <c r="F8" s="153" t="s">
        <v>1552</v>
      </c>
      <c r="G8" s="153" t="s">
        <v>1553</v>
      </c>
      <c r="H8" s="153" t="s">
        <v>321</v>
      </c>
      <c r="I8" s="153" t="s">
        <v>951</v>
      </c>
      <c r="J8" s="153" t="s">
        <v>204</v>
      </c>
      <c r="K8" s="153" t="s">
        <v>224</v>
      </c>
      <c r="L8" s="153" t="s">
        <v>325</v>
      </c>
      <c r="M8" s="153" t="s">
        <v>340</v>
      </c>
      <c r="N8" s="153" t="s">
        <v>465</v>
      </c>
      <c r="O8" s="153" t="s">
        <v>339</v>
      </c>
      <c r="P8" s="153" t="s">
        <v>1554</v>
      </c>
      <c r="Q8" s="153" t="s">
        <v>413</v>
      </c>
      <c r="R8" s="153" t="s">
        <v>407</v>
      </c>
      <c r="S8" s="153" t="s">
        <v>1212</v>
      </c>
      <c r="T8" s="154">
        <v>4.1399999999999997</v>
      </c>
      <c r="U8" s="153" t="s">
        <v>1555</v>
      </c>
      <c r="V8" s="155">
        <v>7.1819999999999995E-2</v>
      </c>
      <c r="W8" s="155">
        <v>8.2100000000000006E-2</v>
      </c>
      <c r="X8" s="153" t="s">
        <v>412</v>
      </c>
      <c r="Y8" s="153" t="s">
        <v>339</v>
      </c>
      <c r="Z8" s="154">
        <v>376000</v>
      </c>
      <c r="AA8" s="154">
        <v>1</v>
      </c>
      <c r="AB8" s="154">
        <v>107.75</v>
      </c>
      <c r="AC8" s="156"/>
      <c r="AD8" s="154">
        <v>405.14</v>
      </c>
      <c r="AE8" s="156"/>
      <c r="AF8" s="158"/>
      <c r="AG8" s="157" t="s">
        <v>15</v>
      </c>
      <c r="AH8" s="155">
        <v>6.9999999999999999E-4</v>
      </c>
      <c r="AI8" s="155">
        <f t="shared" si="0"/>
        <v>2.3136210749748559E-2</v>
      </c>
      <c r="AJ8" s="155">
        <v>3.8078001712494335E-3</v>
      </c>
      <c r="AP8" s="153"/>
      <c r="AQ8" s="153"/>
    </row>
    <row r="9" spans="1:43" s="160" customFormat="1">
      <c r="A9" s="153" t="s">
        <v>1213</v>
      </c>
      <c r="B9" s="160">
        <v>12936</v>
      </c>
      <c r="C9" s="153" t="s">
        <v>1556</v>
      </c>
      <c r="D9" s="153" t="s">
        <v>1557</v>
      </c>
      <c r="E9" s="153" t="s">
        <v>311</v>
      </c>
      <c r="F9" s="153" t="s">
        <v>1558</v>
      </c>
      <c r="G9" s="153" t="s">
        <v>1559</v>
      </c>
      <c r="H9" s="153" t="s">
        <v>321</v>
      </c>
      <c r="I9" s="153" t="s">
        <v>951</v>
      </c>
      <c r="J9" s="153" t="s">
        <v>204</v>
      </c>
      <c r="K9" s="153" t="s">
        <v>224</v>
      </c>
      <c r="L9" s="153" t="s">
        <v>325</v>
      </c>
      <c r="M9" s="153" t="s">
        <v>340</v>
      </c>
      <c r="N9" s="153" t="s">
        <v>465</v>
      </c>
      <c r="O9" s="153" t="s">
        <v>339</v>
      </c>
      <c r="P9" s="153" t="s">
        <v>1560</v>
      </c>
      <c r="Q9" s="153" t="s">
        <v>413</v>
      </c>
      <c r="R9" s="153" t="s">
        <v>407</v>
      </c>
      <c r="S9" s="153" t="s">
        <v>1212</v>
      </c>
      <c r="T9" s="154">
        <v>2.5</v>
      </c>
      <c r="U9" s="153" t="s">
        <v>1561</v>
      </c>
      <c r="V9" s="155">
        <v>3.1710000000000002E-2</v>
      </c>
      <c r="W9" s="155">
        <v>7.2999999999999995E-2</v>
      </c>
      <c r="X9" s="153" t="s">
        <v>412</v>
      </c>
      <c r="Y9" s="153" t="s">
        <v>339</v>
      </c>
      <c r="Z9" s="154">
        <v>400000.87</v>
      </c>
      <c r="AA9" s="154">
        <v>1</v>
      </c>
      <c r="AB9" s="154">
        <v>100.76</v>
      </c>
      <c r="AC9" s="156"/>
      <c r="AD9" s="154">
        <v>403.041</v>
      </c>
      <c r="AE9" s="156"/>
      <c r="AF9" s="158"/>
      <c r="AG9" s="157" t="s">
        <v>15</v>
      </c>
      <c r="AH9" s="155">
        <v>7.6000000000000004E-4</v>
      </c>
      <c r="AI9" s="155">
        <f t="shared" si="0"/>
        <v>2.3016343774471565E-2</v>
      </c>
      <c r="AJ9" s="155">
        <v>3.788072243719561E-3</v>
      </c>
      <c r="AP9" s="153"/>
      <c r="AQ9" s="153"/>
    </row>
    <row r="10" spans="1:43" s="160" customFormat="1">
      <c r="A10" s="153" t="s">
        <v>1213</v>
      </c>
      <c r="B10" s="160">
        <v>12936</v>
      </c>
      <c r="C10" s="153" t="s">
        <v>1562</v>
      </c>
      <c r="D10" s="153" t="s">
        <v>1563</v>
      </c>
      <c r="E10" s="153" t="s">
        <v>311</v>
      </c>
      <c r="F10" s="153" t="s">
        <v>1564</v>
      </c>
      <c r="G10" s="153" t="s">
        <v>1565</v>
      </c>
      <c r="H10" s="153" t="s">
        <v>321</v>
      </c>
      <c r="I10" s="153" t="s">
        <v>951</v>
      </c>
      <c r="J10" s="153" t="s">
        <v>204</v>
      </c>
      <c r="K10" s="153" t="s">
        <v>224</v>
      </c>
      <c r="L10" s="153" t="s">
        <v>325</v>
      </c>
      <c r="M10" s="153" t="s">
        <v>340</v>
      </c>
      <c r="N10" s="153" t="s">
        <v>465</v>
      </c>
      <c r="O10" s="153" t="s">
        <v>339</v>
      </c>
      <c r="P10" s="153" t="s">
        <v>1566</v>
      </c>
      <c r="Q10" s="153" t="s">
        <v>413</v>
      </c>
      <c r="R10" s="153" t="s">
        <v>407</v>
      </c>
      <c r="S10" s="153" t="s">
        <v>1212</v>
      </c>
      <c r="T10" s="154">
        <v>4.29</v>
      </c>
      <c r="U10" s="153" t="s">
        <v>1567</v>
      </c>
      <c r="V10" s="155">
        <v>7.3849999999999999E-2</v>
      </c>
      <c r="W10" s="155">
        <v>6.6699999999999995E-2</v>
      </c>
      <c r="X10" s="153" t="s">
        <v>412</v>
      </c>
      <c r="Y10" s="153" t="s">
        <v>339</v>
      </c>
      <c r="Z10" s="154">
        <v>379000</v>
      </c>
      <c r="AA10" s="154">
        <v>1</v>
      </c>
      <c r="AB10" s="154">
        <v>104.03</v>
      </c>
      <c r="AC10" s="156"/>
      <c r="AD10" s="154">
        <v>394.274</v>
      </c>
      <c r="AE10" s="156"/>
      <c r="AF10" s="158"/>
      <c r="AG10" s="157" t="s">
        <v>15</v>
      </c>
      <c r="AH10" s="155">
        <v>9.1E-4</v>
      </c>
      <c r="AI10" s="155">
        <f t="shared" si="0"/>
        <v>2.2515689285546637E-2</v>
      </c>
      <c r="AJ10" s="155">
        <v>3.7056736059613939E-3</v>
      </c>
      <c r="AP10" s="153"/>
      <c r="AQ10" s="153"/>
    </row>
    <row r="11" spans="1:43" s="160" customFormat="1">
      <c r="A11" s="153" t="s">
        <v>1213</v>
      </c>
      <c r="B11" s="160">
        <v>12936</v>
      </c>
      <c r="C11" s="153" t="s">
        <v>1568</v>
      </c>
      <c r="D11" s="153" t="s">
        <v>1569</v>
      </c>
      <c r="E11" s="153" t="s">
        <v>309</v>
      </c>
      <c r="F11" s="153" t="s">
        <v>1570</v>
      </c>
      <c r="G11" s="153" t="s">
        <v>1571</v>
      </c>
      <c r="H11" s="153" t="s">
        <v>321</v>
      </c>
      <c r="I11" s="153" t="s">
        <v>754</v>
      </c>
      <c r="J11" s="153" t="s">
        <v>204</v>
      </c>
      <c r="K11" s="153" t="s">
        <v>204</v>
      </c>
      <c r="L11" s="153" t="s">
        <v>325</v>
      </c>
      <c r="M11" s="153" t="s">
        <v>340</v>
      </c>
      <c r="N11" s="153" t="s">
        <v>443</v>
      </c>
      <c r="O11" s="153" t="s">
        <v>339</v>
      </c>
      <c r="P11" s="153" t="s">
        <v>1527</v>
      </c>
      <c r="Q11" s="153" t="s">
        <v>415</v>
      </c>
      <c r="R11" s="153" t="s">
        <v>407</v>
      </c>
      <c r="S11" s="153" t="s">
        <v>1212</v>
      </c>
      <c r="T11" s="154">
        <v>1.46</v>
      </c>
      <c r="U11" s="153" t="s">
        <v>1572</v>
      </c>
      <c r="V11" s="155">
        <v>5.9080000000000001E-2</v>
      </c>
      <c r="W11" s="155">
        <v>4.3400000000000001E-2</v>
      </c>
      <c r="X11" s="153" t="s">
        <v>412</v>
      </c>
      <c r="Y11" s="153" t="s">
        <v>339</v>
      </c>
      <c r="Z11" s="154">
        <v>367476.19</v>
      </c>
      <c r="AA11" s="154">
        <v>1</v>
      </c>
      <c r="AB11" s="154">
        <v>104.83</v>
      </c>
      <c r="AC11" s="156"/>
      <c r="AD11" s="154">
        <v>385.22500000000002</v>
      </c>
      <c r="AE11" s="156"/>
      <c r="AF11" s="158"/>
      <c r="AG11" s="157" t="s">
        <v>15</v>
      </c>
      <c r="AH11" s="155">
        <v>1.99E-3</v>
      </c>
      <c r="AI11" s="155">
        <f t="shared" si="0"/>
        <v>2.1998930705612603E-2</v>
      </c>
      <c r="AJ11" s="155">
        <v>3.6206245272487614E-3</v>
      </c>
      <c r="AP11" s="153"/>
      <c r="AQ11" s="153"/>
    </row>
    <row r="12" spans="1:43" s="160" customFormat="1">
      <c r="A12" s="153" t="s">
        <v>1213</v>
      </c>
      <c r="B12" s="160">
        <v>12936</v>
      </c>
      <c r="C12" s="153" t="s">
        <v>1573</v>
      </c>
      <c r="D12" s="153" t="s">
        <v>1574</v>
      </c>
      <c r="E12" s="153" t="s">
        <v>309</v>
      </c>
      <c r="F12" s="153" t="s">
        <v>1575</v>
      </c>
      <c r="G12" s="153" t="s">
        <v>1576</v>
      </c>
      <c r="H12" s="153" t="s">
        <v>321</v>
      </c>
      <c r="I12" s="153" t="s">
        <v>754</v>
      </c>
      <c r="J12" s="153" t="s">
        <v>204</v>
      </c>
      <c r="K12" s="153" t="s">
        <v>204</v>
      </c>
      <c r="L12" s="153" t="s">
        <v>325</v>
      </c>
      <c r="M12" s="153" t="s">
        <v>340</v>
      </c>
      <c r="N12" s="153" t="s">
        <v>448</v>
      </c>
      <c r="O12" s="153" t="s">
        <v>339</v>
      </c>
      <c r="P12" s="153" t="s">
        <v>1566</v>
      </c>
      <c r="Q12" s="153" t="s">
        <v>413</v>
      </c>
      <c r="R12" s="153" t="s">
        <v>407</v>
      </c>
      <c r="S12" s="153" t="s">
        <v>1212</v>
      </c>
      <c r="T12" s="154">
        <v>0.41</v>
      </c>
      <c r="U12" s="153" t="s">
        <v>1392</v>
      </c>
      <c r="V12" s="155">
        <v>2.4199999999999999E-2</v>
      </c>
      <c r="W12" s="155">
        <v>3.5900000000000001E-2</v>
      </c>
      <c r="X12" s="153" t="s">
        <v>411</v>
      </c>
      <c r="Y12" s="153" t="s">
        <v>339</v>
      </c>
      <c r="Z12" s="154">
        <v>300000</v>
      </c>
      <c r="AA12" s="154">
        <v>1</v>
      </c>
      <c r="AB12" s="154">
        <v>116.43</v>
      </c>
      <c r="AC12" s="156"/>
      <c r="AD12" s="154">
        <v>349.29</v>
      </c>
      <c r="AE12" s="156"/>
      <c r="AF12" s="158"/>
      <c r="AG12" s="157" t="s">
        <v>15</v>
      </c>
      <c r="AH12" s="155">
        <v>2.1000000000000001E-4</v>
      </c>
      <c r="AI12" s="155">
        <f t="shared" si="0"/>
        <v>1.9946801236065743E-2</v>
      </c>
      <c r="AJ12" s="155">
        <v>3.2828812800901287E-3</v>
      </c>
      <c r="AP12" s="153"/>
      <c r="AQ12" s="153"/>
    </row>
    <row r="13" spans="1:43" s="160" customFormat="1">
      <c r="A13" s="153" t="s">
        <v>1213</v>
      </c>
      <c r="B13" s="160">
        <v>12936</v>
      </c>
      <c r="C13" s="153" t="s">
        <v>1577</v>
      </c>
      <c r="D13" s="153" t="s">
        <v>1578</v>
      </c>
      <c r="E13" s="153" t="s">
        <v>309</v>
      </c>
      <c r="F13" s="153" t="s">
        <v>1579</v>
      </c>
      <c r="G13" s="153" t="s">
        <v>1580</v>
      </c>
      <c r="H13" s="153" t="s">
        <v>321</v>
      </c>
      <c r="I13" s="153" t="s">
        <v>754</v>
      </c>
      <c r="J13" s="153" t="s">
        <v>204</v>
      </c>
      <c r="K13" s="153" t="s">
        <v>204</v>
      </c>
      <c r="L13" s="153" t="s">
        <v>325</v>
      </c>
      <c r="M13" s="153" t="s">
        <v>340</v>
      </c>
      <c r="N13" s="153" t="s">
        <v>456</v>
      </c>
      <c r="O13" s="153" t="s">
        <v>339</v>
      </c>
      <c r="P13" s="153" t="s">
        <v>1566</v>
      </c>
      <c r="Q13" s="153" t="s">
        <v>413</v>
      </c>
      <c r="R13" s="153" t="s">
        <v>407</v>
      </c>
      <c r="S13" s="153" t="s">
        <v>1212</v>
      </c>
      <c r="T13" s="154">
        <v>5.0199999999999996</v>
      </c>
      <c r="U13" s="153" t="s">
        <v>1581</v>
      </c>
      <c r="V13" s="155">
        <v>8.3800000000000003E-3</v>
      </c>
      <c r="W13" s="155">
        <v>5.1499999999999997E-2</v>
      </c>
      <c r="X13" s="153" t="s">
        <v>412</v>
      </c>
      <c r="Y13" s="153" t="s">
        <v>339</v>
      </c>
      <c r="Z13" s="154">
        <v>234000.02</v>
      </c>
      <c r="AA13" s="154">
        <v>1</v>
      </c>
      <c r="AB13" s="154">
        <v>141.9</v>
      </c>
      <c r="AC13" s="156"/>
      <c r="AD13" s="154">
        <v>332.04599999999999</v>
      </c>
      <c r="AE13" s="156"/>
      <c r="AF13" s="158"/>
      <c r="AG13" s="157" t="s">
        <v>15</v>
      </c>
      <c r="AH13" s="155">
        <v>8.0000000000000007E-5</v>
      </c>
      <c r="AI13" s="155">
        <f t="shared" si="0"/>
        <v>1.8962053202870637E-2</v>
      </c>
      <c r="AJ13" s="155">
        <v>3.1208096353425715E-3</v>
      </c>
      <c r="AP13" s="153"/>
      <c r="AQ13" s="153"/>
    </row>
    <row r="14" spans="1:43" s="160" customFormat="1">
      <c r="A14" s="153" t="s">
        <v>1213</v>
      </c>
      <c r="B14" s="160">
        <v>12936</v>
      </c>
      <c r="C14" s="153" t="s">
        <v>1582</v>
      </c>
      <c r="D14" s="153" t="s">
        <v>1583</v>
      </c>
      <c r="E14" s="153" t="s">
        <v>309</v>
      </c>
      <c r="F14" s="153" t="s">
        <v>1584</v>
      </c>
      <c r="G14" s="153" t="s">
        <v>1585</v>
      </c>
      <c r="H14" s="153" t="s">
        <v>321</v>
      </c>
      <c r="I14" s="153" t="s">
        <v>951</v>
      </c>
      <c r="J14" s="153" t="s">
        <v>204</v>
      </c>
      <c r="K14" s="153" t="s">
        <v>204</v>
      </c>
      <c r="L14" s="153" t="s">
        <v>327</v>
      </c>
      <c r="M14" s="153" t="s">
        <v>340</v>
      </c>
      <c r="N14" s="153" t="s">
        <v>447</v>
      </c>
      <c r="O14" s="153" t="s">
        <v>339</v>
      </c>
      <c r="P14" s="153" t="s">
        <v>1586</v>
      </c>
      <c r="Q14" s="153" t="s">
        <v>415</v>
      </c>
      <c r="R14" s="153" t="s">
        <v>407</v>
      </c>
      <c r="S14" s="153" t="s">
        <v>1212</v>
      </c>
      <c r="T14" s="154">
        <v>2.83</v>
      </c>
      <c r="U14" s="153" t="s">
        <v>1587</v>
      </c>
      <c r="V14" s="155">
        <v>7.0690000000000003E-2</v>
      </c>
      <c r="W14" s="155">
        <v>6.3100000000000003E-2</v>
      </c>
      <c r="X14" s="153" t="s">
        <v>412</v>
      </c>
      <c r="Y14" s="153" t="s">
        <v>339</v>
      </c>
      <c r="Z14" s="154">
        <v>300000</v>
      </c>
      <c r="AA14" s="154">
        <v>1</v>
      </c>
      <c r="AB14" s="154">
        <f>AD14*1000/Z14*100</f>
        <v>106.06733333333334</v>
      </c>
      <c r="AC14" s="156"/>
      <c r="AD14" s="154">
        <f>321.24-3.038</f>
        <v>318.202</v>
      </c>
      <c r="AE14" s="156"/>
      <c r="AF14" s="158"/>
      <c r="AG14" s="157" t="s">
        <v>15</v>
      </c>
      <c r="AH14" s="155">
        <v>1.4499999999999999E-3</v>
      </c>
      <c r="AI14" s="155">
        <f t="shared" si="0"/>
        <v>1.8171467969076101E-2</v>
      </c>
      <c r="AJ14" s="155">
        <v>2.9906936616772282E-3</v>
      </c>
      <c r="AP14" s="153"/>
      <c r="AQ14" s="153"/>
    </row>
    <row r="15" spans="1:43" s="160" customFormat="1">
      <c r="A15" s="153" t="s">
        <v>1213</v>
      </c>
      <c r="B15" s="160">
        <v>12936</v>
      </c>
      <c r="C15" s="153" t="s">
        <v>1512</v>
      </c>
      <c r="D15" s="153" t="s">
        <v>1513</v>
      </c>
      <c r="E15" s="153" t="s">
        <v>309</v>
      </c>
      <c r="F15" s="153" t="s">
        <v>1588</v>
      </c>
      <c r="G15" s="153" t="s">
        <v>1589</v>
      </c>
      <c r="H15" s="153" t="s">
        <v>321</v>
      </c>
      <c r="I15" s="153" t="s">
        <v>754</v>
      </c>
      <c r="J15" s="153" t="s">
        <v>204</v>
      </c>
      <c r="K15" s="153" t="s">
        <v>204</v>
      </c>
      <c r="L15" s="153" t="s">
        <v>325</v>
      </c>
      <c r="M15" s="153" t="s">
        <v>340</v>
      </c>
      <c r="N15" s="153" t="s">
        <v>448</v>
      </c>
      <c r="O15" s="153" t="s">
        <v>339</v>
      </c>
      <c r="P15" s="153" t="s">
        <v>1566</v>
      </c>
      <c r="Q15" s="153" t="s">
        <v>413</v>
      </c>
      <c r="R15" s="153" t="s">
        <v>407</v>
      </c>
      <c r="S15" s="153" t="s">
        <v>1212</v>
      </c>
      <c r="T15" s="154">
        <v>4.42</v>
      </c>
      <c r="U15" s="153" t="s">
        <v>1590</v>
      </c>
      <c r="V15" s="155">
        <v>3.422E-2</v>
      </c>
      <c r="W15" s="155">
        <v>3.09E-2</v>
      </c>
      <c r="X15" s="153" t="s">
        <v>411</v>
      </c>
      <c r="Y15" s="153" t="s">
        <v>339</v>
      </c>
      <c r="Z15" s="154">
        <v>300000</v>
      </c>
      <c r="AA15" s="154">
        <v>1</v>
      </c>
      <c r="AB15" s="154">
        <v>105.66</v>
      </c>
      <c r="AC15" s="156"/>
      <c r="AD15" s="154">
        <v>316.98</v>
      </c>
      <c r="AE15" s="156"/>
      <c r="AF15" s="158"/>
      <c r="AG15" s="157" t="s">
        <v>15</v>
      </c>
      <c r="AH15" s="155">
        <v>2.5999999999999998E-4</v>
      </c>
      <c r="AI15" s="155">
        <f t="shared" si="0"/>
        <v>1.810168357470331E-2</v>
      </c>
      <c r="AJ15" s="155">
        <v>2.9792084175412092E-3</v>
      </c>
      <c r="AP15" s="153"/>
      <c r="AQ15" s="153"/>
    </row>
    <row r="16" spans="1:43" s="160" customFormat="1">
      <c r="A16" s="153" t="s">
        <v>1213</v>
      </c>
      <c r="B16" s="160">
        <v>12936</v>
      </c>
      <c r="C16" s="153" t="s">
        <v>1591</v>
      </c>
      <c r="D16" s="153" t="s">
        <v>1592</v>
      </c>
      <c r="E16" s="153" t="s">
        <v>309</v>
      </c>
      <c r="F16" s="153" t="s">
        <v>1593</v>
      </c>
      <c r="G16" s="153" t="s">
        <v>1594</v>
      </c>
      <c r="H16" s="153" t="s">
        <v>321</v>
      </c>
      <c r="I16" s="153" t="s">
        <v>754</v>
      </c>
      <c r="J16" s="153" t="s">
        <v>204</v>
      </c>
      <c r="K16" s="153" t="s">
        <v>204</v>
      </c>
      <c r="L16" s="153" t="s">
        <v>325</v>
      </c>
      <c r="M16" s="153" t="s">
        <v>340</v>
      </c>
      <c r="N16" s="153" t="s">
        <v>464</v>
      </c>
      <c r="O16" s="153" t="s">
        <v>339</v>
      </c>
      <c r="P16" s="153" t="s">
        <v>1538</v>
      </c>
      <c r="Q16" s="153" t="s">
        <v>413</v>
      </c>
      <c r="R16" s="153" t="s">
        <v>407</v>
      </c>
      <c r="S16" s="153" t="s">
        <v>1212</v>
      </c>
      <c r="T16" s="154">
        <v>3.74</v>
      </c>
      <c r="U16" s="153" t="s">
        <v>1283</v>
      </c>
      <c r="V16" s="155">
        <v>2.8539999999999999E-2</v>
      </c>
      <c r="W16" s="155">
        <v>3.0700000000000002E-2</v>
      </c>
      <c r="X16" s="153" t="s">
        <v>412</v>
      </c>
      <c r="Y16" s="153" t="s">
        <v>339</v>
      </c>
      <c r="Z16" s="154">
        <v>300000</v>
      </c>
      <c r="AA16" s="154">
        <v>1</v>
      </c>
      <c r="AB16" s="154">
        <v>103.53</v>
      </c>
      <c r="AC16" s="156"/>
      <c r="AD16" s="154">
        <v>310.58999999999997</v>
      </c>
      <c r="AE16" s="156"/>
      <c r="AF16" s="158"/>
      <c r="AG16" s="157" t="s">
        <v>15</v>
      </c>
      <c r="AH16" s="155">
        <v>4.0000000000000002E-4</v>
      </c>
      <c r="AI16" s="155">
        <f t="shared" si="0"/>
        <v>1.7736771725241657E-2</v>
      </c>
      <c r="AJ16" s="155">
        <v>2.919150553360225E-3</v>
      </c>
      <c r="AP16" s="153"/>
      <c r="AQ16" s="153"/>
    </row>
    <row r="17" spans="1:43" s="160" customFormat="1">
      <c r="A17" s="153" t="s">
        <v>1213</v>
      </c>
      <c r="B17" s="160">
        <v>12936</v>
      </c>
      <c r="C17" s="153" t="s">
        <v>1595</v>
      </c>
      <c r="D17" s="153" t="s">
        <v>1596</v>
      </c>
      <c r="E17" s="153" t="s">
        <v>309</v>
      </c>
      <c r="F17" s="153" t="s">
        <v>1597</v>
      </c>
      <c r="G17" s="153" t="s">
        <v>1598</v>
      </c>
      <c r="H17" s="153" t="s">
        <v>321</v>
      </c>
      <c r="I17" s="153" t="s">
        <v>951</v>
      </c>
      <c r="J17" s="153" t="s">
        <v>204</v>
      </c>
      <c r="K17" s="153" t="s">
        <v>204</v>
      </c>
      <c r="L17" s="153" t="s">
        <v>325</v>
      </c>
      <c r="M17" s="153" t="s">
        <v>340</v>
      </c>
      <c r="N17" s="153" t="s">
        <v>447</v>
      </c>
      <c r="O17" s="153" t="s">
        <v>339</v>
      </c>
      <c r="P17" s="153" t="s">
        <v>1560</v>
      </c>
      <c r="Q17" s="153" t="s">
        <v>413</v>
      </c>
      <c r="R17" s="153" t="s">
        <v>407</v>
      </c>
      <c r="S17" s="153" t="s">
        <v>1212</v>
      </c>
      <c r="T17" s="154">
        <v>2.84</v>
      </c>
      <c r="U17" s="153" t="s">
        <v>1599</v>
      </c>
      <c r="V17" s="155">
        <v>5.1330000000000001E-2</v>
      </c>
      <c r="W17" s="155">
        <v>6.2399999999999997E-2</v>
      </c>
      <c r="X17" s="153" t="s">
        <v>412</v>
      </c>
      <c r="Y17" s="153" t="s">
        <v>339</v>
      </c>
      <c r="Z17" s="154">
        <v>300000</v>
      </c>
      <c r="AA17" s="154">
        <v>1</v>
      </c>
      <c r="AB17" s="154">
        <v>99.54</v>
      </c>
      <c r="AC17" s="156"/>
      <c r="AD17" s="154">
        <v>298.62</v>
      </c>
      <c r="AE17" s="156"/>
      <c r="AF17" s="158"/>
      <c r="AG17" s="157" t="s">
        <v>15</v>
      </c>
      <c r="AH17" s="155">
        <v>4.2999999999999999E-4</v>
      </c>
      <c r="AI17" s="155">
        <f t="shared" si="0"/>
        <v>1.7053204457940258E-2</v>
      </c>
      <c r="AJ17" s="155">
        <v>2.8066477936972548E-3</v>
      </c>
      <c r="AP17" s="153"/>
      <c r="AQ17" s="153"/>
    </row>
    <row r="18" spans="1:43" s="160" customFormat="1">
      <c r="A18" s="153" t="s">
        <v>1213</v>
      </c>
      <c r="B18" s="160">
        <v>12936</v>
      </c>
      <c r="C18" s="153" t="s">
        <v>1600</v>
      </c>
      <c r="D18" s="153" t="s">
        <v>1601</v>
      </c>
      <c r="E18" s="153" t="s">
        <v>309</v>
      </c>
      <c r="F18" s="153" t="s">
        <v>1602</v>
      </c>
      <c r="G18" s="153" t="s">
        <v>1603</v>
      </c>
      <c r="H18" s="153" t="s">
        <v>321</v>
      </c>
      <c r="I18" s="153" t="s">
        <v>754</v>
      </c>
      <c r="J18" s="153" t="s">
        <v>204</v>
      </c>
      <c r="K18" s="153" t="s">
        <v>204</v>
      </c>
      <c r="L18" s="153" t="s">
        <v>325</v>
      </c>
      <c r="M18" s="153" t="s">
        <v>340</v>
      </c>
      <c r="N18" s="153" t="s">
        <v>448</v>
      </c>
      <c r="O18" s="153" t="s">
        <v>339</v>
      </c>
      <c r="P18" s="153" t="s">
        <v>1566</v>
      </c>
      <c r="Q18" s="153" t="s">
        <v>413</v>
      </c>
      <c r="R18" s="153" t="s">
        <v>407</v>
      </c>
      <c r="S18" s="153" t="s">
        <v>1212</v>
      </c>
      <c r="T18" s="154">
        <v>0.5</v>
      </c>
      <c r="U18" s="153" t="s">
        <v>1604</v>
      </c>
      <c r="V18" s="155">
        <v>2.0199999999999999E-2</v>
      </c>
      <c r="W18" s="155">
        <v>3.5700000000000003E-2</v>
      </c>
      <c r="X18" s="153" t="s">
        <v>411</v>
      </c>
      <c r="Y18" s="153" t="s">
        <v>339</v>
      </c>
      <c r="Z18" s="154">
        <v>250000</v>
      </c>
      <c r="AA18" s="154">
        <v>1</v>
      </c>
      <c r="AB18" s="154">
        <v>115.6</v>
      </c>
      <c r="AC18" s="156"/>
      <c r="AD18" s="154">
        <v>289</v>
      </c>
      <c r="AE18" s="156"/>
      <c r="AF18" s="158"/>
      <c r="AG18" s="157" t="s">
        <v>15</v>
      </c>
      <c r="AH18" s="155">
        <v>2.4000000000000001E-4</v>
      </c>
      <c r="AI18" s="155">
        <f t="shared" si="0"/>
        <v>1.6503837949048066E-2</v>
      </c>
      <c r="AJ18" s="155">
        <v>2.7162320419881676E-3</v>
      </c>
      <c r="AP18" s="153"/>
      <c r="AQ18" s="153"/>
    </row>
    <row r="19" spans="1:43" s="160" customFormat="1">
      <c r="A19" s="153" t="s">
        <v>1213</v>
      </c>
      <c r="B19" s="160">
        <v>12936</v>
      </c>
      <c r="C19" s="153" t="s">
        <v>1605</v>
      </c>
      <c r="D19" s="153" t="s">
        <v>1606</v>
      </c>
      <c r="E19" s="153" t="s">
        <v>311</v>
      </c>
      <c r="F19" s="153" t="s">
        <v>1607</v>
      </c>
      <c r="G19" s="153" t="s">
        <v>1608</v>
      </c>
      <c r="H19" s="153" t="s">
        <v>321</v>
      </c>
      <c r="I19" s="153" t="s">
        <v>951</v>
      </c>
      <c r="J19" s="153" t="s">
        <v>204</v>
      </c>
      <c r="K19" s="153" t="s">
        <v>224</v>
      </c>
      <c r="L19" s="153" t="s">
        <v>325</v>
      </c>
      <c r="M19" s="153" t="s">
        <v>340</v>
      </c>
      <c r="N19" s="153" t="s">
        <v>465</v>
      </c>
      <c r="O19" s="153" t="s">
        <v>339</v>
      </c>
      <c r="P19" s="153" t="s">
        <v>1566</v>
      </c>
      <c r="Q19" s="153" t="s">
        <v>413</v>
      </c>
      <c r="R19" s="153" t="s">
        <v>407</v>
      </c>
      <c r="S19" s="153" t="s">
        <v>1212</v>
      </c>
      <c r="T19" s="154">
        <v>3.44</v>
      </c>
      <c r="U19" s="153" t="s">
        <v>1609</v>
      </c>
      <c r="V19" s="155">
        <v>6.4549999999999996E-2</v>
      </c>
      <c r="W19" s="155">
        <v>6.59E-2</v>
      </c>
      <c r="X19" s="153" t="s">
        <v>412</v>
      </c>
      <c r="Y19" s="153" t="s">
        <v>339</v>
      </c>
      <c r="Z19" s="154">
        <v>300000.67</v>
      </c>
      <c r="AA19" s="154">
        <v>1</v>
      </c>
      <c r="AB19" s="154">
        <v>95.42</v>
      </c>
      <c r="AC19" s="156"/>
      <c r="AD19" s="154">
        <v>286.26100000000002</v>
      </c>
      <c r="AE19" s="156"/>
      <c r="AF19" s="158"/>
      <c r="AG19" s="157" t="s">
        <v>15</v>
      </c>
      <c r="AH19" s="155">
        <v>3.3E-4</v>
      </c>
      <c r="AI19" s="155">
        <f t="shared" si="0"/>
        <v>1.6347422682119202E-2</v>
      </c>
      <c r="AJ19" s="155">
        <v>2.6904889293134083E-3</v>
      </c>
      <c r="AP19" s="153"/>
      <c r="AQ19" s="153"/>
    </row>
    <row r="20" spans="1:43" s="160" customFormat="1">
      <c r="A20" s="153" t="s">
        <v>1213</v>
      </c>
      <c r="B20" s="160">
        <v>12936</v>
      </c>
      <c r="C20" s="153" t="s">
        <v>1610</v>
      </c>
      <c r="D20" s="153" t="s">
        <v>1611</v>
      </c>
      <c r="E20" s="153" t="s">
        <v>309</v>
      </c>
      <c r="F20" s="153" t="s">
        <v>1612</v>
      </c>
      <c r="G20" s="153" t="s">
        <v>1613</v>
      </c>
      <c r="H20" s="153" t="s">
        <v>321</v>
      </c>
      <c r="I20" s="153" t="s">
        <v>951</v>
      </c>
      <c r="J20" s="153" t="s">
        <v>204</v>
      </c>
      <c r="K20" s="153" t="s">
        <v>204</v>
      </c>
      <c r="L20" s="153" t="s">
        <v>325</v>
      </c>
      <c r="M20" s="153" t="s">
        <v>340</v>
      </c>
      <c r="N20" s="153" t="s">
        <v>447</v>
      </c>
      <c r="O20" s="153" t="s">
        <v>339</v>
      </c>
      <c r="P20" s="153" t="s">
        <v>1614</v>
      </c>
      <c r="Q20" s="153" t="s">
        <v>415</v>
      </c>
      <c r="R20" s="153" t="s">
        <v>407</v>
      </c>
      <c r="S20" s="153" t="s">
        <v>1212</v>
      </c>
      <c r="T20" s="154">
        <v>4.26</v>
      </c>
      <c r="U20" s="153" t="s">
        <v>1358</v>
      </c>
      <c r="V20" s="155">
        <v>5.3539999999999997E-2</v>
      </c>
      <c r="W20" s="155">
        <v>5.8200000000000002E-2</v>
      </c>
      <c r="X20" s="153" t="s">
        <v>412</v>
      </c>
      <c r="Y20" s="153" t="s">
        <v>339</v>
      </c>
      <c r="Z20" s="154">
        <v>282000</v>
      </c>
      <c r="AA20" s="154">
        <v>1</v>
      </c>
      <c r="AB20" s="154">
        <v>100.66</v>
      </c>
      <c r="AC20" s="158"/>
      <c r="AD20" s="154">
        <v>283.86099999999999</v>
      </c>
      <c r="AE20" s="158"/>
      <c r="AF20" s="158"/>
      <c r="AG20" s="157" t="s">
        <v>15</v>
      </c>
      <c r="AH20" s="155">
        <v>1.6100000000000001E-3</v>
      </c>
      <c r="AI20" s="155">
        <f t="shared" si="0"/>
        <v>1.6210366588424684E-2</v>
      </c>
      <c r="AJ20" s="155">
        <v>2.6679319850200804E-3</v>
      </c>
      <c r="AP20" s="153"/>
      <c r="AQ20" s="153"/>
    </row>
    <row r="21" spans="1:43" s="160" customFormat="1">
      <c r="A21" s="153" t="s">
        <v>1213</v>
      </c>
      <c r="B21" s="160">
        <v>12936</v>
      </c>
      <c r="C21" s="153" t="s">
        <v>1615</v>
      </c>
      <c r="D21" s="153" t="s">
        <v>1616</v>
      </c>
      <c r="E21" s="153" t="s">
        <v>309</v>
      </c>
      <c r="F21" s="153" t="s">
        <v>1617</v>
      </c>
      <c r="G21" s="153" t="s">
        <v>1618</v>
      </c>
      <c r="H21" s="153" t="s">
        <v>321</v>
      </c>
      <c r="I21" s="153" t="s">
        <v>951</v>
      </c>
      <c r="J21" s="153" t="s">
        <v>204</v>
      </c>
      <c r="K21" s="153" t="s">
        <v>204</v>
      </c>
      <c r="L21" s="153" t="s">
        <v>327</v>
      </c>
      <c r="M21" s="153" t="s">
        <v>340</v>
      </c>
      <c r="N21" s="153" t="s">
        <v>447</v>
      </c>
      <c r="O21" s="153" t="s">
        <v>339</v>
      </c>
      <c r="P21" s="158"/>
      <c r="Q21" s="153" t="s">
        <v>410</v>
      </c>
      <c r="R21" s="153" t="s">
        <v>410</v>
      </c>
      <c r="S21" s="153" t="s">
        <v>1212</v>
      </c>
      <c r="T21" s="154">
        <v>0.48</v>
      </c>
      <c r="U21" s="153" t="s">
        <v>1619</v>
      </c>
      <c r="V21" s="155">
        <v>6.2850000000000003E-2</v>
      </c>
      <c r="W21" s="155">
        <v>7.1499999999999994E-2</v>
      </c>
      <c r="X21" s="153" t="s">
        <v>412</v>
      </c>
      <c r="Y21" s="153" t="s">
        <v>339</v>
      </c>
      <c r="Z21" s="154">
        <v>275000</v>
      </c>
      <c r="AA21" s="154">
        <v>1</v>
      </c>
      <c r="AB21" s="154">
        <f>AD21*1000/Z21*100</f>
        <v>97.875999999999991</v>
      </c>
      <c r="AC21" s="158"/>
      <c r="AD21" s="154">
        <f>272.938-3.779</f>
        <v>269.15899999999999</v>
      </c>
      <c r="AE21" s="158"/>
      <c r="AF21" s="158"/>
      <c r="AG21" s="157" t="s">
        <v>15</v>
      </c>
      <c r="AH21" s="155">
        <v>2.7499999999999998E-3</v>
      </c>
      <c r="AI21" s="155">
        <f t="shared" si="0"/>
        <v>1.5370783801134356E-2</v>
      </c>
      <c r="AJ21" s="155">
        <v>2.5297519037698725E-3</v>
      </c>
      <c r="AP21" s="153"/>
      <c r="AQ21" s="153"/>
    </row>
    <row r="22" spans="1:43" s="160" customFormat="1">
      <c r="A22" s="153" t="s">
        <v>1213</v>
      </c>
      <c r="B22" s="160">
        <v>12936</v>
      </c>
      <c r="C22" s="153" t="s">
        <v>1620</v>
      </c>
      <c r="D22" s="153" t="s">
        <v>1621</v>
      </c>
      <c r="E22" s="153" t="s">
        <v>309</v>
      </c>
      <c r="F22" s="153" t="s">
        <v>1622</v>
      </c>
      <c r="G22" s="153" t="s">
        <v>1623</v>
      </c>
      <c r="H22" s="153" t="s">
        <v>321</v>
      </c>
      <c r="I22" s="153" t="s">
        <v>951</v>
      </c>
      <c r="J22" s="153" t="s">
        <v>204</v>
      </c>
      <c r="K22" s="153" t="s">
        <v>204</v>
      </c>
      <c r="L22" s="153" t="s">
        <v>327</v>
      </c>
      <c r="M22" s="153" t="s">
        <v>340</v>
      </c>
      <c r="N22" s="153" t="s">
        <v>447</v>
      </c>
      <c r="O22" s="153" t="s">
        <v>339</v>
      </c>
      <c r="P22" s="158"/>
      <c r="Q22" s="153" t="s">
        <v>410</v>
      </c>
      <c r="R22" s="153" t="s">
        <v>410</v>
      </c>
      <c r="S22" s="153" t="s">
        <v>1212</v>
      </c>
      <c r="T22" s="154">
        <v>1.59</v>
      </c>
      <c r="U22" s="153" t="s">
        <v>1331</v>
      </c>
      <c r="V22" s="155">
        <v>6.4890000000000003E-2</v>
      </c>
      <c r="W22" s="155">
        <v>6.3100000000000003E-2</v>
      </c>
      <c r="X22" s="153" t="s">
        <v>412</v>
      </c>
      <c r="Y22" s="153" t="s">
        <v>339</v>
      </c>
      <c r="Z22" s="154">
        <v>85000</v>
      </c>
      <c r="AA22" s="154">
        <v>1</v>
      </c>
      <c r="AB22" s="154">
        <f>AD22*1000/Z22*100</f>
        <v>100.66349726775951</v>
      </c>
      <c r="AC22" s="158"/>
      <c r="AD22" s="154">
        <f>85563.9726775956/1000</f>
        <v>85.563972677595586</v>
      </c>
      <c r="AE22" s="158"/>
      <c r="AF22" s="158"/>
      <c r="AG22" s="157" t="s">
        <v>15</v>
      </c>
      <c r="AH22" s="155">
        <v>1.07E-3</v>
      </c>
      <c r="AI22" s="155">
        <f t="shared" si="0"/>
        <v>4.8862766067398408E-3</v>
      </c>
      <c r="AJ22" s="155">
        <v>8.0419240216846109E-4</v>
      </c>
      <c r="AP22" s="153"/>
      <c r="AQ22" s="153"/>
    </row>
    <row r="23" spans="1:43" s="160" customFormat="1">
      <c r="A23" s="153" t="s">
        <v>1213</v>
      </c>
      <c r="B23" s="160">
        <v>12936</v>
      </c>
      <c r="C23" s="153" t="s">
        <v>1624</v>
      </c>
      <c r="D23" s="153" t="s">
        <v>1625</v>
      </c>
      <c r="E23" s="153" t="s">
        <v>309</v>
      </c>
      <c r="F23" s="153" t="s">
        <v>1626</v>
      </c>
      <c r="G23" s="153" t="s">
        <v>1627</v>
      </c>
      <c r="H23" s="153" t="s">
        <v>321</v>
      </c>
      <c r="I23" s="153" t="s">
        <v>754</v>
      </c>
      <c r="J23" s="153" t="s">
        <v>204</v>
      </c>
      <c r="K23" s="153" t="s">
        <v>204</v>
      </c>
      <c r="L23" s="153" t="s">
        <v>327</v>
      </c>
      <c r="M23" s="153" t="s">
        <v>340</v>
      </c>
      <c r="N23" s="153" t="s">
        <v>447</v>
      </c>
      <c r="O23" s="153" t="s">
        <v>339</v>
      </c>
      <c r="P23" s="153" t="s">
        <v>1614</v>
      </c>
      <c r="Q23" s="153" t="s">
        <v>415</v>
      </c>
      <c r="R23" s="153" t="s">
        <v>407</v>
      </c>
      <c r="S23" s="153" t="s">
        <v>1212</v>
      </c>
      <c r="T23" s="154">
        <v>2.82</v>
      </c>
      <c r="U23" s="153" t="s">
        <v>1628</v>
      </c>
      <c r="V23" s="155">
        <v>3.2680000000000001E-2</v>
      </c>
      <c r="W23" s="155">
        <v>3.2199999999999999E-2</v>
      </c>
      <c r="X23" s="153" t="s">
        <v>412</v>
      </c>
      <c r="Y23" s="153" t="s">
        <v>339</v>
      </c>
      <c r="Z23" s="154">
        <v>159000</v>
      </c>
      <c r="AA23" s="154">
        <v>1</v>
      </c>
      <c r="AB23" s="154">
        <f>AD23*1000/Z23*100</f>
        <v>108.96918342097106</v>
      </c>
      <c r="AC23" s="158"/>
      <c r="AD23" s="154">
        <f>173261.001639344/1000</f>
        <v>173.26100163934399</v>
      </c>
      <c r="AE23" s="158"/>
      <c r="AF23" s="158"/>
      <c r="AG23" s="157" t="s">
        <v>15</v>
      </c>
      <c r="AH23" s="155">
        <v>8.3000000000000001E-4</v>
      </c>
      <c r="AI23" s="155">
        <f t="shared" si="0"/>
        <v>9.8943650309532335E-3</v>
      </c>
      <c r="AJ23" s="155">
        <v>1.6284328175769918E-3</v>
      </c>
      <c r="AP23" s="153"/>
      <c r="AQ23" s="153"/>
    </row>
    <row r="24" spans="1:43" s="160" customFormat="1">
      <c r="A24" s="153" t="s">
        <v>1213</v>
      </c>
      <c r="B24" s="160">
        <v>12936</v>
      </c>
      <c r="C24" s="153" t="s">
        <v>1629</v>
      </c>
      <c r="D24" s="153" t="s">
        <v>1630</v>
      </c>
      <c r="E24" s="153" t="s">
        <v>309</v>
      </c>
      <c r="F24" s="153" t="s">
        <v>1631</v>
      </c>
      <c r="G24" s="153" t="s">
        <v>1632</v>
      </c>
      <c r="H24" s="153" t="s">
        <v>321</v>
      </c>
      <c r="I24" s="153" t="s">
        <v>754</v>
      </c>
      <c r="J24" s="153" t="s">
        <v>204</v>
      </c>
      <c r="K24" s="153" t="s">
        <v>204</v>
      </c>
      <c r="L24" s="153" t="s">
        <v>325</v>
      </c>
      <c r="M24" s="153" t="s">
        <v>340</v>
      </c>
      <c r="N24" s="153" t="s">
        <v>447</v>
      </c>
      <c r="O24" s="153" t="s">
        <v>339</v>
      </c>
      <c r="P24" s="153" t="s">
        <v>1586</v>
      </c>
      <c r="Q24" s="153" t="s">
        <v>415</v>
      </c>
      <c r="R24" s="153" t="s">
        <v>407</v>
      </c>
      <c r="S24" s="153" t="s">
        <v>1212</v>
      </c>
      <c r="T24" s="154">
        <v>3.66</v>
      </c>
      <c r="U24" s="153" t="s">
        <v>1633</v>
      </c>
      <c r="V24" s="155">
        <v>4.5740000000000003E-2</v>
      </c>
      <c r="W24" s="155">
        <v>4.9700000000000001E-2</v>
      </c>
      <c r="X24" s="153" t="s">
        <v>412</v>
      </c>
      <c r="Y24" s="153" t="s">
        <v>339</v>
      </c>
      <c r="Z24" s="154">
        <v>262225.5</v>
      </c>
      <c r="AA24" s="154">
        <v>1</v>
      </c>
      <c r="AB24" s="154">
        <v>101.96</v>
      </c>
      <c r="AC24" s="158"/>
      <c r="AD24" s="154">
        <v>267.36500000000001</v>
      </c>
      <c r="AE24" s="158"/>
      <c r="AF24" s="158"/>
      <c r="AG24" s="157" t="s">
        <v>15</v>
      </c>
      <c r="AH24" s="155">
        <v>5.5000000000000003E-4</v>
      </c>
      <c r="AI24" s="155">
        <f t="shared" si="0"/>
        <v>1.5268334371097704E-2</v>
      </c>
      <c r="AJ24" s="155">
        <v>2.5128905879106106E-3</v>
      </c>
      <c r="AP24" s="153"/>
      <c r="AQ24" s="153"/>
    </row>
    <row r="25" spans="1:43" s="160" customFormat="1">
      <c r="A25" s="153" t="s">
        <v>1213</v>
      </c>
      <c r="B25" s="160">
        <v>12936</v>
      </c>
      <c r="C25" s="153" t="s">
        <v>1634</v>
      </c>
      <c r="D25" s="153" t="s">
        <v>1635</v>
      </c>
      <c r="E25" s="153" t="s">
        <v>309</v>
      </c>
      <c r="F25" s="153" t="s">
        <v>1636</v>
      </c>
      <c r="G25" s="153" t="s">
        <v>1637</v>
      </c>
      <c r="H25" s="153" t="s">
        <v>321</v>
      </c>
      <c r="I25" s="153" t="s">
        <v>951</v>
      </c>
      <c r="J25" s="153" t="s">
        <v>204</v>
      </c>
      <c r="K25" s="153" t="s">
        <v>204</v>
      </c>
      <c r="L25" s="153" t="s">
        <v>325</v>
      </c>
      <c r="M25" s="153" t="s">
        <v>340</v>
      </c>
      <c r="N25" s="153" t="s">
        <v>454</v>
      </c>
      <c r="O25" s="153" t="s">
        <v>339</v>
      </c>
      <c r="P25" s="153" t="s">
        <v>1554</v>
      </c>
      <c r="Q25" s="153" t="s">
        <v>413</v>
      </c>
      <c r="R25" s="153" t="s">
        <v>407</v>
      </c>
      <c r="S25" s="153" t="s">
        <v>1212</v>
      </c>
      <c r="T25" s="154">
        <v>3.12</v>
      </c>
      <c r="U25" s="153" t="s">
        <v>1638</v>
      </c>
      <c r="V25" s="155">
        <v>7.2739999999999999E-2</v>
      </c>
      <c r="W25" s="155">
        <v>6.7400000000000002E-2</v>
      </c>
      <c r="X25" s="153" t="s">
        <v>412</v>
      </c>
      <c r="Y25" s="153" t="s">
        <v>339</v>
      </c>
      <c r="Z25" s="154">
        <v>263512</v>
      </c>
      <c r="AA25" s="154">
        <v>1</v>
      </c>
      <c r="AB25" s="154">
        <v>101.22</v>
      </c>
      <c r="AC25" s="158"/>
      <c r="AD25" s="154">
        <v>266.72699999999998</v>
      </c>
      <c r="AE25" s="158"/>
      <c r="AF25" s="158"/>
      <c r="AG25" s="157" t="s">
        <v>15</v>
      </c>
      <c r="AH25" s="155">
        <v>5.2999999999999998E-4</v>
      </c>
      <c r="AI25" s="155">
        <f t="shared" si="0"/>
        <v>1.5231900292857243E-2</v>
      </c>
      <c r="AJ25" s="155">
        <v>2.5068942002193007E-3</v>
      </c>
      <c r="AP25" s="153"/>
      <c r="AQ25" s="153"/>
    </row>
    <row r="26" spans="1:43" s="160" customFormat="1">
      <c r="A26" s="153" t="s">
        <v>1213</v>
      </c>
      <c r="B26" s="160">
        <v>12936</v>
      </c>
      <c r="C26" s="153" t="s">
        <v>1546</v>
      </c>
      <c r="D26" s="153" t="s">
        <v>1547</v>
      </c>
      <c r="E26" s="153" t="s">
        <v>309</v>
      </c>
      <c r="F26" s="153" t="s">
        <v>1639</v>
      </c>
      <c r="G26" s="153" t="s">
        <v>1640</v>
      </c>
      <c r="H26" s="153" t="s">
        <v>321</v>
      </c>
      <c r="I26" s="153" t="s">
        <v>754</v>
      </c>
      <c r="J26" s="153" t="s">
        <v>204</v>
      </c>
      <c r="K26" s="153" t="s">
        <v>204</v>
      </c>
      <c r="L26" s="153" t="s">
        <v>327</v>
      </c>
      <c r="M26" s="153" t="s">
        <v>340</v>
      </c>
      <c r="N26" s="153" t="s">
        <v>443</v>
      </c>
      <c r="O26" s="153" t="s">
        <v>339</v>
      </c>
      <c r="P26" s="153" t="s">
        <v>1544</v>
      </c>
      <c r="Q26" s="153" t="s">
        <v>415</v>
      </c>
      <c r="R26" s="153" t="s">
        <v>407</v>
      </c>
      <c r="S26" s="153" t="s">
        <v>1212</v>
      </c>
      <c r="T26" s="154">
        <v>3.25</v>
      </c>
      <c r="U26" s="153" t="s">
        <v>1641</v>
      </c>
      <c r="V26" s="155">
        <v>2.9489999999999999E-2</v>
      </c>
      <c r="W26" s="155">
        <v>3.3300000000000003E-2</v>
      </c>
      <c r="X26" s="153" t="s">
        <v>412</v>
      </c>
      <c r="Y26" s="153" t="s">
        <v>339</v>
      </c>
      <c r="Z26" s="154">
        <v>195000</v>
      </c>
      <c r="AA26" s="154">
        <v>1</v>
      </c>
      <c r="AB26" s="154">
        <f>AD26*1000/Z26*100</f>
        <v>104.02142076502719</v>
      </c>
      <c r="AD26" s="154">
        <f>202841.770491803/1000</f>
        <v>202.841770491803</v>
      </c>
      <c r="AG26" s="157" t="s">
        <v>15</v>
      </c>
      <c r="AH26" s="155">
        <v>1.6000000000000001E-4</v>
      </c>
      <c r="AI26" s="155">
        <f t="shared" si="0"/>
        <v>1.1583625292369263E-2</v>
      </c>
      <c r="AJ26" s="155">
        <v>1.9064543822264544E-3</v>
      </c>
      <c r="AP26" s="153"/>
      <c r="AQ26" s="153"/>
    </row>
    <row r="27" spans="1:43" s="160" customFormat="1">
      <c r="A27" s="153" t="s">
        <v>1213</v>
      </c>
      <c r="B27" s="160">
        <v>12936</v>
      </c>
      <c r="C27" s="153" t="s">
        <v>1642</v>
      </c>
      <c r="D27" s="153" t="s">
        <v>1643</v>
      </c>
      <c r="E27" s="153" t="s">
        <v>309</v>
      </c>
      <c r="F27" s="153" t="s">
        <v>1644</v>
      </c>
      <c r="G27" s="153" t="s">
        <v>1645</v>
      </c>
      <c r="H27" s="153" t="s">
        <v>321</v>
      </c>
      <c r="I27" s="153" t="s">
        <v>951</v>
      </c>
      <c r="J27" s="153" t="s">
        <v>204</v>
      </c>
      <c r="K27" s="153" t="s">
        <v>204</v>
      </c>
      <c r="L27" s="153" t="s">
        <v>325</v>
      </c>
      <c r="M27" s="153" t="s">
        <v>340</v>
      </c>
      <c r="N27" s="153" t="s">
        <v>447</v>
      </c>
      <c r="O27" s="153" t="s">
        <v>339</v>
      </c>
      <c r="Q27" s="153" t="s">
        <v>410</v>
      </c>
      <c r="R27" s="153" t="s">
        <v>410</v>
      </c>
      <c r="S27" s="153" t="s">
        <v>1212</v>
      </c>
      <c r="T27" s="154">
        <v>2.5</v>
      </c>
      <c r="U27" s="153" t="s">
        <v>1370</v>
      </c>
      <c r="V27" s="155">
        <v>8.1350000000000006E-2</v>
      </c>
      <c r="W27" s="155">
        <v>6.7599999999999993E-2</v>
      </c>
      <c r="X27" s="153" t="s">
        <v>412</v>
      </c>
      <c r="Y27" s="153" t="s">
        <v>339</v>
      </c>
      <c r="Z27" s="154">
        <v>248000</v>
      </c>
      <c r="AA27" s="154">
        <v>1</v>
      </c>
      <c r="AB27" s="154">
        <v>102.79</v>
      </c>
      <c r="AD27" s="154">
        <v>254.91900000000001</v>
      </c>
      <c r="AG27" s="157" t="s">
        <v>15</v>
      </c>
      <c r="AH27" s="155">
        <v>1.83E-3</v>
      </c>
      <c r="AI27" s="155">
        <f t="shared" si="0"/>
        <v>1.4557584311880223E-2</v>
      </c>
      <c r="AJ27" s="155">
        <v>2.3959140342961305E-3</v>
      </c>
      <c r="AP27" s="153"/>
      <c r="AQ27" s="153"/>
    </row>
    <row r="28" spans="1:43" s="160" customFormat="1">
      <c r="A28" s="153" t="s">
        <v>1213</v>
      </c>
      <c r="B28" s="160">
        <v>12936</v>
      </c>
      <c r="C28" s="153" t="s">
        <v>1646</v>
      </c>
      <c r="D28" s="153" t="s">
        <v>1647</v>
      </c>
      <c r="E28" s="153" t="s">
        <v>311</v>
      </c>
      <c r="F28" s="153" t="s">
        <v>1648</v>
      </c>
      <c r="G28" s="153" t="s">
        <v>1649</v>
      </c>
      <c r="H28" s="153" t="s">
        <v>321</v>
      </c>
      <c r="I28" s="153" t="s">
        <v>951</v>
      </c>
      <c r="J28" s="153" t="s">
        <v>204</v>
      </c>
      <c r="K28" s="153" t="s">
        <v>224</v>
      </c>
      <c r="L28" s="153" t="s">
        <v>325</v>
      </c>
      <c r="M28" s="153" t="s">
        <v>340</v>
      </c>
      <c r="N28" s="153" t="s">
        <v>465</v>
      </c>
      <c r="O28" s="153" t="s">
        <v>339</v>
      </c>
      <c r="P28" s="153" t="s">
        <v>1566</v>
      </c>
      <c r="Q28" s="153" t="s">
        <v>413</v>
      </c>
      <c r="R28" s="153" t="s">
        <v>407</v>
      </c>
      <c r="S28" s="153" t="s">
        <v>1212</v>
      </c>
      <c r="T28" s="154">
        <v>1.68</v>
      </c>
      <c r="U28" s="153" t="s">
        <v>1311</v>
      </c>
      <c r="V28" s="155">
        <v>7.0029999999999995E-2</v>
      </c>
      <c r="W28" s="155">
        <v>6.7100000000000007E-2</v>
      </c>
      <c r="X28" s="153" t="s">
        <v>412</v>
      </c>
      <c r="Y28" s="153" t="s">
        <v>339</v>
      </c>
      <c r="Z28" s="154">
        <v>256106.06</v>
      </c>
      <c r="AA28" s="154">
        <v>1</v>
      </c>
      <c r="AB28" s="154">
        <v>99.49</v>
      </c>
      <c r="AD28" s="154">
        <v>254.8</v>
      </c>
      <c r="AG28" s="157" t="s">
        <v>15</v>
      </c>
      <c r="AH28" s="155">
        <v>1.25E-3</v>
      </c>
      <c r="AI28" s="155">
        <f t="shared" si="0"/>
        <v>1.4550788613901203E-2</v>
      </c>
      <c r="AJ28" s="155">
        <v>2.3947955858082534E-3</v>
      </c>
      <c r="AP28" s="153"/>
      <c r="AQ28" s="153"/>
    </row>
    <row r="29" spans="1:43" s="160" customFormat="1">
      <c r="A29" s="153" t="s">
        <v>1213</v>
      </c>
      <c r="B29" s="160">
        <v>12936</v>
      </c>
      <c r="C29" s="153" t="s">
        <v>1650</v>
      </c>
      <c r="D29" s="153" t="s">
        <v>1651</v>
      </c>
      <c r="E29" s="153" t="s">
        <v>309</v>
      </c>
      <c r="F29" s="153" t="s">
        <v>1652</v>
      </c>
      <c r="G29" s="153" t="s">
        <v>1653</v>
      </c>
      <c r="H29" s="153" t="s">
        <v>321</v>
      </c>
      <c r="I29" s="153" t="s">
        <v>755</v>
      </c>
      <c r="J29" s="153" t="s">
        <v>204</v>
      </c>
      <c r="K29" s="153" t="s">
        <v>204</v>
      </c>
      <c r="L29" s="153" t="s">
        <v>325</v>
      </c>
      <c r="M29" s="153" t="s">
        <v>340</v>
      </c>
      <c r="N29" s="153" t="s">
        <v>454</v>
      </c>
      <c r="O29" s="153" t="s">
        <v>339</v>
      </c>
      <c r="Q29" s="153" t="s">
        <v>410</v>
      </c>
      <c r="R29" s="153" t="s">
        <v>410</v>
      </c>
      <c r="S29" s="153" t="s">
        <v>1212</v>
      </c>
      <c r="T29" s="154">
        <v>3.51</v>
      </c>
      <c r="U29" s="153" t="s">
        <v>1654</v>
      </c>
      <c r="V29" s="155">
        <v>7.3270000000000002E-2</v>
      </c>
      <c r="W29" s="155">
        <v>9.7799999999999998E-2</v>
      </c>
      <c r="X29" s="153" t="s">
        <v>412</v>
      </c>
      <c r="Y29" s="153" t="s">
        <v>339</v>
      </c>
      <c r="Z29" s="154">
        <v>265000</v>
      </c>
      <c r="AA29" s="154">
        <v>1</v>
      </c>
      <c r="AB29" s="154">
        <v>92.3</v>
      </c>
      <c r="AD29" s="154">
        <v>244.595</v>
      </c>
      <c r="AG29" s="157" t="s">
        <v>15</v>
      </c>
      <c r="AH29" s="155">
        <v>5.0699999999999999E-3</v>
      </c>
      <c r="AI29" s="155">
        <f t="shared" si="0"/>
        <v>1.3968014682170975E-2</v>
      </c>
      <c r="AJ29" s="155">
        <v>2.2988815789276675E-3</v>
      </c>
      <c r="AP29" s="153"/>
      <c r="AQ29" s="153"/>
    </row>
    <row r="30" spans="1:43" s="160" customFormat="1">
      <c r="A30" s="153" t="s">
        <v>1213</v>
      </c>
      <c r="B30" s="160">
        <v>12936</v>
      </c>
      <c r="C30" s="153" t="s">
        <v>1605</v>
      </c>
      <c r="D30" s="153" t="s">
        <v>1606</v>
      </c>
      <c r="E30" s="153" t="s">
        <v>311</v>
      </c>
      <c r="F30" s="153" t="s">
        <v>1655</v>
      </c>
      <c r="G30" s="153" t="s">
        <v>1656</v>
      </c>
      <c r="H30" s="153" t="s">
        <v>321</v>
      </c>
      <c r="I30" s="153" t="s">
        <v>951</v>
      </c>
      <c r="J30" s="153" t="s">
        <v>204</v>
      </c>
      <c r="K30" s="153" t="s">
        <v>224</v>
      </c>
      <c r="L30" s="153" t="s">
        <v>325</v>
      </c>
      <c r="M30" s="153" t="s">
        <v>340</v>
      </c>
      <c r="N30" s="153" t="s">
        <v>465</v>
      </c>
      <c r="O30" s="153" t="s">
        <v>339</v>
      </c>
      <c r="P30" s="153" t="s">
        <v>1538</v>
      </c>
      <c r="Q30" s="153" t="s">
        <v>413</v>
      </c>
      <c r="R30" s="153" t="s">
        <v>407</v>
      </c>
      <c r="S30" s="153" t="s">
        <v>1212</v>
      </c>
      <c r="T30" s="154">
        <v>2.4500000000000002</v>
      </c>
      <c r="U30" s="153" t="s">
        <v>1572</v>
      </c>
      <c r="V30" s="155">
        <v>6.6839999999999997E-2</v>
      </c>
      <c r="W30" s="155">
        <v>6.2E-2</v>
      </c>
      <c r="X30" s="153" t="s">
        <v>412</v>
      </c>
      <c r="Y30" s="153" t="s">
        <v>339</v>
      </c>
      <c r="Z30" s="154">
        <v>232000</v>
      </c>
      <c r="AA30" s="154">
        <v>1</v>
      </c>
      <c r="AB30" s="154">
        <v>102.2</v>
      </c>
      <c r="AD30" s="154">
        <v>237.10400000000001</v>
      </c>
      <c r="AG30" s="157" t="s">
        <v>15</v>
      </c>
      <c r="AH30" s="155">
        <v>5.6999999999999998E-4</v>
      </c>
      <c r="AI30" s="155">
        <f t="shared" si="0"/>
        <v>1.3540228349726966E-2</v>
      </c>
      <c r="AJ30" s="155">
        <v>2.2284757165521194E-3</v>
      </c>
      <c r="AP30" s="153"/>
      <c r="AQ30" s="153"/>
    </row>
    <row r="31" spans="1:43" s="160" customFormat="1">
      <c r="A31" s="153" t="s">
        <v>1213</v>
      </c>
      <c r="B31" s="160">
        <v>12936</v>
      </c>
      <c r="C31" s="153" t="s">
        <v>1550</v>
      </c>
      <c r="D31" s="153" t="s">
        <v>1551</v>
      </c>
      <c r="E31" s="153" t="s">
        <v>311</v>
      </c>
      <c r="F31" s="153" t="s">
        <v>1657</v>
      </c>
      <c r="G31" s="153" t="s">
        <v>1658</v>
      </c>
      <c r="H31" s="153" t="s">
        <v>321</v>
      </c>
      <c r="I31" s="153" t="s">
        <v>951</v>
      </c>
      <c r="J31" s="153" t="s">
        <v>204</v>
      </c>
      <c r="K31" s="153" t="s">
        <v>224</v>
      </c>
      <c r="L31" s="153" t="s">
        <v>325</v>
      </c>
      <c r="M31" s="153" t="s">
        <v>340</v>
      </c>
      <c r="N31" s="153" t="s">
        <v>465</v>
      </c>
      <c r="O31" s="153" t="s">
        <v>339</v>
      </c>
      <c r="P31" s="153" t="s">
        <v>1560</v>
      </c>
      <c r="Q31" s="153" t="s">
        <v>413</v>
      </c>
      <c r="R31" s="153" t="s">
        <v>407</v>
      </c>
      <c r="S31" s="153" t="s">
        <v>1212</v>
      </c>
      <c r="T31" s="154">
        <v>2.02</v>
      </c>
      <c r="U31" s="153" t="s">
        <v>1659</v>
      </c>
      <c r="V31" s="155">
        <v>7.7929999999999999E-2</v>
      </c>
      <c r="W31" s="155">
        <v>6.5199999999999994E-2</v>
      </c>
      <c r="X31" s="153" t="s">
        <v>412</v>
      </c>
      <c r="Y31" s="153" t="s">
        <v>339</v>
      </c>
      <c r="Z31" s="154">
        <v>214370</v>
      </c>
      <c r="AA31" s="154">
        <v>1</v>
      </c>
      <c r="AB31" s="154">
        <v>102.45</v>
      </c>
      <c r="AD31" s="154">
        <v>219.62200000000001</v>
      </c>
      <c r="AG31" s="157" t="s">
        <v>15</v>
      </c>
      <c r="AH31" s="155">
        <v>6.0999999999999997E-4</v>
      </c>
      <c r="AI31" s="155">
        <f t="shared" si="0"/>
        <v>1.2541888920573823E-2</v>
      </c>
      <c r="AJ31" s="155">
        <v>2.0641671748288077E-3</v>
      </c>
      <c r="AP31" s="153"/>
      <c r="AQ31" s="153"/>
    </row>
    <row r="32" spans="1:43" s="160" customFormat="1">
      <c r="A32" s="153" t="s">
        <v>1213</v>
      </c>
      <c r="B32" s="160">
        <v>12936</v>
      </c>
      <c r="C32" s="153" t="s">
        <v>1660</v>
      </c>
      <c r="D32" s="153" t="s">
        <v>1661</v>
      </c>
      <c r="E32" s="153" t="s">
        <v>309</v>
      </c>
      <c r="F32" s="153" t="s">
        <v>1662</v>
      </c>
      <c r="G32" s="153" t="s">
        <v>1663</v>
      </c>
      <c r="H32" s="153" t="s">
        <v>321</v>
      </c>
      <c r="I32" s="153" t="s">
        <v>754</v>
      </c>
      <c r="J32" s="153" t="s">
        <v>204</v>
      </c>
      <c r="K32" s="153" t="s">
        <v>204</v>
      </c>
      <c r="L32" s="153" t="s">
        <v>325</v>
      </c>
      <c r="M32" s="153" t="s">
        <v>340</v>
      </c>
      <c r="N32" s="153" t="s">
        <v>451</v>
      </c>
      <c r="O32" s="153" t="s">
        <v>339</v>
      </c>
      <c r="P32" s="153" t="s">
        <v>1614</v>
      </c>
      <c r="Q32" s="153" t="s">
        <v>415</v>
      </c>
      <c r="R32" s="153" t="s">
        <v>407</v>
      </c>
      <c r="S32" s="153" t="s">
        <v>1212</v>
      </c>
      <c r="T32" s="154">
        <v>3.02</v>
      </c>
      <c r="U32" s="153" t="s">
        <v>1664</v>
      </c>
      <c r="V32" s="155">
        <v>2.8969999999999999E-2</v>
      </c>
      <c r="W32" s="155">
        <v>3.4099999999999998E-2</v>
      </c>
      <c r="X32" s="153" t="s">
        <v>412</v>
      </c>
      <c r="Y32" s="153" t="s">
        <v>339</v>
      </c>
      <c r="Z32" s="154">
        <v>200000</v>
      </c>
      <c r="AA32" s="154">
        <v>1</v>
      </c>
      <c r="AB32" s="154">
        <v>108.68</v>
      </c>
      <c r="AD32" s="154">
        <v>217.36</v>
      </c>
      <c r="AG32" s="157" t="s">
        <v>15</v>
      </c>
      <c r="AH32" s="155">
        <v>5.6999999999999998E-4</v>
      </c>
      <c r="AI32" s="155">
        <f t="shared" si="0"/>
        <v>1.2412713552266742E-2</v>
      </c>
      <c r="AJ32" s="155">
        <v>2.0429072548323467E-3</v>
      </c>
      <c r="AP32" s="153"/>
      <c r="AQ32" s="153"/>
    </row>
    <row r="33" spans="1:43" s="160" customFormat="1">
      <c r="A33" s="153" t="s">
        <v>1213</v>
      </c>
      <c r="B33" s="160">
        <v>12936</v>
      </c>
      <c r="C33" s="153" t="s">
        <v>1665</v>
      </c>
      <c r="D33" s="153" t="s">
        <v>1666</v>
      </c>
      <c r="E33" s="153" t="s">
        <v>309</v>
      </c>
      <c r="F33" s="153" t="s">
        <v>1667</v>
      </c>
      <c r="G33" s="153" t="s">
        <v>1668</v>
      </c>
      <c r="H33" s="153" t="s">
        <v>321</v>
      </c>
      <c r="I33" s="153" t="s">
        <v>754</v>
      </c>
      <c r="J33" s="153" t="s">
        <v>204</v>
      </c>
      <c r="K33" s="153" t="s">
        <v>204</v>
      </c>
      <c r="L33" s="153" t="s">
        <v>325</v>
      </c>
      <c r="M33" s="153" t="s">
        <v>340</v>
      </c>
      <c r="N33" s="153" t="s">
        <v>451</v>
      </c>
      <c r="O33" s="153" t="s">
        <v>339</v>
      </c>
      <c r="P33" s="153" t="s">
        <v>1554</v>
      </c>
      <c r="Q33" s="153" t="s">
        <v>413</v>
      </c>
      <c r="R33" s="153" t="s">
        <v>407</v>
      </c>
      <c r="S33" s="153" t="s">
        <v>1212</v>
      </c>
      <c r="T33" s="154">
        <v>2.61</v>
      </c>
      <c r="U33" s="153" t="s">
        <v>1669</v>
      </c>
      <c r="V33" s="155">
        <v>3.5619999999999999E-2</v>
      </c>
      <c r="W33" s="155">
        <v>3.3000000000000002E-2</v>
      </c>
      <c r="X33" s="153" t="s">
        <v>412</v>
      </c>
      <c r="Y33" s="153" t="s">
        <v>339</v>
      </c>
      <c r="Z33" s="154">
        <v>189333.33</v>
      </c>
      <c r="AA33" s="154">
        <v>1</v>
      </c>
      <c r="AB33" s="154">
        <v>114.19</v>
      </c>
      <c r="AD33" s="154">
        <v>216.2</v>
      </c>
      <c r="AG33" s="157" t="s">
        <v>15</v>
      </c>
      <c r="AH33" s="155">
        <v>8.4000000000000003E-4</v>
      </c>
      <c r="AI33" s="155">
        <f t="shared" si="0"/>
        <v>1.2346469773647723E-2</v>
      </c>
      <c r="AJ33" s="155">
        <v>2.0320047317572382E-3</v>
      </c>
      <c r="AP33" s="153"/>
      <c r="AQ33" s="153"/>
    </row>
    <row r="34" spans="1:43" s="160" customFormat="1">
      <c r="A34" s="153" t="s">
        <v>1213</v>
      </c>
      <c r="B34" s="160">
        <v>12936</v>
      </c>
      <c r="C34" s="153" t="s">
        <v>1670</v>
      </c>
      <c r="D34" s="153" t="s">
        <v>1671</v>
      </c>
      <c r="E34" s="153" t="s">
        <v>309</v>
      </c>
      <c r="F34" s="153" t="s">
        <v>1672</v>
      </c>
      <c r="G34" s="153" t="s">
        <v>1673</v>
      </c>
      <c r="H34" s="153" t="s">
        <v>321</v>
      </c>
      <c r="I34" s="153" t="s">
        <v>951</v>
      </c>
      <c r="J34" s="153" t="s">
        <v>204</v>
      </c>
      <c r="K34" s="153" t="s">
        <v>204</v>
      </c>
      <c r="L34" s="153" t="s">
        <v>325</v>
      </c>
      <c r="M34" s="153" t="s">
        <v>340</v>
      </c>
      <c r="N34" s="153" t="s">
        <v>465</v>
      </c>
      <c r="O34" s="153" t="s">
        <v>339</v>
      </c>
      <c r="P34" s="153" t="s">
        <v>1614</v>
      </c>
      <c r="Q34" s="153" t="s">
        <v>415</v>
      </c>
      <c r="R34" s="153" t="s">
        <v>407</v>
      </c>
      <c r="S34" s="153" t="s">
        <v>1212</v>
      </c>
      <c r="T34" s="154">
        <v>3.33</v>
      </c>
      <c r="U34" s="153" t="s">
        <v>1587</v>
      </c>
      <c r="V34" s="155">
        <v>6.3350000000000004E-2</v>
      </c>
      <c r="W34" s="155">
        <v>6.3E-2</v>
      </c>
      <c r="X34" s="153" t="s">
        <v>412</v>
      </c>
      <c r="Y34" s="153" t="s">
        <v>339</v>
      </c>
      <c r="Z34" s="154">
        <v>208000</v>
      </c>
      <c r="AA34" s="154">
        <v>1</v>
      </c>
      <c r="AB34" s="154">
        <v>102.14</v>
      </c>
      <c r="AD34" s="154">
        <v>212.45099999999999</v>
      </c>
      <c r="AG34" s="157" t="s">
        <v>15</v>
      </c>
      <c r="AH34" s="155">
        <v>5.0000000000000001E-4</v>
      </c>
      <c r="AI34" s="155">
        <f t="shared" si="0"/>
        <v>1.2132376733955747E-2</v>
      </c>
      <c r="AJ34" s="155">
        <v>1.9967689050257031E-3</v>
      </c>
    </row>
    <row r="35" spans="1:43" s="160" customFormat="1">
      <c r="A35" s="153" t="s">
        <v>1213</v>
      </c>
      <c r="B35" s="160">
        <v>12936</v>
      </c>
      <c r="C35" s="153" t="s">
        <v>1674</v>
      </c>
      <c r="D35" s="153" t="s">
        <v>1675</v>
      </c>
      <c r="E35" s="153" t="s">
        <v>309</v>
      </c>
      <c r="F35" s="153" t="s">
        <v>1676</v>
      </c>
      <c r="G35" s="153" t="s">
        <v>1677</v>
      </c>
      <c r="H35" s="153" t="s">
        <v>321</v>
      </c>
      <c r="I35" s="153" t="s">
        <v>754</v>
      </c>
      <c r="J35" s="153" t="s">
        <v>204</v>
      </c>
      <c r="K35" s="153" t="s">
        <v>204</v>
      </c>
      <c r="L35" s="153" t="s">
        <v>325</v>
      </c>
      <c r="M35" s="153" t="s">
        <v>340</v>
      </c>
      <c r="N35" s="153" t="s">
        <v>464</v>
      </c>
      <c r="O35" s="153" t="s">
        <v>339</v>
      </c>
      <c r="P35" s="153" t="s">
        <v>1538</v>
      </c>
      <c r="Q35" s="153" t="s">
        <v>413</v>
      </c>
      <c r="R35" s="153" t="s">
        <v>407</v>
      </c>
      <c r="S35" s="153" t="s">
        <v>1212</v>
      </c>
      <c r="T35" s="154">
        <v>1.43</v>
      </c>
      <c r="U35" s="153" t="s">
        <v>1678</v>
      </c>
      <c r="V35" s="155">
        <v>1.593E-2</v>
      </c>
      <c r="W35" s="155">
        <v>2.58E-2</v>
      </c>
      <c r="X35" s="153" t="s">
        <v>412</v>
      </c>
      <c r="Y35" s="153" t="s">
        <v>339</v>
      </c>
      <c r="Z35" s="154">
        <v>183000</v>
      </c>
      <c r="AA35" s="154">
        <v>1</v>
      </c>
      <c r="AB35" s="154">
        <v>115.21</v>
      </c>
      <c r="AD35" s="154">
        <v>210.834</v>
      </c>
      <c r="AG35" s="157" t="s">
        <v>15</v>
      </c>
      <c r="AH35" s="155">
        <v>3.6999999999999999E-4</v>
      </c>
      <c r="AI35" s="155">
        <f t="shared" si="0"/>
        <v>1.2040035190829067E-2</v>
      </c>
      <c r="AJ35" s="155">
        <v>1.981571163808074E-3</v>
      </c>
    </row>
    <row r="36" spans="1:43" s="160" customFormat="1">
      <c r="A36" s="153" t="s">
        <v>1213</v>
      </c>
      <c r="B36" s="160">
        <v>12936</v>
      </c>
      <c r="C36" s="153" t="s">
        <v>1679</v>
      </c>
      <c r="D36" s="153" t="s">
        <v>1680</v>
      </c>
      <c r="E36" s="153" t="s">
        <v>309</v>
      </c>
      <c r="F36" s="153" t="s">
        <v>1681</v>
      </c>
      <c r="G36" s="153" t="s">
        <v>1682</v>
      </c>
      <c r="H36" s="153" t="s">
        <v>321</v>
      </c>
      <c r="I36" s="153" t="s">
        <v>951</v>
      </c>
      <c r="J36" s="153" t="s">
        <v>204</v>
      </c>
      <c r="K36" s="153" t="s">
        <v>204</v>
      </c>
      <c r="L36" s="153" t="s">
        <v>327</v>
      </c>
      <c r="M36" s="153" t="s">
        <v>340</v>
      </c>
      <c r="N36" s="153" t="s">
        <v>447</v>
      </c>
      <c r="O36" s="153" t="s">
        <v>339</v>
      </c>
      <c r="Q36" s="153" t="s">
        <v>410</v>
      </c>
      <c r="R36" s="153" t="s">
        <v>410</v>
      </c>
      <c r="S36" s="153" t="s">
        <v>1212</v>
      </c>
      <c r="T36" s="154">
        <v>2.0499999999999998</v>
      </c>
      <c r="U36" s="153" t="s">
        <v>1572</v>
      </c>
      <c r="V36" s="155">
        <v>6.6100000000000006E-2</v>
      </c>
      <c r="W36" s="155">
        <v>7.1099999999999997E-2</v>
      </c>
      <c r="X36" s="153" t="s">
        <v>412</v>
      </c>
      <c r="Y36" s="153" t="s">
        <v>339</v>
      </c>
      <c r="Z36" s="154">
        <v>100000</v>
      </c>
      <c r="AA36" s="154">
        <v>1</v>
      </c>
      <c r="AB36" s="154">
        <f>AD36*1000/Z36*100</f>
        <v>104.730710382514</v>
      </c>
      <c r="AD36" s="154">
        <f>104730.710382514/1000</f>
        <v>104.73071038251399</v>
      </c>
      <c r="AG36" s="157" t="s">
        <v>15</v>
      </c>
      <c r="AH36" s="155">
        <v>1.5399999999999999E-3</v>
      </c>
      <c r="AI36" s="155">
        <f t="shared" si="0"/>
        <v>5.9808258561996428E-3</v>
      </c>
      <c r="AJ36" s="155">
        <v>9.8433533329123665E-4</v>
      </c>
    </row>
    <row r="37" spans="1:43" s="160" customFormat="1">
      <c r="A37" s="153" t="s">
        <v>1213</v>
      </c>
      <c r="B37" s="160">
        <v>12936</v>
      </c>
      <c r="C37" s="153" t="s">
        <v>1683</v>
      </c>
      <c r="D37" s="153" t="s">
        <v>1684</v>
      </c>
      <c r="E37" s="153" t="s">
        <v>309</v>
      </c>
      <c r="F37" s="153" t="s">
        <v>1685</v>
      </c>
      <c r="G37" s="153" t="s">
        <v>1686</v>
      </c>
      <c r="H37" s="153" t="s">
        <v>321</v>
      </c>
      <c r="I37" s="153" t="s">
        <v>754</v>
      </c>
      <c r="J37" s="153" t="s">
        <v>204</v>
      </c>
      <c r="K37" s="153" t="s">
        <v>204</v>
      </c>
      <c r="L37" s="153" t="s">
        <v>325</v>
      </c>
      <c r="M37" s="153" t="s">
        <v>340</v>
      </c>
      <c r="N37" s="153" t="s">
        <v>441</v>
      </c>
      <c r="O37" s="153" t="s">
        <v>339</v>
      </c>
      <c r="Q37" s="153" t="s">
        <v>410</v>
      </c>
      <c r="R37" s="153" t="s">
        <v>410</v>
      </c>
      <c r="S37" s="153" t="s">
        <v>1212</v>
      </c>
      <c r="T37" s="154">
        <v>2.4900000000000002</v>
      </c>
      <c r="U37" s="153" t="s">
        <v>1528</v>
      </c>
      <c r="V37" s="155">
        <v>4.0599999999999997E-2</v>
      </c>
      <c r="W37" s="155">
        <v>3.1399999999999997E-2</v>
      </c>
      <c r="X37" s="153" t="s">
        <v>412</v>
      </c>
      <c r="Y37" s="153" t="s">
        <v>339</v>
      </c>
      <c r="Z37" s="154">
        <v>185714.29</v>
      </c>
      <c r="AA37" s="154">
        <v>1</v>
      </c>
      <c r="AB37" s="154">
        <v>109.1</v>
      </c>
      <c r="AD37" s="154">
        <v>202.614</v>
      </c>
      <c r="AG37" s="157" t="s">
        <v>15</v>
      </c>
      <c r="AH37" s="155">
        <v>2.5000000000000001E-4</v>
      </c>
      <c r="AI37" s="155">
        <f t="shared" si="0"/>
        <v>1.1570618069925346E-2</v>
      </c>
      <c r="AJ37" s="155">
        <v>1.9043136296034277E-3</v>
      </c>
    </row>
    <row r="38" spans="1:43" s="160" customFormat="1">
      <c r="A38" s="153" t="s">
        <v>1213</v>
      </c>
      <c r="B38" s="160">
        <v>12936</v>
      </c>
      <c r="C38" s="153" t="s">
        <v>1687</v>
      </c>
      <c r="D38" s="153" t="s">
        <v>1688</v>
      </c>
      <c r="E38" s="153" t="s">
        <v>309</v>
      </c>
      <c r="F38" s="153" t="s">
        <v>1689</v>
      </c>
      <c r="G38" s="153" t="s">
        <v>1690</v>
      </c>
      <c r="H38" s="153" t="s">
        <v>321</v>
      </c>
      <c r="I38" s="153" t="s">
        <v>754</v>
      </c>
      <c r="J38" s="153" t="s">
        <v>204</v>
      </c>
      <c r="K38" s="153" t="s">
        <v>204</v>
      </c>
      <c r="L38" s="153" t="s">
        <v>325</v>
      </c>
      <c r="M38" s="153" t="s">
        <v>340</v>
      </c>
      <c r="N38" s="153" t="s">
        <v>465</v>
      </c>
      <c r="O38" s="153" t="s">
        <v>339</v>
      </c>
      <c r="P38" s="153" t="s">
        <v>1614</v>
      </c>
      <c r="Q38" s="153" t="s">
        <v>415</v>
      </c>
      <c r="R38" s="153" t="s">
        <v>407</v>
      </c>
      <c r="S38" s="153" t="s">
        <v>1212</v>
      </c>
      <c r="T38" s="154">
        <v>4.1399999999999997</v>
      </c>
      <c r="U38" s="153" t="s">
        <v>1587</v>
      </c>
      <c r="V38" s="155">
        <v>3.3500000000000002E-2</v>
      </c>
      <c r="W38" s="155">
        <v>3.39E-2</v>
      </c>
      <c r="X38" s="153" t="s">
        <v>412</v>
      </c>
      <c r="Y38" s="153" t="s">
        <v>339</v>
      </c>
      <c r="Z38" s="154">
        <v>194000</v>
      </c>
      <c r="AA38" s="154">
        <v>1</v>
      </c>
      <c r="AB38" s="154">
        <v>103.89</v>
      </c>
      <c r="AD38" s="154">
        <v>201.547</v>
      </c>
      <c r="AG38" s="157" t="s">
        <v>15</v>
      </c>
      <c r="AH38" s="155">
        <v>2.7E-4</v>
      </c>
      <c r="AI38" s="155">
        <f t="shared" si="0"/>
        <v>1.1509685214936992E-2</v>
      </c>
      <c r="AJ38" s="155">
        <v>1.894285188119686E-3</v>
      </c>
    </row>
    <row r="39" spans="1:43" s="160" customFormat="1">
      <c r="A39" s="153" t="s">
        <v>1213</v>
      </c>
      <c r="B39" s="160">
        <v>12936</v>
      </c>
      <c r="C39" s="153" t="s">
        <v>1691</v>
      </c>
      <c r="D39" s="153" t="s">
        <v>1692</v>
      </c>
      <c r="E39" s="153" t="s">
        <v>309</v>
      </c>
      <c r="F39" s="153" t="s">
        <v>1693</v>
      </c>
      <c r="G39" s="153" t="s">
        <v>1694</v>
      </c>
      <c r="H39" s="153" t="s">
        <v>321</v>
      </c>
      <c r="I39" s="153" t="s">
        <v>754</v>
      </c>
      <c r="J39" s="153" t="s">
        <v>204</v>
      </c>
      <c r="K39" s="153" t="s">
        <v>204</v>
      </c>
      <c r="L39" s="153" t="s">
        <v>325</v>
      </c>
      <c r="M39" s="153" t="s">
        <v>340</v>
      </c>
      <c r="N39" s="153" t="s">
        <v>464</v>
      </c>
      <c r="O39" s="153" t="s">
        <v>339</v>
      </c>
      <c r="P39" s="153" t="s">
        <v>1538</v>
      </c>
      <c r="Q39" s="153" t="s">
        <v>413</v>
      </c>
      <c r="R39" s="153" t="s">
        <v>407</v>
      </c>
      <c r="S39" s="153" t="s">
        <v>1212</v>
      </c>
      <c r="T39" s="154">
        <v>6.65</v>
      </c>
      <c r="U39" s="153" t="s">
        <v>1695</v>
      </c>
      <c r="V39" s="155">
        <v>2.784E-2</v>
      </c>
      <c r="W39" s="155">
        <v>3.39E-2</v>
      </c>
      <c r="X39" s="153" t="s">
        <v>412</v>
      </c>
      <c r="Y39" s="153" t="s">
        <v>339</v>
      </c>
      <c r="Z39" s="154">
        <v>184300</v>
      </c>
      <c r="AA39" s="154">
        <v>1</v>
      </c>
      <c r="AB39" s="154">
        <v>109.06</v>
      </c>
      <c r="AD39" s="154">
        <v>200.99799999999999</v>
      </c>
      <c r="AG39" s="157" t="s">
        <v>15</v>
      </c>
      <c r="AH39" s="155">
        <v>2.2000000000000001E-4</v>
      </c>
      <c r="AI39" s="155">
        <f t="shared" si="0"/>
        <v>1.1478333633504371E-2</v>
      </c>
      <c r="AJ39" s="155">
        <v>1.8891252871125874E-3</v>
      </c>
    </row>
    <row r="40" spans="1:43" s="160" customFormat="1">
      <c r="A40" s="153" t="s">
        <v>1213</v>
      </c>
      <c r="B40" s="160">
        <v>12936</v>
      </c>
      <c r="C40" s="153" t="s">
        <v>1696</v>
      </c>
      <c r="D40" s="153" t="s">
        <v>1697</v>
      </c>
      <c r="E40" s="153" t="s">
        <v>309</v>
      </c>
      <c r="F40" s="153" t="s">
        <v>1698</v>
      </c>
      <c r="G40" s="153" t="s">
        <v>1699</v>
      </c>
      <c r="H40" s="153" t="s">
        <v>321</v>
      </c>
      <c r="I40" s="153" t="s">
        <v>951</v>
      </c>
      <c r="J40" s="153" t="s">
        <v>204</v>
      </c>
      <c r="K40" s="153" t="s">
        <v>204</v>
      </c>
      <c r="L40" s="153" t="s">
        <v>325</v>
      </c>
      <c r="M40" s="153" t="s">
        <v>340</v>
      </c>
      <c r="N40" s="153" t="s">
        <v>464</v>
      </c>
      <c r="O40" s="153" t="s">
        <v>339</v>
      </c>
      <c r="Q40" s="153" t="s">
        <v>410</v>
      </c>
      <c r="R40" s="153" t="s">
        <v>410</v>
      </c>
      <c r="S40" s="153" t="s">
        <v>1212</v>
      </c>
      <c r="T40" s="154">
        <v>0.92</v>
      </c>
      <c r="U40" s="153" t="s">
        <v>1700</v>
      </c>
      <c r="V40" s="155">
        <v>8.7529999999999997E-2</v>
      </c>
      <c r="W40" s="155">
        <v>8.6900000000000005E-2</v>
      </c>
      <c r="X40" s="153" t="s">
        <v>412</v>
      </c>
      <c r="Y40" s="153" t="s">
        <v>339</v>
      </c>
      <c r="Z40" s="154">
        <v>200000</v>
      </c>
      <c r="AA40" s="154">
        <v>1</v>
      </c>
      <c r="AB40" s="154">
        <v>100.1</v>
      </c>
      <c r="AD40" s="154">
        <v>200.2</v>
      </c>
      <c r="AG40" s="157" t="s">
        <v>15</v>
      </c>
      <c r="AH40" s="155">
        <v>1.82E-3</v>
      </c>
      <c r="AI40" s="155">
        <f t="shared" si="0"/>
        <v>1.1432762482350945E-2</v>
      </c>
      <c r="AJ40" s="155">
        <v>1.8816251031350559E-3</v>
      </c>
    </row>
    <row r="41" spans="1:43" s="160" customFormat="1">
      <c r="A41" s="153" t="s">
        <v>1213</v>
      </c>
      <c r="B41" s="160">
        <v>12936</v>
      </c>
      <c r="C41" s="153" t="s">
        <v>1701</v>
      </c>
      <c r="D41" s="153" t="s">
        <v>1702</v>
      </c>
      <c r="E41" s="153" t="s">
        <v>311</v>
      </c>
      <c r="F41" s="153" t="s">
        <v>1703</v>
      </c>
      <c r="G41" s="153" t="s">
        <v>1704</v>
      </c>
      <c r="H41" s="153" t="s">
        <v>321</v>
      </c>
      <c r="I41" s="153" t="s">
        <v>951</v>
      </c>
      <c r="J41" s="153" t="s">
        <v>204</v>
      </c>
      <c r="K41" s="153" t="s">
        <v>224</v>
      </c>
      <c r="L41" s="153" t="s">
        <v>325</v>
      </c>
      <c r="M41" s="153" t="s">
        <v>340</v>
      </c>
      <c r="N41" s="153" t="s">
        <v>465</v>
      </c>
      <c r="O41" s="153" t="s">
        <v>339</v>
      </c>
      <c r="P41" s="153" t="s">
        <v>1566</v>
      </c>
      <c r="Q41" s="153" t="s">
        <v>413</v>
      </c>
      <c r="R41" s="153" t="s">
        <v>407</v>
      </c>
      <c r="S41" s="153" t="s">
        <v>1212</v>
      </c>
      <c r="T41" s="154">
        <v>2.96</v>
      </c>
      <c r="U41" s="153" t="s">
        <v>1308</v>
      </c>
      <c r="V41" s="155">
        <v>8.4330000000000002E-2</v>
      </c>
      <c r="W41" s="155">
        <v>9.69E-2</v>
      </c>
      <c r="X41" s="153" t="s">
        <v>412</v>
      </c>
      <c r="Y41" s="153" t="s">
        <v>339</v>
      </c>
      <c r="Z41" s="154">
        <v>196000</v>
      </c>
      <c r="AA41" s="154">
        <v>1</v>
      </c>
      <c r="AB41" s="154">
        <v>100.91</v>
      </c>
      <c r="AD41" s="154">
        <v>197.78399999999999</v>
      </c>
      <c r="AG41" s="157" t="s">
        <v>15</v>
      </c>
      <c r="AH41" s="155">
        <v>3.3E-4</v>
      </c>
      <c r="AI41" s="155">
        <f t="shared" si="0"/>
        <v>1.1294792681365131E-2</v>
      </c>
      <c r="AJ41" s="155">
        <v>1.8589177792131064E-3</v>
      </c>
    </row>
    <row r="42" spans="1:43" s="160" customFormat="1">
      <c r="A42" s="153" t="s">
        <v>1213</v>
      </c>
      <c r="B42" s="160">
        <v>12936</v>
      </c>
      <c r="C42" s="153" t="s">
        <v>1705</v>
      </c>
      <c r="D42" s="153" t="s">
        <v>1706</v>
      </c>
      <c r="E42" s="153" t="s">
        <v>311</v>
      </c>
      <c r="F42" s="153" t="s">
        <v>1707</v>
      </c>
      <c r="G42" s="153" t="s">
        <v>1708</v>
      </c>
      <c r="H42" s="153" t="s">
        <v>321</v>
      </c>
      <c r="I42" s="153" t="s">
        <v>951</v>
      </c>
      <c r="J42" s="153" t="s">
        <v>204</v>
      </c>
      <c r="K42" s="153" t="s">
        <v>224</v>
      </c>
      <c r="L42" s="153" t="s">
        <v>325</v>
      </c>
      <c r="M42" s="153" t="s">
        <v>340</v>
      </c>
      <c r="N42" s="153" t="s">
        <v>443</v>
      </c>
      <c r="O42" s="153" t="s">
        <v>339</v>
      </c>
      <c r="P42" s="153" t="s">
        <v>1544</v>
      </c>
      <c r="Q42" s="153" t="s">
        <v>415</v>
      </c>
      <c r="R42" s="153" t="s">
        <v>407</v>
      </c>
      <c r="S42" s="153" t="s">
        <v>1212</v>
      </c>
      <c r="T42" s="154">
        <v>0.96</v>
      </c>
      <c r="U42" s="153" t="s">
        <v>1709</v>
      </c>
      <c r="V42" s="155">
        <v>7.639E-2</v>
      </c>
      <c r="W42" s="155">
        <v>6.4100000000000004E-2</v>
      </c>
      <c r="X42" s="153" t="s">
        <v>412</v>
      </c>
      <c r="Y42" s="153" t="s">
        <v>339</v>
      </c>
      <c r="Z42" s="154">
        <v>200000.54</v>
      </c>
      <c r="AA42" s="154">
        <v>1</v>
      </c>
      <c r="AB42" s="154">
        <v>98.68</v>
      </c>
      <c r="AD42" s="154">
        <v>197.36099999999999</v>
      </c>
      <c r="AG42" s="157" t="s">
        <v>15</v>
      </c>
      <c r="AH42" s="155">
        <v>3.2000000000000003E-4</v>
      </c>
      <c r="AI42" s="155">
        <f t="shared" si="0"/>
        <v>1.1270636544851472E-2</v>
      </c>
      <c r="AJ42" s="155">
        <v>1.8549421177814075E-3</v>
      </c>
    </row>
    <row r="43" spans="1:43" s="160" customFormat="1">
      <c r="A43" s="153" t="s">
        <v>1213</v>
      </c>
      <c r="B43" s="160">
        <v>12936</v>
      </c>
      <c r="C43" s="153" t="s">
        <v>1605</v>
      </c>
      <c r="D43" s="153" t="s">
        <v>1606</v>
      </c>
      <c r="E43" s="153" t="s">
        <v>311</v>
      </c>
      <c r="F43" s="153" t="s">
        <v>1710</v>
      </c>
      <c r="G43" s="153" t="s">
        <v>1711</v>
      </c>
      <c r="H43" s="153" t="s">
        <v>321</v>
      </c>
      <c r="I43" s="153" t="s">
        <v>951</v>
      </c>
      <c r="J43" s="153" t="s">
        <v>204</v>
      </c>
      <c r="K43" s="153" t="s">
        <v>224</v>
      </c>
      <c r="L43" s="153" t="s">
        <v>325</v>
      </c>
      <c r="M43" s="153" t="s">
        <v>340</v>
      </c>
      <c r="N43" s="153" t="s">
        <v>465</v>
      </c>
      <c r="O43" s="153" t="s">
        <v>339</v>
      </c>
      <c r="P43" s="153" t="s">
        <v>1538</v>
      </c>
      <c r="Q43" s="153" t="s">
        <v>413</v>
      </c>
      <c r="R43" s="153" t="s">
        <v>407</v>
      </c>
      <c r="S43" s="153" t="s">
        <v>1212</v>
      </c>
      <c r="T43" s="154">
        <v>3.93</v>
      </c>
      <c r="U43" s="153" t="s">
        <v>1712</v>
      </c>
      <c r="V43" s="155">
        <v>5.2449999999999997E-2</v>
      </c>
      <c r="W43" s="155">
        <v>6.1699999999999998E-2</v>
      </c>
      <c r="X43" s="153" t="s">
        <v>412</v>
      </c>
      <c r="Y43" s="153" t="s">
        <v>339</v>
      </c>
      <c r="Z43" s="154">
        <v>188000</v>
      </c>
      <c r="AA43" s="154">
        <v>1</v>
      </c>
      <c r="AB43" s="154">
        <v>103.18</v>
      </c>
      <c r="AD43" s="154">
        <v>193.97800000000001</v>
      </c>
      <c r="AG43" s="157" t="s">
        <v>15</v>
      </c>
      <c r="AH43" s="155">
        <v>3.4000000000000002E-4</v>
      </c>
      <c r="AI43" s="155">
        <f t="shared" si="0"/>
        <v>1.107744455944791E-2</v>
      </c>
      <c r="AJ43" s="155">
        <v>1.823146225054605E-3</v>
      </c>
    </row>
    <row r="44" spans="1:43" s="160" customFormat="1">
      <c r="A44" s="153" t="s">
        <v>1213</v>
      </c>
      <c r="B44" s="160">
        <v>12936</v>
      </c>
      <c r="C44" s="153" t="s">
        <v>1713</v>
      </c>
      <c r="D44" s="153" t="s">
        <v>1714</v>
      </c>
      <c r="E44" s="153" t="s">
        <v>309</v>
      </c>
      <c r="F44" s="153" t="s">
        <v>1715</v>
      </c>
      <c r="G44" s="153" t="s">
        <v>1716</v>
      </c>
      <c r="H44" s="153" t="s">
        <v>321</v>
      </c>
      <c r="I44" s="153" t="s">
        <v>754</v>
      </c>
      <c r="J44" s="153" t="s">
        <v>204</v>
      </c>
      <c r="K44" s="153" t="s">
        <v>204</v>
      </c>
      <c r="L44" s="153" t="s">
        <v>325</v>
      </c>
      <c r="M44" s="153" t="s">
        <v>340</v>
      </c>
      <c r="N44" s="153" t="s">
        <v>459</v>
      </c>
      <c r="O44" s="153" t="s">
        <v>339</v>
      </c>
      <c r="Q44" s="153" t="s">
        <v>410</v>
      </c>
      <c r="R44" s="153" t="s">
        <v>410</v>
      </c>
      <c r="S44" s="153" t="s">
        <v>1212</v>
      </c>
      <c r="T44" s="154">
        <v>4.58</v>
      </c>
      <c r="U44" s="153" t="s">
        <v>1717</v>
      </c>
      <c r="V44" s="155">
        <v>3.5159999999999997E-2</v>
      </c>
      <c r="W44" s="155">
        <v>3.8899999999999997E-2</v>
      </c>
      <c r="X44" s="153" t="s">
        <v>412</v>
      </c>
      <c r="Y44" s="153" t="s">
        <v>339</v>
      </c>
      <c r="Z44" s="154">
        <v>189000</v>
      </c>
      <c r="AA44" s="154">
        <v>1</v>
      </c>
      <c r="AB44" s="154">
        <v>101.18</v>
      </c>
      <c r="AD44" s="154">
        <v>191.23</v>
      </c>
      <c r="AG44" s="157" t="s">
        <v>15</v>
      </c>
      <c r="AH44" s="155">
        <v>5.5999999999999995E-4</v>
      </c>
      <c r="AI44" s="155">
        <f t="shared" si="0"/>
        <v>1.0920515332167688E-2</v>
      </c>
      <c r="AJ44" s="155">
        <v>1.797318523838745E-3</v>
      </c>
    </row>
    <row r="45" spans="1:43" s="160" customFormat="1">
      <c r="A45" s="153" t="s">
        <v>1213</v>
      </c>
      <c r="B45" s="160">
        <v>12936</v>
      </c>
      <c r="C45" s="153" t="s">
        <v>1718</v>
      </c>
      <c r="D45" s="153" t="s">
        <v>1719</v>
      </c>
      <c r="E45" s="153" t="s">
        <v>309</v>
      </c>
      <c r="F45" s="153" t="s">
        <v>1720</v>
      </c>
      <c r="G45" s="153" t="s">
        <v>1721</v>
      </c>
      <c r="H45" s="153" t="s">
        <v>321</v>
      </c>
      <c r="I45" s="153" t="s">
        <v>951</v>
      </c>
      <c r="J45" s="153" t="s">
        <v>204</v>
      </c>
      <c r="K45" s="153" t="s">
        <v>204</v>
      </c>
      <c r="L45" s="153" t="s">
        <v>325</v>
      </c>
      <c r="M45" s="153" t="s">
        <v>340</v>
      </c>
      <c r="N45" s="153" t="s">
        <v>440</v>
      </c>
      <c r="O45" s="153" t="s">
        <v>339</v>
      </c>
      <c r="P45" s="153" t="s">
        <v>1527</v>
      </c>
      <c r="Q45" s="153" t="s">
        <v>415</v>
      </c>
      <c r="R45" s="153" t="s">
        <v>407</v>
      </c>
      <c r="S45" s="153" t="s">
        <v>1212</v>
      </c>
      <c r="T45" s="154">
        <v>3</v>
      </c>
      <c r="U45" s="153" t="s">
        <v>1722</v>
      </c>
      <c r="V45" s="155">
        <v>7.2499999999999995E-2</v>
      </c>
      <c r="W45" s="155">
        <v>6.4000000000000001E-2</v>
      </c>
      <c r="X45" s="153" t="s">
        <v>412</v>
      </c>
      <c r="Y45" s="153" t="s">
        <v>339</v>
      </c>
      <c r="Z45" s="154">
        <v>180000</v>
      </c>
      <c r="AA45" s="154">
        <v>1</v>
      </c>
      <c r="AB45" s="154">
        <v>105.92</v>
      </c>
      <c r="AD45" s="154">
        <v>190.65600000000001</v>
      </c>
      <c r="AG45" s="157" t="s">
        <v>15</v>
      </c>
      <c r="AH45" s="155">
        <v>2.5000000000000001E-4</v>
      </c>
      <c r="AI45" s="155">
        <f t="shared" si="0"/>
        <v>1.0887736083092417E-2</v>
      </c>
      <c r="AJ45" s="155">
        <v>1.7919236546619242E-3</v>
      </c>
    </row>
    <row r="46" spans="1:43" s="160" customFormat="1">
      <c r="A46" s="153" t="s">
        <v>1213</v>
      </c>
      <c r="B46" s="160">
        <v>12936</v>
      </c>
      <c r="C46" s="153" t="s">
        <v>1723</v>
      </c>
      <c r="D46" s="153" t="s">
        <v>1724</v>
      </c>
      <c r="E46" s="153" t="s">
        <v>309</v>
      </c>
      <c r="F46" s="153" t="s">
        <v>1725</v>
      </c>
      <c r="G46" s="153" t="s">
        <v>1726</v>
      </c>
      <c r="H46" s="153" t="s">
        <v>321</v>
      </c>
      <c r="I46" s="153" t="s">
        <v>951</v>
      </c>
      <c r="J46" s="153" t="s">
        <v>204</v>
      </c>
      <c r="K46" s="153" t="s">
        <v>204</v>
      </c>
      <c r="L46" s="153" t="s">
        <v>325</v>
      </c>
      <c r="M46" s="153" t="s">
        <v>340</v>
      </c>
      <c r="N46" s="153" t="s">
        <v>447</v>
      </c>
      <c r="O46" s="153" t="s">
        <v>339</v>
      </c>
      <c r="Q46" s="153" t="s">
        <v>410</v>
      </c>
      <c r="R46" s="153" t="s">
        <v>410</v>
      </c>
      <c r="S46" s="153" t="s">
        <v>1212</v>
      </c>
      <c r="T46" s="154">
        <v>4.03</v>
      </c>
      <c r="U46" s="153" t="s">
        <v>1727</v>
      </c>
      <c r="V46" s="155">
        <v>5.8900000000000001E-2</v>
      </c>
      <c r="W46" s="155">
        <v>6.6600000000000006E-2</v>
      </c>
      <c r="X46" s="153" t="s">
        <v>412</v>
      </c>
      <c r="Y46" s="153" t="s">
        <v>339</v>
      </c>
      <c r="Z46" s="154">
        <v>183000</v>
      </c>
      <c r="AA46" s="154">
        <v>1</v>
      </c>
      <c r="AB46" s="154">
        <v>103.07</v>
      </c>
      <c r="AD46" s="154">
        <v>188.61799999999999</v>
      </c>
      <c r="AG46" s="157" t="s">
        <v>15</v>
      </c>
      <c r="AH46" s="155">
        <v>6.7000000000000002E-4</v>
      </c>
      <c r="AI46" s="155">
        <f t="shared" si="0"/>
        <v>1.0771352616863489E-2</v>
      </c>
      <c r="AJ46" s="155">
        <v>1.7727690494661738E-3</v>
      </c>
    </row>
    <row r="47" spans="1:43" s="160" customFormat="1">
      <c r="A47" s="153" t="s">
        <v>1213</v>
      </c>
      <c r="B47" s="160">
        <v>12936</v>
      </c>
      <c r="C47" s="153" t="s">
        <v>1728</v>
      </c>
      <c r="D47" s="153" t="s">
        <v>1729</v>
      </c>
      <c r="E47" s="153" t="s">
        <v>309</v>
      </c>
      <c r="F47" s="153" t="s">
        <v>1730</v>
      </c>
      <c r="G47" s="153" t="s">
        <v>1731</v>
      </c>
      <c r="H47" s="153" t="s">
        <v>321</v>
      </c>
      <c r="I47" s="153" t="s">
        <v>754</v>
      </c>
      <c r="J47" s="153" t="s">
        <v>204</v>
      </c>
      <c r="K47" s="153" t="s">
        <v>204</v>
      </c>
      <c r="L47" s="153" t="s">
        <v>325</v>
      </c>
      <c r="M47" s="153" t="s">
        <v>340</v>
      </c>
      <c r="N47" s="153" t="s">
        <v>461</v>
      </c>
      <c r="O47" s="153" t="s">
        <v>339</v>
      </c>
      <c r="P47" s="153" t="s">
        <v>1614</v>
      </c>
      <c r="Q47" s="153" t="s">
        <v>415</v>
      </c>
      <c r="R47" s="153" t="s">
        <v>407</v>
      </c>
      <c r="S47" s="153" t="s">
        <v>1212</v>
      </c>
      <c r="T47" s="154">
        <v>3.49</v>
      </c>
      <c r="U47" s="153" t="s">
        <v>1732</v>
      </c>
      <c r="V47" s="155">
        <v>4.6580000000000003E-2</v>
      </c>
      <c r="W47" s="155">
        <v>3.4700000000000002E-2</v>
      </c>
      <c r="X47" s="153" t="s">
        <v>412</v>
      </c>
      <c r="Y47" s="153" t="s">
        <v>339</v>
      </c>
      <c r="Z47" s="154">
        <v>168330</v>
      </c>
      <c r="AA47" s="154">
        <v>1</v>
      </c>
      <c r="AB47" s="154">
        <v>108.96</v>
      </c>
      <c r="AD47" s="154">
        <v>183.41200000000001</v>
      </c>
      <c r="AG47" s="157" t="s">
        <v>15</v>
      </c>
      <c r="AH47" s="155">
        <v>3.8999999999999999E-4</v>
      </c>
      <c r="AI47" s="155">
        <f t="shared" si="0"/>
        <v>1.04740551069578E-2</v>
      </c>
      <c r="AJ47" s="155">
        <v>1.7238392778032314E-3</v>
      </c>
    </row>
    <row r="48" spans="1:43" s="160" customFormat="1">
      <c r="A48" s="153" t="s">
        <v>1213</v>
      </c>
      <c r="B48" s="160">
        <v>12936</v>
      </c>
      <c r="C48" s="153" t="s">
        <v>1733</v>
      </c>
      <c r="D48" s="153" t="s">
        <v>1734</v>
      </c>
      <c r="E48" s="153" t="s">
        <v>309</v>
      </c>
      <c r="F48" s="153" t="s">
        <v>1735</v>
      </c>
      <c r="G48" s="153" t="s">
        <v>1736</v>
      </c>
      <c r="H48" s="153" t="s">
        <v>321</v>
      </c>
      <c r="I48" s="153" t="s">
        <v>951</v>
      </c>
      <c r="J48" s="153" t="s">
        <v>204</v>
      </c>
      <c r="K48" s="153" t="s">
        <v>204</v>
      </c>
      <c r="L48" s="153" t="s">
        <v>327</v>
      </c>
      <c r="M48" s="153" t="s">
        <v>340</v>
      </c>
      <c r="N48" s="153" t="s">
        <v>447</v>
      </c>
      <c r="O48" s="153" t="s">
        <v>339</v>
      </c>
      <c r="Q48" s="153" t="s">
        <v>410</v>
      </c>
      <c r="R48" s="153" t="s">
        <v>410</v>
      </c>
      <c r="S48" s="153" t="s">
        <v>1212</v>
      </c>
      <c r="T48" s="154">
        <v>1.61</v>
      </c>
      <c r="U48" s="153" t="s">
        <v>1343</v>
      </c>
      <c r="V48" s="155">
        <v>8.5930000000000006E-2</v>
      </c>
      <c r="W48" s="155">
        <v>6.9900000000000004E-2</v>
      </c>
      <c r="X48" s="153" t="s">
        <v>412</v>
      </c>
      <c r="Y48" s="153" t="s">
        <v>339</v>
      </c>
      <c r="Z48" s="154">
        <v>182700</v>
      </c>
      <c r="AA48" s="154">
        <v>1</v>
      </c>
      <c r="AB48" s="154">
        <f>AD48*1000/Z48*100</f>
        <v>99.21893814997263</v>
      </c>
      <c r="AD48" s="154">
        <f>182.243-0.97</f>
        <v>181.273</v>
      </c>
      <c r="AG48" s="157" t="s">
        <v>15</v>
      </c>
      <c r="AH48" s="155">
        <v>1.74E-3</v>
      </c>
      <c r="AI48" s="155">
        <f t="shared" si="0"/>
        <v>1.0351903863452562E-2</v>
      </c>
      <c r="AJ48" s="155">
        <v>1.7037354012018032E-3</v>
      </c>
    </row>
    <row r="49" spans="1:36" s="160" customFormat="1">
      <c r="A49" s="153" t="s">
        <v>1213</v>
      </c>
      <c r="B49" s="160">
        <v>12936</v>
      </c>
      <c r="C49" s="153" t="s">
        <v>1737</v>
      </c>
      <c r="D49" s="153" t="s">
        <v>1738</v>
      </c>
      <c r="E49" s="153" t="s">
        <v>309</v>
      </c>
      <c r="F49" s="153" t="s">
        <v>1739</v>
      </c>
      <c r="G49" s="153" t="s">
        <v>1740</v>
      </c>
      <c r="H49" s="153" t="s">
        <v>321</v>
      </c>
      <c r="I49" s="153" t="s">
        <v>951</v>
      </c>
      <c r="J49" s="153" t="s">
        <v>204</v>
      </c>
      <c r="K49" s="153" t="s">
        <v>204</v>
      </c>
      <c r="L49" s="153" t="s">
        <v>325</v>
      </c>
      <c r="M49" s="153" t="s">
        <v>340</v>
      </c>
      <c r="N49" s="153" t="s">
        <v>447</v>
      </c>
      <c r="O49" s="153" t="s">
        <v>339</v>
      </c>
      <c r="Q49" s="153" t="s">
        <v>410</v>
      </c>
      <c r="R49" s="153" t="s">
        <v>410</v>
      </c>
      <c r="S49" s="153" t="s">
        <v>1212</v>
      </c>
      <c r="T49" s="154">
        <v>2.52</v>
      </c>
      <c r="U49" s="153" t="s">
        <v>1741</v>
      </c>
      <c r="V49" s="155">
        <v>5.6779999999999997E-2</v>
      </c>
      <c r="W49" s="155">
        <v>8.0600000000000005E-2</v>
      </c>
      <c r="X49" s="153" t="s">
        <v>412</v>
      </c>
      <c r="Y49" s="153" t="s">
        <v>339</v>
      </c>
      <c r="Z49" s="154">
        <v>183000</v>
      </c>
      <c r="AA49" s="154">
        <v>1</v>
      </c>
      <c r="AB49" s="154">
        <v>98.98</v>
      </c>
      <c r="AD49" s="154">
        <v>181.13300000000001</v>
      </c>
      <c r="AG49" s="157" t="s">
        <v>15</v>
      </c>
      <c r="AH49" s="155">
        <v>1.48E-3</v>
      </c>
      <c r="AI49" s="155">
        <f t="shared" si="0"/>
        <v>1.0343908924653715E-2</v>
      </c>
      <c r="AJ49" s="155">
        <v>1.7024195794513592E-3</v>
      </c>
    </row>
    <row r="50" spans="1:36" s="160" customFormat="1">
      <c r="A50" s="153" t="s">
        <v>1213</v>
      </c>
      <c r="B50" s="160">
        <v>12936</v>
      </c>
      <c r="C50" s="153" t="s">
        <v>1550</v>
      </c>
      <c r="D50" s="153" t="s">
        <v>1551</v>
      </c>
      <c r="E50" s="153" t="s">
        <v>311</v>
      </c>
      <c r="F50" s="153" t="s">
        <v>1742</v>
      </c>
      <c r="G50" s="153" t="s">
        <v>1743</v>
      </c>
      <c r="H50" s="153" t="s">
        <v>321</v>
      </c>
      <c r="I50" s="153" t="s">
        <v>951</v>
      </c>
      <c r="J50" s="153" t="s">
        <v>204</v>
      </c>
      <c r="K50" s="153" t="s">
        <v>224</v>
      </c>
      <c r="L50" s="153" t="s">
        <v>325</v>
      </c>
      <c r="M50" s="153" t="s">
        <v>340</v>
      </c>
      <c r="N50" s="153" t="s">
        <v>465</v>
      </c>
      <c r="O50" s="153" t="s">
        <v>339</v>
      </c>
      <c r="P50" s="153" t="s">
        <v>1554</v>
      </c>
      <c r="Q50" s="153" t="s">
        <v>413</v>
      </c>
      <c r="R50" s="153" t="s">
        <v>407</v>
      </c>
      <c r="S50" s="153" t="s">
        <v>1212</v>
      </c>
      <c r="T50" s="154">
        <v>2.0299999999999998</v>
      </c>
      <c r="U50" s="153" t="s">
        <v>1744</v>
      </c>
      <c r="V50" s="155">
        <v>7.7499999999999999E-2</v>
      </c>
      <c r="W50" s="155">
        <v>7.1900000000000006E-2</v>
      </c>
      <c r="X50" s="153" t="s">
        <v>412</v>
      </c>
      <c r="Y50" s="153" t="s">
        <v>339</v>
      </c>
      <c r="Z50" s="154">
        <v>173369.60000000001</v>
      </c>
      <c r="AA50" s="154">
        <v>1</v>
      </c>
      <c r="AB50" s="154">
        <v>103.32</v>
      </c>
      <c r="AD50" s="154">
        <v>179.125</v>
      </c>
      <c r="AG50" s="157" t="s">
        <v>15</v>
      </c>
      <c r="AH50" s="155">
        <v>4.0000000000000002E-4</v>
      </c>
      <c r="AI50" s="155">
        <f t="shared" si="0"/>
        <v>1.022923865959597E-2</v>
      </c>
      <c r="AJ50" s="155">
        <v>1.6835469360592752E-3</v>
      </c>
    </row>
    <row r="51" spans="1:36" s="160" customFormat="1">
      <c r="A51" s="153" t="s">
        <v>1213</v>
      </c>
      <c r="B51" s="160">
        <v>12936</v>
      </c>
      <c r="C51" s="153" t="s">
        <v>1745</v>
      </c>
      <c r="D51" s="153" t="s">
        <v>1746</v>
      </c>
      <c r="E51" s="153" t="s">
        <v>309</v>
      </c>
      <c r="F51" s="153" t="s">
        <v>1747</v>
      </c>
      <c r="G51" s="153" t="s">
        <v>1748</v>
      </c>
      <c r="H51" s="153" t="s">
        <v>321</v>
      </c>
      <c r="I51" s="153" t="s">
        <v>951</v>
      </c>
      <c r="J51" s="153" t="s">
        <v>204</v>
      </c>
      <c r="K51" s="153" t="s">
        <v>204</v>
      </c>
      <c r="L51" s="153" t="s">
        <v>325</v>
      </c>
      <c r="M51" s="153" t="s">
        <v>340</v>
      </c>
      <c r="N51" s="153" t="s">
        <v>447</v>
      </c>
      <c r="O51" s="153" t="s">
        <v>339</v>
      </c>
      <c r="Q51" s="153" t="s">
        <v>410</v>
      </c>
      <c r="R51" s="153" t="s">
        <v>410</v>
      </c>
      <c r="S51" s="153" t="s">
        <v>1212</v>
      </c>
      <c r="T51" s="154">
        <v>1.08</v>
      </c>
      <c r="U51" s="153" t="s">
        <v>1749</v>
      </c>
      <c r="V51" s="155">
        <v>3.5000000000000003E-2</v>
      </c>
      <c r="W51" s="155">
        <v>7.3999999999999996E-2</v>
      </c>
      <c r="X51" s="153" t="s">
        <v>412</v>
      </c>
      <c r="Y51" s="153" t="s">
        <v>339</v>
      </c>
      <c r="Z51" s="154">
        <v>175000</v>
      </c>
      <c r="AA51" s="154">
        <v>1</v>
      </c>
      <c r="AB51" s="154">
        <f>AD51*1000/Z51*100</f>
        <v>96.331428571428575</v>
      </c>
      <c r="AD51" s="154">
        <f>169.663-1.083</f>
        <v>168.58</v>
      </c>
      <c r="AG51" s="157" t="s">
        <v>15</v>
      </c>
      <c r="AH51" s="155">
        <v>3.1199999999999999E-3</v>
      </c>
      <c r="AI51" s="155">
        <f t="shared" si="0"/>
        <v>9.627048447925687E-3</v>
      </c>
      <c r="AJ51" s="155">
        <v>1.5844373620704684E-3</v>
      </c>
    </row>
    <row r="52" spans="1:36" s="160" customFormat="1">
      <c r="A52" s="153" t="s">
        <v>1213</v>
      </c>
      <c r="B52" s="160">
        <v>12936</v>
      </c>
      <c r="C52" s="153" t="s">
        <v>1750</v>
      </c>
      <c r="D52" s="153" t="s">
        <v>1751</v>
      </c>
      <c r="E52" s="153" t="s">
        <v>309</v>
      </c>
      <c r="F52" s="153" t="s">
        <v>1752</v>
      </c>
      <c r="G52" s="153" t="s">
        <v>1753</v>
      </c>
      <c r="H52" s="153" t="s">
        <v>321</v>
      </c>
      <c r="I52" s="153" t="s">
        <v>754</v>
      </c>
      <c r="J52" s="153" t="s">
        <v>204</v>
      </c>
      <c r="K52" s="153" t="s">
        <v>204</v>
      </c>
      <c r="L52" s="153" t="s">
        <v>325</v>
      </c>
      <c r="M52" s="153" t="s">
        <v>340</v>
      </c>
      <c r="N52" s="153" t="s">
        <v>464</v>
      </c>
      <c r="O52" s="153" t="s">
        <v>339</v>
      </c>
      <c r="Q52" s="153" t="s">
        <v>410</v>
      </c>
      <c r="R52" s="153" t="s">
        <v>410</v>
      </c>
      <c r="S52" s="153" t="s">
        <v>1212</v>
      </c>
      <c r="T52" s="154">
        <v>2.99</v>
      </c>
      <c r="U52" s="153" t="s">
        <v>1528</v>
      </c>
      <c r="V52" s="155">
        <v>4.5400000000000003E-2</v>
      </c>
      <c r="W52" s="155">
        <v>3.8199999999999998E-2</v>
      </c>
      <c r="X52" s="153" t="s">
        <v>412</v>
      </c>
      <c r="Y52" s="153" t="s">
        <v>339</v>
      </c>
      <c r="Z52" s="154">
        <v>155000</v>
      </c>
      <c r="AA52" s="154">
        <v>1</v>
      </c>
      <c r="AB52" s="154">
        <v>107.58</v>
      </c>
      <c r="AD52" s="154">
        <v>166.749</v>
      </c>
      <c r="AG52" s="157" t="s">
        <v>15</v>
      </c>
      <c r="AH52" s="155">
        <v>1.6000000000000001E-4</v>
      </c>
      <c r="AI52" s="155">
        <f t="shared" si="0"/>
        <v>9.522486069777911E-3</v>
      </c>
      <c r="AJ52" s="155">
        <v>1.5672282933200173E-3</v>
      </c>
    </row>
    <row r="53" spans="1:36" s="160" customFormat="1">
      <c r="A53" s="153" t="s">
        <v>1213</v>
      </c>
      <c r="B53" s="160">
        <v>12936</v>
      </c>
      <c r="C53" s="153" t="s">
        <v>1754</v>
      </c>
      <c r="D53" s="153" t="s">
        <v>1755</v>
      </c>
      <c r="E53" s="153" t="s">
        <v>309</v>
      </c>
      <c r="F53" s="153" t="s">
        <v>1756</v>
      </c>
      <c r="G53" s="153" t="s">
        <v>1757</v>
      </c>
      <c r="H53" s="153" t="s">
        <v>321</v>
      </c>
      <c r="I53" s="153" t="s">
        <v>754</v>
      </c>
      <c r="J53" s="153" t="s">
        <v>204</v>
      </c>
      <c r="K53" s="153" t="s">
        <v>204</v>
      </c>
      <c r="L53" s="153" t="s">
        <v>325</v>
      </c>
      <c r="M53" s="153" t="s">
        <v>340</v>
      </c>
      <c r="N53" s="153" t="s">
        <v>464</v>
      </c>
      <c r="O53" s="153" t="s">
        <v>339</v>
      </c>
      <c r="P53" s="153" t="s">
        <v>1554</v>
      </c>
      <c r="Q53" s="153" t="s">
        <v>413</v>
      </c>
      <c r="R53" s="153" t="s">
        <v>407</v>
      </c>
      <c r="S53" s="153" t="s">
        <v>1212</v>
      </c>
      <c r="T53" s="154">
        <v>3.05</v>
      </c>
      <c r="U53" s="153" t="s">
        <v>1758</v>
      </c>
      <c r="V53" s="155">
        <v>3.4549999999999997E-2</v>
      </c>
      <c r="W53" s="155">
        <v>3.4599999999999999E-2</v>
      </c>
      <c r="X53" s="153" t="s">
        <v>412</v>
      </c>
      <c r="Y53" s="153" t="s">
        <v>339</v>
      </c>
      <c r="Z53" s="154">
        <v>147750.45000000001</v>
      </c>
      <c r="AA53" s="154">
        <v>1</v>
      </c>
      <c r="AB53" s="154">
        <v>107.63</v>
      </c>
      <c r="AD53" s="154">
        <v>159.024</v>
      </c>
      <c r="AG53" s="157" t="s">
        <v>15</v>
      </c>
      <c r="AH53" s="155">
        <v>5.0000000000000001E-4</v>
      </c>
      <c r="AI53" s="155">
        <f t="shared" si="0"/>
        <v>9.0813367681986841E-3</v>
      </c>
      <c r="AJ53" s="155">
        <v>1.4946231288758699E-3</v>
      </c>
    </row>
    <row r="54" spans="1:36" s="160" customFormat="1">
      <c r="A54" s="153" t="s">
        <v>1213</v>
      </c>
      <c r="B54" s="160">
        <v>12936</v>
      </c>
      <c r="C54" s="153" t="s">
        <v>1759</v>
      </c>
      <c r="D54" s="153" t="s">
        <v>1760</v>
      </c>
      <c r="E54" s="153" t="s">
        <v>309</v>
      </c>
      <c r="F54" s="153" t="s">
        <v>1761</v>
      </c>
      <c r="G54" s="153" t="s">
        <v>1762</v>
      </c>
      <c r="H54" s="153" t="s">
        <v>321</v>
      </c>
      <c r="I54" s="153" t="s">
        <v>754</v>
      </c>
      <c r="J54" s="153" t="s">
        <v>204</v>
      </c>
      <c r="K54" s="153" t="s">
        <v>204</v>
      </c>
      <c r="L54" s="153" t="s">
        <v>325</v>
      </c>
      <c r="M54" s="153" t="s">
        <v>340</v>
      </c>
      <c r="N54" s="153" t="s">
        <v>465</v>
      </c>
      <c r="O54" s="153" t="s">
        <v>339</v>
      </c>
      <c r="P54" s="153" t="s">
        <v>1614</v>
      </c>
      <c r="Q54" s="153" t="s">
        <v>415</v>
      </c>
      <c r="R54" s="153" t="s">
        <v>407</v>
      </c>
      <c r="S54" s="153" t="s">
        <v>1212</v>
      </c>
      <c r="T54" s="154">
        <v>3.19</v>
      </c>
      <c r="U54" s="153" t="s">
        <v>1283</v>
      </c>
      <c r="V54" s="155">
        <v>3.5950000000000003E-2</v>
      </c>
      <c r="W54" s="155">
        <v>3.61E-2</v>
      </c>
      <c r="X54" s="153" t="s">
        <v>412</v>
      </c>
      <c r="Y54" s="153" t="s">
        <v>339</v>
      </c>
      <c r="Z54" s="154">
        <v>139000</v>
      </c>
      <c r="AA54" s="154">
        <v>1</v>
      </c>
      <c r="AB54" s="154">
        <v>111.09</v>
      </c>
      <c r="AD54" s="154">
        <v>154.41499999999999</v>
      </c>
      <c r="AG54" s="157" t="s">
        <v>15</v>
      </c>
      <c r="AH54" s="155">
        <v>2.7999999999999998E-4</v>
      </c>
      <c r="AI54" s="155">
        <f t="shared" si="0"/>
        <v>8.8181319615995065E-3</v>
      </c>
      <c r="AJ54" s="155">
        <v>1.4513043971058925E-3</v>
      </c>
    </row>
    <row r="55" spans="1:36" s="160" customFormat="1">
      <c r="A55" s="153" t="s">
        <v>1213</v>
      </c>
      <c r="B55" s="160">
        <v>12936</v>
      </c>
      <c r="C55" s="153" t="s">
        <v>1634</v>
      </c>
      <c r="D55" s="153" t="s">
        <v>1635</v>
      </c>
      <c r="E55" s="153" t="s">
        <v>309</v>
      </c>
      <c r="F55" s="153" t="s">
        <v>1763</v>
      </c>
      <c r="G55" s="153" t="s">
        <v>1764</v>
      </c>
      <c r="H55" s="153" t="s">
        <v>321</v>
      </c>
      <c r="I55" s="153" t="s">
        <v>951</v>
      </c>
      <c r="J55" s="153" t="s">
        <v>204</v>
      </c>
      <c r="K55" s="153" t="s">
        <v>204</v>
      </c>
      <c r="L55" s="153" t="s">
        <v>325</v>
      </c>
      <c r="M55" s="153" t="s">
        <v>340</v>
      </c>
      <c r="N55" s="153" t="s">
        <v>454</v>
      </c>
      <c r="O55" s="153" t="s">
        <v>339</v>
      </c>
      <c r="P55" s="153" t="s">
        <v>1554</v>
      </c>
      <c r="Q55" s="153" t="s">
        <v>413</v>
      </c>
      <c r="R55" s="153" t="s">
        <v>407</v>
      </c>
      <c r="S55" s="153" t="s">
        <v>1212</v>
      </c>
      <c r="T55" s="154">
        <v>3.75</v>
      </c>
      <c r="U55" s="153" t="s">
        <v>1765</v>
      </c>
      <c r="V55" s="155">
        <v>5.5100000000000003E-2</v>
      </c>
      <c r="W55" s="155">
        <v>6.5699999999999995E-2</v>
      </c>
      <c r="X55" s="153" t="s">
        <v>412</v>
      </c>
      <c r="Y55" s="153" t="s">
        <v>339</v>
      </c>
      <c r="Z55" s="154">
        <v>151597</v>
      </c>
      <c r="AA55" s="154">
        <v>1</v>
      </c>
      <c r="AB55" s="154">
        <v>100.86</v>
      </c>
      <c r="AD55" s="154">
        <v>152.90100000000001</v>
      </c>
      <c r="AG55" s="157" t="s">
        <v>15</v>
      </c>
      <c r="AH55" s="155">
        <v>1.7000000000000001E-4</v>
      </c>
      <c r="AI55" s="155">
        <f t="shared" si="0"/>
        <v>8.7316724091605485E-3</v>
      </c>
      <c r="AJ55" s="155">
        <v>1.4370747247475185E-3</v>
      </c>
    </row>
    <row r="56" spans="1:36" s="160" customFormat="1">
      <c r="A56" s="153" t="s">
        <v>1213</v>
      </c>
      <c r="B56" s="160">
        <v>12936</v>
      </c>
      <c r="C56" s="153" t="s">
        <v>1523</v>
      </c>
      <c r="D56" s="153" t="s">
        <v>1524</v>
      </c>
      <c r="E56" s="153" t="s">
        <v>311</v>
      </c>
      <c r="F56" s="153" t="s">
        <v>1766</v>
      </c>
      <c r="G56" s="153" t="s">
        <v>1767</v>
      </c>
      <c r="H56" s="153" t="s">
        <v>321</v>
      </c>
      <c r="I56" s="153" t="s">
        <v>951</v>
      </c>
      <c r="J56" s="153" t="s">
        <v>204</v>
      </c>
      <c r="K56" s="153" t="s">
        <v>224</v>
      </c>
      <c r="L56" s="153" t="s">
        <v>325</v>
      </c>
      <c r="M56" s="153" t="s">
        <v>340</v>
      </c>
      <c r="N56" s="153" t="s">
        <v>447</v>
      </c>
      <c r="O56" s="153" t="s">
        <v>339</v>
      </c>
      <c r="P56" s="153" t="s">
        <v>1527</v>
      </c>
      <c r="Q56" s="153" t="s">
        <v>415</v>
      </c>
      <c r="R56" s="153" t="s">
        <v>407</v>
      </c>
      <c r="S56" s="153" t="s">
        <v>1212</v>
      </c>
      <c r="T56" s="154">
        <v>0.97</v>
      </c>
      <c r="U56" s="153" t="s">
        <v>1768</v>
      </c>
      <c r="V56" s="155">
        <v>7.5160000000000005E-2</v>
      </c>
      <c r="W56" s="155">
        <v>7.2099999999999997E-2</v>
      </c>
      <c r="X56" s="153" t="s">
        <v>412</v>
      </c>
      <c r="Y56" s="153" t="s">
        <v>339</v>
      </c>
      <c r="Z56" s="154">
        <v>150053.5</v>
      </c>
      <c r="AA56" s="154">
        <v>1</v>
      </c>
      <c r="AB56" s="154">
        <v>99.95</v>
      </c>
      <c r="AD56" s="154">
        <v>149.97800000000001</v>
      </c>
      <c r="AG56" s="157" t="s">
        <v>15</v>
      </c>
      <c r="AH56" s="155">
        <v>3.8000000000000002E-4</v>
      </c>
      <c r="AI56" s="155">
        <f t="shared" si="0"/>
        <v>8.5647495083817689E-3</v>
      </c>
      <c r="AJ56" s="155">
        <v>1.4096022463436035E-3</v>
      </c>
    </row>
    <row r="57" spans="1:36" s="160" customFormat="1">
      <c r="A57" s="153" t="s">
        <v>1213</v>
      </c>
      <c r="B57" s="160">
        <v>12936</v>
      </c>
      <c r="C57" s="153" t="s">
        <v>1769</v>
      </c>
      <c r="D57" s="153" t="s">
        <v>1770</v>
      </c>
      <c r="E57" s="153" t="s">
        <v>309</v>
      </c>
      <c r="F57" s="153" t="s">
        <v>1771</v>
      </c>
      <c r="G57" s="153" t="s">
        <v>1772</v>
      </c>
      <c r="H57" s="153" t="s">
        <v>321</v>
      </c>
      <c r="I57" s="153" t="s">
        <v>754</v>
      </c>
      <c r="J57" s="153" t="s">
        <v>204</v>
      </c>
      <c r="K57" s="153" t="s">
        <v>204</v>
      </c>
      <c r="L57" s="153" t="s">
        <v>325</v>
      </c>
      <c r="M57" s="153" t="s">
        <v>340</v>
      </c>
      <c r="N57" s="153" t="s">
        <v>464</v>
      </c>
      <c r="O57" s="153" t="s">
        <v>339</v>
      </c>
      <c r="P57" s="153" t="s">
        <v>1560</v>
      </c>
      <c r="Q57" s="153" t="s">
        <v>413</v>
      </c>
      <c r="R57" s="153" t="s">
        <v>407</v>
      </c>
      <c r="S57" s="153" t="s">
        <v>1212</v>
      </c>
      <c r="T57" s="154">
        <v>4.05</v>
      </c>
      <c r="U57" s="153" t="s">
        <v>1587</v>
      </c>
      <c r="V57" s="155">
        <v>3.5409999999999997E-2</v>
      </c>
      <c r="W57" s="155">
        <v>3.9E-2</v>
      </c>
      <c r="X57" s="153" t="s">
        <v>412</v>
      </c>
      <c r="Y57" s="153" t="s">
        <v>339</v>
      </c>
      <c r="Z57" s="154">
        <v>137520</v>
      </c>
      <c r="AA57" s="154">
        <v>1</v>
      </c>
      <c r="AB57" s="154">
        <v>106.27</v>
      </c>
      <c r="AD57" s="154">
        <v>146.143</v>
      </c>
      <c r="AG57" s="157" t="s">
        <v>15</v>
      </c>
      <c r="AH57" s="155">
        <v>8.0000000000000007E-5</v>
      </c>
      <c r="AI57" s="155">
        <f t="shared" si="0"/>
        <v>8.3457452919990724E-3</v>
      </c>
      <c r="AJ57" s="155">
        <v>1.3735581291082243E-3</v>
      </c>
    </row>
    <row r="58" spans="1:36" s="160" customFormat="1">
      <c r="A58" s="153" t="s">
        <v>1213</v>
      </c>
      <c r="B58" s="160">
        <v>12936</v>
      </c>
      <c r="C58" s="153" t="s">
        <v>1773</v>
      </c>
      <c r="D58" s="153" t="s">
        <v>1774</v>
      </c>
      <c r="E58" s="153" t="s">
        <v>309</v>
      </c>
      <c r="F58" s="153" t="s">
        <v>1775</v>
      </c>
      <c r="G58" s="153" t="s">
        <v>1776</v>
      </c>
      <c r="H58" s="153" t="s">
        <v>321</v>
      </c>
      <c r="I58" s="153" t="s">
        <v>952</v>
      </c>
      <c r="J58" s="153" t="s">
        <v>204</v>
      </c>
      <c r="K58" s="153" t="s">
        <v>204</v>
      </c>
      <c r="L58" s="153" t="s">
        <v>325</v>
      </c>
      <c r="M58" s="153" t="s">
        <v>340</v>
      </c>
      <c r="N58" s="153" t="s">
        <v>447</v>
      </c>
      <c r="O58" s="153" t="s">
        <v>339</v>
      </c>
      <c r="Q58" s="153" t="s">
        <v>410</v>
      </c>
      <c r="R58" s="153" t="s">
        <v>410</v>
      </c>
      <c r="S58" s="153" t="s">
        <v>1212</v>
      </c>
      <c r="T58" s="154">
        <v>1.22</v>
      </c>
      <c r="U58" s="153" t="s">
        <v>1777</v>
      </c>
      <c r="V58" s="155">
        <v>8.6730000000000002E-2</v>
      </c>
      <c r="W58" s="155">
        <v>8.43E-2</v>
      </c>
      <c r="X58" s="153" t="s">
        <v>412</v>
      </c>
      <c r="Y58" s="153" t="s">
        <v>339</v>
      </c>
      <c r="Z58" s="154">
        <v>150000</v>
      </c>
      <c r="AA58" s="154">
        <v>1</v>
      </c>
      <c r="AB58" s="154">
        <v>96.7</v>
      </c>
      <c r="AD58" s="154">
        <v>145.05000000000001</v>
      </c>
      <c r="AG58" s="157" t="s">
        <v>15</v>
      </c>
      <c r="AH58" s="155">
        <v>1.8799999999999999E-3</v>
      </c>
      <c r="AI58" s="155">
        <f t="shared" si="0"/>
        <v>8.2833276626623608E-3</v>
      </c>
      <c r="AJ58" s="155">
        <v>1.3632853207279714E-3</v>
      </c>
    </row>
    <row r="59" spans="1:36" s="160" customFormat="1">
      <c r="A59" s="153" t="s">
        <v>1213</v>
      </c>
      <c r="B59" s="160">
        <v>12936</v>
      </c>
      <c r="C59" s="153" t="s">
        <v>1778</v>
      </c>
      <c r="D59" s="153" t="s">
        <v>1779</v>
      </c>
      <c r="E59" s="153" t="s">
        <v>309</v>
      </c>
      <c r="F59" s="153" t="s">
        <v>1780</v>
      </c>
      <c r="G59" s="153" t="s">
        <v>1781</v>
      </c>
      <c r="H59" s="153" t="s">
        <v>321</v>
      </c>
      <c r="I59" s="153" t="s">
        <v>951</v>
      </c>
      <c r="J59" s="153" t="s">
        <v>204</v>
      </c>
      <c r="K59" s="153" t="s">
        <v>204</v>
      </c>
      <c r="L59" s="153" t="s">
        <v>325</v>
      </c>
      <c r="M59" s="153" t="s">
        <v>340</v>
      </c>
      <c r="N59" s="153" t="s">
        <v>447</v>
      </c>
      <c r="O59" s="153" t="s">
        <v>339</v>
      </c>
      <c r="Q59" s="153" t="s">
        <v>410</v>
      </c>
      <c r="R59" s="153" t="s">
        <v>410</v>
      </c>
      <c r="S59" s="153" t="s">
        <v>1212</v>
      </c>
      <c r="T59" s="154">
        <v>2.91</v>
      </c>
      <c r="U59" s="153" t="s">
        <v>1744</v>
      </c>
      <c r="V59" s="155">
        <v>7.7649999999999997E-2</v>
      </c>
      <c r="W59" s="155">
        <v>7.0300000000000001E-2</v>
      </c>
      <c r="X59" s="153" t="s">
        <v>412</v>
      </c>
      <c r="Y59" s="153" t="s">
        <v>339</v>
      </c>
      <c r="Z59" s="154">
        <v>137000</v>
      </c>
      <c r="AA59" s="154">
        <v>1</v>
      </c>
      <c r="AB59" s="154">
        <v>102.79</v>
      </c>
      <c r="AD59" s="154">
        <v>140.822</v>
      </c>
      <c r="AG59" s="157" t="s">
        <v>15</v>
      </c>
      <c r="AH59" s="155">
        <v>2.2899999999999999E-3</v>
      </c>
      <c r="AI59" s="155">
        <f t="shared" si="0"/>
        <v>8.0418805109371862E-3</v>
      </c>
      <c r="AJ59" s="155">
        <v>1.3235475038645597E-3</v>
      </c>
    </row>
    <row r="60" spans="1:36" s="160" customFormat="1">
      <c r="A60" s="153" t="s">
        <v>1213</v>
      </c>
      <c r="B60" s="160">
        <v>12936</v>
      </c>
      <c r="C60" s="153" t="s">
        <v>1782</v>
      </c>
      <c r="D60" s="153" t="s">
        <v>1783</v>
      </c>
      <c r="E60" s="153" t="s">
        <v>309</v>
      </c>
      <c r="F60" s="153" t="s">
        <v>1784</v>
      </c>
      <c r="G60" s="153" t="s">
        <v>1785</v>
      </c>
      <c r="H60" s="153" t="s">
        <v>321</v>
      </c>
      <c r="I60" s="153" t="s">
        <v>952</v>
      </c>
      <c r="J60" s="153" t="s">
        <v>204</v>
      </c>
      <c r="K60" s="153" t="s">
        <v>204</v>
      </c>
      <c r="L60" s="153" t="s">
        <v>325</v>
      </c>
      <c r="M60" s="153" t="s">
        <v>340</v>
      </c>
      <c r="N60" s="153" t="s">
        <v>461</v>
      </c>
      <c r="O60" s="153" t="s">
        <v>339</v>
      </c>
      <c r="Q60" s="153" t="s">
        <v>410</v>
      </c>
      <c r="R60" s="153" t="s">
        <v>410</v>
      </c>
      <c r="S60" s="153" t="s">
        <v>1212</v>
      </c>
      <c r="T60" s="154">
        <v>3.43</v>
      </c>
      <c r="U60" s="153" t="s">
        <v>1744</v>
      </c>
      <c r="V60" s="155">
        <v>5.7970000000000001E-2</v>
      </c>
      <c r="W60" s="155">
        <v>0.05</v>
      </c>
      <c r="X60" s="153" t="s">
        <v>412</v>
      </c>
      <c r="Y60" s="153" t="s">
        <v>339</v>
      </c>
      <c r="Z60" s="154">
        <v>120000</v>
      </c>
      <c r="AA60" s="154">
        <v>1</v>
      </c>
      <c r="AB60" s="154">
        <v>100.9</v>
      </c>
      <c r="AD60" s="154">
        <v>121.08</v>
      </c>
      <c r="AG60" s="157" t="s">
        <v>15</v>
      </c>
      <c r="AH60" s="155">
        <v>4.0000000000000002E-4</v>
      </c>
      <c r="AI60" s="155">
        <f t="shared" si="0"/>
        <v>6.9144799268883736E-3</v>
      </c>
      <c r="AJ60" s="155">
        <v>1.1379978395983645E-3</v>
      </c>
    </row>
    <row r="61" spans="1:36" s="160" customFormat="1">
      <c r="A61" s="153" t="s">
        <v>1213</v>
      </c>
      <c r="B61" s="160">
        <v>12936</v>
      </c>
      <c r="C61" s="153" t="s">
        <v>1786</v>
      </c>
      <c r="D61" s="153" t="s">
        <v>1787</v>
      </c>
      <c r="E61" s="153" t="s">
        <v>309</v>
      </c>
      <c r="F61" s="153" t="s">
        <v>1788</v>
      </c>
      <c r="G61" s="153" t="s">
        <v>1789</v>
      </c>
      <c r="H61" s="153" t="s">
        <v>321</v>
      </c>
      <c r="I61" s="153" t="s">
        <v>754</v>
      </c>
      <c r="J61" s="153" t="s">
        <v>204</v>
      </c>
      <c r="K61" s="153" t="s">
        <v>204</v>
      </c>
      <c r="L61" s="153" t="s">
        <v>325</v>
      </c>
      <c r="M61" s="153" t="s">
        <v>340</v>
      </c>
      <c r="N61" s="153" t="s">
        <v>464</v>
      </c>
      <c r="O61" s="153" t="s">
        <v>339</v>
      </c>
      <c r="P61" s="153" t="s">
        <v>1560</v>
      </c>
      <c r="Q61" s="153" t="s">
        <v>413</v>
      </c>
      <c r="R61" s="153" t="s">
        <v>407</v>
      </c>
      <c r="S61" s="153" t="s">
        <v>1212</v>
      </c>
      <c r="T61" s="154">
        <v>2.38</v>
      </c>
      <c r="U61" s="153" t="s">
        <v>1587</v>
      </c>
      <c r="V61" s="155">
        <v>2.3310000000000001E-2</v>
      </c>
      <c r="W61" s="155">
        <v>3.39E-2</v>
      </c>
      <c r="X61" s="153" t="s">
        <v>412</v>
      </c>
      <c r="Y61" s="153" t="s">
        <v>339</v>
      </c>
      <c r="Z61" s="154">
        <v>100000</v>
      </c>
      <c r="AA61" s="154">
        <v>1</v>
      </c>
      <c r="AB61" s="154">
        <v>106.34</v>
      </c>
      <c r="AD61" s="154">
        <v>106.34</v>
      </c>
      <c r="AG61" s="157" t="s">
        <v>15</v>
      </c>
      <c r="AH61" s="155">
        <v>5.2999999999999998E-4</v>
      </c>
      <c r="AI61" s="155">
        <f t="shared" si="0"/>
        <v>6.0727270847812168E-3</v>
      </c>
      <c r="AJ61" s="155">
        <v>9.9946060673017909E-4</v>
      </c>
    </row>
    <row r="62" spans="1:36" s="160" customFormat="1">
      <c r="A62" s="153" t="s">
        <v>1213</v>
      </c>
      <c r="B62" s="160">
        <v>12936</v>
      </c>
      <c r="C62" s="153" t="s">
        <v>1790</v>
      </c>
      <c r="D62" s="153" t="s">
        <v>1791</v>
      </c>
      <c r="E62" s="153" t="s">
        <v>309</v>
      </c>
      <c r="F62" s="153" t="s">
        <v>1792</v>
      </c>
      <c r="G62" s="153" t="s">
        <v>1793</v>
      </c>
      <c r="H62" s="153" t="s">
        <v>321</v>
      </c>
      <c r="I62" s="153" t="s">
        <v>951</v>
      </c>
      <c r="J62" s="153" t="s">
        <v>204</v>
      </c>
      <c r="K62" s="153" t="s">
        <v>204</v>
      </c>
      <c r="L62" s="153" t="s">
        <v>325</v>
      </c>
      <c r="M62" s="153" t="s">
        <v>340</v>
      </c>
      <c r="N62" s="153" t="s">
        <v>447</v>
      </c>
      <c r="O62" s="153" t="s">
        <v>339</v>
      </c>
      <c r="Q62" s="153" t="s">
        <v>410</v>
      </c>
      <c r="R62" s="153" t="s">
        <v>410</v>
      </c>
      <c r="S62" s="153" t="s">
        <v>1212</v>
      </c>
      <c r="T62" s="154">
        <v>3.45</v>
      </c>
      <c r="U62" s="153" t="s">
        <v>1794</v>
      </c>
      <c r="V62" s="155">
        <v>7.7789999999999998E-2</v>
      </c>
      <c r="W62" s="155">
        <v>6.7900000000000002E-2</v>
      </c>
      <c r="X62" s="153" t="s">
        <v>412</v>
      </c>
      <c r="Y62" s="153" t="s">
        <v>339</v>
      </c>
      <c r="Z62" s="154">
        <v>101000</v>
      </c>
      <c r="AA62" s="154">
        <v>1</v>
      </c>
      <c r="AB62" s="154">
        <v>105.11</v>
      </c>
      <c r="AD62" s="154">
        <v>106.161</v>
      </c>
      <c r="AG62" s="157" t="s">
        <v>15</v>
      </c>
      <c r="AH62" s="155">
        <v>4.8999999999999998E-4</v>
      </c>
      <c r="AI62" s="155">
        <f t="shared" si="0"/>
        <v>6.0625049844598338E-3</v>
      </c>
      <c r="AJ62" s="155">
        <v>9.9777823463496852E-4</v>
      </c>
    </row>
    <row r="63" spans="1:36" s="160" customFormat="1">
      <c r="A63" s="153" t="s">
        <v>1213</v>
      </c>
      <c r="B63" s="160">
        <v>12936</v>
      </c>
      <c r="C63" s="153" t="s">
        <v>1795</v>
      </c>
      <c r="D63" s="153" t="s">
        <v>1796</v>
      </c>
      <c r="E63" s="153" t="s">
        <v>309</v>
      </c>
      <c r="F63" s="153" t="s">
        <v>1797</v>
      </c>
      <c r="G63" s="153" t="s">
        <v>1798</v>
      </c>
      <c r="H63" s="153" t="s">
        <v>321</v>
      </c>
      <c r="I63" s="153" t="s">
        <v>951</v>
      </c>
      <c r="J63" s="153" t="s">
        <v>204</v>
      </c>
      <c r="K63" s="153" t="s">
        <v>204</v>
      </c>
      <c r="L63" s="153" t="s">
        <v>325</v>
      </c>
      <c r="M63" s="153" t="s">
        <v>340</v>
      </c>
      <c r="N63" s="153" t="s">
        <v>447</v>
      </c>
      <c r="O63" s="153" t="s">
        <v>339</v>
      </c>
      <c r="Q63" s="153" t="s">
        <v>410</v>
      </c>
      <c r="R63" s="153" t="s">
        <v>410</v>
      </c>
      <c r="S63" s="153" t="s">
        <v>1212</v>
      </c>
      <c r="T63" s="154">
        <v>3.6</v>
      </c>
      <c r="U63" s="153" t="s">
        <v>1654</v>
      </c>
      <c r="V63" s="155">
        <v>6.3670000000000004E-2</v>
      </c>
      <c r="W63" s="155">
        <v>1.7299999999999999E-2</v>
      </c>
      <c r="X63" s="153" t="s">
        <v>412</v>
      </c>
      <c r="Y63" s="153" t="s">
        <v>339</v>
      </c>
      <c r="Z63" s="154">
        <v>87949</v>
      </c>
      <c r="AA63" s="154">
        <v>1</v>
      </c>
      <c r="AB63" s="154">
        <v>120.3</v>
      </c>
      <c r="AD63" s="154">
        <v>105.803</v>
      </c>
      <c r="AG63" s="157" t="s">
        <v>15</v>
      </c>
      <c r="AH63" s="155">
        <v>1.75E-3</v>
      </c>
      <c r="AI63" s="155">
        <f t="shared" si="0"/>
        <v>6.0420607838170678E-3</v>
      </c>
      <c r="AJ63" s="155">
        <v>9.9441349044454715E-4</v>
      </c>
    </row>
    <row r="64" spans="1:36" s="160" customFormat="1">
      <c r="A64" s="153" t="s">
        <v>1213</v>
      </c>
      <c r="B64" s="160">
        <v>12936</v>
      </c>
      <c r="C64" s="153" t="s">
        <v>1799</v>
      </c>
      <c r="D64" s="153" t="s">
        <v>1800</v>
      </c>
      <c r="E64" s="153" t="s">
        <v>309</v>
      </c>
      <c r="F64" s="153" t="s">
        <v>1801</v>
      </c>
      <c r="G64" s="153" t="s">
        <v>1802</v>
      </c>
      <c r="H64" s="153" t="s">
        <v>321</v>
      </c>
      <c r="I64" s="153" t="s">
        <v>754</v>
      </c>
      <c r="J64" s="153" t="s">
        <v>204</v>
      </c>
      <c r="K64" s="153" t="s">
        <v>204</v>
      </c>
      <c r="L64" s="153" t="s">
        <v>325</v>
      </c>
      <c r="M64" s="153" t="s">
        <v>340</v>
      </c>
      <c r="N64" s="153" t="s">
        <v>464</v>
      </c>
      <c r="O64" s="153" t="s">
        <v>339</v>
      </c>
      <c r="P64" s="153" t="s">
        <v>1538</v>
      </c>
      <c r="Q64" s="153" t="s">
        <v>413</v>
      </c>
      <c r="R64" s="153" t="s">
        <v>407</v>
      </c>
      <c r="S64" s="153" t="s">
        <v>1212</v>
      </c>
      <c r="T64" s="154">
        <v>4.75</v>
      </c>
      <c r="U64" s="153" t="s">
        <v>1803</v>
      </c>
      <c r="V64" s="155">
        <v>2.4850000000000001E-2</v>
      </c>
      <c r="W64" s="155">
        <v>2.92E-2</v>
      </c>
      <c r="X64" s="153" t="s">
        <v>412</v>
      </c>
      <c r="Y64" s="153" t="s">
        <v>339</v>
      </c>
      <c r="Z64" s="154">
        <v>100000.08</v>
      </c>
      <c r="AA64" s="154">
        <v>1</v>
      </c>
      <c r="AB64" s="154">
        <v>104.22</v>
      </c>
      <c r="AD64" s="154">
        <v>104.22</v>
      </c>
      <c r="AG64" s="157" t="s">
        <v>15</v>
      </c>
      <c r="AH64" s="155">
        <v>1.2999999999999999E-4</v>
      </c>
      <c r="AI64" s="155">
        <f t="shared" si="0"/>
        <v>5.9516608686843928E-3</v>
      </c>
      <c r="AJ64" s="155">
        <v>9.795353059377399E-4</v>
      </c>
    </row>
    <row r="65" spans="1:36" s="160" customFormat="1">
      <c r="A65" s="153" t="s">
        <v>1213</v>
      </c>
      <c r="B65" s="160">
        <v>12936</v>
      </c>
      <c r="C65" s="153" t="s">
        <v>1615</v>
      </c>
      <c r="D65" s="153" t="s">
        <v>1616</v>
      </c>
      <c r="E65" s="153" t="s">
        <v>309</v>
      </c>
      <c r="F65" s="153" t="s">
        <v>1804</v>
      </c>
      <c r="G65" s="153" t="s">
        <v>1805</v>
      </c>
      <c r="H65" s="153" t="s">
        <v>321</v>
      </c>
      <c r="I65" s="153" t="s">
        <v>951</v>
      </c>
      <c r="J65" s="153" t="s">
        <v>204</v>
      </c>
      <c r="K65" s="153" t="s">
        <v>204</v>
      </c>
      <c r="L65" s="153" t="s">
        <v>325</v>
      </c>
      <c r="M65" s="153" t="s">
        <v>340</v>
      </c>
      <c r="N65" s="153" t="s">
        <v>447</v>
      </c>
      <c r="O65" s="153" t="s">
        <v>339</v>
      </c>
      <c r="Q65" s="153" t="s">
        <v>410</v>
      </c>
      <c r="R65" s="153" t="s">
        <v>410</v>
      </c>
      <c r="S65" s="153" t="s">
        <v>1212</v>
      </c>
      <c r="T65" s="154">
        <v>2.78</v>
      </c>
      <c r="U65" s="153" t="s">
        <v>1806</v>
      </c>
      <c r="V65" s="155">
        <v>7.8549999999999995E-2</v>
      </c>
      <c r="W65" s="155">
        <v>7.0900000000000005E-2</v>
      </c>
      <c r="X65" s="153" t="s">
        <v>412</v>
      </c>
      <c r="Y65" s="153" t="s">
        <v>339</v>
      </c>
      <c r="Z65" s="154">
        <v>100000</v>
      </c>
      <c r="AA65" s="154">
        <v>1</v>
      </c>
      <c r="AB65" s="154">
        <v>103.54</v>
      </c>
      <c r="AD65" s="154">
        <v>103.54</v>
      </c>
      <c r="AG65" s="157" t="s">
        <v>15</v>
      </c>
      <c r="AH65" s="155">
        <v>8.4000000000000003E-4</v>
      </c>
      <c r="AI65" s="155">
        <f t="shared" si="0"/>
        <v>5.9128283088042801E-3</v>
      </c>
      <c r="AJ65" s="155">
        <v>9.7314417172129724E-4</v>
      </c>
    </row>
    <row r="66" spans="1:36" s="160" customFormat="1">
      <c r="A66" s="153" t="s">
        <v>1213</v>
      </c>
      <c r="B66" s="160">
        <v>12936</v>
      </c>
      <c r="C66" s="153" t="s">
        <v>1807</v>
      </c>
      <c r="D66" s="153" t="s">
        <v>1808</v>
      </c>
      <c r="E66" s="153" t="s">
        <v>309</v>
      </c>
      <c r="F66" s="153" t="s">
        <v>1809</v>
      </c>
      <c r="G66" s="153" t="s">
        <v>1810</v>
      </c>
      <c r="H66" s="153" t="s">
        <v>321</v>
      </c>
      <c r="I66" s="153" t="s">
        <v>754</v>
      </c>
      <c r="J66" s="153" t="s">
        <v>204</v>
      </c>
      <c r="K66" s="153" t="s">
        <v>204</v>
      </c>
      <c r="L66" s="153" t="s">
        <v>325</v>
      </c>
      <c r="M66" s="153" t="s">
        <v>340</v>
      </c>
      <c r="N66" s="153" t="s">
        <v>464</v>
      </c>
      <c r="O66" s="153" t="s">
        <v>339</v>
      </c>
      <c r="P66" s="153" t="s">
        <v>1811</v>
      </c>
      <c r="Q66" s="153" t="s">
        <v>413</v>
      </c>
      <c r="R66" s="153" t="s">
        <v>407</v>
      </c>
      <c r="S66" s="153" t="s">
        <v>1212</v>
      </c>
      <c r="T66" s="154">
        <v>6.92</v>
      </c>
      <c r="U66" s="153" t="s">
        <v>1812</v>
      </c>
      <c r="V66" s="155">
        <v>2.8369999999999999E-2</v>
      </c>
      <c r="W66" s="155">
        <v>3.3399999999999999E-2</v>
      </c>
      <c r="X66" s="153" t="s">
        <v>412</v>
      </c>
      <c r="Y66" s="153" t="s">
        <v>339</v>
      </c>
      <c r="Z66" s="154">
        <v>105840</v>
      </c>
      <c r="AA66" s="154">
        <v>1</v>
      </c>
      <c r="AB66" s="154">
        <v>96.33</v>
      </c>
      <c r="AD66" s="154">
        <v>101.956</v>
      </c>
      <c r="AG66" s="157" t="s">
        <v>15</v>
      </c>
      <c r="AH66" s="155">
        <v>4.0000000000000003E-5</v>
      </c>
      <c r="AI66" s="155">
        <f t="shared" si="0"/>
        <v>5.8223712869658988E-3</v>
      </c>
      <c r="AJ66" s="155">
        <v>9.5825658848770116E-4</v>
      </c>
    </row>
    <row r="67" spans="1:36" s="160" customFormat="1">
      <c r="A67" s="153" t="s">
        <v>1213</v>
      </c>
      <c r="B67" s="160">
        <v>12936</v>
      </c>
      <c r="C67" s="153" t="s">
        <v>1813</v>
      </c>
      <c r="D67" s="153" t="s">
        <v>1814</v>
      </c>
      <c r="E67" s="153" t="s">
        <v>309</v>
      </c>
      <c r="F67" s="153" t="s">
        <v>1815</v>
      </c>
      <c r="G67" s="153" t="s">
        <v>1816</v>
      </c>
      <c r="H67" s="153" t="s">
        <v>321</v>
      </c>
      <c r="I67" s="153" t="s">
        <v>951</v>
      </c>
      <c r="J67" s="153" t="s">
        <v>204</v>
      </c>
      <c r="K67" s="153" t="s">
        <v>204</v>
      </c>
      <c r="L67" s="153" t="s">
        <v>325</v>
      </c>
      <c r="M67" s="153" t="s">
        <v>340</v>
      </c>
      <c r="N67" s="153" t="s">
        <v>443</v>
      </c>
      <c r="O67" s="153" t="s">
        <v>339</v>
      </c>
      <c r="P67" s="153" t="s">
        <v>1527</v>
      </c>
      <c r="Q67" s="153" t="s">
        <v>415</v>
      </c>
      <c r="R67" s="153" t="s">
        <v>407</v>
      </c>
      <c r="S67" s="153" t="s">
        <v>1212</v>
      </c>
      <c r="T67" s="154">
        <v>1.45</v>
      </c>
      <c r="U67" s="153" t="s">
        <v>1522</v>
      </c>
      <c r="V67" s="155">
        <v>3.1099999999999999E-3</v>
      </c>
      <c r="W67" s="155">
        <v>6.6000000000000003E-2</v>
      </c>
      <c r="X67" s="153" t="s">
        <v>412</v>
      </c>
      <c r="Y67" s="153" t="s">
        <v>339</v>
      </c>
      <c r="Z67" s="154">
        <v>100500</v>
      </c>
      <c r="AA67" s="154">
        <v>1</v>
      </c>
      <c r="AB67" s="154">
        <v>100.59</v>
      </c>
      <c r="AD67" s="154">
        <v>101.093</v>
      </c>
      <c r="AG67" s="157" t="s">
        <v>15</v>
      </c>
      <c r="AH67" s="155">
        <v>4.2000000000000002E-4</v>
      </c>
      <c r="AI67" s="155">
        <f t="shared" ref="AI67:AI130" si="1">AD67/SUMIF(B:B,B67,AD:AD)</f>
        <v>5.7730881999415789E-3</v>
      </c>
      <c r="AJ67" s="155">
        <v>9.5014548726889223E-4</v>
      </c>
    </row>
    <row r="68" spans="1:36" s="160" customFormat="1">
      <c r="A68" s="153" t="s">
        <v>1213</v>
      </c>
      <c r="B68" s="160">
        <v>12936</v>
      </c>
      <c r="C68" s="153" t="s">
        <v>1687</v>
      </c>
      <c r="D68" s="153" t="s">
        <v>1688</v>
      </c>
      <c r="E68" s="153" t="s">
        <v>309</v>
      </c>
      <c r="F68" s="153" t="s">
        <v>1817</v>
      </c>
      <c r="G68" s="153" t="s">
        <v>1818</v>
      </c>
      <c r="H68" s="153" t="s">
        <v>321</v>
      </c>
      <c r="I68" s="153" t="s">
        <v>754</v>
      </c>
      <c r="J68" s="153" t="s">
        <v>204</v>
      </c>
      <c r="K68" s="153" t="s">
        <v>204</v>
      </c>
      <c r="L68" s="153" t="s">
        <v>325</v>
      </c>
      <c r="M68" s="153" t="s">
        <v>340</v>
      </c>
      <c r="N68" s="153" t="s">
        <v>465</v>
      </c>
      <c r="O68" s="153" t="s">
        <v>339</v>
      </c>
      <c r="P68" s="153" t="s">
        <v>1614</v>
      </c>
      <c r="Q68" s="153" t="s">
        <v>415</v>
      </c>
      <c r="R68" s="153" t="s">
        <v>407</v>
      </c>
      <c r="S68" s="153" t="s">
        <v>1212</v>
      </c>
      <c r="T68" s="154">
        <v>5.16</v>
      </c>
      <c r="U68" s="153" t="s">
        <v>1819</v>
      </c>
      <c r="V68" s="155">
        <v>1.37E-2</v>
      </c>
      <c r="W68" s="155">
        <v>3.6600000000000001E-2</v>
      </c>
      <c r="X68" s="153" t="s">
        <v>412</v>
      </c>
      <c r="Y68" s="153" t="s">
        <v>339</v>
      </c>
      <c r="Z68" s="154">
        <v>100000</v>
      </c>
      <c r="AA68" s="154">
        <v>1</v>
      </c>
      <c r="AB68" s="154">
        <v>100.74</v>
      </c>
      <c r="AD68" s="154">
        <v>100.74</v>
      </c>
      <c r="AG68" s="157" t="s">
        <v>15</v>
      </c>
      <c r="AH68" s="155">
        <v>1.7000000000000001E-4</v>
      </c>
      <c r="AI68" s="155">
        <f t="shared" si="1"/>
        <v>5.7529295328273434E-3</v>
      </c>
      <c r="AJ68" s="155">
        <v>9.4682773671241527E-4</v>
      </c>
    </row>
    <row r="69" spans="1:36" s="160" customFormat="1">
      <c r="A69" s="153" t="s">
        <v>1213</v>
      </c>
      <c r="B69" s="160">
        <v>12936</v>
      </c>
      <c r="C69" s="153" t="s">
        <v>1820</v>
      </c>
      <c r="D69" s="153" t="s">
        <v>1821</v>
      </c>
      <c r="E69" s="153" t="s">
        <v>309</v>
      </c>
      <c r="F69" s="153" t="s">
        <v>1822</v>
      </c>
      <c r="G69" s="153" t="s">
        <v>1823</v>
      </c>
      <c r="H69" s="153" t="s">
        <v>321</v>
      </c>
      <c r="I69" s="153" t="s">
        <v>754</v>
      </c>
      <c r="J69" s="153" t="s">
        <v>204</v>
      </c>
      <c r="K69" s="153" t="s">
        <v>204</v>
      </c>
      <c r="L69" s="153" t="s">
        <v>325</v>
      </c>
      <c r="M69" s="153" t="s">
        <v>340</v>
      </c>
      <c r="N69" s="153" t="s">
        <v>464</v>
      </c>
      <c r="O69" s="153" t="s">
        <v>339</v>
      </c>
      <c r="P69" s="153" t="s">
        <v>1538</v>
      </c>
      <c r="Q69" s="153" t="s">
        <v>413</v>
      </c>
      <c r="R69" s="153" t="s">
        <v>407</v>
      </c>
      <c r="S69" s="153" t="s">
        <v>1212</v>
      </c>
      <c r="T69" s="154">
        <v>5.36</v>
      </c>
      <c r="U69" s="153" t="s">
        <v>1824</v>
      </c>
      <c r="V69" s="155">
        <v>3.091E-2</v>
      </c>
      <c r="W69" s="155">
        <v>3.3099999999999997E-2</v>
      </c>
      <c r="X69" s="153" t="s">
        <v>412</v>
      </c>
      <c r="Y69" s="153" t="s">
        <v>339</v>
      </c>
      <c r="Z69" s="154">
        <v>92771.08</v>
      </c>
      <c r="AA69" s="154">
        <v>1</v>
      </c>
      <c r="AB69" s="154">
        <v>99.45</v>
      </c>
      <c r="AD69" s="154">
        <v>92.260999999999996</v>
      </c>
      <c r="AG69" s="157" t="s">
        <v>15</v>
      </c>
      <c r="AH69" s="155">
        <v>4.0000000000000003E-5</v>
      </c>
      <c r="AI69" s="155">
        <f t="shared" si="1"/>
        <v>5.2687217751457563E-3</v>
      </c>
      <c r="AJ69" s="155">
        <v>8.6713593226944751E-4</v>
      </c>
    </row>
    <row r="70" spans="1:36" s="160" customFormat="1">
      <c r="A70" s="153" t="s">
        <v>1213</v>
      </c>
      <c r="B70" s="160">
        <v>12936</v>
      </c>
      <c r="C70" s="153" t="s">
        <v>1825</v>
      </c>
      <c r="D70" s="153" t="s">
        <v>1826</v>
      </c>
      <c r="E70" s="153" t="s">
        <v>309</v>
      </c>
      <c r="F70" s="153" t="s">
        <v>1827</v>
      </c>
      <c r="G70" s="153" t="s">
        <v>1828</v>
      </c>
      <c r="H70" s="153" t="s">
        <v>321</v>
      </c>
      <c r="I70" s="153" t="s">
        <v>951</v>
      </c>
      <c r="J70" s="153" t="s">
        <v>204</v>
      </c>
      <c r="K70" s="153" t="s">
        <v>204</v>
      </c>
      <c r="L70" s="153" t="s">
        <v>325</v>
      </c>
      <c r="M70" s="153" t="s">
        <v>340</v>
      </c>
      <c r="N70" s="153" t="s">
        <v>441</v>
      </c>
      <c r="O70" s="153" t="s">
        <v>339</v>
      </c>
      <c r="Q70" s="153" t="s">
        <v>410</v>
      </c>
      <c r="R70" s="153" t="s">
        <v>410</v>
      </c>
      <c r="S70" s="153" t="s">
        <v>1212</v>
      </c>
      <c r="T70" s="154">
        <v>3.39</v>
      </c>
      <c r="U70" s="153" t="s">
        <v>1283</v>
      </c>
      <c r="V70" s="155">
        <v>5.994E-2</v>
      </c>
      <c r="W70" s="155">
        <v>7.0499999999999993E-2</v>
      </c>
      <c r="X70" s="153" t="s">
        <v>412</v>
      </c>
      <c r="Y70" s="153" t="s">
        <v>339</v>
      </c>
      <c r="Z70" s="154">
        <v>96000</v>
      </c>
      <c r="AA70" s="154">
        <v>1</v>
      </c>
      <c r="AB70" s="154">
        <v>95.4</v>
      </c>
      <c r="AD70" s="154">
        <v>91.584000000000003</v>
      </c>
      <c r="AG70" s="157" t="s">
        <v>15</v>
      </c>
      <c r="AH70" s="155">
        <v>3.6999999999999999E-4</v>
      </c>
      <c r="AI70" s="155">
        <f t="shared" si="1"/>
        <v>5.2300605353827623E-3</v>
      </c>
      <c r="AJ70" s="155">
        <v>8.6077299423337151E-4</v>
      </c>
    </row>
    <row r="71" spans="1:36" s="160" customFormat="1">
      <c r="A71" s="153" t="s">
        <v>1213</v>
      </c>
      <c r="B71" s="160">
        <v>12936</v>
      </c>
      <c r="C71" s="153" t="s">
        <v>1829</v>
      </c>
      <c r="D71" s="153" t="s">
        <v>1830</v>
      </c>
      <c r="E71" s="153" t="s">
        <v>309</v>
      </c>
      <c r="F71" s="153" t="s">
        <v>1831</v>
      </c>
      <c r="G71" s="153" t="s">
        <v>1832</v>
      </c>
      <c r="H71" s="153" t="s">
        <v>321</v>
      </c>
      <c r="I71" s="153" t="s">
        <v>951</v>
      </c>
      <c r="J71" s="153" t="s">
        <v>204</v>
      </c>
      <c r="K71" s="153" t="s">
        <v>204</v>
      </c>
      <c r="L71" s="153" t="s">
        <v>325</v>
      </c>
      <c r="M71" s="153" t="s">
        <v>340</v>
      </c>
      <c r="N71" s="153" t="s">
        <v>447</v>
      </c>
      <c r="O71" s="153" t="s">
        <v>339</v>
      </c>
      <c r="Q71" s="153" t="s">
        <v>410</v>
      </c>
      <c r="R71" s="153" t="s">
        <v>410</v>
      </c>
      <c r="S71" s="153" t="s">
        <v>1212</v>
      </c>
      <c r="T71" s="154">
        <v>1.4</v>
      </c>
      <c r="U71" s="153" t="s">
        <v>1833</v>
      </c>
      <c r="V71" s="155">
        <v>8.4529999999999994E-2</v>
      </c>
      <c r="W71" s="155">
        <v>4.8300000000000003E-2</v>
      </c>
      <c r="X71" s="153" t="s">
        <v>412</v>
      </c>
      <c r="Y71" s="153" t="s">
        <v>339</v>
      </c>
      <c r="Z71" s="154">
        <v>92000</v>
      </c>
      <c r="AA71" s="154">
        <v>1</v>
      </c>
      <c r="AB71" s="154">
        <v>98.89</v>
      </c>
      <c r="AD71" s="154">
        <v>90.978999999999999</v>
      </c>
      <c r="AG71" s="157" t="s">
        <v>15</v>
      </c>
      <c r="AH71" s="155">
        <v>7.1000000000000002E-4</v>
      </c>
      <c r="AI71" s="155">
        <f t="shared" si="1"/>
        <v>5.1955109784306026E-3</v>
      </c>
      <c r="AJ71" s="155">
        <v>8.5508676452609523E-4</v>
      </c>
    </row>
    <row r="72" spans="1:36" s="160" customFormat="1">
      <c r="A72" s="153" t="s">
        <v>1213</v>
      </c>
      <c r="B72" s="160">
        <v>12936</v>
      </c>
      <c r="C72" s="153" t="s">
        <v>1546</v>
      </c>
      <c r="D72" s="153" t="s">
        <v>1547</v>
      </c>
      <c r="E72" s="153" t="s">
        <v>309</v>
      </c>
      <c r="F72" s="153" t="s">
        <v>1834</v>
      </c>
      <c r="G72" s="153" t="s">
        <v>1835</v>
      </c>
      <c r="H72" s="153" t="s">
        <v>321</v>
      </c>
      <c r="I72" s="153" t="s">
        <v>754</v>
      </c>
      <c r="J72" s="153" t="s">
        <v>204</v>
      </c>
      <c r="K72" s="153" t="s">
        <v>204</v>
      </c>
      <c r="L72" s="153" t="s">
        <v>325</v>
      </c>
      <c r="M72" s="153" t="s">
        <v>340</v>
      </c>
      <c r="N72" s="153" t="s">
        <v>443</v>
      </c>
      <c r="O72" s="153" t="s">
        <v>339</v>
      </c>
      <c r="P72" s="153" t="s">
        <v>1544</v>
      </c>
      <c r="Q72" s="153" t="s">
        <v>415</v>
      </c>
      <c r="R72" s="153" t="s">
        <v>407</v>
      </c>
      <c r="S72" s="153" t="s">
        <v>1212</v>
      </c>
      <c r="T72" s="154">
        <v>0.66</v>
      </c>
      <c r="U72" s="153" t="s">
        <v>1836</v>
      </c>
      <c r="V72" s="155">
        <v>1.6389999999999998E-2</v>
      </c>
      <c r="W72" s="155">
        <v>2.7099999999999999E-2</v>
      </c>
      <c r="X72" s="153" t="s">
        <v>412</v>
      </c>
      <c r="Y72" s="153" t="s">
        <v>339</v>
      </c>
      <c r="Z72" s="154">
        <v>72000</v>
      </c>
      <c r="AA72" s="154">
        <v>1</v>
      </c>
      <c r="AB72" s="154">
        <v>113.12</v>
      </c>
      <c r="AD72" s="154">
        <v>81.445999999999998</v>
      </c>
      <c r="AG72" s="157" t="s">
        <v>15</v>
      </c>
      <c r="AH72" s="155">
        <v>2.4000000000000001E-4</v>
      </c>
      <c r="AI72" s="155">
        <f t="shared" si="1"/>
        <v>4.6511127529348401E-3</v>
      </c>
      <c r="AJ72" s="155">
        <v>7.654887020476412E-4</v>
      </c>
    </row>
    <row r="73" spans="1:36" s="160" customFormat="1">
      <c r="A73" s="153" t="s">
        <v>1213</v>
      </c>
      <c r="B73" s="160">
        <v>12936</v>
      </c>
      <c r="C73" s="153" t="s">
        <v>1687</v>
      </c>
      <c r="D73" s="153" t="s">
        <v>1688</v>
      </c>
      <c r="E73" s="153" t="s">
        <v>309</v>
      </c>
      <c r="F73" s="153" t="s">
        <v>1837</v>
      </c>
      <c r="G73" s="153" t="s">
        <v>1838</v>
      </c>
      <c r="H73" s="153" t="s">
        <v>321</v>
      </c>
      <c r="I73" s="153" t="s">
        <v>754</v>
      </c>
      <c r="J73" s="153" t="s">
        <v>204</v>
      </c>
      <c r="K73" s="153" t="s">
        <v>204</v>
      </c>
      <c r="L73" s="153" t="s">
        <v>325</v>
      </c>
      <c r="M73" s="153" t="s">
        <v>340</v>
      </c>
      <c r="N73" s="153" t="s">
        <v>465</v>
      </c>
      <c r="O73" s="153" t="s">
        <v>339</v>
      </c>
      <c r="P73" s="153" t="s">
        <v>1614</v>
      </c>
      <c r="Q73" s="153" t="s">
        <v>415</v>
      </c>
      <c r="R73" s="153" t="s">
        <v>407</v>
      </c>
      <c r="S73" s="153" t="s">
        <v>1212</v>
      </c>
      <c r="T73" s="154">
        <v>1.46</v>
      </c>
      <c r="U73" s="153" t="s">
        <v>1839</v>
      </c>
      <c r="V73" s="155">
        <v>2.649E-2</v>
      </c>
      <c r="W73" s="155">
        <v>3.1099999999999999E-2</v>
      </c>
      <c r="X73" s="153" t="s">
        <v>412</v>
      </c>
      <c r="Y73" s="153" t="s">
        <v>339</v>
      </c>
      <c r="Z73" s="154">
        <v>50000</v>
      </c>
      <c r="AA73" s="154">
        <v>1</v>
      </c>
      <c r="AB73" s="154">
        <v>116.88</v>
      </c>
      <c r="AD73" s="154">
        <v>58.44</v>
      </c>
      <c r="AG73" s="157" t="s">
        <v>15</v>
      </c>
      <c r="AH73" s="155">
        <v>4.0000000000000003E-5</v>
      </c>
      <c r="AI73" s="155">
        <f t="shared" si="1"/>
        <v>3.3373158814614845E-3</v>
      </c>
      <c r="AJ73" s="155">
        <v>5.492615935425208E-4</v>
      </c>
    </row>
    <row r="74" spans="1:36" s="160" customFormat="1">
      <c r="A74" s="153" t="s">
        <v>1213</v>
      </c>
      <c r="B74" s="160">
        <v>12936</v>
      </c>
      <c r="C74" s="153" t="s">
        <v>1840</v>
      </c>
      <c r="D74" s="153" t="s">
        <v>1841</v>
      </c>
      <c r="E74" s="153" t="s">
        <v>309</v>
      </c>
      <c r="F74" s="153" t="s">
        <v>1842</v>
      </c>
      <c r="G74" s="153" t="s">
        <v>1843</v>
      </c>
      <c r="H74" s="153" t="s">
        <v>321</v>
      </c>
      <c r="I74" s="153" t="s">
        <v>951</v>
      </c>
      <c r="J74" s="153" t="s">
        <v>204</v>
      </c>
      <c r="K74" s="153" t="s">
        <v>204</v>
      </c>
      <c r="L74" s="153" t="s">
        <v>325</v>
      </c>
      <c r="M74" s="153" t="s">
        <v>340</v>
      </c>
      <c r="N74" s="153" t="s">
        <v>447</v>
      </c>
      <c r="O74" s="153" t="s">
        <v>339</v>
      </c>
      <c r="Q74" s="153" t="s">
        <v>410</v>
      </c>
      <c r="R74" s="153" t="s">
        <v>410</v>
      </c>
      <c r="S74" s="153" t="s">
        <v>1212</v>
      </c>
      <c r="T74" s="154">
        <v>1.65</v>
      </c>
      <c r="U74" s="153" t="s">
        <v>1572</v>
      </c>
      <c r="V74" s="155">
        <v>4.19E-2</v>
      </c>
      <c r="W74" s="155">
        <v>7.2400000000000006E-2</v>
      </c>
      <c r="X74" s="153" t="s">
        <v>412</v>
      </c>
      <c r="Y74" s="153" t="s">
        <v>339</v>
      </c>
      <c r="Z74" s="154">
        <v>59195</v>
      </c>
      <c r="AA74" s="154">
        <v>1</v>
      </c>
      <c r="AB74" s="154">
        <v>96.4</v>
      </c>
      <c r="AD74" s="154">
        <v>57.064</v>
      </c>
      <c r="AG74" s="157" t="s">
        <v>15</v>
      </c>
      <c r="AH74" s="155">
        <v>7.3999999999999999E-4</v>
      </c>
      <c r="AI74" s="155">
        <f t="shared" si="1"/>
        <v>3.2587370544099616E-3</v>
      </c>
      <c r="AJ74" s="155">
        <v>5.3632894548101312E-4</v>
      </c>
    </row>
    <row r="75" spans="1:36" s="160" customFormat="1">
      <c r="A75" s="153" t="s">
        <v>1213</v>
      </c>
      <c r="B75" s="160">
        <v>12936</v>
      </c>
      <c r="C75" s="153" t="s">
        <v>1844</v>
      </c>
      <c r="D75" s="153" t="s">
        <v>1845</v>
      </c>
      <c r="E75" s="153" t="s">
        <v>309</v>
      </c>
      <c r="F75" s="153" t="s">
        <v>1846</v>
      </c>
      <c r="G75" s="153" t="s">
        <v>1847</v>
      </c>
      <c r="H75" s="153" t="s">
        <v>321</v>
      </c>
      <c r="I75" s="153" t="s">
        <v>951</v>
      </c>
      <c r="J75" s="153" t="s">
        <v>204</v>
      </c>
      <c r="K75" s="153" t="s">
        <v>204</v>
      </c>
      <c r="L75" s="153" t="s">
        <v>325</v>
      </c>
      <c r="M75" s="153" t="s">
        <v>340</v>
      </c>
      <c r="N75" s="153" t="s">
        <v>447</v>
      </c>
      <c r="O75" s="153" t="s">
        <v>339</v>
      </c>
      <c r="Q75" s="153" t="s">
        <v>410</v>
      </c>
      <c r="R75" s="153" t="s">
        <v>410</v>
      </c>
      <c r="S75" s="153" t="s">
        <v>1212</v>
      </c>
      <c r="T75" s="154">
        <v>0.54</v>
      </c>
      <c r="U75" s="153" t="s">
        <v>1848</v>
      </c>
      <c r="V75" s="155">
        <v>4.0390000000000002E-2</v>
      </c>
      <c r="W75" s="155">
        <v>7.2700000000000001E-2</v>
      </c>
      <c r="X75" s="153" t="s">
        <v>412</v>
      </c>
      <c r="Y75" s="153" t="s">
        <v>339</v>
      </c>
      <c r="Z75" s="154">
        <v>47093.33</v>
      </c>
      <c r="AA75" s="154">
        <v>1</v>
      </c>
      <c r="AB75" s="154">
        <v>99.72</v>
      </c>
      <c r="AD75" s="154">
        <v>46.960999999999999</v>
      </c>
      <c r="AG75" s="157" t="s">
        <v>15</v>
      </c>
      <c r="AH75" s="155">
        <v>8.0999999999999996E-4</v>
      </c>
      <c r="AI75" s="155">
        <f t="shared" si="1"/>
        <v>2.6817880066617519E-3</v>
      </c>
      <c r="AJ75" s="155">
        <v>4.413736087328939E-4</v>
      </c>
    </row>
    <row r="76" spans="1:36" s="160" customFormat="1">
      <c r="A76" s="153" t="s">
        <v>1213</v>
      </c>
      <c r="B76" s="160">
        <v>12936</v>
      </c>
      <c r="C76" s="153" t="s">
        <v>1556</v>
      </c>
      <c r="D76" s="153" t="s">
        <v>1557</v>
      </c>
      <c r="E76" s="153" t="s">
        <v>311</v>
      </c>
      <c r="F76" s="153" t="s">
        <v>1849</v>
      </c>
      <c r="G76" s="153" t="s">
        <v>1850</v>
      </c>
      <c r="H76" s="153" t="s">
        <v>321</v>
      </c>
      <c r="I76" s="153" t="s">
        <v>951</v>
      </c>
      <c r="J76" s="153" t="s">
        <v>204</v>
      </c>
      <c r="K76" s="153" t="s">
        <v>224</v>
      </c>
      <c r="L76" s="153" t="s">
        <v>325</v>
      </c>
      <c r="M76" s="153" t="s">
        <v>340</v>
      </c>
      <c r="N76" s="153" t="s">
        <v>465</v>
      </c>
      <c r="O76" s="153" t="s">
        <v>339</v>
      </c>
      <c r="P76" s="153" t="s">
        <v>1560</v>
      </c>
      <c r="Q76" s="153" t="s">
        <v>413</v>
      </c>
      <c r="R76" s="153" t="s">
        <v>407</v>
      </c>
      <c r="S76" s="153" t="s">
        <v>1212</v>
      </c>
      <c r="T76" s="154">
        <v>1.86</v>
      </c>
      <c r="U76" s="153" t="s">
        <v>1851</v>
      </c>
      <c r="V76" s="155">
        <v>6.9430000000000006E-2</v>
      </c>
      <c r="W76" s="155">
        <v>7.0800000000000002E-2</v>
      </c>
      <c r="X76" s="153" t="s">
        <v>412</v>
      </c>
      <c r="Y76" s="153" t="s">
        <v>339</v>
      </c>
      <c r="Z76" s="154">
        <v>39701</v>
      </c>
      <c r="AA76" s="154">
        <v>1</v>
      </c>
      <c r="AB76" s="154">
        <v>97.67</v>
      </c>
      <c r="AD76" s="154">
        <v>38.776000000000003</v>
      </c>
      <c r="AG76" s="157" t="s">
        <v>15</v>
      </c>
      <c r="AH76" s="155">
        <v>1.3999999999999999E-4</v>
      </c>
      <c r="AI76" s="155">
        <f t="shared" si="1"/>
        <v>2.2143696204577437E-3</v>
      </c>
      <c r="AJ76" s="155">
        <v>3.6444502996585881E-4</v>
      </c>
    </row>
    <row r="77" spans="1:36" s="160" customFormat="1">
      <c r="A77" s="153" t="s">
        <v>1213</v>
      </c>
      <c r="B77" s="160">
        <v>12936</v>
      </c>
      <c r="C77" s="153" t="s">
        <v>1852</v>
      </c>
      <c r="D77" s="153" t="s">
        <v>1853</v>
      </c>
      <c r="E77" s="153" t="s">
        <v>309</v>
      </c>
      <c r="F77" s="153" t="s">
        <v>1854</v>
      </c>
      <c r="G77" s="153" t="s">
        <v>1855</v>
      </c>
      <c r="H77" s="153" t="s">
        <v>321</v>
      </c>
      <c r="I77" s="153" t="s">
        <v>754</v>
      </c>
      <c r="J77" s="153" t="s">
        <v>204</v>
      </c>
      <c r="K77" s="153" t="s">
        <v>204</v>
      </c>
      <c r="L77" s="153" t="s">
        <v>325</v>
      </c>
      <c r="M77" s="153" t="s">
        <v>340</v>
      </c>
      <c r="N77" s="153" t="s">
        <v>448</v>
      </c>
      <c r="O77" s="153" t="s">
        <v>339</v>
      </c>
      <c r="P77" s="153" t="s">
        <v>1554</v>
      </c>
      <c r="Q77" s="153" t="s">
        <v>413</v>
      </c>
      <c r="R77" s="153" t="s">
        <v>407</v>
      </c>
      <c r="S77" s="153" t="s">
        <v>1212</v>
      </c>
      <c r="T77" s="154">
        <v>2.63</v>
      </c>
      <c r="U77" s="153" t="s">
        <v>1331</v>
      </c>
      <c r="V77" s="155">
        <v>1.2200000000000001E-2</v>
      </c>
      <c r="W77" s="155">
        <v>3.4700000000000002E-2</v>
      </c>
      <c r="X77" s="153" t="s">
        <v>411</v>
      </c>
      <c r="Y77" s="153" t="s">
        <v>339</v>
      </c>
      <c r="Z77" s="154">
        <v>30744</v>
      </c>
      <c r="AA77" s="154">
        <v>1</v>
      </c>
      <c r="AB77" s="154">
        <v>108.22</v>
      </c>
      <c r="AD77" s="154">
        <v>33.271000000000001</v>
      </c>
      <c r="AG77" s="157" t="s">
        <v>15</v>
      </c>
      <c r="AH77" s="155">
        <v>2.2000000000000001E-4</v>
      </c>
      <c r="AI77" s="155">
        <f t="shared" si="1"/>
        <v>1.8999972055459456E-3</v>
      </c>
      <c r="AJ77" s="155">
        <v>3.1270503899303919E-4</v>
      </c>
    </row>
    <row r="78" spans="1:36" s="160" customFormat="1">
      <c r="A78" s="153" t="s">
        <v>1213</v>
      </c>
      <c r="B78" s="160">
        <v>12936</v>
      </c>
      <c r="C78" s="153" t="s">
        <v>1840</v>
      </c>
      <c r="D78" s="153" t="s">
        <v>1841</v>
      </c>
      <c r="E78" s="153" t="s">
        <v>309</v>
      </c>
      <c r="F78" s="153" t="s">
        <v>1856</v>
      </c>
      <c r="G78" s="153" t="s">
        <v>1857</v>
      </c>
      <c r="H78" s="153" t="s">
        <v>321</v>
      </c>
      <c r="I78" s="153" t="s">
        <v>951</v>
      </c>
      <c r="J78" s="153" t="s">
        <v>204</v>
      </c>
      <c r="K78" s="153" t="s">
        <v>204</v>
      </c>
      <c r="L78" s="153" t="s">
        <v>325</v>
      </c>
      <c r="M78" s="153" t="s">
        <v>340</v>
      </c>
      <c r="N78" s="153" t="s">
        <v>447</v>
      </c>
      <c r="O78" s="153" t="s">
        <v>339</v>
      </c>
      <c r="Q78" s="153" t="s">
        <v>410</v>
      </c>
      <c r="R78" s="153" t="s">
        <v>410</v>
      </c>
      <c r="S78" s="153" t="s">
        <v>1212</v>
      </c>
      <c r="T78" s="154">
        <v>1.63</v>
      </c>
      <c r="U78" s="153" t="s">
        <v>1572</v>
      </c>
      <c r="V78" s="155">
        <v>6.25E-2</v>
      </c>
      <c r="W78" s="155">
        <v>7.6399999999999996E-2</v>
      </c>
      <c r="X78" s="153" t="s">
        <v>412</v>
      </c>
      <c r="Y78" s="153" t="s">
        <v>339</v>
      </c>
      <c r="Z78" s="154">
        <v>29858.25</v>
      </c>
      <c r="AA78" s="154">
        <v>1</v>
      </c>
      <c r="AB78" s="154">
        <v>99.6</v>
      </c>
      <c r="AD78" s="154">
        <v>29.739000000000001</v>
      </c>
      <c r="AG78" s="157" t="s">
        <v>15</v>
      </c>
      <c r="AH78" s="155">
        <v>4.0000000000000002E-4</v>
      </c>
      <c r="AI78" s="155">
        <f t="shared" si="1"/>
        <v>1.6982963209921816E-3</v>
      </c>
      <c r="AJ78" s="155">
        <v>2.7950873597469247E-4</v>
      </c>
    </row>
    <row r="79" spans="1:36" s="160" customFormat="1">
      <c r="A79" s="153" t="s">
        <v>1213</v>
      </c>
      <c r="B79" s="160">
        <v>12936</v>
      </c>
      <c r="C79" s="153" t="s">
        <v>1591</v>
      </c>
      <c r="D79" s="153" t="s">
        <v>1592</v>
      </c>
      <c r="E79" s="153" t="s">
        <v>309</v>
      </c>
      <c r="F79" s="153" t="s">
        <v>1858</v>
      </c>
      <c r="G79" s="153" t="s">
        <v>1859</v>
      </c>
      <c r="H79" s="153" t="s">
        <v>321</v>
      </c>
      <c r="I79" s="153" t="s">
        <v>754</v>
      </c>
      <c r="J79" s="153" t="s">
        <v>204</v>
      </c>
      <c r="K79" s="153" t="s">
        <v>204</v>
      </c>
      <c r="L79" s="153" t="s">
        <v>325</v>
      </c>
      <c r="M79" s="153" t="s">
        <v>340</v>
      </c>
      <c r="N79" s="153" t="s">
        <v>464</v>
      </c>
      <c r="O79" s="153" t="s">
        <v>339</v>
      </c>
      <c r="P79" s="153" t="s">
        <v>1538</v>
      </c>
      <c r="Q79" s="153" t="s">
        <v>413</v>
      </c>
      <c r="R79" s="153" t="s">
        <v>407</v>
      </c>
      <c r="S79" s="153" t="s">
        <v>1212</v>
      </c>
      <c r="T79" s="154">
        <v>5.14</v>
      </c>
      <c r="U79" s="153" t="s">
        <v>1860</v>
      </c>
      <c r="V79" s="155">
        <v>3.4930000000000003E-2</v>
      </c>
      <c r="W79" s="155">
        <v>3.32E-2</v>
      </c>
      <c r="X79" s="153" t="s">
        <v>412</v>
      </c>
      <c r="Y79" s="153" t="s">
        <v>339</v>
      </c>
      <c r="Z79" s="154">
        <v>17011</v>
      </c>
      <c r="AA79" s="154">
        <v>1</v>
      </c>
      <c r="AB79" s="154">
        <v>97.54</v>
      </c>
      <c r="AD79" s="154">
        <v>16.593</v>
      </c>
      <c r="AG79" s="157" t="s">
        <v>15</v>
      </c>
      <c r="AH79" s="155">
        <v>1.0000000000000001E-5</v>
      </c>
      <c r="AI79" s="155">
        <f t="shared" si="1"/>
        <v>9.4757156778046568E-4</v>
      </c>
      <c r="AJ79" s="155">
        <v>1.5595307360799192E-4</v>
      </c>
    </row>
    <row r="80" spans="1:36" s="160" customFormat="1">
      <c r="A80" s="153" t="s">
        <v>1213</v>
      </c>
      <c r="B80" s="160">
        <v>12936</v>
      </c>
      <c r="C80" s="153" t="s">
        <v>1861</v>
      </c>
      <c r="D80" s="153" t="s">
        <v>1862</v>
      </c>
      <c r="E80" s="153" t="s">
        <v>309</v>
      </c>
      <c r="F80" s="153" t="s">
        <v>1863</v>
      </c>
      <c r="G80" s="153" t="s">
        <v>1864</v>
      </c>
      <c r="H80" s="153" t="s">
        <v>321</v>
      </c>
      <c r="I80" s="153" t="s">
        <v>754</v>
      </c>
      <c r="J80" s="153" t="s">
        <v>204</v>
      </c>
      <c r="K80" s="153" t="s">
        <v>204</v>
      </c>
      <c r="L80" s="153" t="s">
        <v>325</v>
      </c>
      <c r="M80" s="153" t="s">
        <v>340</v>
      </c>
      <c r="N80" s="153" t="s">
        <v>464</v>
      </c>
      <c r="O80" s="153" t="s">
        <v>339</v>
      </c>
      <c r="P80" s="153" t="s">
        <v>1538</v>
      </c>
      <c r="Q80" s="153" t="s">
        <v>413</v>
      </c>
      <c r="R80" s="153" t="s">
        <v>407</v>
      </c>
      <c r="S80" s="153" t="s">
        <v>1212</v>
      </c>
      <c r="T80" s="154">
        <v>5.3</v>
      </c>
      <c r="U80" s="153" t="s">
        <v>1865</v>
      </c>
      <c r="V80" s="155">
        <v>2.7449999999999999E-2</v>
      </c>
      <c r="W80" s="155">
        <v>3.0300000000000001E-2</v>
      </c>
      <c r="X80" s="153" t="s">
        <v>412</v>
      </c>
      <c r="Y80" s="153" t="s">
        <v>339</v>
      </c>
      <c r="Z80" s="154">
        <v>494.27</v>
      </c>
      <c r="AA80" s="154">
        <v>1</v>
      </c>
      <c r="AB80" s="154">
        <v>97.92</v>
      </c>
      <c r="AD80" s="154">
        <v>0.48399999999999999</v>
      </c>
      <c r="AG80" s="157" t="s">
        <v>15</v>
      </c>
      <c r="AH80" s="155">
        <v>0</v>
      </c>
      <c r="AI80" s="155">
        <f t="shared" si="1"/>
        <v>2.763964556172756E-5</v>
      </c>
      <c r="AJ80" s="155">
        <v>4.5489837658210141E-6</v>
      </c>
    </row>
    <row r="81" spans="1:36" s="160" customFormat="1">
      <c r="A81" s="153" t="s">
        <v>1213</v>
      </c>
      <c r="B81" s="160">
        <v>12936</v>
      </c>
      <c r="C81" s="153" t="s">
        <v>1866</v>
      </c>
      <c r="D81" s="153" t="s">
        <v>1867</v>
      </c>
      <c r="E81" s="153" t="s">
        <v>309</v>
      </c>
      <c r="F81" s="153" t="s">
        <v>1868</v>
      </c>
      <c r="G81" s="153" t="s">
        <v>1869</v>
      </c>
      <c r="H81" s="153" t="s">
        <v>312</v>
      </c>
      <c r="I81" s="153" t="s">
        <v>951</v>
      </c>
      <c r="J81" s="153" t="s">
        <v>204</v>
      </c>
      <c r="K81" s="153" t="s">
        <v>204</v>
      </c>
      <c r="L81" s="153" t="s">
        <v>314</v>
      </c>
      <c r="M81" s="153" t="s">
        <v>340</v>
      </c>
      <c r="N81" s="153" t="s">
        <v>443</v>
      </c>
      <c r="O81" s="153" t="s">
        <v>339</v>
      </c>
      <c r="P81" s="153" t="s">
        <v>410</v>
      </c>
      <c r="Q81" s="153" t="s">
        <v>415</v>
      </c>
      <c r="R81" s="153" t="s">
        <v>407</v>
      </c>
      <c r="S81" s="153" t="s">
        <v>1212</v>
      </c>
      <c r="T81" s="154">
        <v>0.01</v>
      </c>
      <c r="U81" s="153" t="s">
        <v>1870</v>
      </c>
      <c r="V81" s="155">
        <v>3.4259999999999999E-2</v>
      </c>
      <c r="W81" s="155">
        <v>9.99</v>
      </c>
      <c r="X81" s="153" t="s">
        <v>412</v>
      </c>
      <c r="Y81" s="153" t="s">
        <v>338</v>
      </c>
      <c r="Z81" s="154">
        <v>75000</v>
      </c>
      <c r="AA81" s="154">
        <v>1</v>
      </c>
      <c r="AB81" s="154">
        <v>25</v>
      </c>
      <c r="AD81" s="154">
        <v>18.75</v>
      </c>
      <c r="AG81" s="157" t="s">
        <v>15</v>
      </c>
      <c r="AH81" s="155">
        <v>7.3800000000000003E-3</v>
      </c>
      <c r="AI81" s="155">
        <f t="shared" si="1"/>
        <v>1.0707507319884127E-3</v>
      </c>
      <c r="AJ81" s="155">
        <v>1.7622612729161987E-4</v>
      </c>
    </row>
    <row r="82" spans="1:36" s="160" customFormat="1">
      <c r="A82" s="153" t="s">
        <v>1213</v>
      </c>
      <c r="B82" s="160">
        <v>12936</v>
      </c>
      <c r="C82" s="153" t="s">
        <v>1624</v>
      </c>
      <c r="D82" s="153" t="s">
        <v>1625</v>
      </c>
      <c r="E82" s="153" t="s">
        <v>309</v>
      </c>
      <c r="F82" s="153" t="s">
        <v>1626</v>
      </c>
      <c r="G82" s="153" t="s">
        <v>1627</v>
      </c>
      <c r="H82" s="153" t="s">
        <v>321</v>
      </c>
      <c r="I82" s="153" t="s">
        <v>754</v>
      </c>
      <c r="J82" s="153" t="s">
        <v>204</v>
      </c>
      <c r="K82" s="153" t="s">
        <v>204</v>
      </c>
      <c r="L82" s="153" t="s">
        <v>327</v>
      </c>
      <c r="M82" s="153" t="s">
        <v>340</v>
      </c>
      <c r="N82" s="153" t="s">
        <v>447</v>
      </c>
      <c r="O82" s="153" t="s">
        <v>339</v>
      </c>
      <c r="P82" s="153" t="s">
        <v>1614</v>
      </c>
      <c r="Q82" s="153" t="s">
        <v>415</v>
      </c>
      <c r="R82" s="153" t="s">
        <v>407</v>
      </c>
      <c r="S82" s="153" t="s">
        <v>1212</v>
      </c>
      <c r="T82" s="154">
        <v>2.82</v>
      </c>
      <c r="U82" s="153" t="s">
        <v>1628</v>
      </c>
      <c r="V82" s="155">
        <v>3.2680000000000001E-2</v>
      </c>
      <c r="W82" s="155">
        <v>3.2199999999999999E-2</v>
      </c>
      <c r="X82" s="153" t="s">
        <v>412</v>
      </c>
      <c r="Y82" s="153" t="s">
        <v>339</v>
      </c>
      <c r="Z82" s="154">
        <v>91000</v>
      </c>
      <c r="AA82" s="154">
        <v>1</v>
      </c>
      <c r="AB82" s="154">
        <f>AD82*1000/Z82*100</f>
        <v>108.98999999999998</v>
      </c>
      <c r="AD82" s="154">
        <f>99180.9/1000</f>
        <v>99.180899999999994</v>
      </c>
      <c r="AG82" s="157" t="s">
        <v>15</v>
      </c>
      <c r="AI82" s="155">
        <f t="shared" si="1"/>
        <v>5.6638944679610424E-3</v>
      </c>
      <c r="AJ82" s="155">
        <v>9.3217418177586251E-4</v>
      </c>
    </row>
    <row r="83" spans="1:36" s="160" customFormat="1">
      <c r="A83" s="153" t="s">
        <v>1213</v>
      </c>
      <c r="B83" s="160">
        <v>12936</v>
      </c>
      <c r="C83" s="153" t="s">
        <v>1679</v>
      </c>
      <c r="D83" s="153" t="s">
        <v>1680</v>
      </c>
      <c r="E83" s="153" t="s">
        <v>309</v>
      </c>
      <c r="F83" s="153" t="s">
        <v>1681</v>
      </c>
      <c r="G83" s="153" t="s">
        <v>1682</v>
      </c>
      <c r="H83" s="153" t="s">
        <v>321</v>
      </c>
      <c r="I83" s="153" t="s">
        <v>951</v>
      </c>
      <c r="J83" s="153" t="s">
        <v>204</v>
      </c>
      <c r="K83" s="153" t="s">
        <v>204</v>
      </c>
      <c r="L83" s="153" t="s">
        <v>327</v>
      </c>
      <c r="M83" s="153" t="s">
        <v>340</v>
      </c>
      <c r="N83" s="153" t="s">
        <v>447</v>
      </c>
      <c r="O83" s="153" t="s">
        <v>339</v>
      </c>
      <c r="Q83" s="153" t="s">
        <v>410</v>
      </c>
      <c r="R83" s="153" t="s">
        <v>410</v>
      </c>
      <c r="S83" s="153" t="s">
        <v>1212</v>
      </c>
      <c r="T83" s="154">
        <v>2.0499999999999998</v>
      </c>
      <c r="U83" s="153" t="s">
        <v>1572</v>
      </c>
      <c r="V83" s="155">
        <v>6.6100000000000006E-2</v>
      </c>
      <c r="W83" s="155">
        <v>7.1099999999999997E-2</v>
      </c>
      <c r="X83" s="153" t="s">
        <v>412</v>
      </c>
      <c r="Y83" s="153" t="s">
        <v>339</v>
      </c>
      <c r="Z83" s="154">
        <v>100000</v>
      </c>
      <c r="AA83" s="154">
        <v>1</v>
      </c>
      <c r="AB83" s="154">
        <f>AD83*1000/Z83*100</f>
        <v>105.22</v>
      </c>
      <c r="AD83" s="154">
        <f>105220/1000</f>
        <v>105.22</v>
      </c>
      <c r="AG83" s="157" t="s">
        <v>15</v>
      </c>
      <c r="AI83" s="155">
        <f t="shared" si="1"/>
        <v>6.0087675743904414E-3</v>
      </c>
      <c r="AJ83" s="155">
        <v>9.8893403272662622E-4</v>
      </c>
    </row>
    <row r="84" spans="1:36" s="160" customFormat="1">
      <c r="A84" s="153" t="s">
        <v>1213</v>
      </c>
      <c r="B84" s="160">
        <v>12936</v>
      </c>
      <c r="C84" s="153" t="s">
        <v>1620</v>
      </c>
      <c r="D84" s="153" t="s">
        <v>1621</v>
      </c>
      <c r="E84" s="153" t="s">
        <v>309</v>
      </c>
      <c r="F84" s="153" t="s">
        <v>1622</v>
      </c>
      <c r="G84" s="153" t="s">
        <v>1623</v>
      </c>
      <c r="H84" s="153" t="s">
        <v>321</v>
      </c>
      <c r="I84" s="153" t="s">
        <v>951</v>
      </c>
      <c r="J84" s="153" t="s">
        <v>204</v>
      </c>
      <c r="K84" s="153" t="s">
        <v>204</v>
      </c>
      <c r="L84" s="153" t="s">
        <v>327</v>
      </c>
      <c r="M84" s="153" t="s">
        <v>340</v>
      </c>
      <c r="N84" s="153" t="s">
        <v>447</v>
      </c>
      <c r="O84" s="153" t="s">
        <v>339</v>
      </c>
      <c r="Q84" s="153" t="s">
        <v>410</v>
      </c>
      <c r="R84" s="153" t="s">
        <v>410</v>
      </c>
      <c r="S84" s="153" t="s">
        <v>1212</v>
      </c>
      <c r="T84" s="154">
        <v>1.59</v>
      </c>
      <c r="U84" s="153" t="s">
        <v>1331</v>
      </c>
      <c r="V84" s="155">
        <v>6.4890000000000003E-2</v>
      </c>
      <c r="W84" s="155">
        <v>6.3100000000000003E-2</v>
      </c>
      <c r="X84" s="153" t="s">
        <v>412</v>
      </c>
      <c r="Y84" s="153" t="s">
        <v>339</v>
      </c>
      <c r="Z84" s="154">
        <v>183222.21999999997</v>
      </c>
      <c r="AA84" s="154">
        <v>1</v>
      </c>
      <c r="AB84" s="154">
        <f>AD84*1000/Z84*100</f>
        <v>101.67000000000002</v>
      </c>
      <c r="AD84" s="154">
        <f>186282.031074/1000</f>
        <v>186.282031074</v>
      </c>
      <c r="AG84" s="157" t="s">
        <v>15</v>
      </c>
      <c r="AI84" s="155">
        <f t="shared" si="1"/>
        <v>1.0637953126867933E-2</v>
      </c>
      <c r="AJ84" s="155">
        <v>1.7508139157433715E-3</v>
      </c>
    </row>
    <row r="85" spans="1:36" s="160" customFormat="1">
      <c r="A85" s="153" t="s">
        <v>1213</v>
      </c>
      <c r="B85" s="160">
        <v>12936</v>
      </c>
      <c r="C85" s="153" t="s">
        <v>1546</v>
      </c>
      <c r="D85" s="153" t="s">
        <v>1547</v>
      </c>
      <c r="E85" s="153" t="s">
        <v>309</v>
      </c>
      <c r="F85" s="153" t="s">
        <v>1639</v>
      </c>
      <c r="G85" s="153" t="s">
        <v>1640</v>
      </c>
      <c r="H85" s="153" t="s">
        <v>321</v>
      </c>
      <c r="I85" s="153" t="s">
        <v>754</v>
      </c>
      <c r="J85" s="153" t="s">
        <v>204</v>
      </c>
      <c r="K85" s="153" t="s">
        <v>204</v>
      </c>
      <c r="L85" s="153" t="s">
        <v>327</v>
      </c>
      <c r="M85" s="153" t="s">
        <v>340</v>
      </c>
      <c r="N85" s="153" t="s">
        <v>443</v>
      </c>
      <c r="O85" s="153" t="s">
        <v>339</v>
      </c>
      <c r="P85" s="153" t="s">
        <v>1544</v>
      </c>
      <c r="Q85" s="153" t="s">
        <v>415</v>
      </c>
      <c r="R85" s="153" t="s">
        <v>407</v>
      </c>
      <c r="S85" s="153" t="s">
        <v>1212</v>
      </c>
      <c r="T85" s="154">
        <v>3.25</v>
      </c>
      <c r="U85" s="153" t="s">
        <v>1641</v>
      </c>
      <c r="V85" s="155">
        <v>2.9489999999999999E-2</v>
      </c>
      <c r="W85" s="155">
        <v>3.3300000000000003E-2</v>
      </c>
      <c r="X85" s="153" t="s">
        <v>412</v>
      </c>
      <c r="Y85" s="153" t="s">
        <v>339</v>
      </c>
      <c r="Z85" s="154">
        <v>55000</v>
      </c>
      <c r="AA85" s="154">
        <v>1</v>
      </c>
      <c r="AB85" s="154">
        <f>AD85*1000/Z85*100</f>
        <v>104.54</v>
      </c>
      <c r="AD85" s="154">
        <f>57497/1000</f>
        <v>57.497</v>
      </c>
      <c r="AG85" s="157" t="s">
        <v>15</v>
      </c>
      <c r="AI85" s="155">
        <f t="shared" si="1"/>
        <v>3.2834642579806809E-3</v>
      </c>
      <c r="AJ85" s="155">
        <v>5.4039859418060097E-4</v>
      </c>
    </row>
    <row r="86" spans="1:36" s="160" customFormat="1">
      <c r="A86" s="153" t="s">
        <v>1213</v>
      </c>
      <c r="B86" s="160">
        <v>12936</v>
      </c>
      <c r="C86" s="153" t="s">
        <v>1872</v>
      </c>
      <c r="D86" s="153" t="s">
        <v>1873</v>
      </c>
      <c r="E86" s="153" t="s">
        <v>80</v>
      </c>
      <c r="F86" s="153" t="s">
        <v>1874</v>
      </c>
      <c r="G86" s="153" t="s">
        <v>1875</v>
      </c>
      <c r="H86" s="153" t="s">
        <v>321</v>
      </c>
      <c r="I86" s="153" t="s">
        <v>755</v>
      </c>
      <c r="J86" s="153" t="s">
        <v>205</v>
      </c>
      <c r="K86" s="153" t="s">
        <v>224</v>
      </c>
      <c r="L86" s="153" t="s">
        <v>325</v>
      </c>
      <c r="M86" s="153" t="s">
        <v>314</v>
      </c>
      <c r="N86" s="153" t="s">
        <v>534</v>
      </c>
      <c r="O86" s="153" t="s">
        <v>339</v>
      </c>
      <c r="P86" s="153" t="s">
        <v>1876</v>
      </c>
      <c r="Q86" s="153" t="s">
        <v>433</v>
      </c>
      <c r="R86" s="153" t="s">
        <v>407</v>
      </c>
      <c r="S86" s="153" t="s">
        <v>1216</v>
      </c>
      <c r="T86" s="154">
        <v>1.609</v>
      </c>
      <c r="U86" s="153" t="s">
        <v>1877</v>
      </c>
      <c r="V86" s="155">
        <v>5.8160000000000003E-2</v>
      </c>
      <c r="W86" s="155">
        <v>4.4999999999999998E-2</v>
      </c>
      <c r="X86" s="153" t="s">
        <v>412</v>
      </c>
      <c r="Y86" s="153" t="s">
        <v>339</v>
      </c>
      <c r="Z86" s="154">
        <v>34000</v>
      </c>
      <c r="AA86" s="154">
        <v>3.71</v>
      </c>
      <c r="AB86" s="154">
        <v>100.123</v>
      </c>
      <c r="AD86" s="154">
        <v>126.295</v>
      </c>
      <c r="AG86" s="157" t="s">
        <v>15</v>
      </c>
      <c r="AH86" s="155">
        <v>2.0000000000000002E-5</v>
      </c>
      <c r="AI86" s="155">
        <f t="shared" si="1"/>
        <v>7.2122913971454173E-3</v>
      </c>
      <c r="AJ86" s="155">
        <v>1.1870121998024071E-3</v>
      </c>
    </row>
    <row r="87" spans="1:36" s="160" customFormat="1">
      <c r="A87" s="153" t="s">
        <v>1213</v>
      </c>
      <c r="B87" s="160">
        <v>12936</v>
      </c>
      <c r="C87" s="153" t="s">
        <v>1573</v>
      </c>
      <c r="D87" s="153" t="s">
        <v>1574</v>
      </c>
      <c r="E87" s="153" t="s">
        <v>309</v>
      </c>
      <c r="F87" s="153" t="s">
        <v>1878</v>
      </c>
      <c r="G87" s="153" t="s">
        <v>1879</v>
      </c>
      <c r="H87" s="153" t="s">
        <v>321</v>
      </c>
      <c r="I87" s="153" t="s">
        <v>755</v>
      </c>
      <c r="J87" s="153" t="s">
        <v>205</v>
      </c>
      <c r="K87" s="153" t="s">
        <v>204</v>
      </c>
      <c r="L87" s="153" t="s">
        <v>325</v>
      </c>
      <c r="M87" s="153" t="s">
        <v>340</v>
      </c>
      <c r="N87" s="153" t="s">
        <v>536</v>
      </c>
      <c r="O87" s="153" t="s">
        <v>339</v>
      </c>
      <c r="P87" s="153" t="s">
        <v>1876</v>
      </c>
      <c r="Q87" s="153" t="s">
        <v>433</v>
      </c>
      <c r="R87" s="153" t="s">
        <v>407</v>
      </c>
      <c r="S87" s="153" t="s">
        <v>1216</v>
      </c>
      <c r="T87" s="154">
        <v>1.2529999999999999</v>
      </c>
      <c r="U87" s="153" t="s">
        <v>1880</v>
      </c>
      <c r="V87" s="155">
        <v>5.638E-2</v>
      </c>
      <c r="W87" s="155">
        <v>7.9500000000000001E-2</v>
      </c>
      <c r="X87" s="153" t="s">
        <v>412</v>
      </c>
      <c r="Y87" s="153" t="s">
        <v>339</v>
      </c>
      <c r="Z87" s="154">
        <v>27000</v>
      </c>
      <c r="AA87" s="154">
        <v>3.71</v>
      </c>
      <c r="AB87" s="154">
        <v>95.29</v>
      </c>
      <c r="AD87" s="154">
        <v>95.451999999999998</v>
      </c>
      <c r="AG87" s="157" t="s">
        <v>15</v>
      </c>
      <c r="AH87" s="155">
        <v>4.0000000000000003E-5</v>
      </c>
      <c r="AI87" s="155">
        <f t="shared" si="1"/>
        <v>5.4509492730537585E-3</v>
      </c>
      <c r="AJ87" s="155">
        <v>8.9712726945278404E-4</v>
      </c>
    </row>
    <row r="88" spans="1:36" s="160" customFormat="1">
      <c r="A88" s="153" t="s">
        <v>1213</v>
      </c>
      <c r="B88" s="160">
        <v>12936</v>
      </c>
      <c r="C88" s="153" t="s">
        <v>1881</v>
      </c>
      <c r="D88" s="153" t="s">
        <v>1882</v>
      </c>
      <c r="E88" s="153" t="s">
        <v>309</v>
      </c>
      <c r="F88" s="153" t="s">
        <v>1883</v>
      </c>
      <c r="G88" s="153" t="s">
        <v>1884</v>
      </c>
      <c r="H88" s="153" t="s">
        <v>321</v>
      </c>
      <c r="I88" s="153" t="s">
        <v>755</v>
      </c>
      <c r="J88" s="153" t="s">
        <v>205</v>
      </c>
      <c r="K88" s="153" t="s">
        <v>204</v>
      </c>
      <c r="L88" s="153" t="s">
        <v>325</v>
      </c>
      <c r="M88" s="153" t="s">
        <v>340</v>
      </c>
      <c r="N88" s="153" t="s">
        <v>536</v>
      </c>
      <c r="O88" s="153" t="s">
        <v>339</v>
      </c>
      <c r="P88" s="153" t="s">
        <v>1876</v>
      </c>
      <c r="Q88" s="153" t="s">
        <v>433</v>
      </c>
      <c r="R88" s="153" t="s">
        <v>407</v>
      </c>
      <c r="S88" s="153" t="s">
        <v>1216</v>
      </c>
      <c r="T88" s="154">
        <v>1.4370000000000001</v>
      </c>
      <c r="U88" s="153" t="s">
        <v>1885</v>
      </c>
      <c r="V88" s="155">
        <v>5.6419999999999998E-2</v>
      </c>
      <c r="W88" s="155">
        <v>7.4329999999999993E-2</v>
      </c>
      <c r="X88" s="153" t="s">
        <v>412</v>
      </c>
      <c r="Y88" s="153" t="s">
        <v>339</v>
      </c>
      <c r="Z88" s="154">
        <v>27000</v>
      </c>
      <c r="AA88" s="154">
        <v>3.71</v>
      </c>
      <c r="AB88" s="154">
        <v>95.180999999999997</v>
      </c>
      <c r="AD88" s="154">
        <v>95.341999999999999</v>
      </c>
      <c r="AG88" s="157" t="s">
        <v>15</v>
      </c>
      <c r="AH88" s="155">
        <v>4.0000000000000003E-5</v>
      </c>
      <c r="AI88" s="155">
        <f t="shared" si="1"/>
        <v>5.4446675354260926E-3</v>
      </c>
      <c r="AJ88" s="155">
        <v>8.9609340950600651E-4</v>
      </c>
    </row>
    <row r="89" spans="1:36" s="160" customFormat="1">
      <c r="A89" s="153" t="s">
        <v>1213</v>
      </c>
      <c r="B89" s="160">
        <v>12936</v>
      </c>
      <c r="C89" s="153" t="s">
        <v>1886</v>
      </c>
      <c r="D89" s="153" t="s">
        <v>1887</v>
      </c>
      <c r="E89" s="153" t="s">
        <v>80</v>
      </c>
      <c r="F89" s="153" t="s">
        <v>1888</v>
      </c>
      <c r="G89" s="153" t="s">
        <v>1889</v>
      </c>
      <c r="H89" s="153" t="s">
        <v>321</v>
      </c>
      <c r="I89" s="153" t="s">
        <v>755</v>
      </c>
      <c r="J89" s="153" t="s">
        <v>205</v>
      </c>
      <c r="K89" s="153" t="s">
        <v>204</v>
      </c>
      <c r="L89" s="153" t="s">
        <v>325</v>
      </c>
      <c r="M89" s="153" t="s">
        <v>314</v>
      </c>
      <c r="N89" s="153" t="s">
        <v>486</v>
      </c>
      <c r="O89" s="153" t="s">
        <v>339</v>
      </c>
      <c r="P89" s="153" t="s">
        <v>1890</v>
      </c>
      <c r="Q89" s="153" t="s">
        <v>433</v>
      </c>
      <c r="R89" s="153" t="s">
        <v>407</v>
      </c>
      <c r="S89" s="153" t="s">
        <v>1216</v>
      </c>
      <c r="T89" s="154">
        <v>0.69799999999999995</v>
      </c>
      <c r="U89" s="153" t="s">
        <v>1848</v>
      </c>
      <c r="V89" s="155">
        <v>6.1249999999999999E-2</v>
      </c>
      <c r="W89" s="155">
        <v>8.0320000000000003E-2</v>
      </c>
      <c r="X89" s="153" t="s">
        <v>412</v>
      </c>
      <c r="Y89" s="153" t="s">
        <v>339</v>
      </c>
      <c r="Z89" s="154">
        <v>18000</v>
      </c>
      <c r="AA89" s="154">
        <v>3.71</v>
      </c>
      <c r="AB89" s="154">
        <v>99.778000000000006</v>
      </c>
      <c r="AD89" s="154">
        <v>66.632000000000005</v>
      </c>
      <c r="AG89" s="157" t="s">
        <v>15</v>
      </c>
      <c r="AH89" s="155">
        <v>3.0000000000000001E-5</v>
      </c>
      <c r="AI89" s="155">
        <f t="shared" si="1"/>
        <v>3.8051340146054357E-3</v>
      </c>
      <c r="AJ89" s="155">
        <v>6.2625596339707819E-4</v>
      </c>
    </row>
    <row r="90" spans="1:36" s="160" customFormat="1">
      <c r="A90" s="153" t="s">
        <v>1213</v>
      </c>
      <c r="B90" s="160">
        <v>12936</v>
      </c>
      <c r="C90" s="153" t="s">
        <v>1886</v>
      </c>
      <c r="D90" s="153" t="s">
        <v>1887</v>
      </c>
      <c r="E90" s="153" t="s">
        <v>80</v>
      </c>
      <c r="F90" s="153" t="s">
        <v>1891</v>
      </c>
      <c r="G90" s="153" t="s">
        <v>1892</v>
      </c>
      <c r="H90" s="153" t="s">
        <v>321</v>
      </c>
      <c r="I90" s="153" t="s">
        <v>755</v>
      </c>
      <c r="J90" s="153" t="s">
        <v>205</v>
      </c>
      <c r="K90" s="153" t="s">
        <v>204</v>
      </c>
      <c r="L90" s="153" t="s">
        <v>325</v>
      </c>
      <c r="M90" s="153" t="s">
        <v>314</v>
      </c>
      <c r="N90" s="153" t="s">
        <v>486</v>
      </c>
      <c r="O90" s="153" t="s">
        <v>339</v>
      </c>
      <c r="P90" s="153" t="s">
        <v>1890</v>
      </c>
      <c r="Q90" s="153" t="s">
        <v>433</v>
      </c>
      <c r="R90" s="153" t="s">
        <v>407</v>
      </c>
      <c r="S90" s="153" t="s">
        <v>1216</v>
      </c>
      <c r="T90" s="154">
        <v>2.4049999999999998</v>
      </c>
      <c r="U90" s="153" t="s">
        <v>1572</v>
      </c>
      <c r="V90" s="155">
        <v>6.5000000000000002E-2</v>
      </c>
      <c r="W90" s="155">
        <v>8.4870000000000001E-2</v>
      </c>
      <c r="X90" s="153" t="s">
        <v>412</v>
      </c>
      <c r="Y90" s="153" t="s">
        <v>339</v>
      </c>
      <c r="Z90" s="154">
        <v>18000</v>
      </c>
      <c r="AA90" s="154">
        <v>3.71</v>
      </c>
      <c r="AB90" s="154">
        <v>96.222999999999999</v>
      </c>
      <c r="AD90" s="154">
        <v>64.257999999999996</v>
      </c>
      <c r="AG90" s="157" t="s">
        <v>15</v>
      </c>
      <c r="AH90" s="155">
        <v>3.0000000000000001E-5</v>
      </c>
      <c r="AI90" s="155">
        <f t="shared" si="1"/>
        <v>3.6695626952592754E-3</v>
      </c>
      <c r="AJ90" s="155">
        <v>6.0394338600026182E-4</v>
      </c>
    </row>
    <row r="91" spans="1:36" s="160" customFormat="1">
      <c r="A91" s="153" t="s">
        <v>1213</v>
      </c>
      <c r="B91" s="160">
        <v>12937</v>
      </c>
      <c r="C91" s="153" t="s">
        <v>1517</v>
      </c>
      <c r="D91" s="153" t="s">
        <v>1518</v>
      </c>
      <c r="E91" s="153" t="s">
        <v>311</v>
      </c>
      <c r="F91" s="153" t="s">
        <v>1519</v>
      </c>
      <c r="G91" s="153" t="s">
        <v>1520</v>
      </c>
      <c r="H91" s="153" t="s">
        <v>321</v>
      </c>
      <c r="I91" s="153" t="s">
        <v>951</v>
      </c>
      <c r="J91" s="153" t="s">
        <v>204</v>
      </c>
      <c r="K91" s="153" t="s">
        <v>224</v>
      </c>
      <c r="L91" s="153" t="s">
        <v>325</v>
      </c>
      <c r="M91" s="153" t="s">
        <v>340</v>
      </c>
      <c r="N91" s="153" t="s">
        <v>465</v>
      </c>
      <c r="O91" s="153" t="s">
        <v>339</v>
      </c>
      <c r="P91" s="153" t="s">
        <v>1521</v>
      </c>
      <c r="Q91" s="153" t="s">
        <v>413</v>
      </c>
      <c r="R91" s="153" t="s">
        <v>407</v>
      </c>
      <c r="S91" s="153" t="s">
        <v>1212</v>
      </c>
      <c r="T91" s="154">
        <v>1.84</v>
      </c>
      <c r="U91" s="153" t="s">
        <v>1522</v>
      </c>
      <c r="V91" s="155">
        <v>7.374E-2</v>
      </c>
      <c r="W91" s="155">
        <v>7.3700000000000002E-2</v>
      </c>
      <c r="X91" s="153" t="s">
        <v>412</v>
      </c>
      <c r="Y91" s="153" t="s">
        <v>339</v>
      </c>
      <c r="Z91" s="154">
        <v>9283890.1199999992</v>
      </c>
      <c r="AA91" s="154">
        <v>1</v>
      </c>
      <c r="AB91" s="154">
        <v>99.55</v>
      </c>
      <c r="AD91" s="154">
        <v>9242.1129999999994</v>
      </c>
      <c r="AG91" s="157" t="s">
        <v>15</v>
      </c>
      <c r="AH91" s="155">
        <v>5.0340000000000003E-2</v>
      </c>
      <c r="AI91" s="155">
        <f t="shared" si="1"/>
        <v>3.474592918365315E-2</v>
      </c>
      <c r="AJ91" s="155">
        <v>8.5517856737245129E-3</v>
      </c>
    </row>
    <row r="92" spans="1:36" s="160" customFormat="1">
      <c r="A92" s="153" t="s">
        <v>1213</v>
      </c>
      <c r="B92" s="160">
        <v>12937</v>
      </c>
      <c r="C92" s="153" t="s">
        <v>1718</v>
      </c>
      <c r="D92" s="153" t="s">
        <v>1719</v>
      </c>
      <c r="E92" s="153" t="s">
        <v>309</v>
      </c>
      <c r="F92" s="153" t="s">
        <v>1720</v>
      </c>
      <c r="G92" s="153" t="s">
        <v>1721</v>
      </c>
      <c r="H92" s="153" t="s">
        <v>321</v>
      </c>
      <c r="I92" s="153" t="s">
        <v>951</v>
      </c>
      <c r="J92" s="153" t="s">
        <v>204</v>
      </c>
      <c r="K92" s="153" t="s">
        <v>204</v>
      </c>
      <c r="L92" s="153" t="s">
        <v>325</v>
      </c>
      <c r="M92" s="153" t="s">
        <v>340</v>
      </c>
      <c r="N92" s="153" t="s">
        <v>440</v>
      </c>
      <c r="O92" s="153" t="s">
        <v>339</v>
      </c>
      <c r="P92" s="153" t="s">
        <v>1527</v>
      </c>
      <c r="Q92" s="153" t="s">
        <v>415</v>
      </c>
      <c r="R92" s="153" t="s">
        <v>407</v>
      </c>
      <c r="S92" s="153" t="s">
        <v>1212</v>
      </c>
      <c r="T92" s="154">
        <v>3</v>
      </c>
      <c r="U92" s="153" t="s">
        <v>1722</v>
      </c>
      <c r="V92" s="155">
        <v>7.2499999999999995E-2</v>
      </c>
      <c r="W92" s="155">
        <v>6.4000000000000001E-2</v>
      </c>
      <c r="X92" s="153" t="s">
        <v>412</v>
      </c>
      <c r="Y92" s="153" t="s">
        <v>339</v>
      </c>
      <c r="Z92" s="154">
        <v>6732584</v>
      </c>
      <c r="AA92" s="154">
        <v>1</v>
      </c>
      <c r="AB92" s="154">
        <v>105.92</v>
      </c>
      <c r="AD92" s="154">
        <v>7131.1530000000002</v>
      </c>
      <c r="AG92" s="157" t="s">
        <v>15</v>
      </c>
      <c r="AH92" s="155">
        <v>9.3500000000000007E-3</v>
      </c>
      <c r="AI92" s="155">
        <f t="shared" si="1"/>
        <v>2.680972815803007E-2</v>
      </c>
      <c r="AJ92" s="155">
        <v>6.5985010205499104E-3</v>
      </c>
    </row>
    <row r="93" spans="1:36" s="160" customFormat="1">
      <c r="A93" s="153" t="s">
        <v>1213</v>
      </c>
      <c r="B93" s="160">
        <v>12937</v>
      </c>
      <c r="C93" s="153" t="s">
        <v>1893</v>
      </c>
      <c r="D93" s="153" t="s">
        <v>1894</v>
      </c>
      <c r="E93" s="153" t="s">
        <v>309</v>
      </c>
      <c r="F93" s="153" t="s">
        <v>1895</v>
      </c>
      <c r="G93" s="153" t="s">
        <v>1896</v>
      </c>
      <c r="H93" s="153" t="s">
        <v>321</v>
      </c>
      <c r="I93" s="153" t="s">
        <v>754</v>
      </c>
      <c r="J93" s="153" t="s">
        <v>204</v>
      </c>
      <c r="K93" s="153" t="s">
        <v>204</v>
      </c>
      <c r="L93" s="153" t="s">
        <v>325</v>
      </c>
      <c r="M93" s="153" t="s">
        <v>340</v>
      </c>
      <c r="N93" s="153" t="s">
        <v>464</v>
      </c>
      <c r="O93" s="153" t="s">
        <v>339</v>
      </c>
      <c r="P93" s="153" t="s">
        <v>1566</v>
      </c>
      <c r="Q93" s="153" t="s">
        <v>413</v>
      </c>
      <c r="R93" s="153" t="s">
        <v>407</v>
      </c>
      <c r="S93" s="153" t="s">
        <v>1212</v>
      </c>
      <c r="T93" s="154">
        <v>5.66</v>
      </c>
      <c r="U93" s="153" t="s">
        <v>1897</v>
      </c>
      <c r="V93" s="155">
        <v>2.7019999999999999E-2</v>
      </c>
      <c r="W93" s="155">
        <v>3.2199999999999999E-2</v>
      </c>
      <c r="X93" s="153" t="s">
        <v>412</v>
      </c>
      <c r="Y93" s="153" t="s">
        <v>339</v>
      </c>
      <c r="Z93" s="154">
        <v>4971000</v>
      </c>
      <c r="AA93" s="154">
        <v>1</v>
      </c>
      <c r="AB93" s="154">
        <v>100.92</v>
      </c>
      <c r="AD93" s="154">
        <v>5016.7330000000002</v>
      </c>
      <c r="AG93" s="157" t="s">
        <v>15</v>
      </c>
      <c r="AH93" s="155">
        <v>1.392E-2</v>
      </c>
      <c r="AI93" s="155">
        <f t="shared" si="1"/>
        <v>1.8860519185525632E-2</v>
      </c>
      <c r="AJ93" s="155">
        <v>4.6420148074689206E-3</v>
      </c>
    </row>
    <row r="94" spans="1:36" s="160" customFormat="1">
      <c r="A94" s="153" t="s">
        <v>1213</v>
      </c>
      <c r="B94" s="160">
        <v>12937</v>
      </c>
      <c r="C94" s="153" t="s">
        <v>1546</v>
      </c>
      <c r="D94" s="153" t="s">
        <v>1547</v>
      </c>
      <c r="E94" s="153" t="s">
        <v>309</v>
      </c>
      <c r="F94" s="153" t="s">
        <v>1548</v>
      </c>
      <c r="G94" s="153" t="s">
        <v>1549</v>
      </c>
      <c r="H94" s="153" t="s">
        <v>321</v>
      </c>
      <c r="I94" s="153" t="s">
        <v>754</v>
      </c>
      <c r="J94" s="153" t="s">
        <v>204</v>
      </c>
      <c r="K94" s="153" t="s">
        <v>204</v>
      </c>
      <c r="L94" s="153" t="s">
        <v>325</v>
      </c>
      <c r="M94" s="153" t="s">
        <v>340</v>
      </c>
      <c r="N94" s="153" t="s">
        <v>443</v>
      </c>
      <c r="O94" s="153" t="s">
        <v>339</v>
      </c>
      <c r="P94" s="153" t="s">
        <v>1544</v>
      </c>
      <c r="Q94" s="153" t="s">
        <v>415</v>
      </c>
      <c r="R94" s="153" t="s">
        <v>407</v>
      </c>
      <c r="S94" s="153" t="s">
        <v>1212</v>
      </c>
      <c r="T94" s="154">
        <v>1.66</v>
      </c>
      <c r="U94" s="153" t="s">
        <v>1343</v>
      </c>
      <c r="V94" s="155">
        <v>3.4970000000000001E-2</v>
      </c>
      <c r="W94" s="155">
        <v>3.2199999999999999E-2</v>
      </c>
      <c r="X94" s="153" t="s">
        <v>412</v>
      </c>
      <c r="Y94" s="153" t="s">
        <v>339</v>
      </c>
      <c r="Z94" s="154">
        <v>4648000</v>
      </c>
      <c r="AA94" s="154">
        <v>1</v>
      </c>
      <c r="AB94" s="154">
        <v>107.7</v>
      </c>
      <c r="AD94" s="154">
        <v>5005.8959999999997</v>
      </c>
      <c r="AG94" s="157" t="s">
        <v>15</v>
      </c>
      <c r="AH94" s="155">
        <v>4.1599999999999996E-3</v>
      </c>
      <c r="AI94" s="155">
        <f t="shared" si="1"/>
        <v>1.8819777243227018E-2</v>
      </c>
      <c r="AJ94" s="155">
        <v>4.6319872627563468E-3</v>
      </c>
    </row>
    <row r="95" spans="1:36" s="160" customFormat="1">
      <c r="A95" s="153" t="s">
        <v>1213</v>
      </c>
      <c r="B95" s="160">
        <v>12937</v>
      </c>
      <c r="C95" s="153" t="s">
        <v>1577</v>
      </c>
      <c r="D95" s="153" t="s">
        <v>1578</v>
      </c>
      <c r="E95" s="153" t="s">
        <v>309</v>
      </c>
      <c r="F95" s="153" t="s">
        <v>1579</v>
      </c>
      <c r="G95" s="153" t="s">
        <v>1580</v>
      </c>
      <c r="H95" s="153" t="s">
        <v>321</v>
      </c>
      <c r="I95" s="153" t="s">
        <v>754</v>
      </c>
      <c r="J95" s="153" t="s">
        <v>204</v>
      </c>
      <c r="K95" s="153" t="s">
        <v>204</v>
      </c>
      <c r="L95" s="153" t="s">
        <v>325</v>
      </c>
      <c r="M95" s="153" t="s">
        <v>340</v>
      </c>
      <c r="N95" s="153" t="s">
        <v>456</v>
      </c>
      <c r="O95" s="153" t="s">
        <v>339</v>
      </c>
      <c r="P95" s="153" t="s">
        <v>1566</v>
      </c>
      <c r="Q95" s="153" t="s">
        <v>413</v>
      </c>
      <c r="R95" s="153" t="s">
        <v>407</v>
      </c>
      <c r="S95" s="153" t="s">
        <v>1212</v>
      </c>
      <c r="T95" s="154">
        <v>5.0199999999999996</v>
      </c>
      <c r="U95" s="153" t="s">
        <v>1581</v>
      </c>
      <c r="V95" s="155">
        <v>1.6199999999999999E-2</v>
      </c>
      <c r="W95" s="155">
        <v>5.1499999999999997E-2</v>
      </c>
      <c r="X95" s="153" t="s">
        <v>412</v>
      </c>
      <c r="Y95" s="153" t="s">
        <v>339</v>
      </c>
      <c r="Z95" s="154">
        <v>3500000.4</v>
      </c>
      <c r="AA95" s="154">
        <v>1</v>
      </c>
      <c r="AB95" s="154">
        <v>141.9</v>
      </c>
      <c r="AD95" s="154">
        <v>4966.5010000000002</v>
      </c>
      <c r="AG95" s="157" t="s">
        <v>15</v>
      </c>
      <c r="AH95" s="155">
        <v>1.2600000000000001E-3</v>
      </c>
      <c r="AI95" s="155">
        <f t="shared" si="1"/>
        <v>1.8671670865368403E-2</v>
      </c>
      <c r="AJ95" s="155">
        <v>4.5955348198337843E-3</v>
      </c>
    </row>
    <row r="96" spans="1:36" s="160" customFormat="1">
      <c r="A96" s="153" t="s">
        <v>1213</v>
      </c>
      <c r="B96" s="160">
        <v>12937</v>
      </c>
      <c r="C96" s="153" t="s">
        <v>1523</v>
      </c>
      <c r="D96" s="153" t="s">
        <v>1524</v>
      </c>
      <c r="E96" s="153" t="s">
        <v>311</v>
      </c>
      <c r="F96" s="153" t="s">
        <v>1525</v>
      </c>
      <c r="G96" s="153" t="s">
        <v>1526</v>
      </c>
      <c r="H96" s="153" t="s">
        <v>321</v>
      </c>
      <c r="I96" s="153" t="s">
        <v>951</v>
      </c>
      <c r="J96" s="153" t="s">
        <v>204</v>
      </c>
      <c r="K96" s="153" t="s">
        <v>224</v>
      </c>
      <c r="L96" s="153" t="s">
        <v>325</v>
      </c>
      <c r="M96" s="153" t="s">
        <v>340</v>
      </c>
      <c r="N96" s="153" t="s">
        <v>447</v>
      </c>
      <c r="O96" s="153" t="s">
        <v>339</v>
      </c>
      <c r="P96" s="153" t="s">
        <v>1527</v>
      </c>
      <c r="Q96" s="153" t="s">
        <v>415</v>
      </c>
      <c r="R96" s="153" t="s">
        <v>407</v>
      </c>
      <c r="S96" s="153" t="s">
        <v>1212</v>
      </c>
      <c r="T96" s="154">
        <v>2.5099999999999998</v>
      </c>
      <c r="U96" s="153" t="s">
        <v>1528</v>
      </c>
      <c r="V96" s="155">
        <v>6.5000000000000002E-2</v>
      </c>
      <c r="W96" s="155">
        <v>8.3799999999999999E-2</v>
      </c>
      <c r="X96" s="153" t="s">
        <v>412</v>
      </c>
      <c r="Y96" s="153" t="s">
        <v>339</v>
      </c>
      <c r="Z96" s="154">
        <v>5000000</v>
      </c>
      <c r="AA96" s="154">
        <v>1</v>
      </c>
      <c r="AB96" s="154">
        <v>97.5</v>
      </c>
      <c r="AD96" s="154">
        <v>4875</v>
      </c>
      <c r="AG96" s="157" t="s">
        <v>15</v>
      </c>
      <c r="AH96" s="155">
        <v>8.3300000000000006E-3</v>
      </c>
      <c r="AI96" s="155">
        <f t="shared" si="1"/>
        <v>1.8327670822712201E-2</v>
      </c>
      <c r="AJ96" s="155">
        <v>4.5108683652111811E-3</v>
      </c>
    </row>
    <row r="97" spans="1:36" s="160" customFormat="1">
      <c r="A97" s="153" t="s">
        <v>1213</v>
      </c>
      <c r="B97" s="160">
        <v>12937</v>
      </c>
      <c r="C97" s="153" t="s">
        <v>1610</v>
      </c>
      <c r="D97" s="153" t="s">
        <v>1611</v>
      </c>
      <c r="E97" s="153" t="s">
        <v>309</v>
      </c>
      <c r="F97" s="153" t="s">
        <v>1612</v>
      </c>
      <c r="G97" s="153" t="s">
        <v>1613</v>
      </c>
      <c r="H97" s="153" t="s">
        <v>321</v>
      </c>
      <c r="I97" s="153" t="s">
        <v>951</v>
      </c>
      <c r="J97" s="153" t="s">
        <v>204</v>
      </c>
      <c r="K97" s="153" t="s">
        <v>204</v>
      </c>
      <c r="L97" s="153" t="s">
        <v>325</v>
      </c>
      <c r="M97" s="153" t="s">
        <v>340</v>
      </c>
      <c r="N97" s="153" t="s">
        <v>447</v>
      </c>
      <c r="O97" s="153" t="s">
        <v>339</v>
      </c>
      <c r="P97" s="153" t="s">
        <v>1614</v>
      </c>
      <c r="Q97" s="153" t="s">
        <v>415</v>
      </c>
      <c r="R97" s="153" t="s">
        <v>407</v>
      </c>
      <c r="S97" s="153" t="s">
        <v>1212</v>
      </c>
      <c r="T97" s="154">
        <v>4.26</v>
      </c>
      <c r="U97" s="153" t="s">
        <v>1358</v>
      </c>
      <c r="V97" s="155">
        <v>5.3539999999999997E-2</v>
      </c>
      <c r="W97" s="155">
        <v>5.8200000000000002E-2</v>
      </c>
      <c r="X97" s="153" t="s">
        <v>412</v>
      </c>
      <c r="Y97" s="153" t="s">
        <v>339</v>
      </c>
      <c r="Z97" s="154">
        <v>4699000</v>
      </c>
      <c r="AA97" s="154">
        <v>1</v>
      </c>
      <c r="AB97" s="154">
        <v>100.66</v>
      </c>
      <c r="AD97" s="154">
        <v>4730.0129999999999</v>
      </c>
      <c r="AG97" s="157" t="s">
        <v>15</v>
      </c>
      <c r="AH97" s="155">
        <v>2.6849999999999999E-2</v>
      </c>
      <c r="AI97" s="155">
        <f t="shared" si="1"/>
        <v>1.7782588974594751E-2</v>
      </c>
      <c r="AJ97" s="155">
        <v>4.3767109761513098E-3</v>
      </c>
    </row>
    <row r="98" spans="1:36" s="160" customFormat="1">
      <c r="A98" s="153" t="s">
        <v>1213</v>
      </c>
      <c r="B98" s="160">
        <v>12937</v>
      </c>
      <c r="C98" s="153" t="s">
        <v>1540</v>
      </c>
      <c r="D98" s="153" t="s">
        <v>1541</v>
      </c>
      <c r="E98" s="153" t="s">
        <v>80</v>
      </c>
      <c r="F98" s="153" t="s">
        <v>1542</v>
      </c>
      <c r="G98" s="153" t="s">
        <v>1543</v>
      </c>
      <c r="H98" s="153" t="s">
        <v>321</v>
      </c>
      <c r="I98" s="153" t="s">
        <v>755</v>
      </c>
      <c r="J98" s="153" t="s">
        <v>204</v>
      </c>
      <c r="K98" s="153" t="s">
        <v>224</v>
      </c>
      <c r="L98" s="153" t="s">
        <v>325</v>
      </c>
      <c r="M98" s="153" t="s">
        <v>340</v>
      </c>
      <c r="N98" s="153" t="s">
        <v>443</v>
      </c>
      <c r="O98" s="153" t="s">
        <v>339</v>
      </c>
      <c r="P98" s="153" t="s">
        <v>1544</v>
      </c>
      <c r="Q98" s="153" t="s">
        <v>415</v>
      </c>
      <c r="R98" s="153" t="s">
        <v>407</v>
      </c>
      <c r="S98" s="153" t="s">
        <v>1212</v>
      </c>
      <c r="T98" s="154">
        <v>1.77</v>
      </c>
      <c r="U98" s="153" t="s">
        <v>1545</v>
      </c>
      <c r="V98" s="155">
        <v>2.7200000000000002E-3</v>
      </c>
      <c r="W98" s="155">
        <v>8.1500000000000003E-2</v>
      </c>
      <c r="X98" s="153" t="s">
        <v>412</v>
      </c>
      <c r="Y98" s="153" t="s">
        <v>339</v>
      </c>
      <c r="Z98" s="154">
        <v>4499000</v>
      </c>
      <c r="AA98" s="154">
        <v>1</v>
      </c>
      <c r="AB98" s="154">
        <v>104.6</v>
      </c>
      <c r="AD98" s="154">
        <v>4705.9539999999997</v>
      </c>
      <c r="AG98" s="157" t="s">
        <v>15</v>
      </c>
      <c r="AH98" s="155">
        <v>1.069E-2</v>
      </c>
      <c r="AI98" s="155">
        <f t="shared" si="1"/>
        <v>1.769213862950272E-2</v>
      </c>
      <c r="AJ98" s="155">
        <v>4.3544490311259523E-3</v>
      </c>
    </row>
    <row r="99" spans="1:36" s="160" customFormat="1">
      <c r="A99" s="153" t="s">
        <v>1213</v>
      </c>
      <c r="B99" s="160">
        <v>12937</v>
      </c>
      <c r="C99" s="153" t="s">
        <v>1556</v>
      </c>
      <c r="D99" s="153" t="s">
        <v>1557</v>
      </c>
      <c r="E99" s="153" t="s">
        <v>311</v>
      </c>
      <c r="F99" s="153" t="s">
        <v>1558</v>
      </c>
      <c r="G99" s="153" t="s">
        <v>1559</v>
      </c>
      <c r="H99" s="153" t="s">
        <v>321</v>
      </c>
      <c r="I99" s="153" t="s">
        <v>951</v>
      </c>
      <c r="J99" s="153" t="s">
        <v>204</v>
      </c>
      <c r="K99" s="153" t="s">
        <v>224</v>
      </c>
      <c r="L99" s="153" t="s">
        <v>325</v>
      </c>
      <c r="M99" s="153" t="s">
        <v>340</v>
      </c>
      <c r="N99" s="153" t="s">
        <v>465</v>
      </c>
      <c r="O99" s="153" t="s">
        <v>339</v>
      </c>
      <c r="P99" s="153" t="s">
        <v>1560</v>
      </c>
      <c r="Q99" s="153" t="s">
        <v>413</v>
      </c>
      <c r="R99" s="153" t="s">
        <v>407</v>
      </c>
      <c r="S99" s="153" t="s">
        <v>1212</v>
      </c>
      <c r="T99" s="154">
        <v>2.5</v>
      </c>
      <c r="U99" s="153" t="s">
        <v>1561</v>
      </c>
      <c r="V99" s="155">
        <v>3.4410000000000003E-2</v>
      </c>
      <c r="W99" s="155">
        <v>7.2999999999999995E-2</v>
      </c>
      <c r="X99" s="153" t="s">
        <v>412</v>
      </c>
      <c r="Y99" s="153" t="s">
        <v>339</v>
      </c>
      <c r="Z99" s="154">
        <v>4370412.37</v>
      </c>
      <c r="AA99" s="154">
        <v>1</v>
      </c>
      <c r="AB99" s="154">
        <v>100.76</v>
      </c>
      <c r="AD99" s="154">
        <v>4403.6279999999997</v>
      </c>
      <c r="AG99" s="157" t="s">
        <v>15</v>
      </c>
      <c r="AH99" s="155">
        <v>8.3000000000000001E-3</v>
      </c>
      <c r="AI99" s="155">
        <f t="shared" si="1"/>
        <v>1.6555537314805843E-2</v>
      </c>
      <c r="AJ99" s="155">
        <v>4.0747048692016787E-3</v>
      </c>
    </row>
    <row r="100" spans="1:36" s="160" customFormat="1">
      <c r="A100" s="153" t="s">
        <v>1213</v>
      </c>
      <c r="B100" s="160">
        <v>12937</v>
      </c>
      <c r="C100" s="153" t="s">
        <v>1687</v>
      </c>
      <c r="D100" s="153" t="s">
        <v>1688</v>
      </c>
      <c r="E100" s="153" t="s">
        <v>309</v>
      </c>
      <c r="F100" s="153" t="s">
        <v>1837</v>
      </c>
      <c r="G100" s="153" t="s">
        <v>1838</v>
      </c>
      <c r="H100" s="153" t="s">
        <v>321</v>
      </c>
      <c r="I100" s="153" t="s">
        <v>754</v>
      </c>
      <c r="J100" s="153" t="s">
        <v>204</v>
      </c>
      <c r="K100" s="153" t="s">
        <v>204</v>
      </c>
      <c r="L100" s="153" t="s">
        <v>325</v>
      </c>
      <c r="M100" s="153" t="s">
        <v>340</v>
      </c>
      <c r="N100" s="153" t="s">
        <v>465</v>
      </c>
      <c r="O100" s="153" t="s">
        <v>339</v>
      </c>
      <c r="P100" s="153" t="s">
        <v>1614</v>
      </c>
      <c r="Q100" s="153" t="s">
        <v>415</v>
      </c>
      <c r="R100" s="153" t="s">
        <v>407</v>
      </c>
      <c r="S100" s="153" t="s">
        <v>1212</v>
      </c>
      <c r="T100" s="154">
        <v>1.46</v>
      </c>
      <c r="U100" s="153" t="s">
        <v>1839</v>
      </c>
      <c r="V100" s="155">
        <v>2.649E-2</v>
      </c>
      <c r="W100" s="155">
        <v>3.1099999999999999E-2</v>
      </c>
      <c r="X100" s="153" t="s">
        <v>412</v>
      </c>
      <c r="Y100" s="153" t="s">
        <v>339</v>
      </c>
      <c r="Z100" s="154">
        <v>3550000</v>
      </c>
      <c r="AA100" s="154">
        <v>1</v>
      </c>
      <c r="AB100" s="154">
        <v>116.88</v>
      </c>
      <c r="AD100" s="154">
        <v>4149.24</v>
      </c>
      <c r="AG100" s="157" t="s">
        <v>15</v>
      </c>
      <c r="AH100" s="155">
        <v>2.7699999999999999E-3</v>
      </c>
      <c r="AI100" s="155">
        <f t="shared" si="1"/>
        <v>1.5599159976293409E-2</v>
      </c>
      <c r="AJ100" s="155">
        <v>3.8393180421884801E-3</v>
      </c>
    </row>
    <row r="101" spans="1:36" s="160" customFormat="1">
      <c r="A101" s="153" t="s">
        <v>1213</v>
      </c>
      <c r="B101" s="160">
        <v>12937</v>
      </c>
      <c r="C101" s="153" t="s">
        <v>1705</v>
      </c>
      <c r="D101" s="153" t="s">
        <v>1706</v>
      </c>
      <c r="E101" s="153" t="s">
        <v>311</v>
      </c>
      <c r="F101" s="153" t="s">
        <v>1707</v>
      </c>
      <c r="G101" s="153" t="s">
        <v>1708</v>
      </c>
      <c r="H101" s="153" t="s">
        <v>321</v>
      </c>
      <c r="I101" s="153" t="s">
        <v>951</v>
      </c>
      <c r="J101" s="153" t="s">
        <v>204</v>
      </c>
      <c r="K101" s="153" t="s">
        <v>224</v>
      </c>
      <c r="L101" s="153" t="s">
        <v>325</v>
      </c>
      <c r="M101" s="153" t="s">
        <v>340</v>
      </c>
      <c r="N101" s="153" t="s">
        <v>443</v>
      </c>
      <c r="O101" s="153" t="s">
        <v>339</v>
      </c>
      <c r="P101" s="153" t="s">
        <v>1544</v>
      </c>
      <c r="Q101" s="153" t="s">
        <v>415</v>
      </c>
      <c r="R101" s="153" t="s">
        <v>407</v>
      </c>
      <c r="S101" s="153" t="s">
        <v>1212</v>
      </c>
      <c r="T101" s="154">
        <v>0.96</v>
      </c>
      <c r="U101" s="153" t="s">
        <v>1709</v>
      </c>
      <c r="V101" s="155">
        <v>7.4079999999999993E-2</v>
      </c>
      <c r="W101" s="155">
        <v>6.4100000000000004E-2</v>
      </c>
      <c r="X101" s="153" t="s">
        <v>412</v>
      </c>
      <c r="Y101" s="153" t="s">
        <v>339</v>
      </c>
      <c r="Z101" s="154">
        <v>4200478.7699999996</v>
      </c>
      <c r="AA101" s="154">
        <v>1</v>
      </c>
      <c r="AB101" s="154">
        <v>98.68</v>
      </c>
      <c r="AD101" s="154">
        <v>4145.0320000000002</v>
      </c>
      <c r="AG101" s="157" t="s">
        <v>15</v>
      </c>
      <c r="AH101" s="155">
        <v>6.6600000000000001E-3</v>
      </c>
      <c r="AI101" s="155">
        <f t="shared" si="1"/>
        <v>1.5583339906791466E-2</v>
      </c>
      <c r="AJ101" s="155">
        <v>3.8354243531462636E-3</v>
      </c>
    </row>
    <row r="102" spans="1:36" s="160" customFormat="1">
      <c r="A102" s="153" t="s">
        <v>1213</v>
      </c>
      <c r="B102" s="160">
        <v>12937</v>
      </c>
      <c r="C102" s="153" t="s">
        <v>1550</v>
      </c>
      <c r="D102" s="153" t="s">
        <v>1551</v>
      </c>
      <c r="E102" s="153" t="s">
        <v>311</v>
      </c>
      <c r="F102" s="153" t="s">
        <v>1552</v>
      </c>
      <c r="G102" s="153" t="s">
        <v>1553</v>
      </c>
      <c r="H102" s="153" t="s">
        <v>321</v>
      </c>
      <c r="I102" s="153" t="s">
        <v>951</v>
      </c>
      <c r="J102" s="153" t="s">
        <v>204</v>
      </c>
      <c r="K102" s="153" t="s">
        <v>224</v>
      </c>
      <c r="L102" s="153" t="s">
        <v>325</v>
      </c>
      <c r="M102" s="153" t="s">
        <v>340</v>
      </c>
      <c r="N102" s="153" t="s">
        <v>465</v>
      </c>
      <c r="O102" s="153" t="s">
        <v>339</v>
      </c>
      <c r="P102" s="153" t="s">
        <v>1554</v>
      </c>
      <c r="Q102" s="153" t="s">
        <v>413</v>
      </c>
      <c r="R102" s="153" t="s">
        <v>407</v>
      </c>
      <c r="S102" s="153" t="s">
        <v>1212</v>
      </c>
      <c r="T102" s="154">
        <v>4.1399999999999997</v>
      </c>
      <c r="U102" s="153" t="s">
        <v>1555</v>
      </c>
      <c r="V102" s="155">
        <v>7.3749999999999996E-2</v>
      </c>
      <c r="W102" s="155">
        <v>8.2100000000000006E-2</v>
      </c>
      <c r="X102" s="153" t="s">
        <v>412</v>
      </c>
      <c r="Y102" s="153" t="s">
        <v>339</v>
      </c>
      <c r="Z102" s="154">
        <v>3793000</v>
      </c>
      <c r="AA102" s="154">
        <v>1</v>
      </c>
      <c r="AB102" s="154">
        <v>107.75</v>
      </c>
      <c r="AD102" s="154">
        <v>4086.9580000000001</v>
      </c>
      <c r="AG102" s="157" t="s">
        <v>15</v>
      </c>
      <c r="AH102" s="155">
        <v>7.1000000000000004E-3</v>
      </c>
      <c r="AI102" s="155">
        <f t="shared" si="1"/>
        <v>1.5365009413384659E-2</v>
      </c>
      <c r="AJ102" s="155">
        <v>3.7816881132608738E-3</v>
      </c>
    </row>
    <row r="103" spans="1:36" s="160" customFormat="1">
      <c r="A103" s="153" t="s">
        <v>1213</v>
      </c>
      <c r="B103" s="160">
        <v>12937</v>
      </c>
      <c r="C103" s="153" t="s">
        <v>1600</v>
      </c>
      <c r="D103" s="153" t="s">
        <v>1601</v>
      </c>
      <c r="E103" s="153" t="s">
        <v>309</v>
      </c>
      <c r="F103" s="153" t="s">
        <v>1602</v>
      </c>
      <c r="G103" s="153" t="s">
        <v>1603</v>
      </c>
      <c r="H103" s="153" t="s">
        <v>321</v>
      </c>
      <c r="I103" s="153" t="s">
        <v>754</v>
      </c>
      <c r="J103" s="153" t="s">
        <v>204</v>
      </c>
      <c r="K103" s="153" t="s">
        <v>204</v>
      </c>
      <c r="L103" s="153" t="s">
        <v>325</v>
      </c>
      <c r="M103" s="153" t="s">
        <v>340</v>
      </c>
      <c r="N103" s="153" t="s">
        <v>448</v>
      </c>
      <c r="O103" s="153" t="s">
        <v>339</v>
      </c>
      <c r="P103" s="153" t="s">
        <v>1566</v>
      </c>
      <c r="Q103" s="153" t="s">
        <v>413</v>
      </c>
      <c r="R103" s="153" t="s">
        <v>407</v>
      </c>
      <c r="S103" s="153" t="s">
        <v>1212</v>
      </c>
      <c r="T103" s="154">
        <v>0.5</v>
      </c>
      <c r="U103" s="153" t="s">
        <v>1604</v>
      </c>
      <c r="V103" s="155">
        <v>2.0199999999999999E-2</v>
      </c>
      <c r="W103" s="155">
        <v>3.5700000000000003E-2</v>
      </c>
      <c r="X103" s="153" t="s">
        <v>411</v>
      </c>
      <c r="Y103" s="153" t="s">
        <v>339</v>
      </c>
      <c r="Z103" s="154">
        <v>3450000</v>
      </c>
      <c r="AA103" s="154">
        <v>1</v>
      </c>
      <c r="AB103" s="154">
        <v>115.6</v>
      </c>
      <c r="AD103" s="154">
        <v>3988.2</v>
      </c>
      <c r="AG103" s="157" t="s">
        <v>15</v>
      </c>
      <c r="AH103" s="155">
        <v>3.2799999999999999E-3</v>
      </c>
      <c r="AI103" s="155">
        <f t="shared" si="1"/>
        <v>1.4993726517977599E-2</v>
      </c>
      <c r="AJ103" s="155">
        <v>3.6903067105918427E-3</v>
      </c>
    </row>
    <row r="104" spans="1:36" s="160" customFormat="1">
      <c r="A104" s="153" t="s">
        <v>1213</v>
      </c>
      <c r="B104" s="160">
        <v>12937</v>
      </c>
      <c r="C104" s="153" t="s">
        <v>1562</v>
      </c>
      <c r="D104" s="153" t="s">
        <v>1563</v>
      </c>
      <c r="E104" s="153" t="s">
        <v>311</v>
      </c>
      <c r="F104" s="153" t="s">
        <v>1564</v>
      </c>
      <c r="G104" s="153" t="s">
        <v>1565</v>
      </c>
      <c r="H104" s="153" t="s">
        <v>321</v>
      </c>
      <c r="I104" s="153" t="s">
        <v>951</v>
      </c>
      <c r="J104" s="153" t="s">
        <v>204</v>
      </c>
      <c r="K104" s="153" t="s">
        <v>224</v>
      </c>
      <c r="L104" s="153" t="s">
        <v>325</v>
      </c>
      <c r="M104" s="153" t="s">
        <v>340</v>
      </c>
      <c r="N104" s="153" t="s">
        <v>465</v>
      </c>
      <c r="O104" s="153" t="s">
        <v>339</v>
      </c>
      <c r="P104" s="153" t="s">
        <v>1566</v>
      </c>
      <c r="Q104" s="153" t="s">
        <v>413</v>
      </c>
      <c r="R104" s="153" t="s">
        <v>407</v>
      </c>
      <c r="S104" s="153" t="s">
        <v>1212</v>
      </c>
      <c r="T104" s="154">
        <v>4.29</v>
      </c>
      <c r="U104" s="153" t="s">
        <v>1567</v>
      </c>
      <c r="V104" s="155">
        <v>7.3849999999999999E-2</v>
      </c>
      <c r="W104" s="155">
        <v>6.6699999999999995E-2</v>
      </c>
      <c r="X104" s="153" t="s">
        <v>412</v>
      </c>
      <c r="Y104" s="153" t="s">
        <v>339</v>
      </c>
      <c r="Z104" s="154">
        <v>3650000</v>
      </c>
      <c r="AA104" s="154">
        <v>1</v>
      </c>
      <c r="AB104" s="154">
        <v>104.03</v>
      </c>
      <c r="AD104" s="154">
        <v>3797.0949999999998</v>
      </c>
      <c r="AG104" s="157" t="s">
        <v>15</v>
      </c>
      <c r="AH104" s="155">
        <v>8.7500000000000008E-3</v>
      </c>
      <c r="AI104" s="155">
        <f t="shared" si="1"/>
        <v>1.4275263024116181E-2</v>
      </c>
      <c r="AJ104" s="155">
        <v>3.5134760441439075E-3</v>
      </c>
    </row>
    <row r="105" spans="1:36" s="160" customFormat="1">
      <c r="A105" s="153" t="s">
        <v>1213</v>
      </c>
      <c r="B105" s="160">
        <v>12937</v>
      </c>
      <c r="C105" s="153" t="s">
        <v>1568</v>
      </c>
      <c r="D105" s="153" t="s">
        <v>1569</v>
      </c>
      <c r="E105" s="153" t="s">
        <v>309</v>
      </c>
      <c r="F105" s="153" t="s">
        <v>1570</v>
      </c>
      <c r="G105" s="153" t="s">
        <v>1571</v>
      </c>
      <c r="H105" s="153" t="s">
        <v>321</v>
      </c>
      <c r="I105" s="153" t="s">
        <v>754</v>
      </c>
      <c r="J105" s="153" t="s">
        <v>204</v>
      </c>
      <c r="K105" s="153" t="s">
        <v>204</v>
      </c>
      <c r="L105" s="153" t="s">
        <v>325</v>
      </c>
      <c r="M105" s="153" t="s">
        <v>340</v>
      </c>
      <c r="N105" s="153" t="s">
        <v>443</v>
      </c>
      <c r="O105" s="153" t="s">
        <v>339</v>
      </c>
      <c r="P105" s="153" t="s">
        <v>1527</v>
      </c>
      <c r="Q105" s="153" t="s">
        <v>415</v>
      </c>
      <c r="R105" s="153" t="s">
        <v>407</v>
      </c>
      <c r="S105" s="153" t="s">
        <v>1212</v>
      </c>
      <c r="T105" s="154">
        <v>1.46</v>
      </c>
      <c r="U105" s="153" t="s">
        <v>1572</v>
      </c>
      <c r="V105" s="155">
        <v>5.7439999999999998E-2</v>
      </c>
      <c r="W105" s="155">
        <v>4.3400000000000001E-2</v>
      </c>
      <c r="X105" s="153" t="s">
        <v>412</v>
      </c>
      <c r="Y105" s="153" t="s">
        <v>339</v>
      </c>
      <c r="Z105" s="154">
        <v>3538000</v>
      </c>
      <c r="AA105" s="154">
        <v>1</v>
      </c>
      <c r="AB105" s="154">
        <v>104.83</v>
      </c>
      <c r="AD105" s="154">
        <v>3708.8850000000002</v>
      </c>
      <c r="AG105" s="157" t="s">
        <v>15</v>
      </c>
      <c r="AH105" s="155">
        <v>1.9120000000000002E-2</v>
      </c>
      <c r="AI105" s="155">
        <f t="shared" si="1"/>
        <v>1.3943635569086142E-2</v>
      </c>
      <c r="AJ105" s="155">
        <v>3.4318547726576972E-3</v>
      </c>
    </row>
    <row r="106" spans="1:36" s="160" customFormat="1">
      <c r="A106" s="153" t="s">
        <v>1213</v>
      </c>
      <c r="B106" s="160">
        <v>12937</v>
      </c>
      <c r="C106" s="153" t="s">
        <v>1546</v>
      </c>
      <c r="D106" s="153" t="s">
        <v>1547</v>
      </c>
      <c r="E106" s="153" t="s">
        <v>309</v>
      </c>
      <c r="F106" s="153" t="s">
        <v>1639</v>
      </c>
      <c r="G106" s="153" t="s">
        <v>1640</v>
      </c>
      <c r="H106" s="153" t="s">
        <v>321</v>
      </c>
      <c r="I106" s="153" t="s">
        <v>754</v>
      </c>
      <c r="J106" s="153" t="s">
        <v>204</v>
      </c>
      <c r="K106" s="153" t="s">
        <v>204</v>
      </c>
      <c r="L106" s="153" t="s">
        <v>327</v>
      </c>
      <c r="M106" s="153" t="s">
        <v>340</v>
      </c>
      <c r="N106" s="153" t="s">
        <v>443</v>
      </c>
      <c r="O106" s="153" t="s">
        <v>339</v>
      </c>
      <c r="P106" s="153" t="s">
        <v>1544</v>
      </c>
      <c r="Q106" s="153" t="s">
        <v>415</v>
      </c>
      <c r="R106" s="153" t="s">
        <v>407</v>
      </c>
      <c r="S106" s="153" t="s">
        <v>1212</v>
      </c>
      <c r="T106" s="154">
        <v>3.25</v>
      </c>
      <c r="U106" s="153" t="s">
        <v>1641</v>
      </c>
      <c r="V106" s="155">
        <v>2.921E-2</v>
      </c>
      <c r="W106" s="155">
        <v>3.3300000000000003E-2</v>
      </c>
      <c r="X106" s="153" t="s">
        <v>412</v>
      </c>
      <c r="Y106" s="153" t="s">
        <v>339</v>
      </c>
      <c r="Z106" s="154">
        <v>1811000</v>
      </c>
      <c r="AA106" s="154">
        <v>1</v>
      </c>
      <c r="AB106" s="154">
        <f>AD106*1000/Z106*100</f>
        <v>104.02141291983102</v>
      </c>
      <c r="AD106" s="154">
        <f>1883827.78797814/1000</f>
        <v>1883.8277879781399</v>
      </c>
      <c r="AG106" s="157" t="s">
        <v>15</v>
      </c>
      <c r="AH106" s="155">
        <v>2.2100000000000002E-3</v>
      </c>
      <c r="AI106" s="155">
        <f t="shared" si="1"/>
        <v>7.0822924276392656E-3</v>
      </c>
      <c r="AJ106" s="155">
        <v>1.7431177793428407E-3</v>
      </c>
    </row>
    <row r="107" spans="1:36" s="160" customFormat="1">
      <c r="A107" s="153" t="s">
        <v>1213</v>
      </c>
      <c r="B107" s="160">
        <v>12937</v>
      </c>
      <c r="C107" s="153" t="s">
        <v>1629</v>
      </c>
      <c r="D107" s="153" t="s">
        <v>1630</v>
      </c>
      <c r="E107" s="153" t="s">
        <v>309</v>
      </c>
      <c r="F107" s="153" t="s">
        <v>1631</v>
      </c>
      <c r="G107" s="153" t="s">
        <v>1632</v>
      </c>
      <c r="H107" s="153" t="s">
        <v>321</v>
      </c>
      <c r="I107" s="153" t="s">
        <v>754</v>
      </c>
      <c r="J107" s="153" t="s">
        <v>204</v>
      </c>
      <c r="K107" s="153" t="s">
        <v>204</v>
      </c>
      <c r="L107" s="153" t="s">
        <v>325</v>
      </c>
      <c r="M107" s="153" t="s">
        <v>340</v>
      </c>
      <c r="N107" s="153" t="s">
        <v>447</v>
      </c>
      <c r="O107" s="153" t="s">
        <v>339</v>
      </c>
      <c r="P107" s="153" t="s">
        <v>1586</v>
      </c>
      <c r="Q107" s="153" t="s">
        <v>415</v>
      </c>
      <c r="R107" s="153" t="s">
        <v>407</v>
      </c>
      <c r="S107" s="153" t="s">
        <v>1212</v>
      </c>
      <c r="T107" s="154">
        <v>3.66</v>
      </c>
      <c r="U107" s="153" t="s">
        <v>1633</v>
      </c>
      <c r="V107" s="155">
        <v>4.6190000000000002E-2</v>
      </c>
      <c r="W107" s="155">
        <v>4.9700000000000001E-2</v>
      </c>
      <c r="X107" s="153" t="s">
        <v>412</v>
      </c>
      <c r="Y107" s="153" t="s">
        <v>339</v>
      </c>
      <c r="Z107" s="154">
        <v>3448141.2</v>
      </c>
      <c r="AA107" s="154">
        <v>1</v>
      </c>
      <c r="AB107" s="154">
        <v>101.96</v>
      </c>
      <c r="AD107" s="154">
        <v>3515.7249999999999</v>
      </c>
      <c r="AG107" s="157" t="s">
        <v>15</v>
      </c>
      <c r="AH107" s="155">
        <v>7.2300000000000003E-3</v>
      </c>
      <c r="AI107" s="155">
        <f t="shared" si="1"/>
        <v>1.3217446257062533E-2</v>
      </c>
      <c r="AJ107" s="155">
        <v>3.2531226016988884E-3</v>
      </c>
    </row>
    <row r="108" spans="1:36" s="160" customFormat="1">
      <c r="A108" s="153" t="s">
        <v>1213</v>
      </c>
      <c r="B108" s="160">
        <v>12937</v>
      </c>
      <c r="C108" s="153" t="s">
        <v>1512</v>
      </c>
      <c r="D108" s="153" t="s">
        <v>1513</v>
      </c>
      <c r="E108" s="153" t="s">
        <v>309</v>
      </c>
      <c r="F108" s="153" t="s">
        <v>1898</v>
      </c>
      <c r="G108" s="153" t="s">
        <v>1899</v>
      </c>
      <c r="H108" s="153" t="s">
        <v>321</v>
      </c>
      <c r="I108" s="153" t="s">
        <v>754</v>
      </c>
      <c r="J108" s="153" t="s">
        <v>204</v>
      </c>
      <c r="K108" s="153" t="s">
        <v>204</v>
      </c>
      <c r="L108" s="153" t="s">
        <v>325</v>
      </c>
      <c r="M108" s="153" t="s">
        <v>340</v>
      </c>
      <c r="N108" s="153" t="s">
        <v>448</v>
      </c>
      <c r="O108" s="153" t="s">
        <v>339</v>
      </c>
      <c r="P108" s="153" t="s">
        <v>1215</v>
      </c>
      <c r="Q108" s="153" t="s">
        <v>413</v>
      </c>
      <c r="R108" s="153" t="s">
        <v>407</v>
      </c>
      <c r="S108" s="153" t="s">
        <v>1212</v>
      </c>
      <c r="T108" s="154">
        <v>3.43</v>
      </c>
      <c r="U108" s="153" t="s">
        <v>1900</v>
      </c>
      <c r="V108" s="155">
        <v>-3.5899999999999999E-3</v>
      </c>
      <c r="W108" s="155">
        <v>2.4799999999999999E-2</v>
      </c>
      <c r="X108" s="153" t="s">
        <v>412</v>
      </c>
      <c r="Y108" s="153" t="s">
        <v>339</v>
      </c>
      <c r="Z108" s="154">
        <v>3247317.19</v>
      </c>
      <c r="AA108" s="154">
        <v>1</v>
      </c>
      <c r="AB108" s="154">
        <v>102.63</v>
      </c>
      <c r="AD108" s="154">
        <v>3332.7220000000002</v>
      </c>
      <c r="AG108" s="157" t="s">
        <v>15</v>
      </c>
      <c r="AH108" s="155">
        <v>1.25E-3</v>
      </c>
      <c r="AI108" s="155">
        <f t="shared" si="1"/>
        <v>1.2529442412227908E-2</v>
      </c>
      <c r="AJ108" s="155">
        <v>3.0837887671473518E-3</v>
      </c>
    </row>
    <row r="109" spans="1:36" s="160" customFormat="1">
      <c r="A109" s="153" t="s">
        <v>1213</v>
      </c>
      <c r="B109" s="160">
        <v>12937</v>
      </c>
      <c r="C109" s="153" t="s">
        <v>1582</v>
      </c>
      <c r="D109" s="153" t="s">
        <v>1583</v>
      </c>
      <c r="E109" s="153" t="s">
        <v>309</v>
      </c>
      <c r="F109" s="153" t="s">
        <v>1584</v>
      </c>
      <c r="G109" s="153" t="s">
        <v>1585</v>
      </c>
      <c r="H109" s="153" t="s">
        <v>321</v>
      </c>
      <c r="I109" s="153" t="s">
        <v>951</v>
      </c>
      <c r="J109" s="153" t="s">
        <v>204</v>
      </c>
      <c r="K109" s="153" t="s">
        <v>204</v>
      </c>
      <c r="L109" s="153" t="s">
        <v>5355</v>
      </c>
      <c r="M109" s="153" t="s">
        <v>340</v>
      </c>
      <c r="N109" s="153" t="s">
        <v>447</v>
      </c>
      <c r="O109" s="153" t="s">
        <v>339</v>
      </c>
      <c r="P109" s="153" t="s">
        <v>1586</v>
      </c>
      <c r="Q109" s="153" t="s">
        <v>415</v>
      </c>
      <c r="R109" s="153" t="s">
        <v>407</v>
      </c>
      <c r="S109" s="153" t="s">
        <v>1212</v>
      </c>
      <c r="T109" s="154">
        <v>2.83</v>
      </c>
      <c r="U109" s="153" t="s">
        <v>1587</v>
      </c>
      <c r="V109" s="155">
        <v>7.0690000000000003E-2</v>
      </c>
      <c r="W109" s="155">
        <v>6.3100000000000003E-2</v>
      </c>
      <c r="X109" s="153" t="s">
        <v>412</v>
      </c>
      <c r="Y109" s="153" t="s">
        <v>339</v>
      </c>
      <c r="Z109" s="154">
        <v>3000000</v>
      </c>
      <c r="AA109" s="154">
        <v>1</v>
      </c>
      <c r="AB109" s="154">
        <f>AD109*1000/Z109*100</f>
        <v>106.06733333333334</v>
      </c>
      <c r="AD109" s="154">
        <f>3212.4-30.38</f>
        <v>3182.02</v>
      </c>
      <c r="AG109" s="157" t="s">
        <v>15</v>
      </c>
      <c r="AH109" s="155">
        <v>1.451E-2</v>
      </c>
      <c r="AI109" s="155">
        <f t="shared" si="1"/>
        <v>1.1962874894622909E-2</v>
      </c>
      <c r="AJ109" s="155">
        <v>2.9443432524039557E-3</v>
      </c>
    </row>
    <row r="110" spans="1:36" s="160" customFormat="1">
      <c r="A110" s="153" t="s">
        <v>1213</v>
      </c>
      <c r="B110" s="160">
        <v>12937</v>
      </c>
      <c r="C110" s="153" t="s">
        <v>1769</v>
      </c>
      <c r="D110" s="153" t="s">
        <v>1770</v>
      </c>
      <c r="E110" s="153" t="s">
        <v>309</v>
      </c>
      <c r="F110" s="153" t="s">
        <v>1771</v>
      </c>
      <c r="G110" s="153" t="s">
        <v>1772</v>
      </c>
      <c r="H110" s="153" t="s">
        <v>321</v>
      </c>
      <c r="I110" s="153" t="s">
        <v>754</v>
      </c>
      <c r="J110" s="153" t="s">
        <v>204</v>
      </c>
      <c r="K110" s="153" t="s">
        <v>204</v>
      </c>
      <c r="L110" s="153" t="s">
        <v>325</v>
      </c>
      <c r="M110" s="153" t="s">
        <v>340</v>
      </c>
      <c r="N110" s="153" t="s">
        <v>464</v>
      </c>
      <c r="O110" s="153" t="s">
        <v>339</v>
      </c>
      <c r="P110" s="153" t="s">
        <v>1560</v>
      </c>
      <c r="Q110" s="153" t="s">
        <v>413</v>
      </c>
      <c r="R110" s="153" t="s">
        <v>407</v>
      </c>
      <c r="S110" s="153" t="s">
        <v>1212</v>
      </c>
      <c r="T110" s="154">
        <v>4.05</v>
      </c>
      <c r="U110" s="153" t="s">
        <v>1587</v>
      </c>
      <c r="V110" s="155">
        <v>3.6790000000000003E-2</v>
      </c>
      <c r="W110" s="155">
        <v>3.9E-2</v>
      </c>
      <c r="X110" s="153" t="s">
        <v>412</v>
      </c>
      <c r="Y110" s="153" t="s">
        <v>339</v>
      </c>
      <c r="Z110" s="154">
        <v>3000660</v>
      </c>
      <c r="AA110" s="154">
        <v>1</v>
      </c>
      <c r="AB110" s="154">
        <v>106.27</v>
      </c>
      <c r="AD110" s="154">
        <v>3188.8009999999999</v>
      </c>
      <c r="AG110" s="157" t="s">
        <v>15</v>
      </c>
      <c r="AH110" s="155">
        <v>1.74E-3</v>
      </c>
      <c r="AI110" s="155">
        <f t="shared" si="1"/>
        <v>1.1988368214797023E-2</v>
      </c>
      <c r="AJ110" s="155">
        <v>2.950617754636673E-3</v>
      </c>
    </row>
    <row r="111" spans="1:36" s="160" customFormat="1">
      <c r="A111" s="153" t="s">
        <v>1213</v>
      </c>
      <c r="B111" s="160">
        <v>12937</v>
      </c>
      <c r="C111" s="153" t="s">
        <v>1687</v>
      </c>
      <c r="D111" s="153" t="s">
        <v>1688</v>
      </c>
      <c r="E111" s="153" t="s">
        <v>309</v>
      </c>
      <c r="F111" s="153" t="s">
        <v>1689</v>
      </c>
      <c r="G111" s="153" t="s">
        <v>1690</v>
      </c>
      <c r="H111" s="153" t="s">
        <v>321</v>
      </c>
      <c r="I111" s="153" t="s">
        <v>754</v>
      </c>
      <c r="J111" s="153" t="s">
        <v>204</v>
      </c>
      <c r="K111" s="153" t="s">
        <v>204</v>
      </c>
      <c r="L111" s="153" t="s">
        <v>325</v>
      </c>
      <c r="M111" s="153" t="s">
        <v>340</v>
      </c>
      <c r="N111" s="153" t="s">
        <v>465</v>
      </c>
      <c r="O111" s="153" t="s">
        <v>339</v>
      </c>
      <c r="P111" s="153" t="s">
        <v>1614</v>
      </c>
      <c r="Q111" s="153" t="s">
        <v>415</v>
      </c>
      <c r="R111" s="153" t="s">
        <v>407</v>
      </c>
      <c r="S111" s="153" t="s">
        <v>1212</v>
      </c>
      <c r="T111" s="154">
        <v>4.1399999999999997</v>
      </c>
      <c r="U111" s="153" t="s">
        <v>1587</v>
      </c>
      <c r="V111" s="155">
        <v>3.3550000000000003E-2</v>
      </c>
      <c r="W111" s="155">
        <v>3.39E-2</v>
      </c>
      <c r="X111" s="153" t="s">
        <v>412</v>
      </c>
      <c r="Y111" s="153" t="s">
        <v>339</v>
      </c>
      <c r="Z111" s="154">
        <v>3051000</v>
      </c>
      <c r="AA111" s="154">
        <v>1</v>
      </c>
      <c r="AB111" s="154">
        <v>103.89</v>
      </c>
      <c r="AD111" s="154">
        <v>3169.6840000000002</v>
      </c>
      <c r="AG111" s="157" t="s">
        <v>15</v>
      </c>
      <c r="AH111" s="155">
        <v>4.2900000000000004E-3</v>
      </c>
      <c r="AI111" s="155">
        <f t="shared" si="1"/>
        <v>1.1916497428516451E-2</v>
      </c>
      <c r="AJ111" s="155">
        <v>2.9329286735007261E-3</v>
      </c>
    </row>
    <row r="112" spans="1:36" s="160" customFormat="1">
      <c r="A112" s="153" t="s">
        <v>1213</v>
      </c>
      <c r="B112" s="160">
        <v>12937</v>
      </c>
      <c r="C112" s="153" t="s">
        <v>1591</v>
      </c>
      <c r="D112" s="153" t="s">
        <v>1592</v>
      </c>
      <c r="E112" s="153" t="s">
        <v>309</v>
      </c>
      <c r="F112" s="153" t="s">
        <v>1593</v>
      </c>
      <c r="G112" s="153" t="s">
        <v>1594</v>
      </c>
      <c r="H112" s="153" t="s">
        <v>321</v>
      </c>
      <c r="I112" s="153" t="s">
        <v>754</v>
      </c>
      <c r="J112" s="153" t="s">
        <v>204</v>
      </c>
      <c r="K112" s="153" t="s">
        <v>204</v>
      </c>
      <c r="L112" s="153" t="s">
        <v>325</v>
      </c>
      <c r="M112" s="153" t="s">
        <v>340</v>
      </c>
      <c r="N112" s="153" t="s">
        <v>464</v>
      </c>
      <c r="O112" s="153" t="s">
        <v>339</v>
      </c>
      <c r="P112" s="153" t="s">
        <v>1538</v>
      </c>
      <c r="Q112" s="153" t="s">
        <v>413</v>
      </c>
      <c r="R112" s="153" t="s">
        <v>407</v>
      </c>
      <c r="S112" s="153" t="s">
        <v>1212</v>
      </c>
      <c r="T112" s="154">
        <v>3.74</v>
      </c>
      <c r="U112" s="153" t="s">
        <v>1283</v>
      </c>
      <c r="V112" s="155">
        <v>2.8539999999999999E-2</v>
      </c>
      <c r="W112" s="155">
        <v>3.0700000000000002E-2</v>
      </c>
      <c r="X112" s="153" t="s">
        <v>412</v>
      </c>
      <c r="Y112" s="153" t="s">
        <v>339</v>
      </c>
      <c r="Z112" s="154">
        <v>3000000</v>
      </c>
      <c r="AA112" s="154">
        <v>1</v>
      </c>
      <c r="AB112" s="154">
        <v>103.53</v>
      </c>
      <c r="AD112" s="154">
        <v>3105.9</v>
      </c>
      <c r="AG112" s="157" t="s">
        <v>15</v>
      </c>
      <c r="AH112" s="155">
        <v>4.0400000000000002E-3</v>
      </c>
      <c r="AI112" s="155">
        <f t="shared" si="1"/>
        <v>1.1676700063233195E-2</v>
      </c>
      <c r="AJ112" s="155">
        <v>2.8739089344634685E-3</v>
      </c>
    </row>
    <row r="113" spans="1:36" s="160" customFormat="1">
      <c r="A113" s="153" t="s">
        <v>1213</v>
      </c>
      <c r="B113" s="160">
        <v>12937</v>
      </c>
      <c r="C113" s="153" t="s">
        <v>1754</v>
      </c>
      <c r="D113" s="153" t="s">
        <v>1755</v>
      </c>
      <c r="E113" s="153" t="s">
        <v>309</v>
      </c>
      <c r="F113" s="153" t="s">
        <v>1756</v>
      </c>
      <c r="G113" s="153" t="s">
        <v>1757</v>
      </c>
      <c r="H113" s="153" t="s">
        <v>321</v>
      </c>
      <c r="I113" s="153" t="s">
        <v>754</v>
      </c>
      <c r="J113" s="153" t="s">
        <v>204</v>
      </c>
      <c r="K113" s="153" t="s">
        <v>204</v>
      </c>
      <c r="L113" s="153" t="s">
        <v>325</v>
      </c>
      <c r="M113" s="153" t="s">
        <v>340</v>
      </c>
      <c r="N113" s="153" t="s">
        <v>464</v>
      </c>
      <c r="O113" s="153" t="s">
        <v>339</v>
      </c>
      <c r="P113" s="153" t="s">
        <v>1554</v>
      </c>
      <c r="Q113" s="153" t="s">
        <v>413</v>
      </c>
      <c r="R113" s="153" t="s">
        <v>407</v>
      </c>
      <c r="S113" s="153" t="s">
        <v>1212</v>
      </c>
      <c r="T113" s="154">
        <v>3.05</v>
      </c>
      <c r="U113" s="153" t="s">
        <v>1758</v>
      </c>
      <c r="V113" s="155">
        <v>1.059E-2</v>
      </c>
      <c r="W113" s="155">
        <v>3.4599999999999999E-2</v>
      </c>
      <c r="X113" s="153" t="s">
        <v>412</v>
      </c>
      <c r="Y113" s="153" t="s">
        <v>339</v>
      </c>
      <c r="Z113" s="154">
        <v>2870558.9</v>
      </c>
      <c r="AA113" s="154">
        <v>1</v>
      </c>
      <c r="AB113" s="154">
        <v>107.63</v>
      </c>
      <c r="AD113" s="154">
        <v>3089.5830000000001</v>
      </c>
      <c r="AG113" s="157" t="s">
        <v>15</v>
      </c>
      <c r="AH113" s="155">
        <v>9.7300000000000008E-3</v>
      </c>
      <c r="AI113" s="155">
        <f t="shared" si="1"/>
        <v>1.1615355939168745E-2</v>
      </c>
      <c r="AJ113" s="155">
        <v>2.8588107110552323E-3</v>
      </c>
    </row>
    <row r="114" spans="1:36" s="160" customFormat="1">
      <c r="A114" s="153" t="s">
        <v>1213</v>
      </c>
      <c r="B114" s="160">
        <v>12937</v>
      </c>
      <c r="C114" s="153" t="s">
        <v>1701</v>
      </c>
      <c r="D114" s="153" t="s">
        <v>1702</v>
      </c>
      <c r="E114" s="153" t="s">
        <v>311</v>
      </c>
      <c r="F114" s="153" t="s">
        <v>1703</v>
      </c>
      <c r="G114" s="153" t="s">
        <v>1704</v>
      </c>
      <c r="H114" s="153" t="s">
        <v>321</v>
      </c>
      <c r="I114" s="153" t="s">
        <v>951</v>
      </c>
      <c r="J114" s="153" t="s">
        <v>204</v>
      </c>
      <c r="K114" s="153" t="s">
        <v>224</v>
      </c>
      <c r="L114" s="153" t="s">
        <v>325</v>
      </c>
      <c r="M114" s="153" t="s">
        <v>340</v>
      </c>
      <c r="N114" s="153" t="s">
        <v>465</v>
      </c>
      <c r="O114" s="153" t="s">
        <v>339</v>
      </c>
      <c r="P114" s="153" t="s">
        <v>1566</v>
      </c>
      <c r="Q114" s="153" t="s">
        <v>413</v>
      </c>
      <c r="R114" s="153" t="s">
        <v>407</v>
      </c>
      <c r="S114" s="153" t="s">
        <v>1212</v>
      </c>
      <c r="T114" s="154">
        <v>2.96</v>
      </c>
      <c r="U114" s="153" t="s">
        <v>1308</v>
      </c>
      <c r="V114" s="155">
        <v>7.8710000000000002E-2</v>
      </c>
      <c r="W114" s="155">
        <v>9.69E-2</v>
      </c>
      <c r="X114" s="153" t="s">
        <v>412</v>
      </c>
      <c r="Y114" s="153" t="s">
        <v>339</v>
      </c>
      <c r="Z114" s="154">
        <v>3000000</v>
      </c>
      <c r="AA114" s="154">
        <v>1</v>
      </c>
      <c r="AB114" s="154">
        <v>100.91</v>
      </c>
      <c r="AD114" s="154">
        <v>3027.3</v>
      </c>
      <c r="AG114" s="157" t="s">
        <v>15</v>
      </c>
      <c r="AH114" s="155">
        <v>5.11E-3</v>
      </c>
      <c r="AI114" s="155">
        <f t="shared" si="1"/>
        <v>1.1381201616737774E-2</v>
      </c>
      <c r="AJ114" s="155">
        <v>2.8011798568212945E-3</v>
      </c>
    </row>
    <row r="115" spans="1:36" s="160" customFormat="1">
      <c r="A115" s="153" t="s">
        <v>1213</v>
      </c>
      <c r="B115" s="160">
        <v>12937</v>
      </c>
      <c r="C115" s="153" t="s">
        <v>1512</v>
      </c>
      <c r="D115" s="153" t="s">
        <v>1513</v>
      </c>
      <c r="E115" s="153" t="s">
        <v>309</v>
      </c>
      <c r="F115" s="153" t="s">
        <v>1901</v>
      </c>
      <c r="G115" s="153" t="s">
        <v>1902</v>
      </c>
      <c r="H115" s="153" t="s">
        <v>321</v>
      </c>
      <c r="I115" s="153" t="s">
        <v>754</v>
      </c>
      <c r="J115" s="153" t="s">
        <v>204</v>
      </c>
      <c r="K115" s="153" t="s">
        <v>204</v>
      </c>
      <c r="L115" s="153" t="s">
        <v>325</v>
      </c>
      <c r="M115" s="153" t="s">
        <v>340</v>
      </c>
      <c r="N115" s="153" t="s">
        <v>448</v>
      </c>
      <c r="O115" s="153" t="s">
        <v>339</v>
      </c>
      <c r="P115" s="153" t="s">
        <v>1215</v>
      </c>
      <c r="Q115" s="153" t="s">
        <v>413</v>
      </c>
      <c r="R115" s="153" t="s">
        <v>407</v>
      </c>
      <c r="S115" s="153" t="s">
        <v>1212</v>
      </c>
      <c r="T115" s="154">
        <v>4.05</v>
      </c>
      <c r="U115" s="153" t="s">
        <v>1903</v>
      </c>
      <c r="V115" s="155">
        <v>-7.8200000000000006E-3</v>
      </c>
      <c r="W115" s="155">
        <v>2.5000000000000001E-2</v>
      </c>
      <c r="X115" s="153" t="s">
        <v>412</v>
      </c>
      <c r="Y115" s="153" t="s">
        <v>339</v>
      </c>
      <c r="Z115" s="154">
        <v>2700000</v>
      </c>
      <c r="AA115" s="154">
        <v>1</v>
      </c>
      <c r="AB115" s="154">
        <v>102.41</v>
      </c>
      <c r="AD115" s="154">
        <v>2765.07</v>
      </c>
      <c r="AG115" s="157" t="s">
        <v>15</v>
      </c>
      <c r="AH115" s="155">
        <v>8.0000000000000004E-4</v>
      </c>
      <c r="AI115" s="155">
        <f t="shared" si="1"/>
        <v>1.0395342104975759E-2</v>
      </c>
      <c r="AJ115" s="155">
        <v>2.5585367775578425E-3</v>
      </c>
    </row>
    <row r="116" spans="1:36" s="160" customFormat="1">
      <c r="A116" s="153" t="s">
        <v>1213</v>
      </c>
      <c r="B116" s="160">
        <v>12937</v>
      </c>
      <c r="C116" s="153" t="s">
        <v>1624</v>
      </c>
      <c r="D116" s="153" t="s">
        <v>1625</v>
      </c>
      <c r="E116" s="153" t="s">
        <v>309</v>
      </c>
      <c r="F116" s="153" t="s">
        <v>1626</v>
      </c>
      <c r="G116" s="153" t="s">
        <v>1627</v>
      </c>
      <c r="H116" s="153" t="s">
        <v>321</v>
      </c>
      <c r="I116" s="153" t="s">
        <v>754</v>
      </c>
      <c r="J116" s="153" t="s">
        <v>204</v>
      </c>
      <c r="K116" s="153" t="s">
        <v>204</v>
      </c>
      <c r="L116" s="153" t="s">
        <v>327</v>
      </c>
      <c r="M116" s="153" t="s">
        <v>340</v>
      </c>
      <c r="N116" s="153" t="s">
        <v>447</v>
      </c>
      <c r="O116" s="153" t="s">
        <v>339</v>
      </c>
      <c r="P116" s="153" t="s">
        <v>1614</v>
      </c>
      <c r="Q116" s="153" t="s">
        <v>415</v>
      </c>
      <c r="R116" s="153" t="s">
        <v>407</v>
      </c>
      <c r="S116" s="153" t="s">
        <v>1212</v>
      </c>
      <c r="T116" s="154">
        <v>2.82</v>
      </c>
      <c r="U116" s="153" t="s">
        <v>1628</v>
      </c>
      <c r="V116" s="155">
        <v>3.3090000000000001E-2</v>
      </c>
      <c r="W116" s="155">
        <v>3.2199999999999999E-2</v>
      </c>
      <c r="X116" s="153" t="s">
        <v>412</v>
      </c>
      <c r="Y116" s="153" t="s">
        <v>339</v>
      </c>
      <c r="Z116" s="154">
        <v>1279000</v>
      </c>
      <c r="AA116" s="154">
        <v>1</v>
      </c>
      <c r="AB116" s="154">
        <f>AD116*1000/Z116*100</f>
        <v>108.96918071239092</v>
      </c>
      <c r="AD116" s="154">
        <f>1393715.82131148/1000</f>
        <v>1393.7158213114799</v>
      </c>
      <c r="AG116" s="157" t="s">
        <v>15</v>
      </c>
      <c r="AH116" s="155">
        <v>8.3599999999999994E-3</v>
      </c>
      <c r="AI116" s="155">
        <f t="shared" si="1"/>
        <v>5.2397055986467241E-3</v>
      </c>
      <c r="AJ116" s="155">
        <v>1.289614073527851E-3</v>
      </c>
    </row>
    <row r="117" spans="1:36" s="160" customFormat="1">
      <c r="A117" s="153" t="s">
        <v>1213</v>
      </c>
      <c r="B117" s="160">
        <v>12937</v>
      </c>
      <c r="C117" s="153" t="s">
        <v>1615</v>
      </c>
      <c r="D117" s="153" t="s">
        <v>1616</v>
      </c>
      <c r="E117" s="153" t="s">
        <v>309</v>
      </c>
      <c r="F117" s="153" t="s">
        <v>1617</v>
      </c>
      <c r="G117" s="153" t="s">
        <v>1618</v>
      </c>
      <c r="H117" s="153" t="s">
        <v>321</v>
      </c>
      <c r="I117" s="153" t="s">
        <v>951</v>
      </c>
      <c r="J117" s="153" t="s">
        <v>204</v>
      </c>
      <c r="K117" s="153" t="s">
        <v>204</v>
      </c>
      <c r="L117" s="153" t="s">
        <v>327</v>
      </c>
      <c r="M117" s="153" t="s">
        <v>340</v>
      </c>
      <c r="N117" s="153" t="s">
        <v>447</v>
      </c>
      <c r="O117" s="153" t="s">
        <v>339</v>
      </c>
      <c r="Q117" s="153" t="s">
        <v>410</v>
      </c>
      <c r="R117" s="153" t="s">
        <v>410</v>
      </c>
      <c r="S117" s="153" t="s">
        <v>1212</v>
      </c>
      <c r="T117" s="154">
        <v>0.48</v>
      </c>
      <c r="U117" s="153" t="s">
        <v>1619</v>
      </c>
      <c r="V117" s="155">
        <v>6.2850000000000003E-2</v>
      </c>
      <c r="W117" s="155">
        <v>7.1499999999999994E-2</v>
      </c>
      <c r="X117" s="153" t="s">
        <v>412</v>
      </c>
      <c r="Y117" s="153" t="s">
        <v>339</v>
      </c>
      <c r="Z117" s="154">
        <v>2650000</v>
      </c>
      <c r="AA117" s="154">
        <v>1</v>
      </c>
      <c r="AB117" s="154">
        <f>AD117*1000/Z117*100</f>
        <v>97.875962264150942</v>
      </c>
      <c r="AD117" s="154">
        <f>2630.125-36.412</f>
        <v>2593.7130000000002</v>
      </c>
      <c r="AG117" s="157" t="s">
        <v>15</v>
      </c>
      <c r="AH117" s="155">
        <v>2.6499999999999999E-2</v>
      </c>
      <c r="AI117" s="155">
        <f t="shared" si="1"/>
        <v>9.7511216559157607E-3</v>
      </c>
      <c r="AJ117" s="155">
        <v>2.3999790605409208E-3</v>
      </c>
    </row>
    <row r="118" spans="1:36" s="160" customFormat="1">
      <c r="A118" s="153" t="s">
        <v>1213</v>
      </c>
      <c r="B118" s="160">
        <v>12937</v>
      </c>
      <c r="C118" s="153" t="s">
        <v>1904</v>
      </c>
      <c r="D118" s="153" t="s">
        <v>1905</v>
      </c>
      <c r="E118" s="153" t="s">
        <v>309</v>
      </c>
      <c r="F118" s="153" t="s">
        <v>1906</v>
      </c>
      <c r="G118" s="153" t="s">
        <v>1907</v>
      </c>
      <c r="H118" s="153" t="s">
        <v>321</v>
      </c>
      <c r="I118" s="153" t="s">
        <v>754</v>
      </c>
      <c r="J118" s="153" t="s">
        <v>204</v>
      </c>
      <c r="K118" s="153" t="s">
        <v>204</v>
      </c>
      <c r="L118" s="153" t="s">
        <v>325</v>
      </c>
      <c r="M118" s="153" t="s">
        <v>340</v>
      </c>
      <c r="N118" s="153" t="s">
        <v>448</v>
      </c>
      <c r="O118" s="153" t="s">
        <v>339</v>
      </c>
      <c r="P118" s="153" t="s">
        <v>1215</v>
      </c>
      <c r="Q118" s="153" t="s">
        <v>413</v>
      </c>
      <c r="R118" s="153" t="s">
        <v>407</v>
      </c>
      <c r="S118" s="153" t="s">
        <v>1212</v>
      </c>
      <c r="T118" s="154">
        <v>3.98</v>
      </c>
      <c r="U118" s="153" t="s">
        <v>1908</v>
      </c>
      <c r="V118" s="155">
        <v>-1.068E-2</v>
      </c>
      <c r="W118" s="155">
        <v>2.52E-2</v>
      </c>
      <c r="X118" s="153" t="s">
        <v>412</v>
      </c>
      <c r="Y118" s="153" t="s">
        <v>339</v>
      </c>
      <c r="Z118" s="154">
        <v>2561169.59</v>
      </c>
      <c r="AA118" s="154">
        <v>1</v>
      </c>
      <c r="AB118" s="154">
        <v>102.6</v>
      </c>
      <c r="AD118" s="154">
        <v>2627.76</v>
      </c>
      <c r="AG118" s="157" t="s">
        <v>15</v>
      </c>
      <c r="AH118" s="155">
        <v>6.9999999999999999E-4</v>
      </c>
      <c r="AI118" s="155">
        <f t="shared" si="1"/>
        <v>9.8791221089415838E-3</v>
      </c>
      <c r="AJ118" s="155">
        <v>2.431482965203556E-3</v>
      </c>
    </row>
    <row r="119" spans="1:36" s="160" customFormat="1">
      <c r="A119" s="153" t="s">
        <v>1213</v>
      </c>
      <c r="B119" s="160">
        <v>12937</v>
      </c>
      <c r="C119" s="153" t="s">
        <v>1620</v>
      </c>
      <c r="D119" s="153" t="s">
        <v>1621</v>
      </c>
      <c r="E119" s="153" t="s">
        <v>309</v>
      </c>
      <c r="F119" s="153" t="s">
        <v>1622</v>
      </c>
      <c r="G119" s="153" t="s">
        <v>1623</v>
      </c>
      <c r="H119" s="153" t="s">
        <v>321</v>
      </c>
      <c r="I119" s="153" t="s">
        <v>951</v>
      </c>
      <c r="J119" s="153" t="s">
        <v>204</v>
      </c>
      <c r="K119" s="153" t="s">
        <v>204</v>
      </c>
      <c r="L119" s="153" t="s">
        <v>327</v>
      </c>
      <c r="M119" s="153" t="s">
        <v>340</v>
      </c>
      <c r="N119" s="153" t="s">
        <v>447</v>
      </c>
      <c r="O119" s="153" t="s">
        <v>339</v>
      </c>
      <c r="Q119" s="153" t="s">
        <v>410</v>
      </c>
      <c r="R119" s="153" t="s">
        <v>410</v>
      </c>
      <c r="S119" s="153" t="s">
        <v>1212</v>
      </c>
      <c r="T119" s="154">
        <v>1.59</v>
      </c>
      <c r="U119" s="153" t="s">
        <v>1331</v>
      </c>
      <c r="V119" s="155">
        <v>6.4979999999999996E-2</v>
      </c>
      <c r="W119" s="155">
        <v>6.3100000000000003E-2</v>
      </c>
      <c r="X119" s="153" t="s">
        <v>412</v>
      </c>
      <c r="Y119" s="153" t="s">
        <v>339</v>
      </c>
      <c r="Z119" s="154">
        <v>750000</v>
      </c>
      <c r="AA119" s="154">
        <v>1</v>
      </c>
      <c r="AB119" s="154">
        <f>AD119*1000/Z119*100</f>
        <v>100.66349726775961</v>
      </c>
      <c r="AD119" s="154">
        <f>754976.229508197/1000</f>
        <v>754.97622950819709</v>
      </c>
      <c r="AG119" s="157" t="s">
        <v>15</v>
      </c>
      <c r="AH119" s="155">
        <v>1.034E-2</v>
      </c>
      <c r="AI119" s="155">
        <f t="shared" si="1"/>
        <v>2.8383499104407497E-3</v>
      </c>
      <c r="AJ119" s="155">
        <v>6.9858428516409083E-4</v>
      </c>
    </row>
    <row r="120" spans="1:36" s="160" customFormat="1">
      <c r="A120" s="153" t="s">
        <v>1213</v>
      </c>
      <c r="B120" s="160">
        <v>12937</v>
      </c>
      <c r="C120" s="153" t="s">
        <v>1642</v>
      </c>
      <c r="D120" s="153" t="s">
        <v>1643</v>
      </c>
      <c r="E120" s="153" t="s">
        <v>309</v>
      </c>
      <c r="F120" s="153" t="s">
        <v>1644</v>
      </c>
      <c r="G120" s="153" t="s">
        <v>1645</v>
      </c>
      <c r="H120" s="153" t="s">
        <v>321</v>
      </c>
      <c r="I120" s="153" t="s">
        <v>951</v>
      </c>
      <c r="J120" s="153" t="s">
        <v>204</v>
      </c>
      <c r="K120" s="153" t="s">
        <v>204</v>
      </c>
      <c r="L120" s="153" t="s">
        <v>325</v>
      </c>
      <c r="M120" s="153" t="s">
        <v>340</v>
      </c>
      <c r="N120" s="153" t="s">
        <v>447</v>
      </c>
      <c r="O120" s="153" t="s">
        <v>339</v>
      </c>
      <c r="Q120" s="153" t="s">
        <v>410</v>
      </c>
      <c r="R120" s="153" t="s">
        <v>410</v>
      </c>
      <c r="S120" s="153" t="s">
        <v>1212</v>
      </c>
      <c r="T120" s="154">
        <v>2.5</v>
      </c>
      <c r="U120" s="153" t="s">
        <v>1370</v>
      </c>
      <c r="V120" s="155">
        <v>8.1350000000000006E-2</v>
      </c>
      <c r="W120" s="155">
        <v>6.7599999999999993E-2</v>
      </c>
      <c r="X120" s="153" t="s">
        <v>412</v>
      </c>
      <c r="Y120" s="153" t="s">
        <v>339</v>
      </c>
      <c r="Z120" s="154">
        <v>2483000</v>
      </c>
      <c r="AA120" s="154">
        <v>1</v>
      </c>
      <c r="AB120" s="154">
        <v>102.79</v>
      </c>
      <c r="AD120" s="154">
        <v>2552.2759999999998</v>
      </c>
      <c r="AG120" s="157" t="s">
        <v>15</v>
      </c>
      <c r="AH120" s="155">
        <v>1.83E-2</v>
      </c>
      <c r="AI120" s="155">
        <f t="shared" si="1"/>
        <v>9.5953383336838151E-3</v>
      </c>
      <c r="AJ120" s="155">
        <v>2.3616371420897911E-3</v>
      </c>
    </row>
    <row r="121" spans="1:36" s="160" customFormat="1">
      <c r="A121" s="153" t="s">
        <v>1213</v>
      </c>
      <c r="B121" s="160">
        <v>12937</v>
      </c>
      <c r="C121" s="153" t="s">
        <v>1713</v>
      </c>
      <c r="D121" s="153" t="s">
        <v>1714</v>
      </c>
      <c r="E121" s="153" t="s">
        <v>309</v>
      </c>
      <c r="F121" s="153" t="s">
        <v>1715</v>
      </c>
      <c r="G121" s="153" t="s">
        <v>1716</v>
      </c>
      <c r="H121" s="153" t="s">
        <v>321</v>
      </c>
      <c r="I121" s="153" t="s">
        <v>754</v>
      </c>
      <c r="J121" s="153" t="s">
        <v>204</v>
      </c>
      <c r="K121" s="153" t="s">
        <v>204</v>
      </c>
      <c r="L121" s="153" t="s">
        <v>325</v>
      </c>
      <c r="M121" s="153" t="s">
        <v>340</v>
      </c>
      <c r="N121" s="153" t="s">
        <v>459</v>
      </c>
      <c r="O121" s="153" t="s">
        <v>339</v>
      </c>
      <c r="Q121" s="153" t="s">
        <v>410</v>
      </c>
      <c r="R121" s="153" t="s">
        <v>410</v>
      </c>
      <c r="S121" s="153" t="s">
        <v>1212</v>
      </c>
      <c r="T121" s="154">
        <v>4.58</v>
      </c>
      <c r="U121" s="153" t="s">
        <v>1717</v>
      </c>
      <c r="V121" s="155">
        <v>3.5159999999999997E-2</v>
      </c>
      <c r="W121" s="155">
        <v>3.8899999999999997E-2</v>
      </c>
      <c r="X121" s="153" t="s">
        <v>412</v>
      </c>
      <c r="Y121" s="153" t="s">
        <v>339</v>
      </c>
      <c r="Z121" s="154">
        <v>2363000</v>
      </c>
      <c r="AA121" s="154">
        <v>1</v>
      </c>
      <c r="AB121" s="154">
        <v>101.18</v>
      </c>
      <c r="AD121" s="154">
        <v>2390.8829999999998</v>
      </c>
      <c r="AG121" s="157" t="s">
        <v>15</v>
      </c>
      <c r="AH121" s="155">
        <v>6.9899999999999997E-3</v>
      </c>
      <c r="AI121" s="155">
        <f t="shared" si="1"/>
        <v>8.988577764024331E-3</v>
      </c>
      <c r="AJ121" s="155">
        <v>2.2122991773581959E-3</v>
      </c>
    </row>
    <row r="122" spans="1:36" s="160" customFormat="1">
      <c r="A122" s="153" t="s">
        <v>1213</v>
      </c>
      <c r="B122" s="160">
        <v>12937</v>
      </c>
      <c r="C122" s="153" t="s">
        <v>1650</v>
      </c>
      <c r="D122" s="153" t="s">
        <v>1651</v>
      </c>
      <c r="E122" s="153" t="s">
        <v>309</v>
      </c>
      <c r="F122" s="153" t="s">
        <v>1652</v>
      </c>
      <c r="G122" s="153" t="s">
        <v>1653</v>
      </c>
      <c r="H122" s="153" t="s">
        <v>321</v>
      </c>
      <c r="I122" s="153" t="s">
        <v>755</v>
      </c>
      <c r="J122" s="153" t="s">
        <v>204</v>
      </c>
      <c r="K122" s="153" t="s">
        <v>204</v>
      </c>
      <c r="L122" s="153" t="s">
        <v>325</v>
      </c>
      <c r="M122" s="153" t="s">
        <v>340</v>
      </c>
      <c r="N122" s="153" t="s">
        <v>454</v>
      </c>
      <c r="O122" s="153" t="s">
        <v>339</v>
      </c>
      <c r="Q122" s="153" t="s">
        <v>410</v>
      </c>
      <c r="R122" s="153" t="s">
        <v>410</v>
      </c>
      <c r="S122" s="153" t="s">
        <v>1212</v>
      </c>
      <c r="T122" s="154">
        <v>3.51</v>
      </c>
      <c r="U122" s="153" t="s">
        <v>1654</v>
      </c>
      <c r="V122" s="155">
        <v>7.3270000000000002E-2</v>
      </c>
      <c r="W122" s="155">
        <v>9.7799999999999998E-2</v>
      </c>
      <c r="X122" s="153" t="s">
        <v>412</v>
      </c>
      <c r="Y122" s="153" t="s">
        <v>339</v>
      </c>
      <c r="Z122" s="154">
        <v>2500000</v>
      </c>
      <c r="AA122" s="154">
        <v>1</v>
      </c>
      <c r="AB122" s="154">
        <v>92.3</v>
      </c>
      <c r="AD122" s="154">
        <v>2307.5</v>
      </c>
      <c r="AG122" s="157" t="s">
        <v>15</v>
      </c>
      <c r="AH122" s="155">
        <v>4.7829999999999998E-2</v>
      </c>
      <c r="AI122" s="155">
        <f t="shared" si="1"/>
        <v>8.6750975227504416E-3</v>
      </c>
      <c r="AJ122" s="155">
        <v>2.1351443595332927E-3</v>
      </c>
    </row>
    <row r="123" spans="1:36" s="160" customFormat="1">
      <c r="A123" s="153" t="s">
        <v>1213</v>
      </c>
      <c r="B123" s="160">
        <v>12937</v>
      </c>
      <c r="C123" s="153" t="s">
        <v>1909</v>
      </c>
      <c r="D123" s="153" t="s">
        <v>1910</v>
      </c>
      <c r="E123" s="153" t="s">
        <v>309</v>
      </c>
      <c r="F123" s="153" t="s">
        <v>1911</v>
      </c>
      <c r="G123" s="153" t="s">
        <v>1912</v>
      </c>
      <c r="H123" s="153" t="s">
        <v>321</v>
      </c>
      <c r="I123" s="153" t="s">
        <v>754</v>
      </c>
      <c r="J123" s="153" t="s">
        <v>204</v>
      </c>
      <c r="K123" s="153" t="s">
        <v>204</v>
      </c>
      <c r="L123" s="153" t="s">
        <v>325</v>
      </c>
      <c r="M123" s="153" t="s">
        <v>340</v>
      </c>
      <c r="N123" s="153" t="s">
        <v>464</v>
      </c>
      <c r="O123" s="153" t="s">
        <v>339</v>
      </c>
      <c r="Q123" s="153" t="s">
        <v>410</v>
      </c>
      <c r="R123" s="153" t="s">
        <v>410</v>
      </c>
      <c r="S123" s="153" t="s">
        <v>1212</v>
      </c>
      <c r="T123" s="154">
        <v>4.2</v>
      </c>
      <c r="U123" s="153" t="s">
        <v>1913</v>
      </c>
      <c r="V123" s="155">
        <v>5.1000000000000004E-3</v>
      </c>
      <c r="W123" s="155">
        <v>3.0300000000000001E-2</v>
      </c>
      <c r="X123" s="153" t="s">
        <v>412</v>
      </c>
      <c r="Y123" s="153" t="s">
        <v>339</v>
      </c>
      <c r="Z123" s="154">
        <v>2194523</v>
      </c>
      <c r="AA123" s="154">
        <v>1</v>
      </c>
      <c r="AB123" s="154">
        <v>104.57</v>
      </c>
      <c r="AD123" s="154">
        <v>2294.8130000000001</v>
      </c>
      <c r="AG123" s="157" t="s">
        <v>15</v>
      </c>
      <c r="AH123" s="155">
        <v>3.3300000000000001E-3</v>
      </c>
      <c r="AI123" s="155">
        <f t="shared" si="1"/>
        <v>8.6274004643447505E-3</v>
      </c>
      <c r="AJ123" s="155">
        <v>2.1234049981077676E-3</v>
      </c>
    </row>
    <row r="124" spans="1:36" s="160" customFormat="1">
      <c r="A124" s="153" t="s">
        <v>1213</v>
      </c>
      <c r="B124" s="160">
        <v>12937</v>
      </c>
      <c r="C124" s="153" t="s">
        <v>1799</v>
      </c>
      <c r="D124" s="153" t="s">
        <v>1800</v>
      </c>
      <c r="E124" s="153" t="s">
        <v>309</v>
      </c>
      <c r="F124" s="153" t="s">
        <v>1801</v>
      </c>
      <c r="G124" s="153" t="s">
        <v>1802</v>
      </c>
      <c r="H124" s="153" t="s">
        <v>321</v>
      </c>
      <c r="I124" s="153" t="s">
        <v>754</v>
      </c>
      <c r="J124" s="153" t="s">
        <v>204</v>
      </c>
      <c r="K124" s="153" t="s">
        <v>204</v>
      </c>
      <c r="L124" s="153" t="s">
        <v>325</v>
      </c>
      <c r="M124" s="153" t="s">
        <v>340</v>
      </c>
      <c r="N124" s="153" t="s">
        <v>464</v>
      </c>
      <c r="O124" s="153" t="s">
        <v>339</v>
      </c>
      <c r="P124" s="153" t="s">
        <v>1538</v>
      </c>
      <c r="Q124" s="153" t="s">
        <v>413</v>
      </c>
      <c r="R124" s="153" t="s">
        <v>407</v>
      </c>
      <c r="S124" s="153" t="s">
        <v>1212</v>
      </c>
      <c r="T124" s="154">
        <v>4.75</v>
      </c>
      <c r="U124" s="153" t="s">
        <v>1803</v>
      </c>
      <c r="V124" s="155">
        <v>2.53E-2</v>
      </c>
      <c r="W124" s="155">
        <v>2.92E-2</v>
      </c>
      <c r="X124" s="153" t="s">
        <v>412</v>
      </c>
      <c r="Y124" s="153" t="s">
        <v>339</v>
      </c>
      <c r="Z124" s="154">
        <v>2200000.4300000002</v>
      </c>
      <c r="AA124" s="154">
        <v>1</v>
      </c>
      <c r="AB124" s="154">
        <v>104.22</v>
      </c>
      <c r="AD124" s="154">
        <v>2292.84</v>
      </c>
      <c r="AG124" s="157" t="s">
        <v>15</v>
      </c>
      <c r="AH124" s="155">
        <v>2.7699999999999999E-3</v>
      </c>
      <c r="AI124" s="155">
        <f t="shared" si="1"/>
        <v>8.619982927004605E-3</v>
      </c>
      <c r="AJ124" s="155">
        <v>2.1215793687160626E-3</v>
      </c>
    </row>
    <row r="125" spans="1:36" s="160" customFormat="1">
      <c r="A125" s="153" t="s">
        <v>1213</v>
      </c>
      <c r="B125" s="160">
        <v>12937</v>
      </c>
      <c r="C125" s="153" t="s">
        <v>1665</v>
      </c>
      <c r="D125" s="153" t="s">
        <v>1666</v>
      </c>
      <c r="E125" s="153" t="s">
        <v>309</v>
      </c>
      <c r="F125" s="153" t="s">
        <v>1667</v>
      </c>
      <c r="G125" s="153" t="s">
        <v>1668</v>
      </c>
      <c r="H125" s="153" t="s">
        <v>321</v>
      </c>
      <c r="I125" s="153" t="s">
        <v>754</v>
      </c>
      <c r="J125" s="153" t="s">
        <v>204</v>
      </c>
      <c r="K125" s="153" t="s">
        <v>204</v>
      </c>
      <c r="L125" s="153" t="s">
        <v>325</v>
      </c>
      <c r="M125" s="153" t="s">
        <v>340</v>
      </c>
      <c r="N125" s="153" t="s">
        <v>451</v>
      </c>
      <c r="O125" s="153" t="s">
        <v>339</v>
      </c>
      <c r="P125" s="153" t="s">
        <v>1554</v>
      </c>
      <c r="Q125" s="153" t="s">
        <v>413</v>
      </c>
      <c r="R125" s="153" t="s">
        <v>407</v>
      </c>
      <c r="S125" s="153" t="s">
        <v>1212</v>
      </c>
      <c r="T125" s="154">
        <v>2.61</v>
      </c>
      <c r="U125" s="153" t="s">
        <v>1669</v>
      </c>
      <c r="V125" s="155">
        <v>3.5619999999999999E-2</v>
      </c>
      <c r="W125" s="155">
        <v>3.3000000000000002E-2</v>
      </c>
      <c r="X125" s="153" t="s">
        <v>412</v>
      </c>
      <c r="Y125" s="153" t="s">
        <v>339</v>
      </c>
      <c r="Z125" s="154">
        <v>1932444.44</v>
      </c>
      <c r="AA125" s="154">
        <v>1</v>
      </c>
      <c r="AB125" s="154">
        <v>114.19</v>
      </c>
      <c r="AD125" s="154">
        <v>2206.6579999999999</v>
      </c>
      <c r="AG125" s="157" t="s">
        <v>15</v>
      </c>
      <c r="AH125" s="155">
        <v>8.6099999999999996E-3</v>
      </c>
      <c r="AI125" s="155">
        <f t="shared" si="1"/>
        <v>8.2959797830368127E-3</v>
      </c>
      <c r="AJ125" s="155">
        <v>2.0418346184697795E-3</v>
      </c>
    </row>
    <row r="126" spans="1:36" s="160" customFormat="1">
      <c r="A126" s="153" t="s">
        <v>1213</v>
      </c>
      <c r="B126" s="160">
        <v>12937</v>
      </c>
      <c r="C126" s="153" t="s">
        <v>1529</v>
      </c>
      <c r="D126" s="153" t="s">
        <v>1530</v>
      </c>
      <c r="E126" s="153" t="s">
        <v>309</v>
      </c>
      <c r="F126" s="153" t="s">
        <v>1531</v>
      </c>
      <c r="G126" s="153" t="s">
        <v>1532</v>
      </c>
      <c r="H126" s="153" t="s">
        <v>321</v>
      </c>
      <c r="I126" s="153" t="s">
        <v>754</v>
      </c>
      <c r="J126" s="153" t="s">
        <v>204</v>
      </c>
      <c r="K126" s="153" t="s">
        <v>204</v>
      </c>
      <c r="L126" s="153" t="s">
        <v>325</v>
      </c>
      <c r="M126" s="153" t="s">
        <v>340</v>
      </c>
      <c r="N126" s="153" t="s">
        <v>440</v>
      </c>
      <c r="O126" s="153" t="s">
        <v>339</v>
      </c>
      <c r="P126" s="153" t="s">
        <v>1527</v>
      </c>
      <c r="Q126" s="153" t="s">
        <v>415</v>
      </c>
      <c r="R126" s="153" t="s">
        <v>407</v>
      </c>
      <c r="S126" s="153" t="s">
        <v>1212</v>
      </c>
      <c r="T126" s="154">
        <v>5.98</v>
      </c>
      <c r="U126" s="153" t="s">
        <v>1533</v>
      </c>
      <c r="V126" s="155">
        <v>4.0189999999999997E-2</v>
      </c>
      <c r="W126" s="155">
        <v>4.2599999999999999E-2</v>
      </c>
      <c r="X126" s="153" t="s">
        <v>412</v>
      </c>
      <c r="Y126" s="153" t="s">
        <v>339</v>
      </c>
      <c r="Z126" s="154">
        <v>2143000</v>
      </c>
      <c r="AA126" s="154">
        <v>1</v>
      </c>
      <c r="AB126" s="154">
        <v>101.08</v>
      </c>
      <c r="AD126" s="154">
        <v>2166.1439999999998</v>
      </c>
      <c r="AG126" s="157" t="s">
        <v>15</v>
      </c>
      <c r="AH126" s="155">
        <v>1.7600000000000001E-3</v>
      </c>
      <c r="AI126" s="155">
        <f t="shared" si="1"/>
        <v>8.143666499813967E-3</v>
      </c>
      <c r="AJ126" s="155">
        <v>2.0043467577624632E-3</v>
      </c>
    </row>
    <row r="127" spans="1:36" s="160" customFormat="1">
      <c r="A127" s="153" t="s">
        <v>1213</v>
      </c>
      <c r="B127" s="160">
        <v>12937</v>
      </c>
      <c r="C127" s="153" t="s">
        <v>1759</v>
      </c>
      <c r="D127" s="153" t="s">
        <v>1760</v>
      </c>
      <c r="E127" s="153" t="s">
        <v>309</v>
      </c>
      <c r="F127" s="153" t="s">
        <v>1914</v>
      </c>
      <c r="G127" s="153" t="s">
        <v>1915</v>
      </c>
      <c r="H127" s="153" t="s">
        <v>321</v>
      </c>
      <c r="I127" s="153" t="s">
        <v>754</v>
      </c>
      <c r="J127" s="153" t="s">
        <v>204</v>
      </c>
      <c r="K127" s="153" t="s">
        <v>204</v>
      </c>
      <c r="L127" s="153" t="s">
        <v>325</v>
      </c>
      <c r="M127" s="153" t="s">
        <v>340</v>
      </c>
      <c r="N127" s="153" t="s">
        <v>465</v>
      </c>
      <c r="O127" s="153" t="s">
        <v>339</v>
      </c>
      <c r="P127" s="153" t="s">
        <v>1614</v>
      </c>
      <c r="Q127" s="153" t="s">
        <v>415</v>
      </c>
      <c r="R127" s="153" t="s">
        <v>407</v>
      </c>
      <c r="S127" s="153" t="s">
        <v>1212</v>
      </c>
      <c r="T127" s="154">
        <v>4.05</v>
      </c>
      <c r="U127" s="153" t="s">
        <v>1916</v>
      </c>
      <c r="V127" s="155">
        <v>4.0430000000000001E-2</v>
      </c>
      <c r="W127" s="155">
        <v>4.02E-2</v>
      </c>
      <c r="X127" s="153" t="s">
        <v>412</v>
      </c>
      <c r="Y127" s="153" t="s">
        <v>339</v>
      </c>
      <c r="Z127" s="154">
        <v>2197000</v>
      </c>
      <c r="AA127" s="154">
        <v>1</v>
      </c>
      <c r="AB127" s="154">
        <v>97.5</v>
      </c>
      <c r="AD127" s="154">
        <v>2142.0749999999998</v>
      </c>
      <c r="AG127" s="157" t="s">
        <v>15</v>
      </c>
      <c r="AH127" s="155">
        <v>3.5200000000000001E-3</v>
      </c>
      <c r="AI127" s="155">
        <f t="shared" si="1"/>
        <v>8.0531785594997411E-3</v>
      </c>
      <c r="AJ127" s="155">
        <v>1.9820755596737928E-3</v>
      </c>
    </row>
    <row r="128" spans="1:36" s="160" customFormat="1">
      <c r="A128" s="153" t="s">
        <v>1213</v>
      </c>
      <c r="B128" s="160">
        <v>12937</v>
      </c>
      <c r="C128" s="153" t="s">
        <v>1917</v>
      </c>
      <c r="D128" s="153" t="s">
        <v>1918</v>
      </c>
      <c r="E128" s="153" t="s">
        <v>309</v>
      </c>
      <c r="F128" s="153" t="s">
        <v>1919</v>
      </c>
      <c r="G128" s="153" t="s">
        <v>1920</v>
      </c>
      <c r="H128" s="153" t="s">
        <v>321</v>
      </c>
      <c r="I128" s="153" t="s">
        <v>754</v>
      </c>
      <c r="J128" s="153" t="s">
        <v>204</v>
      </c>
      <c r="K128" s="153" t="s">
        <v>204</v>
      </c>
      <c r="L128" s="153" t="s">
        <v>325</v>
      </c>
      <c r="M128" s="153" t="s">
        <v>340</v>
      </c>
      <c r="N128" s="153" t="s">
        <v>447</v>
      </c>
      <c r="O128" s="153" t="s">
        <v>339</v>
      </c>
      <c r="P128" s="153" t="s">
        <v>1560</v>
      </c>
      <c r="Q128" s="153" t="s">
        <v>413</v>
      </c>
      <c r="R128" s="153" t="s">
        <v>407</v>
      </c>
      <c r="S128" s="153" t="s">
        <v>1212</v>
      </c>
      <c r="T128" s="154">
        <v>3.26</v>
      </c>
      <c r="U128" s="153" t="s">
        <v>1913</v>
      </c>
      <c r="V128" s="155">
        <v>3.5279999999999999E-2</v>
      </c>
      <c r="W128" s="155">
        <v>3.5099999999999999E-2</v>
      </c>
      <c r="X128" s="153" t="s">
        <v>412</v>
      </c>
      <c r="Y128" s="153" t="s">
        <v>339</v>
      </c>
      <c r="Z128" s="154">
        <v>2070000</v>
      </c>
      <c r="AA128" s="154">
        <v>1</v>
      </c>
      <c r="AB128" s="154">
        <v>103.23</v>
      </c>
      <c r="AD128" s="154">
        <v>2136.8609999999999</v>
      </c>
      <c r="AG128" s="157" t="s">
        <v>15</v>
      </c>
      <c r="AH128" s="155">
        <v>1.3500000000000001E-3</v>
      </c>
      <c r="AI128" s="155">
        <f t="shared" si="1"/>
        <v>8.033576410644434E-3</v>
      </c>
      <c r="AJ128" s="155">
        <v>1.9772510124622623E-3</v>
      </c>
    </row>
    <row r="129" spans="1:36" s="160" customFormat="1">
      <c r="A129" s="153" t="s">
        <v>1213</v>
      </c>
      <c r="B129" s="160">
        <v>12937</v>
      </c>
      <c r="C129" s="153" t="s">
        <v>1670</v>
      </c>
      <c r="D129" s="153" t="s">
        <v>1671</v>
      </c>
      <c r="E129" s="153" t="s">
        <v>309</v>
      </c>
      <c r="F129" s="153" t="s">
        <v>1672</v>
      </c>
      <c r="G129" s="153" t="s">
        <v>1673</v>
      </c>
      <c r="H129" s="153" t="s">
        <v>321</v>
      </c>
      <c r="I129" s="153" t="s">
        <v>951</v>
      </c>
      <c r="J129" s="153" t="s">
        <v>204</v>
      </c>
      <c r="K129" s="153" t="s">
        <v>204</v>
      </c>
      <c r="L129" s="153" t="s">
        <v>325</v>
      </c>
      <c r="M129" s="153" t="s">
        <v>340</v>
      </c>
      <c r="N129" s="153" t="s">
        <v>465</v>
      </c>
      <c r="O129" s="153" t="s">
        <v>339</v>
      </c>
      <c r="P129" s="153" t="s">
        <v>1614</v>
      </c>
      <c r="Q129" s="153" t="s">
        <v>415</v>
      </c>
      <c r="R129" s="153" t="s">
        <v>407</v>
      </c>
      <c r="S129" s="153" t="s">
        <v>1212</v>
      </c>
      <c r="T129" s="154">
        <v>3.33</v>
      </c>
      <c r="U129" s="153" t="s">
        <v>1587</v>
      </c>
      <c r="V129" s="155">
        <v>6.3339999999999994E-2</v>
      </c>
      <c r="W129" s="155">
        <v>6.3E-2</v>
      </c>
      <c r="X129" s="153" t="s">
        <v>412</v>
      </c>
      <c r="Y129" s="153" t="s">
        <v>339</v>
      </c>
      <c r="Z129" s="154">
        <v>2088000</v>
      </c>
      <c r="AA129" s="154">
        <v>1</v>
      </c>
      <c r="AB129" s="154">
        <v>102.14</v>
      </c>
      <c r="AD129" s="154">
        <v>2132.683</v>
      </c>
      <c r="AG129" s="157" t="s">
        <v>15</v>
      </c>
      <c r="AH129" s="155">
        <v>5.0099999999999997E-3</v>
      </c>
      <c r="AI129" s="155">
        <f t="shared" si="1"/>
        <v>8.0178691268090914E-3</v>
      </c>
      <c r="AJ129" s="155">
        <v>1.9733850826099851E-3</v>
      </c>
    </row>
    <row r="130" spans="1:36" s="160" customFormat="1">
      <c r="A130" s="153" t="s">
        <v>1213</v>
      </c>
      <c r="B130" s="160">
        <v>12937</v>
      </c>
      <c r="C130" s="153" t="s">
        <v>1807</v>
      </c>
      <c r="D130" s="153" t="s">
        <v>1808</v>
      </c>
      <c r="E130" s="153" t="s">
        <v>309</v>
      </c>
      <c r="F130" s="153" t="s">
        <v>1921</v>
      </c>
      <c r="G130" s="153" t="s">
        <v>1922</v>
      </c>
      <c r="H130" s="153" t="s">
        <v>321</v>
      </c>
      <c r="I130" s="153" t="s">
        <v>754</v>
      </c>
      <c r="J130" s="153" t="s">
        <v>204</v>
      </c>
      <c r="K130" s="153" t="s">
        <v>204</v>
      </c>
      <c r="L130" s="153" t="s">
        <v>325</v>
      </c>
      <c r="M130" s="153" t="s">
        <v>340</v>
      </c>
      <c r="N130" s="153" t="s">
        <v>464</v>
      </c>
      <c r="O130" s="153" t="s">
        <v>339</v>
      </c>
      <c r="P130" s="153" t="s">
        <v>1923</v>
      </c>
      <c r="Q130" s="153" t="s">
        <v>415</v>
      </c>
      <c r="R130" s="153" t="s">
        <v>407</v>
      </c>
      <c r="S130" s="153" t="s">
        <v>1212</v>
      </c>
      <c r="T130" s="154">
        <v>2.5499999999999998</v>
      </c>
      <c r="U130" s="153" t="s">
        <v>1744</v>
      </c>
      <c r="V130" s="155">
        <v>6.4099999999999999E-3</v>
      </c>
      <c r="W130" s="155">
        <v>2.7099999999999999E-2</v>
      </c>
      <c r="X130" s="153" t="s">
        <v>412</v>
      </c>
      <c r="Y130" s="153" t="s">
        <v>339</v>
      </c>
      <c r="Z130" s="154">
        <v>1882352.94</v>
      </c>
      <c r="AA130" s="154">
        <v>1</v>
      </c>
      <c r="AB130" s="154">
        <v>113.19</v>
      </c>
      <c r="AD130" s="154">
        <v>2130.6350000000002</v>
      </c>
      <c r="AG130" s="157" t="s">
        <v>15</v>
      </c>
      <c r="AH130" s="155">
        <v>7.2999999999999996E-4</v>
      </c>
      <c r="AI130" s="155">
        <f t="shared" si="1"/>
        <v>8.0101696253024445E-3</v>
      </c>
      <c r="AJ130" s="155">
        <v>1.9714900552434311E-3</v>
      </c>
    </row>
    <row r="131" spans="1:36" s="160" customFormat="1">
      <c r="A131" s="153" t="s">
        <v>1213</v>
      </c>
      <c r="B131" s="160">
        <v>12937</v>
      </c>
      <c r="C131" s="153" t="s">
        <v>1550</v>
      </c>
      <c r="D131" s="153" t="s">
        <v>1551</v>
      </c>
      <c r="E131" s="153" t="s">
        <v>311</v>
      </c>
      <c r="F131" s="153" t="s">
        <v>1657</v>
      </c>
      <c r="G131" s="153" t="s">
        <v>1658</v>
      </c>
      <c r="H131" s="153" t="s">
        <v>321</v>
      </c>
      <c r="I131" s="153" t="s">
        <v>951</v>
      </c>
      <c r="J131" s="153" t="s">
        <v>204</v>
      </c>
      <c r="K131" s="153" t="s">
        <v>224</v>
      </c>
      <c r="L131" s="153" t="s">
        <v>325</v>
      </c>
      <c r="M131" s="153" t="s">
        <v>340</v>
      </c>
      <c r="N131" s="153" t="s">
        <v>465</v>
      </c>
      <c r="O131" s="153" t="s">
        <v>339</v>
      </c>
      <c r="P131" s="153" t="s">
        <v>1560</v>
      </c>
      <c r="Q131" s="153" t="s">
        <v>413</v>
      </c>
      <c r="R131" s="153" t="s">
        <v>407</v>
      </c>
      <c r="S131" s="153" t="s">
        <v>1212</v>
      </c>
      <c r="T131" s="154">
        <v>2.02</v>
      </c>
      <c r="U131" s="153" t="s">
        <v>1659</v>
      </c>
      <c r="V131" s="155">
        <v>7.7920000000000003E-2</v>
      </c>
      <c r="W131" s="155">
        <v>6.5199999999999994E-2</v>
      </c>
      <c r="X131" s="153" t="s">
        <v>412</v>
      </c>
      <c r="Y131" s="153" t="s">
        <v>339</v>
      </c>
      <c r="Z131" s="154">
        <v>2062220</v>
      </c>
      <c r="AA131" s="154">
        <v>1</v>
      </c>
      <c r="AB131" s="154">
        <v>102.45</v>
      </c>
      <c r="AD131" s="154">
        <v>2112.7440000000001</v>
      </c>
      <c r="AG131" s="157" t="s">
        <v>15</v>
      </c>
      <c r="AH131" s="155">
        <v>5.8399999999999997E-3</v>
      </c>
      <c r="AI131" s="155">
        <f t="shared" ref="AI131:AI194" si="2">AD131/SUMIF(B:B,B131,AD:AD)</f>
        <v>7.9429080132636457E-3</v>
      </c>
      <c r="AJ131" s="155">
        <v>1.9549353996696889E-3</v>
      </c>
    </row>
    <row r="132" spans="1:36" s="160" customFormat="1">
      <c r="A132" s="153" t="s">
        <v>1213</v>
      </c>
      <c r="B132" s="160">
        <v>12937</v>
      </c>
      <c r="C132" s="153" t="s">
        <v>1550</v>
      </c>
      <c r="D132" s="153" t="s">
        <v>1551</v>
      </c>
      <c r="E132" s="153" t="s">
        <v>311</v>
      </c>
      <c r="F132" s="153" t="s">
        <v>1742</v>
      </c>
      <c r="G132" s="153" t="s">
        <v>1743</v>
      </c>
      <c r="H132" s="153" t="s">
        <v>321</v>
      </c>
      <c r="I132" s="153" t="s">
        <v>951</v>
      </c>
      <c r="J132" s="153" t="s">
        <v>204</v>
      </c>
      <c r="K132" s="153" t="s">
        <v>224</v>
      </c>
      <c r="L132" s="153" t="s">
        <v>325</v>
      </c>
      <c r="M132" s="153" t="s">
        <v>340</v>
      </c>
      <c r="N132" s="153" t="s">
        <v>465</v>
      </c>
      <c r="O132" s="153" t="s">
        <v>339</v>
      </c>
      <c r="P132" s="153" t="s">
        <v>1554</v>
      </c>
      <c r="Q132" s="153" t="s">
        <v>413</v>
      </c>
      <c r="R132" s="153" t="s">
        <v>407</v>
      </c>
      <c r="S132" s="153" t="s">
        <v>1212</v>
      </c>
      <c r="T132" s="154">
        <v>2.0299999999999998</v>
      </c>
      <c r="U132" s="153" t="s">
        <v>1744</v>
      </c>
      <c r="V132" s="155">
        <v>7.7499999999999999E-2</v>
      </c>
      <c r="W132" s="155">
        <v>7.1900000000000006E-2</v>
      </c>
      <c r="X132" s="153" t="s">
        <v>412</v>
      </c>
      <c r="Y132" s="153" t="s">
        <v>339</v>
      </c>
      <c r="Z132" s="154">
        <v>1984118</v>
      </c>
      <c r="AA132" s="154">
        <v>1</v>
      </c>
      <c r="AB132" s="154">
        <v>103.32</v>
      </c>
      <c r="AD132" s="154">
        <v>2049.991</v>
      </c>
      <c r="AG132" s="157" t="s">
        <v>15</v>
      </c>
      <c r="AH132" s="155">
        <v>4.62E-3</v>
      </c>
      <c r="AI132" s="155">
        <f t="shared" si="2"/>
        <v>7.7069867153892529E-3</v>
      </c>
      <c r="AJ132" s="155">
        <v>1.8968696514600277E-3</v>
      </c>
    </row>
    <row r="133" spans="1:36" s="160" customFormat="1">
      <c r="A133" s="153" t="s">
        <v>1213</v>
      </c>
      <c r="B133" s="160">
        <v>12937</v>
      </c>
      <c r="C133" s="153" t="s">
        <v>1924</v>
      </c>
      <c r="D133" s="153" t="s">
        <v>1925</v>
      </c>
      <c r="E133" s="153" t="s">
        <v>309</v>
      </c>
      <c r="F133" s="153" t="s">
        <v>1926</v>
      </c>
      <c r="G133" s="153" t="s">
        <v>1927</v>
      </c>
      <c r="H133" s="153" t="s">
        <v>321</v>
      </c>
      <c r="I133" s="153" t="s">
        <v>754</v>
      </c>
      <c r="J133" s="153" t="s">
        <v>204</v>
      </c>
      <c r="K133" s="153" t="s">
        <v>204</v>
      </c>
      <c r="L133" s="153" t="s">
        <v>327</v>
      </c>
      <c r="M133" s="153" t="s">
        <v>340</v>
      </c>
      <c r="N133" s="153" t="s">
        <v>441</v>
      </c>
      <c r="O133" s="153" t="s">
        <v>339</v>
      </c>
      <c r="Q133" s="153" t="s">
        <v>410</v>
      </c>
      <c r="R133" s="153" t="s">
        <v>410</v>
      </c>
      <c r="S133" s="153" t="s">
        <v>1212</v>
      </c>
      <c r="T133" s="154">
        <v>2.09</v>
      </c>
      <c r="U133" s="153" t="s">
        <v>1528</v>
      </c>
      <c r="V133" s="155">
        <v>4.9849999999999998E-2</v>
      </c>
      <c r="W133" s="155">
        <v>5.04E-2</v>
      </c>
      <c r="X133" s="153" t="s">
        <v>412</v>
      </c>
      <c r="Y133" s="153" t="s">
        <v>339</v>
      </c>
      <c r="Z133" s="154">
        <v>1900000</v>
      </c>
      <c r="AA133" s="154">
        <v>1</v>
      </c>
      <c r="AB133" s="154">
        <f>AD133*1000/Z133*100</f>
        <v>106.6438947368421</v>
      </c>
      <c r="AD133" s="154">
        <f>2029.96-3.726</f>
        <v>2026.2339999999999</v>
      </c>
      <c r="AG133" s="157" t="s">
        <v>15</v>
      </c>
      <c r="AH133" s="155">
        <v>5.0099999999999997E-3</v>
      </c>
      <c r="AI133" s="155">
        <f t="shared" si="2"/>
        <v>7.6176717460076787E-3</v>
      </c>
      <c r="AJ133" s="155">
        <v>1.8748871489467308E-3</v>
      </c>
    </row>
    <row r="134" spans="1:36" s="160" customFormat="1">
      <c r="A134" s="153" t="s">
        <v>1213</v>
      </c>
      <c r="B134" s="160">
        <v>12937</v>
      </c>
      <c r="C134" s="153" t="s">
        <v>1754</v>
      </c>
      <c r="D134" s="153" t="s">
        <v>1755</v>
      </c>
      <c r="E134" s="153" t="s">
        <v>309</v>
      </c>
      <c r="F134" s="153" t="s">
        <v>1928</v>
      </c>
      <c r="G134" s="153" t="s">
        <v>1929</v>
      </c>
      <c r="H134" s="153" t="s">
        <v>321</v>
      </c>
      <c r="I134" s="153" t="s">
        <v>754</v>
      </c>
      <c r="J134" s="153" t="s">
        <v>204</v>
      </c>
      <c r="K134" s="153" t="s">
        <v>204</v>
      </c>
      <c r="L134" s="153" t="s">
        <v>325</v>
      </c>
      <c r="M134" s="153" t="s">
        <v>340</v>
      </c>
      <c r="N134" s="153" t="s">
        <v>464</v>
      </c>
      <c r="O134" s="153" t="s">
        <v>339</v>
      </c>
      <c r="P134" s="153" t="s">
        <v>1930</v>
      </c>
      <c r="Q134" s="153" t="s">
        <v>413</v>
      </c>
      <c r="R134" s="153" t="s">
        <v>407</v>
      </c>
      <c r="S134" s="153" t="s">
        <v>1212</v>
      </c>
      <c r="T134" s="154">
        <v>3.55</v>
      </c>
      <c r="U134" s="153" t="s">
        <v>1587</v>
      </c>
      <c r="V134" s="155">
        <v>4.9549999999999997E-2</v>
      </c>
      <c r="W134" s="155">
        <v>4.8000000000000001E-2</v>
      </c>
      <c r="X134" s="153" t="s">
        <v>412</v>
      </c>
      <c r="Y134" s="153" t="s">
        <v>339</v>
      </c>
      <c r="Z134" s="154">
        <v>2000000</v>
      </c>
      <c r="AA134" s="154">
        <v>1</v>
      </c>
      <c r="AB134" s="154">
        <v>98.67</v>
      </c>
      <c r="AD134" s="154">
        <v>1973.4</v>
      </c>
      <c r="AG134" s="157" t="s">
        <v>15</v>
      </c>
      <c r="AH134" s="155">
        <v>4.5599999999999998E-3</v>
      </c>
      <c r="AI134" s="155">
        <f t="shared" si="2"/>
        <v>7.4190411490338993E-3</v>
      </c>
      <c r="AJ134" s="155">
        <v>1.8259995142374864E-3</v>
      </c>
    </row>
    <row r="135" spans="1:36" s="160" customFormat="1">
      <c r="A135" s="153" t="s">
        <v>1213</v>
      </c>
      <c r="B135" s="160">
        <v>12937</v>
      </c>
      <c r="C135" s="153" t="s">
        <v>1931</v>
      </c>
      <c r="D135" s="153" t="s">
        <v>1932</v>
      </c>
      <c r="E135" s="153" t="s">
        <v>309</v>
      </c>
      <c r="F135" s="153" t="s">
        <v>1933</v>
      </c>
      <c r="G135" s="153" t="s">
        <v>1934</v>
      </c>
      <c r="H135" s="153" t="s">
        <v>321</v>
      </c>
      <c r="I135" s="153" t="s">
        <v>951</v>
      </c>
      <c r="J135" s="153" t="s">
        <v>204</v>
      </c>
      <c r="K135" s="153" t="s">
        <v>204</v>
      </c>
      <c r="L135" s="153" t="s">
        <v>325</v>
      </c>
      <c r="M135" s="153" t="s">
        <v>340</v>
      </c>
      <c r="N135" s="153" t="s">
        <v>443</v>
      </c>
      <c r="O135" s="153" t="s">
        <v>339</v>
      </c>
      <c r="P135" s="153" t="s">
        <v>1935</v>
      </c>
      <c r="Q135" s="153" t="s">
        <v>415</v>
      </c>
      <c r="R135" s="153" t="s">
        <v>407</v>
      </c>
      <c r="S135" s="153" t="s">
        <v>1212</v>
      </c>
      <c r="T135" s="154">
        <v>0.73</v>
      </c>
      <c r="U135" s="153" t="s">
        <v>1777</v>
      </c>
      <c r="V135" s="155">
        <v>4.1939999999999998E-2</v>
      </c>
      <c r="W135" s="155">
        <v>8.2500000000000004E-2</v>
      </c>
      <c r="X135" s="153" t="s">
        <v>412</v>
      </c>
      <c r="Y135" s="153" t="s">
        <v>339</v>
      </c>
      <c r="Z135" s="154">
        <v>1972385.33</v>
      </c>
      <c r="AA135" s="154">
        <v>1</v>
      </c>
      <c r="AB135" s="154">
        <v>97.3</v>
      </c>
      <c r="AD135" s="154">
        <v>1919.1310000000001</v>
      </c>
      <c r="AG135" s="157" t="s">
        <v>15</v>
      </c>
      <c r="AH135" s="155">
        <v>1.524E-2</v>
      </c>
      <c r="AI135" s="155">
        <f t="shared" si="2"/>
        <v>7.2150156376743569E-3</v>
      </c>
      <c r="AJ135" s="155">
        <v>1.7757840649427897E-3</v>
      </c>
    </row>
    <row r="136" spans="1:36" s="160" customFormat="1">
      <c r="A136" s="153" t="s">
        <v>1213</v>
      </c>
      <c r="B136" s="160">
        <v>12937</v>
      </c>
      <c r="C136" s="153" t="s">
        <v>1696</v>
      </c>
      <c r="D136" s="153" t="s">
        <v>1697</v>
      </c>
      <c r="E136" s="153" t="s">
        <v>309</v>
      </c>
      <c r="F136" s="153" t="s">
        <v>1698</v>
      </c>
      <c r="G136" s="153" t="s">
        <v>1699</v>
      </c>
      <c r="H136" s="153" t="s">
        <v>321</v>
      </c>
      <c r="I136" s="153" t="s">
        <v>951</v>
      </c>
      <c r="J136" s="153" t="s">
        <v>204</v>
      </c>
      <c r="K136" s="153" t="s">
        <v>204</v>
      </c>
      <c r="L136" s="153" t="s">
        <v>325</v>
      </c>
      <c r="M136" s="153" t="s">
        <v>340</v>
      </c>
      <c r="N136" s="153" t="s">
        <v>464</v>
      </c>
      <c r="O136" s="153" t="s">
        <v>339</v>
      </c>
      <c r="Q136" s="153" t="s">
        <v>410</v>
      </c>
      <c r="R136" s="153" t="s">
        <v>410</v>
      </c>
      <c r="S136" s="153" t="s">
        <v>1212</v>
      </c>
      <c r="T136" s="154">
        <v>0.92</v>
      </c>
      <c r="U136" s="153" t="s">
        <v>1700</v>
      </c>
      <c r="V136" s="155">
        <v>8.6879999999999999E-2</v>
      </c>
      <c r="W136" s="155">
        <v>8.6900000000000005E-2</v>
      </c>
      <c r="X136" s="153" t="s">
        <v>412</v>
      </c>
      <c r="Y136" s="153" t="s">
        <v>339</v>
      </c>
      <c r="Z136" s="154">
        <v>1898868</v>
      </c>
      <c r="AA136" s="154">
        <v>1</v>
      </c>
      <c r="AB136" s="154">
        <v>100.1</v>
      </c>
      <c r="AD136" s="154">
        <v>1900.7670000000001</v>
      </c>
      <c r="AG136" s="157" t="s">
        <v>15</v>
      </c>
      <c r="AH136" s="155">
        <v>1.728E-2</v>
      </c>
      <c r="AI136" s="155">
        <f t="shared" si="2"/>
        <v>7.1459757716254776E-3</v>
      </c>
      <c r="AJ136" s="155">
        <v>1.7587917394743307E-3</v>
      </c>
    </row>
    <row r="137" spans="1:36" s="160" customFormat="1">
      <c r="A137" s="153" t="s">
        <v>1213</v>
      </c>
      <c r="B137" s="160">
        <v>12937</v>
      </c>
      <c r="C137" s="153" t="s">
        <v>1634</v>
      </c>
      <c r="D137" s="153" t="s">
        <v>1635</v>
      </c>
      <c r="E137" s="153" t="s">
        <v>309</v>
      </c>
      <c r="F137" s="153" t="s">
        <v>1636</v>
      </c>
      <c r="G137" s="153" t="s">
        <v>1637</v>
      </c>
      <c r="H137" s="153" t="s">
        <v>321</v>
      </c>
      <c r="I137" s="153" t="s">
        <v>951</v>
      </c>
      <c r="J137" s="153" t="s">
        <v>204</v>
      </c>
      <c r="K137" s="153" t="s">
        <v>204</v>
      </c>
      <c r="L137" s="153" t="s">
        <v>325</v>
      </c>
      <c r="M137" s="153" t="s">
        <v>340</v>
      </c>
      <c r="N137" s="153" t="s">
        <v>454</v>
      </c>
      <c r="O137" s="153" t="s">
        <v>339</v>
      </c>
      <c r="P137" s="153" t="s">
        <v>1554</v>
      </c>
      <c r="Q137" s="153" t="s">
        <v>413</v>
      </c>
      <c r="R137" s="153" t="s">
        <v>407</v>
      </c>
      <c r="S137" s="153" t="s">
        <v>1212</v>
      </c>
      <c r="T137" s="154">
        <v>3.12</v>
      </c>
      <c r="U137" s="153" t="s">
        <v>1638</v>
      </c>
      <c r="V137" s="155">
        <v>7.5160000000000005E-2</v>
      </c>
      <c r="W137" s="155">
        <v>6.7400000000000002E-2</v>
      </c>
      <c r="X137" s="153" t="s">
        <v>412</v>
      </c>
      <c r="Y137" s="153" t="s">
        <v>339</v>
      </c>
      <c r="Z137" s="154">
        <v>1850000</v>
      </c>
      <c r="AA137" s="154">
        <v>1</v>
      </c>
      <c r="AB137" s="154">
        <v>101.22</v>
      </c>
      <c r="AD137" s="154">
        <v>1872.57</v>
      </c>
      <c r="AG137" s="157" t="s">
        <v>15</v>
      </c>
      <c r="AH137" s="155">
        <v>3.7000000000000002E-3</v>
      </c>
      <c r="AI137" s="155">
        <f t="shared" si="2"/>
        <v>7.0399685235869097E-3</v>
      </c>
      <c r="AJ137" s="155">
        <v>1.732700876849949E-3</v>
      </c>
    </row>
    <row r="138" spans="1:36" s="160" customFormat="1">
      <c r="A138" s="153" t="s">
        <v>1213</v>
      </c>
      <c r="B138" s="160">
        <v>12937</v>
      </c>
      <c r="C138" s="153" t="s">
        <v>1691</v>
      </c>
      <c r="D138" s="153" t="s">
        <v>1692</v>
      </c>
      <c r="E138" s="153" t="s">
        <v>309</v>
      </c>
      <c r="F138" s="153" t="s">
        <v>1693</v>
      </c>
      <c r="G138" s="153" t="s">
        <v>1694</v>
      </c>
      <c r="H138" s="153" t="s">
        <v>321</v>
      </c>
      <c r="I138" s="153" t="s">
        <v>754</v>
      </c>
      <c r="J138" s="153" t="s">
        <v>204</v>
      </c>
      <c r="K138" s="153" t="s">
        <v>204</v>
      </c>
      <c r="L138" s="153" t="s">
        <v>325</v>
      </c>
      <c r="M138" s="153" t="s">
        <v>340</v>
      </c>
      <c r="N138" s="153" t="s">
        <v>464</v>
      </c>
      <c r="O138" s="153" t="s">
        <v>339</v>
      </c>
      <c r="P138" s="153" t="s">
        <v>1538</v>
      </c>
      <c r="Q138" s="153" t="s">
        <v>413</v>
      </c>
      <c r="R138" s="153" t="s">
        <v>407</v>
      </c>
      <c r="S138" s="153" t="s">
        <v>1212</v>
      </c>
      <c r="T138" s="154">
        <v>6.65</v>
      </c>
      <c r="U138" s="153" t="s">
        <v>1695</v>
      </c>
      <c r="V138" s="155">
        <v>2.784E-2</v>
      </c>
      <c r="W138" s="155">
        <v>3.39E-2</v>
      </c>
      <c r="X138" s="153" t="s">
        <v>412</v>
      </c>
      <c r="Y138" s="153" t="s">
        <v>339</v>
      </c>
      <c r="Z138" s="154">
        <v>1715700</v>
      </c>
      <c r="AA138" s="154">
        <v>1</v>
      </c>
      <c r="AB138" s="154">
        <v>109.06</v>
      </c>
      <c r="AD138" s="154">
        <v>1871.1420000000001</v>
      </c>
      <c r="AG138" s="157" t="s">
        <v>15</v>
      </c>
      <c r="AH138" s="155">
        <v>2.0200000000000001E-3</v>
      </c>
      <c r="AI138" s="155">
        <f t="shared" si="2"/>
        <v>7.0345999258566881E-3</v>
      </c>
      <c r="AJ138" s="155">
        <v>1.7313795394088166E-3</v>
      </c>
    </row>
    <row r="139" spans="1:36" s="160" customFormat="1">
      <c r="A139" s="153" t="s">
        <v>1213</v>
      </c>
      <c r="B139" s="160">
        <v>12937</v>
      </c>
      <c r="C139" s="153" t="s">
        <v>1861</v>
      </c>
      <c r="D139" s="153" t="s">
        <v>1862</v>
      </c>
      <c r="E139" s="153" t="s">
        <v>309</v>
      </c>
      <c r="F139" s="153" t="s">
        <v>1936</v>
      </c>
      <c r="G139" s="153" t="s">
        <v>1937</v>
      </c>
      <c r="H139" s="153" t="s">
        <v>321</v>
      </c>
      <c r="I139" s="153" t="s">
        <v>754</v>
      </c>
      <c r="J139" s="153" t="s">
        <v>204</v>
      </c>
      <c r="K139" s="153" t="s">
        <v>204</v>
      </c>
      <c r="L139" s="153" t="s">
        <v>325</v>
      </c>
      <c r="M139" s="153" t="s">
        <v>340</v>
      </c>
      <c r="N139" s="153" t="s">
        <v>464</v>
      </c>
      <c r="O139" s="153" t="s">
        <v>339</v>
      </c>
      <c r="P139" s="153" t="s">
        <v>1538</v>
      </c>
      <c r="Q139" s="153" t="s">
        <v>413</v>
      </c>
      <c r="R139" s="153" t="s">
        <v>407</v>
      </c>
      <c r="S139" s="153" t="s">
        <v>1212</v>
      </c>
      <c r="T139" s="154">
        <v>4.34</v>
      </c>
      <c r="U139" s="153" t="s">
        <v>1587</v>
      </c>
      <c r="V139" s="155">
        <v>1.244E-2</v>
      </c>
      <c r="W139" s="155">
        <v>2.9399999999999999E-2</v>
      </c>
      <c r="X139" s="153" t="s">
        <v>412</v>
      </c>
      <c r="Y139" s="153" t="s">
        <v>339</v>
      </c>
      <c r="Z139" s="154">
        <v>1681720.78</v>
      </c>
      <c r="AA139" s="154">
        <v>1</v>
      </c>
      <c r="AB139" s="154">
        <v>108.57</v>
      </c>
      <c r="AD139" s="154">
        <v>1825.8440000000001</v>
      </c>
      <c r="AG139" s="157" t="s">
        <v>15</v>
      </c>
      <c r="AH139" s="155">
        <v>1.5E-3</v>
      </c>
      <c r="AI139" s="155">
        <f t="shared" si="2"/>
        <v>6.8643010883331565E-3</v>
      </c>
      <c r="AJ139" s="155">
        <v>1.6894650132124398E-3</v>
      </c>
    </row>
    <row r="140" spans="1:36" s="160" customFormat="1">
      <c r="A140" s="153" t="s">
        <v>1213</v>
      </c>
      <c r="B140" s="160">
        <v>12937</v>
      </c>
      <c r="C140" s="153" t="s">
        <v>1679</v>
      </c>
      <c r="D140" s="153" t="s">
        <v>1680</v>
      </c>
      <c r="E140" s="153" t="s">
        <v>309</v>
      </c>
      <c r="F140" s="153" t="s">
        <v>1681</v>
      </c>
      <c r="G140" s="153" t="s">
        <v>1682</v>
      </c>
      <c r="H140" s="153" t="s">
        <v>321</v>
      </c>
      <c r="I140" s="153" t="s">
        <v>951</v>
      </c>
      <c r="J140" s="153" t="s">
        <v>204</v>
      </c>
      <c r="K140" s="153" t="s">
        <v>204</v>
      </c>
      <c r="L140" s="153" t="s">
        <v>327</v>
      </c>
      <c r="M140" s="153" t="s">
        <v>340</v>
      </c>
      <c r="N140" s="153" t="s">
        <v>447</v>
      </c>
      <c r="O140" s="153" t="s">
        <v>339</v>
      </c>
      <c r="Q140" s="153" t="s">
        <v>410</v>
      </c>
      <c r="R140" s="153" t="s">
        <v>410</v>
      </c>
      <c r="S140" s="153" t="s">
        <v>1212</v>
      </c>
      <c r="T140" s="154">
        <v>2.0499999999999998</v>
      </c>
      <c r="U140" s="153" t="s">
        <v>1572</v>
      </c>
      <c r="V140" s="155">
        <v>6.7040000000000002E-2</v>
      </c>
      <c r="W140" s="155">
        <v>7.1099999999999997E-2</v>
      </c>
      <c r="X140" s="153" t="s">
        <v>412</v>
      </c>
      <c r="Y140" s="153" t="s">
        <v>339</v>
      </c>
      <c r="Z140" s="154">
        <v>718000</v>
      </c>
      <c r="AA140" s="154">
        <v>1</v>
      </c>
      <c r="AB140" s="154">
        <f>AD140*1000/Z140*100</f>
        <v>104.73069911868119</v>
      </c>
      <c r="AD140" s="154">
        <f>751966.419672131/1000</f>
        <v>751.966419672131</v>
      </c>
      <c r="AG140" s="157" t="s">
        <v>15</v>
      </c>
      <c r="AH140" s="155">
        <v>1.312E-2</v>
      </c>
      <c r="AI140" s="155">
        <f t="shared" si="2"/>
        <v>2.8270344634839534E-3</v>
      </c>
      <c r="AJ140" s="155">
        <v>6.9579928906669353E-4</v>
      </c>
    </row>
    <row r="141" spans="1:36" s="160" customFormat="1">
      <c r="A141" s="153" t="s">
        <v>1213</v>
      </c>
      <c r="B141" s="160">
        <v>12937</v>
      </c>
      <c r="C141" s="153" t="s">
        <v>1605</v>
      </c>
      <c r="D141" s="153" t="s">
        <v>1606</v>
      </c>
      <c r="E141" s="153" t="s">
        <v>311</v>
      </c>
      <c r="F141" s="153" t="s">
        <v>1607</v>
      </c>
      <c r="G141" s="153" t="s">
        <v>1608</v>
      </c>
      <c r="H141" s="153" t="s">
        <v>321</v>
      </c>
      <c r="I141" s="153" t="s">
        <v>951</v>
      </c>
      <c r="J141" s="153" t="s">
        <v>204</v>
      </c>
      <c r="K141" s="153" t="s">
        <v>224</v>
      </c>
      <c r="L141" s="153" t="s">
        <v>325</v>
      </c>
      <c r="M141" s="153" t="s">
        <v>340</v>
      </c>
      <c r="N141" s="153" t="s">
        <v>465</v>
      </c>
      <c r="O141" s="153" t="s">
        <v>339</v>
      </c>
      <c r="P141" s="153" t="s">
        <v>1566</v>
      </c>
      <c r="Q141" s="153" t="s">
        <v>413</v>
      </c>
      <c r="R141" s="153" t="s">
        <v>407</v>
      </c>
      <c r="S141" s="153" t="s">
        <v>1212</v>
      </c>
      <c r="T141" s="154">
        <v>3.44</v>
      </c>
      <c r="U141" s="153" t="s">
        <v>1609</v>
      </c>
      <c r="V141" s="155">
        <v>6.447E-2</v>
      </c>
      <c r="W141" s="155">
        <v>6.59E-2</v>
      </c>
      <c r="X141" s="153" t="s">
        <v>412</v>
      </c>
      <c r="Y141" s="153" t="s">
        <v>339</v>
      </c>
      <c r="Z141" s="154">
        <v>1841510.12</v>
      </c>
      <c r="AA141" s="154">
        <v>1</v>
      </c>
      <c r="AB141" s="154">
        <v>95.42</v>
      </c>
      <c r="AD141" s="154">
        <v>1757.1690000000001</v>
      </c>
      <c r="AG141" s="157" t="s">
        <v>15</v>
      </c>
      <c r="AH141" s="155">
        <v>2.0100000000000001E-3</v>
      </c>
      <c r="AI141" s="155">
        <f t="shared" si="2"/>
        <v>6.6061158998716668E-3</v>
      </c>
      <c r="AJ141" s="155">
        <v>1.62591960090867E-3</v>
      </c>
    </row>
    <row r="142" spans="1:36" s="160" customFormat="1">
      <c r="A142" s="153" t="s">
        <v>1213</v>
      </c>
      <c r="B142" s="160">
        <v>12937</v>
      </c>
      <c r="C142" s="153" t="s">
        <v>1605</v>
      </c>
      <c r="D142" s="153" t="s">
        <v>1606</v>
      </c>
      <c r="E142" s="153" t="s">
        <v>311</v>
      </c>
      <c r="F142" s="153" t="s">
        <v>1710</v>
      </c>
      <c r="G142" s="153" t="s">
        <v>1711</v>
      </c>
      <c r="H142" s="153" t="s">
        <v>321</v>
      </c>
      <c r="I142" s="153" t="s">
        <v>951</v>
      </c>
      <c r="J142" s="153" t="s">
        <v>204</v>
      </c>
      <c r="K142" s="153" t="s">
        <v>224</v>
      </c>
      <c r="L142" s="153" t="s">
        <v>325</v>
      </c>
      <c r="M142" s="153" t="s">
        <v>340</v>
      </c>
      <c r="N142" s="153" t="s">
        <v>465</v>
      </c>
      <c r="O142" s="153" t="s">
        <v>339</v>
      </c>
      <c r="P142" s="153" t="s">
        <v>1538</v>
      </c>
      <c r="Q142" s="153" t="s">
        <v>413</v>
      </c>
      <c r="R142" s="153" t="s">
        <v>407</v>
      </c>
      <c r="S142" s="153" t="s">
        <v>1212</v>
      </c>
      <c r="T142" s="154">
        <v>3.93</v>
      </c>
      <c r="U142" s="153" t="s">
        <v>1712</v>
      </c>
      <c r="V142" s="155">
        <v>5.2440000000000001E-2</v>
      </c>
      <c r="W142" s="155">
        <v>6.1699999999999998E-2</v>
      </c>
      <c r="X142" s="153" t="s">
        <v>412</v>
      </c>
      <c r="Y142" s="153" t="s">
        <v>339</v>
      </c>
      <c r="Z142" s="154">
        <v>1701000</v>
      </c>
      <c r="AA142" s="154">
        <v>1</v>
      </c>
      <c r="AB142" s="154">
        <v>103.18</v>
      </c>
      <c r="AD142" s="154">
        <v>1755.0920000000001</v>
      </c>
      <c r="AG142" s="157" t="s">
        <v>15</v>
      </c>
      <c r="AH142" s="155">
        <v>3.0899999999999999E-3</v>
      </c>
      <c r="AI142" s="155">
        <f t="shared" si="2"/>
        <v>6.5983073722206366E-3</v>
      </c>
      <c r="AJ142" s="155">
        <v>1.6239977396585073E-3</v>
      </c>
    </row>
    <row r="143" spans="1:36" s="160" customFormat="1">
      <c r="A143" s="153" t="s">
        <v>1213</v>
      </c>
      <c r="B143" s="160">
        <v>12937</v>
      </c>
      <c r="C143" s="153" t="s">
        <v>1723</v>
      </c>
      <c r="D143" s="153" t="s">
        <v>1724</v>
      </c>
      <c r="E143" s="153" t="s">
        <v>309</v>
      </c>
      <c r="F143" s="153" t="s">
        <v>1725</v>
      </c>
      <c r="G143" s="153" t="s">
        <v>1726</v>
      </c>
      <c r="H143" s="153" t="s">
        <v>321</v>
      </c>
      <c r="I143" s="153" t="s">
        <v>951</v>
      </c>
      <c r="J143" s="153" t="s">
        <v>204</v>
      </c>
      <c r="K143" s="153" t="s">
        <v>204</v>
      </c>
      <c r="L143" s="153" t="s">
        <v>325</v>
      </c>
      <c r="M143" s="153" t="s">
        <v>340</v>
      </c>
      <c r="N143" s="153" t="s">
        <v>447</v>
      </c>
      <c r="O143" s="153" t="s">
        <v>339</v>
      </c>
      <c r="Q143" s="153" t="s">
        <v>410</v>
      </c>
      <c r="R143" s="153" t="s">
        <v>410</v>
      </c>
      <c r="S143" s="153" t="s">
        <v>1212</v>
      </c>
      <c r="T143" s="154">
        <v>4.03</v>
      </c>
      <c r="U143" s="153" t="s">
        <v>1727</v>
      </c>
      <c r="V143" s="155">
        <v>5.8900000000000001E-2</v>
      </c>
      <c r="W143" s="155">
        <v>6.6600000000000006E-2</v>
      </c>
      <c r="X143" s="153" t="s">
        <v>412</v>
      </c>
      <c r="Y143" s="153" t="s">
        <v>339</v>
      </c>
      <c r="Z143" s="154">
        <v>1693235</v>
      </c>
      <c r="AA143" s="154">
        <v>1</v>
      </c>
      <c r="AB143" s="154">
        <v>103.07</v>
      </c>
      <c r="AD143" s="154">
        <v>1745.2170000000001</v>
      </c>
      <c r="AG143" s="157" t="s">
        <v>15</v>
      </c>
      <c r="AH143" s="155">
        <v>6.1599999999999997E-3</v>
      </c>
      <c r="AI143" s="155">
        <f t="shared" si="2"/>
        <v>6.5611820902977064E-3</v>
      </c>
      <c r="AJ143" s="155">
        <v>1.6148603396366693E-3</v>
      </c>
    </row>
    <row r="144" spans="1:36" s="160" customFormat="1">
      <c r="A144" s="153" t="s">
        <v>1213</v>
      </c>
      <c r="B144" s="160">
        <v>12937</v>
      </c>
      <c r="C144" s="153" t="s">
        <v>1938</v>
      </c>
      <c r="D144" s="153" t="s">
        <v>1939</v>
      </c>
      <c r="E144" s="153" t="s">
        <v>309</v>
      </c>
      <c r="F144" s="153" t="s">
        <v>1940</v>
      </c>
      <c r="G144" s="153" t="s">
        <v>1941</v>
      </c>
      <c r="H144" s="153" t="s">
        <v>321</v>
      </c>
      <c r="I144" s="153" t="s">
        <v>951</v>
      </c>
      <c r="J144" s="153" t="s">
        <v>204</v>
      </c>
      <c r="K144" s="153" t="s">
        <v>204</v>
      </c>
      <c r="L144" s="153" t="s">
        <v>325</v>
      </c>
      <c r="M144" s="153" t="s">
        <v>340</v>
      </c>
      <c r="N144" s="153" t="s">
        <v>447</v>
      </c>
      <c r="O144" s="153" t="s">
        <v>339</v>
      </c>
      <c r="Q144" s="153" t="s">
        <v>410</v>
      </c>
      <c r="R144" s="153" t="s">
        <v>410</v>
      </c>
      <c r="S144" s="153" t="s">
        <v>1212</v>
      </c>
      <c r="T144" s="154">
        <v>1.71</v>
      </c>
      <c r="U144" s="153" t="s">
        <v>1572</v>
      </c>
      <c r="V144" s="155">
        <v>3.8640000000000001E-2</v>
      </c>
      <c r="W144" s="155">
        <v>6.2899999999999998E-2</v>
      </c>
      <c r="X144" s="153" t="s">
        <v>412</v>
      </c>
      <c r="Y144" s="153" t="s">
        <v>339</v>
      </c>
      <c r="Z144" s="154">
        <v>1793297</v>
      </c>
      <c r="AA144" s="154">
        <v>1</v>
      </c>
      <c r="AB144" s="154">
        <v>97.28</v>
      </c>
      <c r="AD144" s="154">
        <v>1744.519</v>
      </c>
      <c r="AG144" s="157" t="s">
        <v>15</v>
      </c>
      <c r="AH144" s="155">
        <v>2.14E-3</v>
      </c>
      <c r="AI144" s="155">
        <f t="shared" si="2"/>
        <v>6.5585579437881158E-3</v>
      </c>
      <c r="AJ144" s="155">
        <v>1.614214475817404E-3</v>
      </c>
    </row>
    <row r="145" spans="1:36" s="160" customFormat="1">
      <c r="A145" s="153" t="s">
        <v>1213</v>
      </c>
      <c r="B145" s="160">
        <v>12937</v>
      </c>
      <c r="C145" s="153" t="s">
        <v>1728</v>
      </c>
      <c r="D145" s="153" t="s">
        <v>1729</v>
      </c>
      <c r="E145" s="153" t="s">
        <v>309</v>
      </c>
      <c r="F145" s="153" t="s">
        <v>1730</v>
      </c>
      <c r="G145" s="153" t="s">
        <v>1731</v>
      </c>
      <c r="H145" s="153" t="s">
        <v>321</v>
      </c>
      <c r="I145" s="153" t="s">
        <v>754</v>
      </c>
      <c r="J145" s="153" t="s">
        <v>204</v>
      </c>
      <c r="K145" s="153" t="s">
        <v>204</v>
      </c>
      <c r="L145" s="153" t="s">
        <v>325</v>
      </c>
      <c r="M145" s="153" t="s">
        <v>340</v>
      </c>
      <c r="N145" s="153" t="s">
        <v>461</v>
      </c>
      <c r="O145" s="153" t="s">
        <v>339</v>
      </c>
      <c r="P145" s="153" t="s">
        <v>1614</v>
      </c>
      <c r="Q145" s="153" t="s">
        <v>415</v>
      </c>
      <c r="R145" s="153" t="s">
        <v>407</v>
      </c>
      <c r="S145" s="153" t="s">
        <v>1212</v>
      </c>
      <c r="T145" s="154">
        <v>3.49</v>
      </c>
      <c r="U145" s="153" t="s">
        <v>1732</v>
      </c>
      <c r="V145" s="155">
        <v>4.6580000000000003E-2</v>
      </c>
      <c r="W145" s="155">
        <v>3.4700000000000002E-2</v>
      </c>
      <c r="X145" s="153" t="s">
        <v>412</v>
      </c>
      <c r="Y145" s="153" t="s">
        <v>339</v>
      </c>
      <c r="Z145" s="154">
        <v>1581930</v>
      </c>
      <c r="AA145" s="154">
        <v>1</v>
      </c>
      <c r="AB145" s="154">
        <v>108.96</v>
      </c>
      <c r="AD145" s="154">
        <v>1723.671</v>
      </c>
      <c r="AG145" s="157" t="s">
        <v>15</v>
      </c>
      <c r="AH145" s="155">
        <v>3.7000000000000002E-3</v>
      </c>
      <c r="AI145" s="155">
        <f t="shared" si="2"/>
        <v>6.4801794245446485E-3</v>
      </c>
      <c r="AJ145" s="155">
        <v>1.5949236894219328E-3</v>
      </c>
    </row>
    <row r="146" spans="1:36" s="160" customFormat="1">
      <c r="A146" s="153" t="s">
        <v>1213</v>
      </c>
      <c r="B146" s="160">
        <v>12937</v>
      </c>
      <c r="C146" s="153" t="s">
        <v>1687</v>
      </c>
      <c r="D146" s="153" t="s">
        <v>1688</v>
      </c>
      <c r="E146" s="153" t="s">
        <v>309</v>
      </c>
      <c r="F146" s="153" t="s">
        <v>1817</v>
      </c>
      <c r="G146" s="153" t="s">
        <v>1818</v>
      </c>
      <c r="H146" s="153" t="s">
        <v>321</v>
      </c>
      <c r="I146" s="153" t="s">
        <v>754</v>
      </c>
      <c r="J146" s="153" t="s">
        <v>204</v>
      </c>
      <c r="K146" s="153" t="s">
        <v>204</v>
      </c>
      <c r="L146" s="153" t="s">
        <v>325</v>
      </c>
      <c r="M146" s="153" t="s">
        <v>340</v>
      </c>
      <c r="N146" s="153" t="s">
        <v>465</v>
      </c>
      <c r="O146" s="153" t="s">
        <v>339</v>
      </c>
      <c r="P146" s="153" t="s">
        <v>1614</v>
      </c>
      <c r="Q146" s="153" t="s">
        <v>415</v>
      </c>
      <c r="R146" s="153" t="s">
        <v>407</v>
      </c>
      <c r="S146" s="153" t="s">
        <v>1212</v>
      </c>
      <c r="T146" s="154">
        <v>5.16</v>
      </c>
      <c r="U146" s="153" t="s">
        <v>1819</v>
      </c>
      <c r="V146" s="155">
        <v>1.37E-2</v>
      </c>
      <c r="W146" s="155">
        <v>3.6600000000000001E-2</v>
      </c>
      <c r="X146" s="153" t="s">
        <v>412</v>
      </c>
      <c r="Y146" s="153" t="s">
        <v>339</v>
      </c>
      <c r="Z146" s="154">
        <v>1700000</v>
      </c>
      <c r="AA146" s="154">
        <v>1</v>
      </c>
      <c r="AB146" s="154">
        <v>100.74</v>
      </c>
      <c r="AD146" s="154">
        <v>1712.58</v>
      </c>
      <c r="AG146" s="157" t="s">
        <v>15</v>
      </c>
      <c r="AH146" s="155">
        <v>2.8500000000000001E-3</v>
      </c>
      <c r="AI146" s="155">
        <f t="shared" si="2"/>
        <v>6.4384825636021456E-3</v>
      </c>
      <c r="AJ146" s="155">
        <v>1.5846611169012029E-3</v>
      </c>
    </row>
    <row r="147" spans="1:36" s="160" customFormat="1">
      <c r="A147" s="153" t="s">
        <v>1213</v>
      </c>
      <c r="B147" s="160">
        <v>12937</v>
      </c>
      <c r="C147" s="153" t="s">
        <v>1942</v>
      </c>
      <c r="D147" s="153" t="s">
        <v>1943</v>
      </c>
      <c r="E147" s="153" t="s">
        <v>309</v>
      </c>
      <c r="F147" s="153" t="s">
        <v>1944</v>
      </c>
      <c r="G147" s="153" t="s">
        <v>1945</v>
      </c>
      <c r="H147" s="153" t="s">
        <v>321</v>
      </c>
      <c r="I147" s="153" t="s">
        <v>951</v>
      </c>
      <c r="J147" s="153" t="s">
        <v>204</v>
      </c>
      <c r="K147" s="153" t="s">
        <v>204</v>
      </c>
      <c r="L147" s="153" t="s">
        <v>325</v>
      </c>
      <c r="M147" s="153" t="s">
        <v>340</v>
      </c>
      <c r="N147" s="153" t="s">
        <v>464</v>
      </c>
      <c r="O147" s="153" t="s">
        <v>339</v>
      </c>
      <c r="P147" s="153" t="s">
        <v>1527</v>
      </c>
      <c r="Q147" s="153" t="s">
        <v>415</v>
      </c>
      <c r="R147" s="153" t="s">
        <v>407</v>
      </c>
      <c r="S147" s="153" t="s">
        <v>1212</v>
      </c>
      <c r="T147" s="154">
        <v>2.73</v>
      </c>
      <c r="U147" s="153" t="s">
        <v>1946</v>
      </c>
      <c r="V147" s="155">
        <v>2.4160000000000001E-2</v>
      </c>
      <c r="W147" s="155">
        <v>6.3700000000000007E-2</v>
      </c>
      <c r="X147" s="153" t="s">
        <v>412</v>
      </c>
      <c r="Y147" s="153" t="s">
        <v>339</v>
      </c>
      <c r="Z147" s="154">
        <v>1750000</v>
      </c>
      <c r="AA147" s="154">
        <v>1</v>
      </c>
      <c r="AB147" s="154">
        <v>95.92</v>
      </c>
      <c r="AD147" s="154">
        <v>1678.6</v>
      </c>
      <c r="AG147" s="157" t="s">
        <v>15</v>
      </c>
      <c r="AH147" s="155">
        <v>3.29E-3</v>
      </c>
      <c r="AI147" s="155">
        <f t="shared" si="2"/>
        <v>6.3107339985650664E-3</v>
      </c>
      <c r="AJ147" s="155">
        <v>1.5532192077627668E-3</v>
      </c>
    </row>
    <row r="148" spans="1:36" s="160" customFormat="1">
      <c r="A148" s="153" t="s">
        <v>1213</v>
      </c>
      <c r="B148" s="160">
        <v>12937</v>
      </c>
      <c r="C148" s="153" t="s">
        <v>1947</v>
      </c>
      <c r="D148" s="153" t="s">
        <v>1948</v>
      </c>
      <c r="E148" s="153" t="s">
        <v>309</v>
      </c>
      <c r="F148" s="153" t="s">
        <v>1949</v>
      </c>
      <c r="G148" s="153" t="s">
        <v>1950</v>
      </c>
      <c r="H148" s="153" t="s">
        <v>321</v>
      </c>
      <c r="I148" s="153" t="s">
        <v>754</v>
      </c>
      <c r="J148" s="153" t="s">
        <v>204</v>
      </c>
      <c r="K148" s="153" t="s">
        <v>204</v>
      </c>
      <c r="L148" s="153" t="s">
        <v>325</v>
      </c>
      <c r="M148" s="153" t="s">
        <v>340</v>
      </c>
      <c r="N148" s="153" t="s">
        <v>464</v>
      </c>
      <c r="O148" s="153" t="s">
        <v>339</v>
      </c>
      <c r="Q148" s="153" t="s">
        <v>410</v>
      </c>
      <c r="R148" s="153" t="s">
        <v>410</v>
      </c>
      <c r="S148" s="153" t="s">
        <v>1212</v>
      </c>
      <c r="T148" s="154">
        <v>2.37</v>
      </c>
      <c r="U148" s="153" t="s">
        <v>1951</v>
      </c>
      <c r="V148" s="155">
        <v>1.8749999999999999E-2</v>
      </c>
      <c r="W148" s="155">
        <v>3.5400000000000001E-2</v>
      </c>
      <c r="X148" s="153" t="s">
        <v>412</v>
      </c>
      <c r="Y148" s="153" t="s">
        <v>339</v>
      </c>
      <c r="Z148" s="154">
        <v>1528000</v>
      </c>
      <c r="AA148" s="154">
        <v>1</v>
      </c>
      <c r="AB148" s="154">
        <v>106.58</v>
      </c>
      <c r="AC148" s="154">
        <v>42.881999999999998</v>
      </c>
      <c r="AD148" s="154">
        <v>1671.425</v>
      </c>
      <c r="AG148" s="157" t="s">
        <v>15</v>
      </c>
      <c r="AH148" s="155">
        <v>2.6700000000000001E-3</v>
      </c>
      <c r="AI148" s="155">
        <f t="shared" si="2"/>
        <v>6.283759426636254E-3</v>
      </c>
      <c r="AJ148" s="155">
        <v>1.5465801348355074E-3</v>
      </c>
    </row>
    <row r="149" spans="1:36" s="160" customFormat="1">
      <c r="A149" s="153" t="s">
        <v>1213</v>
      </c>
      <c r="B149" s="160">
        <v>12937</v>
      </c>
      <c r="C149" s="153" t="s">
        <v>1737</v>
      </c>
      <c r="D149" s="153" t="s">
        <v>1738</v>
      </c>
      <c r="E149" s="153" t="s">
        <v>309</v>
      </c>
      <c r="F149" s="153" t="s">
        <v>1739</v>
      </c>
      <c r="G149" s="153" t="s">
        <v>1740</v>
      </c>
      <c r="H149" s="153" t="s">
        <v>321</v>
      </c>
      <c r="I149" s="153" t="s">
        <v>951</v>
      </c>
      <c r="J149" s="153" t="s">
        <v>204</v>
      </c>
      <c r="K149" s="153" t="s">
        <v>204</v>
      </c>
      <c r="L149" s="153" t="s">
        <v>325</v>
      </c>
      <c r="M149" s="153" t="s">
        <v>340</v>
      </c>
      <c r="N149" s="153" t="s">
        <v>447</v>
      </c>
      <c r="O149" s="153" t="s">
        <v>339</v>
      </c>
      <c r="Q149" s="153" t="s">
        <v>410</v>
      </c>
      <c r="R149" s="153" t="s">
        <v>410</v>
      </c>
      <c r="S149" s="153" t="s">
        <v>1212</v>
      </c>
      <c r="T149" s="154">
        <v>2.52</v>
      </c>
      <c r="U149" s="153" t="s">
        <v>1741</v>
      </c>
      <c r="V149" s="155">
        <v>5.6779999999999997E-2</v>
      </c>
      <c r="W149" s="155">
        <v>8.0600000000000005E-2</v>
      </c>
      <c r="X149" s="153" t="s">
        <v>412</v>
      </c>
      <c r="Y149" s="153" t="s">
        <v>339</v>
      </c>
      <c r="Z149" s="154">
        <v>1667000</v>
      </c>
      <c r="AA149" s="154">
        <v>1</v>
      </c>
      <c r="AB149" s="154">
        <v>98.98</v>
      </c>
      <c r="AD149" s="154">
        <v>1649.9970000000001</v>
      </c>
      <c r="AG149" s="157" t="s">
        <v>15</v>
      </c>
      <c r="AH149" s="155">
        <v>1.3440000000000001E-2</v>
      </c>
      <c r="AI149" s="155">
        <f t="shared" si="2"/>
        <v>6.2032003845051619E-3</v>
      </c>
      <c r="AJ149" s="155">
        <v>1.5267526707678674E-3</v>
      </c>
    </row>
    <row r="150" spans="1:36" s="160" customFormat="1">
      <c r="A150" s="153" t="s">
        <v>1213</v>
      </c>
      <c r="B150" s="160">
        <v>12937</v>
      </c>
      <c r="C150" s="153" t="s">
        <v>1733</v>
      </c>
      <c r="D150" s="153" t="s">
        <v>1734</v>
      </c>
      <c r="E150" s="153" t="s">
        <v>309</v>
      </c>
      <c r="F150" s="153" t="s">
        <v>1735</v>
      </c>
      <c r="G150" s="153" t="s">
        <v>1736</v>
      </c>
      <c r="H150" s="153" t="s">
        <v>321</v>
      </c>
      <c r="I150" s="153" t="s">
        <v>951</v>
      </c>
      <c r="J150" s="153" t="s">
        <v>204</v>
      </c>
      <c r="K150" s="153" t="s">
        <v>204</v>
      </c>
      <c r="L150" s="153" t="s">
        <v>327</v>
      </c>
      <c r="M150" s="153" t="s">
        <v>340</v>
      </c>
      <c r="N150" s="153" t="s">
        <v>447</v>
      </c>
      <c r="O150" s="153" t="s">
        <v>339</v>
      </c>
      <c r="Q150" s="153" t="s">
        <v>410</v>
      </c>
      <c r="R150" s="153" t="s">
        <v>410</v>
      </c>
      <c r="S150" s="153" t="s">
        <v>1212</v>
      </c>
      <c r="T150" s="154">
        <v>1.61</v>
      </c>
      <c r="U150" s="153" t="s">
        <v>1343</v>
      </c>
      <c r="V150" s="155">
        <v>8.5930000000000006E-2</v>
      </c>
      <c r="W150" s="155">
        <v>6.9900000000000004E-2</v>
      </c>
      <c r="X150" s="153" t="s">
        <v>412</v>
      </c>
      <c r="Y150" s="153" t="s">
        <v>339</v>
      </c>
      <c r="Z150" s="154">
        <v>1636200</v>
      </c>
      <c r="AA150" s="154">
        <v>1</v>
      </c>
      <c r="AB150" s="154">
        <f>AD150*1000/Z150*100</f>
        <v>99.21934971274905</v>
      </c>
      <c r="AD150" s="154">
        <f>1632.11-8.683</f>
        <v>1623.4269999999999</v>
      </c>
      <c r="AG150" s="157" t="s">
        <v>15</v>
      </c>
      <c r="AH150" s="155">
        <v>1.5599999999999999E-2</v>
      </c>
      <c r="AI150" s="155">
        <f t="shared" si="2"/>
        <v>6.1033098791186046E-3</v>
      </c>
      <c r="AJ150" s="155">
        <v>1.5021672815445522E-3</v>
      </c>
    </row>
    <row r="151" spans="1:36" s="160" customFormat="1">
      <c r="A151" s="153" t="s">
        <v>1213</v>
      </c>
      <c r="B151" s="160">
        <v>12937</v>
      </c>
      <c r="C151" s="153" t="s">
        <v>1750</v>
      </c>
      <c r="D151" s="153" t="s">
        <v>1751</v>
      </c>
      <c r="E151" s="153" t="s">
        <v>309</v>
      </c>
      <c r="F151" s="153" t="s">
        <v>1752</v>
      </c>
      <c r="G151" s="153" t="s">
        <v>1753</v>
      </c>
      <c r="H151" s="153" t="s">
        <v>321</v>
      </c>
      <c r="I151" s="153" t="s">
        <v>754</v>
      </c>
      <c r="J151" s="153" t="s">
        <v>204</v>
      </c>
      <c r="K151" s="153" t="s">
        <v>204</v>
      </c>
      <c r="L151" s="153" t="s">
        <v>325</v>
      </c>
      <c r="M151" s="153" t="s">
        <v>340</v>
      </c>
      <c r="N151" s="153" t="s">
        <v>464</v>
      </c>
      <c r="O151" s="153" t="s">
        <v>339</v>
      </c>
      <c r="Q151" s="153" t="s">
        <v>410</v>
      </c>
      <c r="R151" s="153" t="s">
        <v>410</v>
      </c>
      <c r="S151" s="153" t="s">
        <v>1212</v>
      </c>
      <c r="T151" s="154">
        <v>2.99</v>
      </c>
      <c r="U151" s="153" t="s">
        <v>1528</v>
      </c>
      <c r="V151" s="155">
        <v>4.5400000000000003E-2</v>
      </c>
      <c r="W151" s="155">
        <v>3.8199999999999998E-2</v>
      </c>
      <c r="X151" s="153" t="s">
        <v>412</v>
      </c>
      <c r="Y151" s="153" t="s">
        <v>339</v>
      </c>
      <c r="Z151" s="154">
        <v>1455000</v>
      </c>
      <c r="AA151" s="154">
        <v>1</v>
      </c>
      <c r="AB151" s="154">
        <v>107.58</v>
      </c>
      <c r="AD151" s="154">
        <v>1565.289</v>
      </c>
      <c r="AG151" s="157" t="s">
        <v>15</v>
      </c>
      <c r="AH151" s="155">
        <v>1.49E-3</v>
      </c>
      <c r="AI151" s="155">
        <f t="shared" si="2"/>
        <v>5.8847387762897144E-3</v>
      </c>
      <c r="AJ151" s="155">
        <v>1.4483718220539578E-3</v>
      </c>
    </row>
    <row r="152" spans="1:36" s="160" customFormat="1">
      <c r="A152" s="153" t="s">
        <v>1213</v>
      </c>
      <c r="B152" s="160">
        <v>12937</v>
      </c>
      <c r="C152" s="153" t="s">
        <v>1615</v>
      </c>
      <c r="D152" s="153" t="s">
        <v>1616</v>
      </c>
      <c r="E152" s="153" t="s">
        <v>309</v>
      </c>
      <c r="F152" s="153" t="s">
        <v>1804</v>
      </c>
      <c r="G152" s="153" t="s">
        <v>1805</v>
      </c>
      <c r="H152" s="153" t="s">
        <v>321</v>
      </c>
      <c r="I152" s="153" t="s">
        <v>951</v>
      </c>
      <c r="J152" s="153" t="s">
        <v>204</v>
      </c>
      <c r="K152" s="153" t="s">
        <v>204</v>
      </c>
      <c r="L152" s="153" t="s">
        <v>325</v>
      </c>
      <c r="M152" s="153" t="s">
        <v>340</v>
      </c>
      <c r="N152" s="153" t="s">
        <v>447</v>
      </c>
      <c r="O152" s="153" t="s">
        <v>339</v>
      </c>
      <c r="Q152" s="153" t="s">
        <v>410</v>
      </c>
      <c r="R152" s="153" t="s">
        <v>410</v>
      </c>
      <c r="S152" s="153" t="s">
        <v>1212</v>
      </c>
      <c r="T152" s="154">
        <v>2.78</v>
      </c>
      <c r="U152" s="153" t="s">
        <v>1806</v>
      </c>
      <c r="V152" s="155">
        <v>7.6869999999999994E-2</v>
      </c>
      <c r="W152" s="155">
        <v>7.0900000000000005E-2</v>
      </c>
      <c r="X152" s="153" t="s">
        <v>412</v>
      </c>
      <c r="Y152" s="153" t="s">
        <v>339</v>
      </c>
      <c r="Z152" s="154">
        <v>1500000</v>
      </c>
      <c r="AA152" s="154">
        <v>1</v>
      </c>
      <c r="AB152" s="154">
        <v>103.54</v>
      </c>
      <c r="AD152" s="154">
        <v>1553.1</v>
      </c>
      <c r="AG152" s="157" t="s">
        <v>15</v>
      </c>
      <c r="AH152" s="155">
        <v>1.2529999999999999E-2</v>
      </c>
      <c r="AI152" s="155">
        <f t="shared" si="2"/>
        <v>5.8389139599496036E-3</v>
      </c>
      <c r="AJ152" s="155">
        <v>1.437093263181433E-3</v>
      </c>
    </row>
    <row r="153" spans="1:36" s="160" customFormat="1">
      <c r="A153" s="153" t="s">
        <v>1213</v>
      </c>
      <c r="B153" s="160">
        <v>12937</v>
      </c>
      <c r="C153" s="153" t="s">
        <v>1820</v>
      </c>
      <c r="D153" s="153" t="s">
        <v>1821</v>
      </c>
      <c r="E153" s="153" t="s">
        <v>309</v>
      </c>
      <c r="F153" s="153" t="s">
        <v>1952</v>
      </c>
      <c r="G153" s="153" t="s">
        <v>1953</v>
      </c>
      <c r="H153" s="153" t="s">
        <v>321</v>
      </c>
      <c r="I153" s="153" t="s">
        <v>754</v>
      </c>
      <c r="J153" s="153" t="s">
        <v>204</v>
      </c>
      <c r="K153" s="153" t="s">
        <v>204</v>
      </c>
      <c r="L153" s="153" t="s">
        <v>325</v>
      </c>
      <c r="M153" s="153" t="s">
        <v>340</v>
      </c>
      <c r="N153" s="153" t="s">
        <v>464</v>
      </c>
      <c r="O153" s="153" t="s">
        <v>339</v>
      </c>
      <c r="P153" s="153" t="s">
        <v>1538</v>
      </c>
      <c r="Q153" s="153" t="s">
        <v>413</v>
      </c>
      <c r="R153" s="153" t="s">
        <v>407</v>
      </c>
      <c r="S153" s="153" t="s">
        <v>1212</v>
      </c>
      <c r="T153" s="154">
        <v>2.19</v>
      </c>
      <c r="U153" s="153" t="s">
        <v>1308</v>
      </c>
      <c r="V153" s="155">
        <v>1.1480000000000001E-2</v>
      </c>
      <c r="W153" s="155">
        <v>2.6599999999999999E-2</v>
      </c>
      <c r="X153" s="153" t="s">
        <v>412</v>
      </c>
      <c r="Y153" s="153" t="s">
        <v>339</v>
      </c>
      <c r="Z153" s="154">
        <v>1327577.78</v>
      </c>
      <c r="AA153" s="154">
        <v>1</v>
      </c>
      <c r="AB153" s="154">
        <v>115.87</v>
      </c>
      <c r="AD153" s="154">
        <v>1538.2639999999999</v>
      </c>
      <c r="AG153" s="157" t="s">
        <v>15</v>
      </c>
      <c r="AH153" s="155">
        <v>6.3000000000000003E-4</v>
      </c>
      <c r="AI153" s="155">
        <f t="shared" si="2"/>
        <v>5.7831376882930378E-3</v>
      </c>
      <c r="AJ153" s="155">
        <v>1.4233654184498898E-3</v>
      </c>
    </row>
    <row r="154" spans="1:36" s="160" customFormat="1">
      <c r="A154" s="153" t="s">
        <v>1213</v>
      </c>
      <c r="B154" s="160">
        <v>12937</v>
      </c>
      <c r="C154" s="153" t="s">
        <v>1523</v>
      </c>
      <c r="D154" s="153" t="s">
        <v>1524</v>
      </c>
      <c r="E154" s="153" t="s">
        <v>311</v>
      </c>
      <c r="F154" s="153" t="s">
        <v>1766</v>
      </c>
      <c r="G154" s="153" t="s">
        <v>1767</v>
      </c>
      <c r="H154" s="153" t="s">
        <v>321</v>
      </c>
      <c r="I154" s="153" t="s">
        <v>951</v>
      </c>
      <c r="J154" s="153" t="s">
        <v>204</v>
      </c>
      <c r="K154" s="153" t="s">
        <v>224</v>
      </c>
      <c r="L154" s="153" t="s">
        <v>325</v>
      </c>
      <c r="M154" s="153" t="s">
        <v>340</v>
      </c>
      <c r="N154" s="153" t="s">
        <v>447</v>
      </c>
      <c r="O154" s="153" t="s">
        <v>339</v>
      </c>
      <c r="P154" s="153" t="s">
        <v>1527</v>
      </c>
      <c r="Q154" s="153" t="s">
        <v>415</v>
      </c>
      <c r="R154" s="153" t="s">
        <v>407</v>
      </c>
      <c r="S154" s="153" t="s">
        <v>1212</v>
      </c>
      <c r="T154" s="154">
        <v>0.97</v>
      </c>
      <c r="U154" s="153" t="s">
        <v>1768</v>
      </c>
      <c r="V154" s="155">
        <v>6.8970000000000004E-2</v>
      </c>
      <c r="W154" s="155">
        <v>7.2099999999999997E-2</v>
      </c>
      <c r="X154" s="153" t="s">
        <v>412</v>
      </c>
      <c r="Y154" s="153" t="s">
        <v>339</v>
      </c>
      <c r="Z154" s="154">
        <v>1528697.1</v>
      </c>
      <c r="AA154" s="154">
        <v>1</v>
      </c>
      <c r="AB154" s="154">
        <v>99.95</v>
      </c>
      <c r="AD154" s="154">
        <v>1527.933</v>
      </c>
      <c r="AG154" s="157" t="s">
        <v>15</v>
      </c>
      <c r="AH154" s="155">
        <v>3.82E-3</v>
      </c>
      <c r="AI154" s="155">
        <f t="shared" si="2"/>
        <v>5.744298064237768E-3</v>
      </c>
      <c r="AJ154" s="155">
        <v>1.4138060787409674E-3</v>
      </c>
    </row>
    <row r="155" spans="1:36" s="160" customFormat="1">
      <c r="A155" s="153" t="s">
        <v>1213</v>
      </c>
      <c r="B155" s="160">
        <v>12937</v>
      </c>
      <c r="C155" s="153" t="s">
        <v>1600</v>
      </c>
      <c r="D155" s="153" t="s">
        <v>1601</v>
      </c>
      <c r="E155" s="153" t="s">
        <v>309</v>
      </c>
      <c r="F155" s="153" t="s">
        <v>1954</v>
      </c>
      <c r="G155" s="153" t="s">
        <v>1955</v>
      </c>
      <c r="H155" s="153" t="s">
        <v>321</v>
      </c>
      <c r="I155" s="153" t="s">
        <v>754</v>
      </c>
      <c r="J155" s="153" t="s">
        <v>204</v>
      </c>
      <c r="K155" s="153" t="s">
        <v>204</v>
      </c>
      <c r="L155" s="153" t="s">
        <v>325</v>
      </c>
      <c r="M155" s="153" t="s">
        <v>340</v>
      </c>
      <c r="N155" s="153" t="s">
        <v>448</v>
      </c>
      <c r="O155" s="153" t="s">
        <v>339</v>
      </c>
      <c r="P155" s="153" t="s">
        <v>1215</v>
      </c>
      <c r="Q155" s="153" t="s">
        <v>413</v>
      </c>
      <c r="R155" s="153" t="s">
        <v>407</v>
      </c>
      <c r="S155" s="153" t="s">
        <v>1212</v>
      </c>
      <c r="T155" s="154">
        <v>3.02</v>
      </c>
      <c r="U155" s="153" t="s">
        <v>1956</v>
      </c>
      <c r="V155" s="155">
        <v>1.7500000000000002E-2</v>
      </c>
      <c r="W155" s="155">
        <v>2.35E-2</v>
      </c>
      <c r="X155" s="153" t="s">
        <v>412</v>
      </c>
      <c r="Y155" s="153" t="s">
        <v>339</v>
      </c>
      <c r="Z155" s="154">
        <v>1317414.8999999999</v>
      </c>
      <c r="AA155" s="154">
        <v>1</v>
      </c>
      <c r="AB155" s="154">
        <v>114.28</v>
      </c>
      <c r="AD155" s="154">
        <v>1505.5419999999999</v>
      </c>
      <c r="AG155" s="157" t="s">
        <v>15</v>
      </c>
      <c r="AH155" s="155">
        <v>5.1000000000000004E-4</v>
      </c>
      <c r="AI155" s="155">
        <f t="shared" si="2"/>
        <v>5.6601186022087737E-3</v>
      </c>
      <c r="AJ155" s="155">
        <v>1.393087544676261E-3</v>
      </c>
    </row>
    <row r="156" spans="1:36" s="160" customFormat="1">
      <c r="A156" s="153" t="s">
        <v>1213</v>
      </c>
      <c r="B156" s="160">
        <v>12937</v>
      </c>
      <c r="C156" s="153" t="s">
        <v>1634</v>
      </c>
      <c r="D156" s="153" t="s">
        <v>1635</v>
      </c>
      <c r="E156" s="153" t="s">
        <v>309</v>
      </c>
      <c r="F156" s="153" t="s">
        <v>1763</v>
      </c>
      <c r="G156" s="153" t="s">
        <v>1764</v>
      </c>
      <c r="H156" s="153" t="s">
        <v>321</v>
      </c>
      <c r="I156" s="153" t="s">
        <v>951</v>
      </c>
      <c r="J156" s="153" t="s">
        <v>204</v>
      </c>
      <c r="K156" s="153" t="s">
        <v>204</v>
      </c>
      <c r="L156" s="153" t="s">
        <v>325</v>
      </c>
      <c r="M156" s="153" t="s">
        <v>340</v>
      </c>
      <c r="N156" s="153" t="s">
        <v>454</v>
      </c>
      <c r="O156" s="153" t="s">
        <v>339</v>
      </c>
      <c r="P156" s="153" t="s">
        <v>1554</v>
      </c>
      <c r="Q156" s="153" t="s">
        <v>413</v>
      </c>
      <c r="R156" s="153" t="s">
        <v>407</v>
      </c>
      <c r="S156" s="153" t="s">
        <v>1212</v>
      </c>
      <c r="T156" s="154">
        <v>3.75</v>
      </c>
      <c r="U156" s="153" t="s">
        <v>1765</v>
      </c>
      <c r="V156" s="155">
        <v>5.5100000000000003E-2</v>
      </c>
      <c r="W156" s="155">
        <v>6.5699999999999995E-2</v>
      </c>
      <c r="X156" s="153" t="s">
        <v>412</v>
      </c>
      <c r="Y156" s="153" t="s">
        <v>339</v>
      </c>
      <c r="Z156" s="154">
        <v>1475000</v>
      </c>
      <c r="AA156" s="154">
        <v>1</v>
      </c>
      <c r="AB156" s="154">
        <v>100.86</v>
      </c>
      <c r="AD156" s="154">
        <v>1487.6849999999999</v>
      </c>
      <c r="AG156" s="157" t="s">
        <v>15</v>
      </c>
      <c r="AH156" s="155">
        <v>1.6199999999999999E-3</v>
      </c>
      <c r="AI156" s="155">
        <f t="shared" si="2"/>
        <v>5.5929848139254562E-3</v>
      </c>
      <c r="AJ156" s="155">
        <v>1.3765643495177839E-3</v>
      </c>
    </row>
    <row r="157" spans="1:36" s="160" customFormat="1">
      <c r="A157" s="153" t="s">
        <v>1213</v>
      </c>
      <c r="B157" s="160">
        <v>12937</v>
      </c>
      <c r="C157" s="153" t="s">
        <v>1600</v>
      </c>
      <c r="D157" s="153" t="s">
        <v>1601</v>
      </c>
      <c r="E157" s="153" t="s">
        <v>309</v>
      </c>
      <c r="F157" s="153" t="s">
        <v>1957</v>
      </c>
      <c r="G157" s="153" t="s">
        <v>1958</v>
      </c>
      <c r="H157" s="153" t="s">
        <v>321</v>
      </c>
      <c r="I157" s="153" t="s">
        <v>754</v>
      </c>
      <c r="J157" s="153" t="s">
        <v>204</v>
      </c>
      <c r="K157" s="153" t="s">
        <v>204</v>
      </c>
      <c r="L157" s="153" t="s">
        <v>325</v>
      </c>
      <c r="M157" s="153" t="s">
        <v>340</v>
      </c>
      <c r="N157" s="153" t="s">
        <v>448</v>
      </c>
      <c r="O157" s="153" t="s">
        <v>339</v>
      </c>
      <c r="P157" s="153" t="s">
        <v>1215</v>
      </c>
      <c r="Q157" s="153" t="s">
        <v>413</v>
      </c>
      <c r="R157" s="153" t="s">
        <v>407</v>
      </c>
      <c r="S157" s="153" t="s">
        <v>1212</v>
      </c>
      <c r="T157" s="154">
        <v>3.91</v>
      </c>
      <c r="U157" s="153" t="s">
        <v>1959</v>
      </c>
      <c r="V157" s="155">
        <v>1.242E-2</v>
      </c>
      <c r="W157" s="155">
        <v>2.4799999999999999E-2</v>
      </c>
      <c r="X157" s="153" t="s">
        <v>412</v>
      </c>
      <c r="Y157" s="153" t="s">
        <v>339</v>
      </c>
      <c r="Z157" s="154">
        <v>1400000</v>
      </c>
      <c r="AA157" s="154">
        <v>1</v>
      </c>
      <c r="AB157" s="154">
        <v>103.84</v>
      </c>
      <c r="AD157" s="154">
        <v>1453.76</v>
      </c>
      <c r="AG157" s="157" t="s">
        <v>15</v>
      </c>
      <c r="AH157" s="155">
        <v>7.7999999999999999E-4</v>
      </c>
      <c r="AI157" s="155">
        <f t="shared" si="2"/>
        <v>5.4654430226104798E-3</v>
      </c>
      <c r="AJ157" s="155">
        <v>1.3451733322275706E-3</v>
      </c>
    </row>
    <row r="158" spans="1:36" s="160" customFormat="1">
      <c r="A158" s="153" t="s">
        <v>1213</v>
      </c>
      <c r="B158" s="160">
        <v>12937</v>
      </c>
      <c r="C158" s="153" t="s">
        <v>1773</v>
      </c>
      <c r="D158" s="153" t="s">
        <v>1774</v>
      </c>
      <c r="E158" s="153" t="s">
        <v>309</v>
      </c>
      <c r="F158" s="153" t="s">
        <v>1775</v>
      </c>
      <c r="G158" s="153" t="s">
        <v>1776</v>
      </c>
      <c r="H158" s="153" t="s">
        <v>321</v>
      </c>
      <c r="I158" s="153" t="s">
        <v>952</v>
      </c>
      <c r="J158" s="153" t="s">
        <v>204</v>
      </c>
      <c r="K158" s="153" t="s">
        <v>204</v>
      </c>
      <c r="L158" s="153" t="s">
        <v>325</v>
      </c>
      <c r="M158" s="153" t="s">
        <v>340</v>
      </c>
      <c r="N158" s="153" t="s">
        <v>447</v>
      </c>
      <c r="O158" s="153" t="s">
        <v>339</v>
      </c>
      <c r="Q158" s="153" t="s">
        <v>410</v>
      </c>
      <c r="R158" s="153" t="s">
        <v>410</v>
      </c>
      <c r="S158" s="153" t="s">
        <v>1212</v>
      </c>
      <c r="T158" s="154">
        <v>1.22</v>
      </c>
      <c r="U158" s="153" t="s">
        <v>1777</v>
      </c>
      <c r="V158" s="155">
        <v>8.7440000000000004E-2</v>
      </c>
      <c r="W158" s="155">
        <v>8.43E-2</v>
      </c>
      <c r="X158" s="153" t="s">
        <v>412</v>
      </c>
      <c r="Y158" s="153" t="s">
        <v>339</v>
      </c>
      <c r="Z158" s="154">
        <v>1500000</v>
      </c>
      <c r="AA158" s="154">
        <v>1</v>
      </c>
      <c r="AB158" s="154">
        <v>96.7</v>
      </c>
      <c r="AD158" s="154">
        <v>1450.5</v>
      </c>
      <c r="AG158" s="157" t="s">
        <v>15</v>
      </c>
      <c r="AH158" s="155">
        <v>1.8749999999999999E-2</v>
      </c>
      <c r="AI158" s="155">
        <f t="shared" si="2"/>
        <v>5.4531869801731376E-3</v>
      </c>
      <c r="AJ158" s="155">
        <v>1.3421568335874499E-3</v>
      </c>
    </row>
    <row r="159" spans="1:36" s="160" customFormat="1">
      <c r="A159" s="153" t="s">
        <v>1213</v>
      </c>
      <c r="B159" s="160">
        <v>12937</v>
      </c>
      <c r="C159" s="153" t="s">
        <v>1778</v>
      </c>
      <c r="D159" s="153" t="s">
        <v>1779</v>
      </c>
      <c r="E159" s="153" t="s">
        <v>309</v>
      </c>
      <c r="F159" s="153" t="s">
        <v>1780</v>
      </c>
      <c r="G159" s="153" t="s">
        <v>1781</v>
      </c>
      <c r="H159" s="153" t="s">
        <v>321</v>
      </c>
      <c r="I159" s="153" t="s">
        <v>951</v>
      </c>
      <c r="J159" s="153" t="s">
        <v>204</v>
      </c>
      <c r="K159" s="153" t="s">
        <v>204</v>
      </c>
      <c r="L159" s="153" t="s">
        <v>325</v>
      </c>
      <c r="M159" s="153" t="s">
        <v>340</v>
      </c>
      <c r="N159" s="153" t="s">
        <v>447</v>
      </c>
      <c r="O159" s="153" t="s">
        <v>339</v>
      </c>
      <c r="Q159" s="153" t="s">
        <v>410</v>
      </c>
      <c r="R159" s="153" t="s">
        <v>410</v>
      </c>
      <c r="S159" s="153" t="s">
        <v>1212</v>
      </c>
      <c r="T159" s="154">
        <v>2.91</v>
      </c>
      <c r="U159" s="153" t="s">
        <v>1744</v>
      </c>
      <c r="V159" s="155">
        <v>7.7640000000000001E-2</v>
      </c>
      <c r="W159" s="155">
        <v>7.0300000000000001E-2</v>
      </c>
      <c r="X159" s="153" t="s">
        <v>412</v>
      </c>
      <c r="Y159" s="153" t="s">
        <v>339</v>
      </c>
      <c r="Z159" s="154">
        <v>1379000</v>
      </c>
      <c r="AA159" s="154">
        <v>1</v>
      </c>
      <c r="AB159" s="154">
        <v>102.79</v>
      </c>
      <c r="AD159" s="154">
        <v>1417.4739999999999</v>
      </c>
      <c r="AG159" s="157" t="s">
        <v>15</v>
      </c>
      <c r="AH159" s="155">
        <v>2.3060000000000001E-2</v>
      </c>
      <c r="AI159" s="155">
        <f t="shared" si="2"/>
        <v>5.3290249993339801E-3</v>
      </c>
      <c r="AJ159" s="155">
        <v>1.3115976666890983E-3</v>
      </c>
    </row>
    <row r="160" spans="1:36" s="160" customFormat="1">
      <c r="A160" s="153" t="s">
        <v>1213</v>
      </c>
      <c r="B160" s="160">
        <v>12937</v>
      </c>
      <c r="C160" s="153" t="s">
        <v>1844</v>
      </c>
      <c r="D160" s="153" t="s">
        <v>1845</v>
      </c>
      <c r="E160" s="153" t="s">
        <v>309</v>
      </c>
      <c r="F160" s="153" t="s">
        <v>1846</v>
      </c>
      <c r="G160" s="153" t="s">
        <v>1847</v>
      </c>
      <c r="H160" s="153" t="s">
        <v>321</v>
      </c>
      <c r="I160" s="153" t="s">
        <v>951</v>
      </c>
      <c r="J160" s="153" t="s">
        <v>204</v>
      </c>
      <c r="K160" s="153" t="s">
        <v>204</v>
      </c>
      <c r="L160" s="153" t="s">
        <v>325</v>
      </c>
      <c r="M160" s="153" t="s">
        <v>340</v>
      </c>
      <c r="N160" s="153" t="s">
        <v>447</v>
      </c>
      <c r="O160" s="153" t="s">
        <v>339</v>
      </c>
      <c r="Q160" s="153" t="s">
        <v>410</v>
      </c>
      <c r="R160" s="153" t="s">
        <v>410</v>
      </c>
      <c r="S160" s="153" t="s">
        <v>1212</v>
      </c>
      <c r="T160" s="154">
        <v>0.54</v>
      </c>
      <c r="U160" s="153" t="s">
        <v>1848</v>
      </c>
      <c r="V160" s="155">
        <v>4.0390000000000002E-2</v>
      </c>
      <c r="W160" s="155">
        <v>7.2700000000000001E-2</v>
      </c>
      <c r="X160" s="153" t="s">
        <v>412</v>
      </c>
      <c r="Y160" s="153" t="s">
        <v>339</v>
      </c>
      <c r="Z160" s="154">
        <v>1396049.76</v>
      </c>
      <c r="AA160" s="154">
        <v>1</v>
      </c>
      <c r="AB160" s="154">
        <v>99.72</v>
      </c>
      <c r="AD160" s="154">
        <v>1392.1410000000001</v>
      </c>
      <c r="AG160" s="157" t="s">
        <v>15</v>
      </c>
      <c r="AH160" s="155">
        <v>2.4140000000000002E-2</v>
      </c>
      <c r="AI160" s="155">
        <f t="shared" si="2"/>
        <v>5.233785022933618E-3</v>
      </c>
      <c r="AJ160" s="155">
        <v>1.2881568813976328E-3</v>
      </c>
    </row>
    <row r="161" spans="1:36" s="160" customFormat="1">
      <c r="A161" s="153" t="s">
        <v>1213</v>
      </c>
      <c r="B161" s="160">
        <v>12937</v>
      </c>
      <c r="C161" s="153" t="s">
        <v>1529</v>
      </c>
      <c r="D161" s="153" t="s">
        <v>1530</v>
      </c>
      <c r="E161" s="153" t="s">
        <v>309</v>
      </c>
      <c r="F161" s="153" t="s">
        <v>1960</v>
      </c>
      <c r="G161" s="153" t="s">
        <v>1961</v>
      </c>
      <c r="H161" s="153" t="s">
        <v>321</v>
      </c>
      <c r="I161" s="153" t="s">
        <v>754</v>
      </c>
      <c r="J161" s="153" t="s">
        <v>204</v>
      </c>
      <c r="K161" s="153" t="s">
        <v>204</v>
      </c>
      <c r="L161" s="153" t="s">
        <v>325</v>
      </c>
      <c r="M161" s="153" t="s">
        <v>340</v>
      </c>
      <c r="N161" s="153" t="s">
        <v>440</v>
      </c>
      <c r="O161" s="153" t="s">
        <v>339</v>
      </c>
      <c r="P161" s="153" t="s">
        <v>1527</v>
      </c>
      <c r="Q161" s="153" t="s">
        <v>415</v>
      </c>
      <c r="R161" s="153" t="s">
        <v>407</v>
      </c>
      <c r="S161" s="153" t="s">
        <v>1212</v>
      </c>
      <c r="T161" s="154">
        <v>3.67</v>
      </c>
      <c r="U161" s="153" t="s">
        <v>1962</v>
      </c>
      <c r="V161" s="155">
        <v>8.1899999999999994E-3</v>
      </c>
      <c r="W161" s="155">
        <v>3.6600000000000001E-2</v>
      </c>
      <c r="X161" s="153" t="s">
        <v>412</v>
      </c>
      <c r="Y161" s="153" t="s">
        <v>339</v>
      </c>
      <c r="Z161" s="154">
        <v>1282177.73</v>
      </c>
      <c r="AA161" s="154">
        <v>1</v>
      </c>
      <c r="AB161" s="154">
        <v>107.89</v>
      </c>
      <c r="AD161" s="154">
        <v>1383.3420000000001</v>
      </c>
      <c r="AG161" s="157" t="s">
        <v>15</v>
      </c>
      <c r="AH161" s="155">
        <v>1.3600000000000001E-3</v>
      </c>
      <c r="AI161" s="155">
        <f t="shared" si="2"/>
        <v>5.2007049869194546E-3</v>
      </c>
      <c r="AJ161" s="155">
        <v>1.2800151109883008E-3</v>
      </c>
    </row>
    <row r="162" spans="1:36" s="160" customFormat="1">
      <c r="A162" s="153" t="s">
        <v>1213</v>
      </c>
      <c r="B162" s="160">
        <v>12937</v>
      </c>
      <c r="C162" s="153" t="s">
        <v>1534</v>
      </c>
      <c r="D162" s="153" t="s">
        <v>1535</v>
      </c>
      <c r="E162" s="153" t="s">
        <v>309</v>
      </c>
      <c r="F162" s="153" t="s">
        <v>1536</v>
      </c>
      <c r="G162" s="153" t="s">
        <v>1537</v>
      </c>
      <c r="H162" s="153" t="s">
        <v>321</v>
      </c>
      <c r="I162" s="153" t="s">
        <v>754</v>
      </c>
      <c r="J162" s="153" t="s">
        <v>204</v>
      </c>
      <c r="K162" s="153" t="s">
        <v>204</v>
      </c>
      <c r="L162" s="153" t="s">
        <v>325</v>
      </c>
      <c r="M162" s="153" t="s">
        <v>340</v>
      </c>
      <c r="N162" s="153" t="s">
        <v>464</v>
      </c>
      <c r="O162" s="153" t="s">
        <v>339</v>
      </c>
      <c r="P162" s="153" t="s">
        <v>1538</v>
      </c>
      <c r="Q162" s="153" t="s">
        <v>413</v>
      </c>
      <c r="R162" s="153" t="s">
        <v>407</v>
      </c>
      <c r="S162" s="153" t="s">
        <v>1212</v>
      </c>
      <c r="T162" s="154">
        <v>3.33</v>
      </c>
      <c r="U162" s="153" t="s">
        <v>1539</v>
      </c>
      <c r="V162" s="155">
        <v>2.1659999999999999E-2</v>
      </c>
      <c r="W162" s="155">
        <v>2.92E-2</v>
      </c>
      <c r="X162" s="153" t="s">
        <v>412</v>
      </c>
      <c r="Y162" s="153" t="s">
        <v>339</v>
      </c>
      <c r="Z162" s="154">
        <v>1270000</v>
      </c>
      <c r="AA162" s="154">
        <v>1</v>
      </c>
      <c r="AB162" s="154">
        <v>107.2</v>
      </c>
      <c r="AC162" s="154">
        <v>16.452000000000002</v>
      </c>
      <c r="AD162" s="154">
        <v>1377.8920000000001</v>
      </c>
      <c r="AG162" s="157" t="s">
        <v>15</v>
      </c>
      <c r="AH162" s="155">
        <v>5.4000000000000001E-4</v>
      </c>
      <c r="AI162" s="155">
        <f t="shared" si="2"/>
        <v>5.1802155908202176E-3</v>
      </c>
      <c r="AJ162" s="155">
        <v>1.2749721914825775E-3</v>
      </c>
    </row>
    <row r="163" spans="1:36" s="160" customFormat="1">
      <c r="A163" s="153" t="s">
        <v>1213</v>
      </c>
      <c r="B163" s="160">
        <v>12937</v>
      </c>
      <c r="C163" s="153" t="s">
        <v>1737</v>
      </c>
      <c r="D163" s="153" t="s">
        <v>1738</v>
      </c>
      <c r="E163" s="153" t="s">
        <v>309</v>
      </c>
      <c r="F163" s="153" t="s">
        <v>1963</v>
      </c>
      <c r="G163" s="153" t="s">
        <v>1964</v>
      </c>
      <c r="H163" s="153" t="s">
        <v>321</v>
      </c>
      <c r="I163" s="153" t="s">
        <v>951</v>
      </c>
      <c r="J163" s="153" t="s">
        <v>204</v>
      </c>
      <c r="K163" s="153" t="s">
        <v>204</v>
      </c>
      <c r="L163" s="153" t="s">
        <v>325</v>
      </c>
      <c r="M163" s="153" t="s">
        <v>340</v>
      </c>
      <c r="N163" s="153" t="s">
        <v>447</v>
      </c>
      <c r="O163" s="153" t="s">
        <v>339</v>
      </c>
      <c r="Q163" s="153" t="s">
        <v>410</v>
      </c>
      <c r="R163" s="153" t="s">
        <v>410</v>
      </c>
      <c r="S163" s="153" t="s">
        <v>1212</v>
      </c>
      <c r="T163" s="154">
        <v>0.49</v>
      </c>
      <c r="U163" s="153" t="s">
        <v>1965</v>
      </c>
      <c r="V163" s="155">
        <v>3.2809999999999999E-2</v>
      </c>
      <c r="W163" s="155">
        <v>7.2599999999999998E-2</v>
      </c>
      <c r="X163" s="153" t="s">
        <v>412</v>
      </c>
      <c r="Y163" s="153" t="s">
        <v>339</v>
      </c>
      <c r="Z163" s="154">
        <v>1366800</v>
      </c>
      <c r="AA163" s="154">
        <v>1</v>
      </c>
      <c r="AB163" s="154">
        <v>100.67</v>
      </c>
      <c r="AD163" s="154">
        <v>1375.9580000000001</v>
      </c>
      <c r="AG163" s="157" t="s">
        <v>15</v>
      </c>
      <c r="AH163" s="155">
        <v>6.8100000000000001E-3</v>
      </c>
      <c r="AI163" s="155">
        <f t="shared" si="2"/>
        <v>5.1729446748466539E-3</v>
      </c>
      <c r="AJ163" s="155">
        <v>1.2731826490377943E-3</v>
      </c>
    </row>
    <row r="164" spans="1:36" s="160" customFormat="1">
      <c r="A164" s="153" t="s">
        <v>1213</v>
      </c>
      <c r="B164" s="160">
        <v>12937</v>
      </c>
      <c r="C164" s="153" t="s">
        <v>1782</v>
      </c>
      <c r="D164" s="153" t="s">
        <v>1783</v>
      </c>
      <c r="E164" s="153" t="s">
        <v>309</v>
      </c>
      <c r="F164" s="153" t="s">
        <v>1784</v>
      </c>
      <c r="G164" s="153" t="s">
        <v>1785</v>
      </c>
      <c r="H164" s="153" t="s">
        <v>321</v>
      </c>
      <c r="I164" s="153" t="s">
        <v>952</v>
      </c>
      <c r="J164" s="153" t="s">
        <v>204</v>
      </c>
      <c r="K164" s="153" t="s">
        <v>204</v>
      </c>
      <c r="L164" s="153" t="s">
        <v>325</v>
      </c>
      <c r="M164" s="153" t="s">
        <v>340</v>
      </c>
      <c r="N164" s="153" t="s">
        <v>461</v>
      </c>
      <c r="O164" s="153" t="s">
        <v>339</v>
      </c>
      <c r="Q164" s="153" t="s">
        <v>410</v>
      </c>
      <c r="R164" s="153" t="s">
        <v>410</v>
      </c>
      <c r="S164" s="153" t="s">
        <v>1212</v>
      </c>
      <c r="T164" s="154">
        <v>3.43</v>
      </c>
      <c r="U164" s="153" t="s">
        <v>1744</v>
      </c>
      <c r="V164" s="155">
        <v>5.7970000000000001E-2</v>
      </c>
      <c r="W164" s="155">
        <v>0.05</v>
      </c>
      <c r="X164" s="153" t="s">
        <v>412</v>
      </c>
      <c r="Y164" s="153" t="s">
        <v>339</v>
      </c>
      <c r="Z164" s="154">
        <v>1140000</v>
      </c>
      <c r="AA164" s="154">
        <v>1</v>
      </c>
      <c r="AB164" s="154">
        <v>100.9</v>
      </c>
      <c r="AD164" s="154">
        <v>1150.26</v>
      </c>
      <c r="AG164" s="157" t="s">
        <v>15</v>
      </c>
      <c r="AH164" s="155">
        <v>3.8E-3</v>
      </c>
      <c r="AI164" s="155">
        <f t="shared" si="2"/>
        <v>4.3244280288272686E-3</v>
      </c>
      <c r="AJ164" s="155">
        <v>1.0643428606703206E-3</v>
      </c>
    </row>
    <row r="165" spans="1:36" s="160" customFormat="1">
      <c r="A165" s="153" t="s">
        <v>1213</v>
      </c>
      <c r="B165" s="160">
        <v>12937</v>
      </c>
      <c r="C165" s="153" t="s">
        <v>1605</v>
      </c>
      <c r="D165" s="153" t="s">
        <v>1606</v>
      </c>
      <c r="E165" s="153" t="s">
        <v>311</v>
      </c>
      <c r="F165" s="153" t="s">
        <v>1655</v>
      </c>
      <c r="G165" s="153" t="s">
        <v>1656</v>
      </c>
      <c r="H165" s="153" t="s">
        <v>321</v>
      </c>
      <c r="I165" s="153" t="s">
        <v>951</v>
      </c>
      <c r="J165" s="153" t="s">
        <v>204</v>
      </c>
      <c r="K165" s="153" t="s">
        <v>224</v>
      </c>
      <c r="L165" s="153" t="s">
        <v>325</v>
      </c>
      <c r="M165" s="153" t="s">
        <v>340</v>
      </c>
      <c r="N165" s="153" t="s">
        <v>465</v>
      </c>
      <c r="O165" s="153" t="s">
        <v>339</v>
      </c>
      <c r="P165" s="153" t="s">
        <v>1538</v>
      </c>
      <c r="Q165" s="153" t="s">
        <v>413</v>
      </c>
      <c r="R165" s="153" t="s">
        <v>407</v>
      </c>
      <c r="S165" s="153" t="s">
        <v>1212</v>
      </c>
      <c r="T165" s="154">
        <v>2.4500000000000002</v>
      </c>
      <c r="U165" s="153" t="s">
        <v>1572</v>
      </c>
      <c r="V165" s="155">
        <v>6.6839999999999997E-2</v>
      </c>
      <c r="W165" s="155">
        <v>6.2E-2</v>
      </c>
      <c r="X165" s="153" t="s">
        <v>412</v>
      </c>
      <c r="Y165" s="153" t="s">
        <v>339</v>
      </c>
      <c r="Z165" s="154">
        <v>1115000</v>
      </c>
      <c r="AA165" s="154">
        <v>1</v>
      </c>
      <c r="AB165" s="154">
        <v>102.2</v>
      </c>
      <c r="AD165" s="154">
        <v>1139.53</v>
      </c>
      <c r="AG165" s="157" t="s">
        <v>15</v>
      </c>
      <c r="AH165" s="155">
        <v>2.7200000000000002E-3</v>
      </c>
      <c r="AI165" s="155">
        <f t="shared" si="2"/>
        <v>4.284088355406202E-3</v>
      </c>
      <c r="AJ165" s="155">
        <v>1.0544143237351995E-3</v>
      </c>
    </row>
    <row r="166" spans="1:36" s="160" customFormat="1">
      <c r="A166" s="153" t="s">
        <v>1213</v>
      </c>
      <c r="B166" s="160">
        <v>12937</v>
      </c>
      <c r="C166" s="153" t="s">
        <v>1966</v>
      </c>
      <c r="D166" s="153" t="s">
        <v>1967</v>
      </c>
      <c r="E166" s="153" t="s">
        <v>309</v>
      </c>
      <c r="F166" s="153" t="s">
        <v>1968</v>
      </c>
      <c r="G166" s="153" t="s">
        <v>1969</v>
      </c>
      <c r="H166" s="153" t="s">
        <v>321</v>
      </c>
      <c r="I166" s="153" t="s">
        <v>754</v>
      </c>
      <c r="J166" s="153" t="s">
        <v>204</v>
      </c>
      <c r="K166" s="153" t="s">
        <v>204</v>
      </c>
      <c r="L166" s="153" t="s">
        <v>325</v>
      </c>
      <c r="M166" s="153" t="s">
        <v>340</v>
      </c>
      <c r="N166" s="153" t="s">
        <v>477</v>
      </c>
      <c r="O166" s="153" t="s">
        <v>339</v>
      </c>
      <c r="P166" s="153" t="s">
        <v>1521</v>
      </c>
      <c r="Q166" s="153" t="s">
        <v>413</v>
      </c>
      <c r="R166" s="153" t="s">
        <v>407</v>
      </c>
      <c r="S166" s="153" t="s">
        <v>1212</v>
      </c>
      <c r="T166" s="154">
        <v>2.88</v>
      </c>
      <c r="U166" s="153" t="s">
        <v>1765</v>
      </c>
      <c r="V166" s="155">
        <v>2.726E-2</v>
      </c>
      <c r="W166" s="155">
        <v>3.09E-2</v>
      </c>
      <c r="X166" s="153" t="s">
        <v>412</v>
      </c>
      <c r="Y166" s="153" t="s">
        <v>339</v>
      </c>
      <c r="Z166" s="154">
        <v>1020588.62</v>
      </c>
      <c r="AA166" s="154">
        <v>1</v>
      </c>
      <c r="AB166" s="154">
        <v>107.46</v>
      </c>
      <c r="AD166" s="154">
        <v>1096.7249999999999</v>
      </c>
      <c r="AG166" s="157" t="s">
        <v>15</v>
      </c>
      <c r="AH166" s="155">
        <v>1.98E-3</v>
      </c>
      <c r="AI166" s="155">
        <f t="shared" si="2"/>
        <v>4.1231620067772382E-3</v>
      </c>
      <c r="AJ166" s="155">
        <v>1.0148065862228169E-3</v>
      </c>
    </row>
    <row r="167" spans="1:36" s="160" customFormat="1">
      <c r="A167" s="153" t="s">
        <v>1213</v>
      </c>
      <c r="B167" s="160">
        <v>12937</v>
      </c>
      <c r="C167" s="153" t="s">
        <v>1737</v>
      </c>
      <c r="D167" s="153" t="s">
        <v>1738</v>
      </c>
      <c r="E167" s="153" t="s">
        <v>309</v>
      </c>
      <c r="F167" s="153" t="s">
        <v>1970</v>
      </c>
      <c r="G167" s="153" t="s">
        <v>1971</v>
      </c>
      <c r="H167" s="153" t="s">
        <v>321</v>
      </c>
      <c r="I167" s="153" t="s">
        <v>951</v>
      </c>
      <c r="J167" s="153" t="s">
        <v>204</v>
      </c>
      <c r="K167" s="153" t="s">
        <v>204</v>
      </c>
      <c r="L167" s="153" t="s">
        <v>325</v>
      </c>
      <c r="M167" s="153" t="s">
        <v>340</v>
      </c>
      <c r="N167" s="153" t="s">
        <v>447</v>
      </c>
      <c r="O167" s="153" t="s">
        <v>339</v>
      </c>
      <c r="P167" s="153" t="s">
        <v>1930</v>
      </c>
      <c r="Q167" s="153" t="s">
        <v>413</v>
      </c>
      <c r="R167" s="153" t="s">
        <v>409</v>
      </c>
      <c r="S167" s="153" t="s">
        <v>1212</v>
      </c>
      <c r="T167" s="154">
        <v>1.79</v>
      </c>
      <c r="U167" s="153" t="s">
        <v>1972</v>
      </c>
      <c r="V167" s="155">
        <v>1.8030000000000001E-2</v>
      </c>
      <c r="W167" s="155">
        <v>7.1599999999999997E-2</v>
      </c>
      <c r="X167" s="153" t="s">
        <v>412</v>
      </c>
      <c r="Y167" s="153" t="s">
        <v>339</v>
      </c>
      <c r="Z167" s="154">
        <v>1169600</v>
      </c>
      <c r="AA167" s="154">
        <v>1</v>
      </c>
      <c r="AB167" s="154">
        <v>93.66</v>
      </c>
      <c r="AD167" s="154">
        <v>1095.4469999999999</v>
      </c>
      <c r="AG167" s="157" t="s">
        <v>15</v>
      </c>
      <c r="AH167" s="155">
        <v>6.1199999999999996E-3</v>
      </c>
      <c r="AI167" s="155">
        <f t="shared" si="2"/>
        <v>4.1183573373800228E-3</v>
      </c>
      <c r="AJ167" s="155">
        <v>1.0136240447313832E-3</v>
      </c>
    </row>
    <row r="168" spans="1:36" s="160" customFormat="1">
      <c r="A168" s="153" t="s">
        <v>1213</v>
      </c>
      <c r="B168" s="160">
        <v>12937</v>
      </c>
      <c r="C168" s="153" t="s">
        <v>1852</v>
      </c>
      <c r="D168" s="153" t="s">
        <v>1853</v>
      </c>
      <c r="E168" s="153" t="s">
        <v>309</v>
      </c>
      <c r="F168" s="153" t="s">
        <v>1854</v>
      </c>
      <c r="G168" s="153" t="s">
        <v>1855</v>
      </c>
      <c r="H168" s="153" t="s">
        <v>321</v>
      </c>
      <c r="I168" s="153" t="s">
        <v>754</v>
      </c>
      <c r="J168" s="153" t="s">
        <v>204</v>
      </c>
      <c r="K168" s="153" t="s">
        <v>204</v>
      </c>
      <c r="L168" s="153" t="s">
        <v>325</v>
      </c>
      <c r="M168" s="153" t="s">
        <v>340</v>
      </c>
      <c r="N168" s="153" t="s">
        <v>448</v>
      </c>
      <c r="O168" s="153" t="s">
        <v>339</v>
      </c>
      <c r="P168" s="153" t="s">
        <v>1554</v>
      </c>
      <c r="Q168" s="153" t="s">
        <v>413</v>
      </c>
      <c r="R168" s="153" t="s">
        <v>407</v>
      </c>
      <c r="S168" s="153" t="s">
        <v>1212</v>
      </c>
      <c r="T168" s="154">
        <v>2.63</v>
      </c>
      <c r="U168" s="153" t="s">
        <v>1331</v>
      </c>
      <c r="V168" s="155">
        <v>1.2200000000000001E-2</v>
      </c>
      <c r="W168" s="155">
        <v>3.4700000000000002E-2</v>
      </c>
      <c r="X168" s="153" t="s">
        <v>411</v>
      </c>
      <c r="Y168" s="153" t="s">
        <v>339</v>
      </c>
      <c r="Z168" s="154">
        <v>1000000</v>
      </c>
      <c r="AA168" s="154">
        <v>1</v>
      </c>
      <c r="AB168" s="154">
        <v>108.22</v>
      </c>
      <c r="AD168" s="154">
        <v>1082.2</v>
      </c>
      <c r="AG168" s="157" t="s">
        <v>15</v>
      </c>
      <c r="AH168" s="155">
        <v>7.0200000000000002E-3</v>
      </c>
      <c r="AI168" s="155">
        <f t="shared" si="2"/>
        <v>4.0685549465311064E-3</v>
      </c>
      <c r="AJ168" s="155">
        <v>1.001366511760316E-3</v>
      </c>
    </row>
    <row r="169" spans="1:36" s="160" customFormat="1">
      <c r="A169" s="153" t="s">
        <v>1213</v>
      </c>
      <c r="B169" s="160">
        <v>12937</v>
      </c>
      <c r="C169" s="153" t="s">
        <v>1813</v>
      </c>
      <c r="D169" s="153" t="s">
        <v>1814</v>
      </c>
      <c r="E169" s="153" t="s">
        <v>309</v>
      </c>
      <c r="F169" s="153" t="s">
        <v>1815</v>
      </c>
      <c r="G169" s="153" t="s">
        <v>1816</v>
      </c>
      <c r="H169" s="153" t="s">
        <v>321</v>
      </c>
      <c r="I169" s="153" t="s">
        <v>951</v>
      </c>
      <c r="J169" s="153" t="s">
        <v>204</v>
      </c>
      <c r="K169" s="153" t="s">
        <v>204</v>
      </c>
      <c r="L169" s="153" t="s">
        <v>325</v>
      </c>
      <c r="M169" s="153" t="s">
        <v>340</v>
      </c>
      <c r="N169" s="153" t="s">
        <v>443</v>
      </c>
      <c r="O169" s="153" t="s">
        <v>339</v>
      </c>
      <c r="P169" s="153" t="s">
        <v>1527</v>
      </c>
      <c r="Q169" s="153" t="s">
        <v>415</v>
      </c>
      <c r="R169" s="153" t="s">
        <v>407</v>
      </c>
      <c r="S169" s="153" t="s">
        <v>1212</v>
      </c>
      <c r="T169" s="154">
        <v>1.45</v>
      </c>
      <c r="U169" s="153" t="s">
        <v>1522</v>
      </c>
      <c r="V169" s="155">
        <v>3.1099999999999999E-3</v>
      </c>
      <c r="W169" s="155">
        <v>6.6000000000000003E-2</v>
      </c>
      <c r="X169" s="153" t="s">
        <v>412</v>
      </c>
      <c r="Y169" s="153" t="s">
        <v>339</v>
      </c>
      <c r="Z169" s="154">
        <v>1072000</v>
      </c>
      <c r="AA169" s="154">
        <v>1</v>
      </c>
      <c r="AB169" s="154">
        <v>100.59</v>
      </c>
      <c r="AD169" s="154">
        <v>1078.325</v>
      </c>
      <c r="AG169" s="157" t="s">
        <v>15</v>
      </c>
      <c r="AH169" s="155">
        <v>4.4299999999999999E-3</v>
      </c>
      <c r="AI169" s="155">
        <f t="shared" si="2"/>
        <v>4.0539867979284376E-3</v>
      </c>
      <c r="AJ169" s="155">
        <v>9.9778094972643029E-4</v>
      </c>
    </row>
    <row r="170" spans="1:36" s="160" customFormat="1">
      <c r="A170" s="153" t="s">
        <v>1213</v>
      </c>
      <c r="B170" s="160">
        <v>12937</v>
      </c>
      <c r="C170" s="153" t="s">
        <v>1973</v>
      </c>
      <c r="D170" s="153" t="s">
        <v>1974</v>
      </c>
      <c r="E170" s="153" t="s">
        <v>309</v>
      </c>
      <c r="F170" s="153" t="s">
        <v>1975</v>
      </c>
      <c r="G170" s="153" t="s">
        <v>1976</v>
      </c>
      <c r="H170" s="153" t="s">
        <v>321</v>
      </c>
      <c r="I170" s="153" t="s">
        <v>754</v>
      </c>
      <c r="J170" s="153" t="s">
        <v>204</v>
      </c>
      <c r="K170" s="153" t="s">
        <v>204</v>
      </c>
      <c r="L170" s="153" t="s">
        <v>325</v>
      </c>
      <c r="M170" s="153" t="s">
        <v>340</v>
      </c>
      <c r="N170" s="153" t="s">
        <v>464</v>
      </c>
      <c r="O170" s="153" t="s">
        <v>339</v>
      </c>
      <c r="P170" s="153" t="s">
        <v>1538</v>
      </c>
      <c r="Q170" s="153" t="s">
        <v>413</v>
      </c>
      <c r="R170" s="153" t="s">
        <v>407</v>
      </c>
      <c r="S170" s="153" t="s">
        <v>1212</v>
      </c>
      <c r="T170" s="154">
        <v>2.25</v>
      </c>
      <c r="U170" s="153" t="s">
        <v>1343</v>
      </c>
      <c r="V170" s="155">
        <v>6.0899999999999999E-3</v>
      </c>
      <c r="W170" s="155">
        <v>2.47E-2</v>
      </c>
      <c r="X170" s="153" t="s">
        <v>412</v>
      </c>
      <c r="Y170" s="153" t="s">
        <v>339</v>
      </c>
      <c r="Z170" s="154">
        <v>898702.46</v>
      </c>
      <c r="AA170" s="154">
        <v>1</v>
      </c>
      <c r="AB170" s="154">
        <v>116.75</v>
      </c>
      <c r="AD170" s="154">
        <v>1049.2349999999999</v>
      </c>
      <c r="AG170" s="157" t="s">
        <v>15</v>
      </c>
      <c r="AH170" s="155">
        <v>2.49E-3</v>
      </c>
      <c r="AI170" s="155">
        <f t="shared" si="2"/>
        <v>3.9446222965473709E-3</v>
      </c>
      <c r="AJ170" s="155">
        <v>9.7086378854817509E-4</v>
      </c>
    </row>
    <row r="171" spans="1:36" s="160" customFormat="1">
      <c r="A171" s="153" t="s">
        <v>1213</v>
      </c>
      <c r="B171" s="160">
        <v>12937</v>
      </c>
      <c r="C171" s="153" t="s">
        <v>1769</v>
      </c>
      <c r="D171" s="153" t="s">
        <v>1770</v>
      </c>
      <c r="E171" s="153" t="s">
        <v>309</v>
      </c>
      <c r="F171" s="153" t="s">
        <v>1977</v>
      </c>
      <c r="G171" s="153" t="s">
        <v>1978</v>
      </c>
      <c r="H171" s="153" t="s">
        <v>321</v>
      </c>
      <c r="I171" s="153" t="s">
        <v>951</v>
      </c>
      <c r="J171" s="153" t="s">
        <v>204</v>
      </c>
      <c r="K171" s="153" t="s">
        <v>204</v>
      </c>
      <c r="L171" s="153" t="s">
        <v>325</v>
      </c>
      <c r="M171" s="153" t="s">
        <v>340</v>
      </c>
      <c r="N171" s="153" t="s">
        <v>464</v>
      </c>
      <c r="O171" s="153" t="s">
        <v>339</v>
      </c>
      <c r="P171" s="153" t="s">
        <v>1521</v>
      </c>
      <c r="Q171" s="153" t="s">
        <v>413</v>
      </c>
      <c r="R171" s="153" t="s">
        <v>407</v>
      </c>
      <c r="S171" s="153" t="s">
        <v>1212</v>
      </c>
      <c r="T171" s="154">
        <v>2.91</v>
      </c>
      <c r="U171" s="153" t="s">
        <v>1979</v>
      </c>
      <c r="V171" s="155">
        <v>6.6830000000000001E-2</v>
      </c>
      <c r="W171" s="155">
        <v>6.8000000000000005E-2</v>
      </c>
      <c r="X171" s="153" t="s">
        <v>412</v>
      </c>
      <c r="Y171" s="153" t="s">
        <v>339</v>
      </c>
      <c r="Z171" s="154">
        <v>1020000</v>
      </c>
      <c r="AA171" s="154">
        <v>1</v>
      </c>
      <c r="AB171" s="154">
        <v>101.61</v>
      </c>
      <c r="AD171" s="154">
        <v>1036.422</v>
      </c>
      <c r="AG171" s="157" t="s">
        <v>15</v>
      </c>
      <c r="AH171" s="155">
        <v>7.6999999999999996E-4</v>
      </c>
      <c r="AI171" s="155">
        <f t="shared" si="2"/>
        <v>3.8964515383419539E-3</v>
      </c>
      <c r="AJ171" s="155">
        <v>9.5900783852490316E-4</v>
      </c>
    </row>
    <row r="172" spans="1:36" s="160" customFormat="1">
      <c r="A172" s="153" t="s">
        <v>1213</v>
      </c>
      <c r="B172" s="160">
        <v>12937</v>
      </c>
      <c r="C172" s="153" t="s">
        <v>1790</v>
      </c>
      <c r="D172" s="153" t="s">
        <v>1791</v>
      </c>
      <c r="E172" s="153" t="s">
        <v>309</v>
      </c>
      <c r="F172" s="153" t="s">
        <v>1792</v>
      </c>
      <c r="G172" s="153" t="s">
        <v>1793</v>
      </c>
      <c r="H172" s="153" t="s">
        <v>321</v>
      </c>
      <c r="I172" s="153" t="s">
        <v>951</v>
      </c>
      <c r="J172" s="153" t="s">
        <v>204</v>
      </c>
      <c r="K172" s="153" t="s">
        <v>204</v>
      </c>
      <c r="L172" s="153" t="s">
        <v>325</v>
      </c>
      <c r="M172" s="153" t="s">
        <v>340</v>
      </c>
      <c r="N172" s="153" t="s">
        <v>447</v>
      </c>
      <c r="O172" s="153" t="s">
        <v>339</v>
      </c>
      <c r="Q172" s="153" t="s">
        <v>410</v>
      </c>
      <c r="R172" s="153" t="s">
        <v>410</v>
      </c>
      <c r="S172" s="153" t="s">
        <v>1212</v>
      </c>
      <c r="T172" s="154">
        <v>3.45</v>
      </c>
      <c r="U172" s="153" t="s">
        <v>1794</v>
      </c>
      <c r="V172" s="155">
        <v>7.7789999999999998E-2</v>
      </c>
      <c r="W172" s="155">
        <v>6.7900000000000002E-2</v>
      </c>
      <c r="X172" s="153" t="s">
        <v>412</v>
      </c>
      <c r="Y172" s="153" t="s">
        <v>339</v>
      </c>
      <c r="Z172" s="154">
        <v>955000</v>
      </c>
      <c r="AA172" s="154">
        <v>1</v>
      </c>
      <c r="AB172" s="154">
        <v>105.11</v>
      </c>
      <c r="AD172" s="154">
        <v>1003.801</v>
      </c>
      <c r="AG172" s="157" t="s">
        <v>15</v>
      </c>
      <c r="AH172" s="155">
        <v>4.6299999999999996E-3</v>
      </c>
      <c r="AI172" s="155">
        <f t="shared" si="2"/>
        <v>3.7738121640019141E-3</v>
      </c>
      <c r="AJ172" s="155">
        <v>9.2882342069073828E-4</v>
      </c>
    </row>
    <row r="173" spans="1:36" s="160" customFormat="1">
      <c r="A173" s="153" t="s">
        <v>1213</v>
      </c>
      <c r="B173" s="160">
        <v>12937</v>
      </c>
      <c r="C173" s="153" t="s">
        <v>1674</v>
      </c>
      <c r="D173" s="153" t="s">
        <v>1675</v>
      </c>
      <c r="E173" s="153" t="s">
        <v>309</v>
      </c>
      <c r="F173" s="153" t="s">
        <v>1980</v>
      </c>
      <c r="G173" s="153" t="s">
        <v>1981</v>
      </c>
      <c r="H173" s="153" t="s">
        <v>321</v>
      </c>
      <c r="I173" s="153" t="s">
        <v>754</v>
      </c>
      <c r="J173" s="153" t="s">
        <v>204</v>
      </c>
      <c r="K173" s="153" t="s">
        <v>204</v>
      </c>
      <c r="L173" s="153" t="s">
        <v>325</v>
      </c>
      <c r="M173" s="153" t="s">
        <v>340</v>
      </c>
      <c r="N173" s="153" t="s">
        <v>464</v>
      </c>
      <c r="O173" s="153" t="s">
        <v>339</v>
      </c>
      <c r="P173" s="153" t="s">
        <v>1982</v>
      </c>
      <c r="Q173" s="153" t="s">
        <v>415</v>
      </c>
      <c r="R173" s="153" t="s">
        <v>407</v>
      </c>
      <c r="S173" s="153" t="s">
        <v>1212</v>
      </c>
      <c r="T173" s="154">
        <v>0.6</v>
      </c>
      <c r="U173" s="153" t="s">
        <v>1983</v>
      </c>
      <c r="V173" s="155">
        <v>7.1999999999999998E-3</v>
      </c>
      <c r="W173" s="155">
        <v>2.81E-2</v>
      </c>
      <c r="X173" s="153" t="s">
        <v>412</v>
      </c>
      <c r="Y173" s="153" t="s">
        <v>339</v>
      </c>
      <c r="Z173" s="154">
        <v>850161.86</v>
      </c>
      <c r="AA173" s="154">
        <v>1</v>
      </c>
      <c r="AB173" s="154">
        <v>116.48</v>
      </c>
      <c r="AD173" s="154">
        <v>990.26900000000001</v>
      </c>
      <c r="AG173" s="157" t="s">
        <v>15</v>
      </c>
      <c r="AH173" s="155">
        <v>3.6099999999999999E-3</v>
      </c>
      <c r="AI173" s="155">
        <f t="shared" si="2"/>
        <v>3.722938309320285E-3</v>
      </c>
      <c r="AJ173" s="155">
        <v>9.1630217541524334E-4</v>
      </c>
    </row>
    <row r="174" spans="1:36" s="160" customFormat="1">
      <c r="A174" s="153" t="s">
        <v>1213</v>
      </c>
      <c r="B174" s="160">
        <v>12937</v>
      </c>
      <c r="C174" s="153" t="s">
        <v>1591</v>
      </c>
      <c r="D174" s="153" t="s">
        <v>1592</v>
      </c>
      <c r="E174" s="153" t="s">
        <v>309</v>
      </c>
      <c r="F174" s="153" t="s">
        <v>1858</v>
      </c>
      <c r="G174" s="153" t="s">
        <v>1859</v>
      </c>
      <c r="H174" s="153" t="s">
        <v>321</v>
      </c>
      <c r="I174" s="153" t="s">
        <v>754</v>
      </c>
      <c r="J174" s="153" t="s">
        <v>204</v>
      </c>
      <c r="K174" s="153" t="s">
        <v>204</v>
      </c>
      <c r="L174" s="153" t="s">
        <v>325</v>
      </c>
      <c r="M174" s="153" t="s">
        <v>340</v>
      </c>
      <c r="N174" s="153" t="s">
        <v>464</v>
      </c>
      <c r="O174" s="153" t="s">
        <v>339</v>
      </c>
      <c r="P174" s="153" t="s">
        <v>1538</v>
      </c>
      <c r="Q174" s="153" t="s">
        <v>413</v>
      </c>
      <c r="R174" s="153" t="s">
        <v>407</v>
      </c>
      <c r="S174" s="153" t="s">
        <v>1212</v>
      </c>
      <c r="T174" s="154">
        <v>5.14</v>
      </c>
      <c r="U174" s="153" t="s">
        <v>1860</v>
      </c>
      <c r="V174" s="155">
        <v>3.193E-2</v>
      </c>
      <c r="W174" s="155">
        <v>3.32E-2</v>
      </c>
      <c r="X174" s="153" t="s">
        <v>412</v>
      </c>
      <c r="Y174" s="153" t="s">
        <v>339</v>
      </c>
      <c r="Z174" s="154">
        <v>1000000</v>
      </c>
      <c r="AA174" s="154">
        <v>1</v>
      </c>
      <c r="AB174" s="154">
        <v>97.54</v>
      </c>
      <c r="AD174" s="154">
        <v>975.4</v>
      </c>
      <c r="AG174" s="157" t="s">
        <v>15</v>
      </c>
      <c r="AH174" s="155">
        <v>7.1000000000000002E-4</v>
      </c>
      <c r="AI174" s="155">
        <f t="shared" si="2"/>
        <v>3.6670379734304575E-3</v>
      </c>
      <c r="AJ174" s="155">
        <v>9.0254379557476645E-4</v>
      </c>
    </row>
    <row r="175" spans="1:36" s="160" customFormat="1">
      <c r="A175" s="153" t="s">
        <v>1213</v>
      </c>
      <c r="B175" s="160">
        <v>12937</v>
      </c>
      <c r="C175" s="153" t="s">
        <v>1660</v>
      </c>
      <c r="D175" s="153" t="s">
        <v>1661</v>
      </c>
      <c r="E175" s="153" t="s">
        <v>309</v>
      </c>
      <c r="F175" s="153" t="s">
        <v>1662</v>
      </c>
      <c r="G175" s="153" t="s">
        <v>1663</v>
      </c>
      <c r="H175" s="153" t="s">
        <v>321</v>
      </c>
      <c r="I175" s="153" t="s">
        <v>754</v>
      </c>
      <c r="J175" s="153" t="s">
        <v>204</v>
      </c>
      <c r="K175" s="153" t="s">
        <v>204</v>
      </c>
      <c r="L175" s="153" t="s">
        <v>325</v>
      </c>
      <c r="M175" s="153" t="s">
        <v>340</v>
      </c>
      <c r="N175" s="153" t="s">
        <v>451</v>
      </c>
      <c r="O175" s="153" t="s">
        <v>339</v>
      </c>
      <c r="P175" s="153" t="s">
        <v>1614</v>
      </c>
      <c r="Q175" s="153" t="s">
        <v>415</v>
      </c>
      <c r="R175" s="153" t="s">
        <v>407</v>
      </c>
      <c r="S175" s="153" t="s">
        <v>1212</v>
      </c>
      <c r="T175" s="154">
        <v>3.02</v>
      </c>
      <c r="U175" s="153" t="s">
        <v>1664</v>
      </c>
      <c r="V175" s="155">
        <v>3.049E-2</v>
      </c>
      <c r="W175" s="155">
        <v>3.4099999999999998E-2</v>
      </c>
      <c r="X175" s="153" t="s">
        <v>412</v>
      </c>
      <c r="Y175" s="153" t="s">
        <v>339</v>
      </c>
      <c r="Z175" s="154">
        <v>896000</v>
      </c>
      <c r="AA175" s="154">
        <v>1</v>
      </c>
      <c r="AB175" s="154">
        <v>108.68</v>
      </c>
      <c r="AD175" s="154">
        <v>973.77300000000002</v>
      </c>
      <c r="AG175" s="157" t="s">
        <v>15</v>
      </c>
      <c r="AH175" s="155">
        <v>2.5400000000000002E-3</v>
      </c>
      <c r="AI175" s="155">
        <f t="shared" si="2"/>
        <v>3.6609212307784468E-3</v>
      </c>
      <c r="AJ175" s="155">
        <v>9.010383221737001E-4</v>
      </c>
    </row>
    <row r="176" spans="1:36" s="160" customFormat="1">
      <c r="A176" s="153" t="s">
        <v>1213</v>
      </c>
      <c r="B176" s="160">
        <v>12937</v>
      </c>
      <c r="C176" s="153" t="s">
        <v>1807</v>
      </c>
      <c r="D176" s="153" t="s">
        <v>1808</v>
      </c>
      <c r="E176" s="153" t="s">
        <v>309</v>
      </c>
      <c r="F176" s="153" t="s">
        <v>1809</v>
      </c>
      <c r="G176" s="153" t="s">
        <v>1810</v>
      </c>
      <c r="H176" s="153" t="s">
        <v>321</v>
      </c>
      <c r="I176" s="153" t="s">
        <v>754</v>
      </c>
      <c r="J176" s="153" t="s">
        <v>204</v>
      </c>
      <c r="K176" s="153" t="s">
        <v>204</v>
      </c>
      <c r="L176" s="153" t="s">
        <v>325</v>
      </c>
      <c r="M176" s="153" t="s">
        <v>340</v>
      </c>
      <c r="N176" s="153" t="s">
        <v>464</v>
      </c>
      <c r="O176" s="153" t="s">
        <v>339</v>
      </c>
      <c r="P176" s="153" t="s">
        <v>1811</v>
      </c>
      <c r="Q176" s="153" t="s">
        <v>413</v>
      </c>
      <c r="R176" s="153" t="s">
        <v>407</v>
      </c>
      <c r="S176" s="153" t="s">
        <v>1212</v>
      </c>
      <c r="T176" s="154">
        <v>6.92</v>
      </c>
      <c r="U176" s="153" t="s">
        <v>1812</v>
      </c>
      <c r="V176" s="155">
        <v>2.8369999999999999E-2</v>
      </c>
      <c r="W176" s="155">
        <v>3.3399999999999999E-2</v>
      </c>
      <c r="X176" s="153" t="s">
        <v>412</v>
      </c>
      <c r="Y176" s="153" t="s">
        <v>339</v>
      </c>
      <c r="Z176" s="154">
        <v>980000</v>
      </c>
      <c r="AA176" s="154">
        <v>1</v>
      </c>
      <c r="AB176" s="154">
        <v>96.33</v>
      </c>
      <c r="AD176" s="154">
        <v>944.03399999999999</v>
      </c>
      <c r="AG176" s="157" t="s">
        <v>15</v>
      </c>
      <c r="AH176" s="155">
        <v>3.6000000000000002E-4</v>
      </c>
      <c r="AI176" s="155">
        <f t="shared" si="2"/>
        <v>3.5491167994765723E-3</v>
      </c>
      <c r="AJ176" s="155">
        <v>8.7352063718641488E-4</v>
      </c>
    </row>
    <row r="177" spans="1:36" s="160" customFormat="1">
      <c r="A177" s="153" t="s">
        <v>1213</v>
      </c>
      <c r="B177" s="160">
        <v>12937</v>
      </c>
      <c r="C177" s="153" t="s">
        <v>1973</v>
      </c>
      <c r="D177" s="153" t="s">
        <v>1974</v>
      </c>
      <c r="E177" s="153" t="s">
        <v>309</v>
      </c>
      <c r="F177" s="153" t="s">
        <v>1984</v>
      </c>
      <c r="G177" s="153" t="s">
        <v>1985</v>
      </c>
      <c r="H177" s="153" t="s">
        <v>321</v>
      </c>
      <c r="I177" s="153" t="s">
        <v>754</v>
      </c>
      <c r="J177" s="153" t="s">
        <v>204</v>
      </c>
      <c r="K177" s="153" t="s">
        <v>204</v>
      </c>
      <c r="L177" s="153" t="s">
        <v>325</v>
      </c>
      <c r="M177" s="153" t="s">
        <v>340</v>
      </c>
      <c r="N177" s="153" t="s">
        <v>464</v>
      </c>
      <c r="O177" s="153" t="s">
        <v>339</v>
      </c>
      <c r="P177" s="153" t="s">
        <v>1538</v>
      </c>
      <c r="Q177" s="153" t="s">
        <v>413</v>
      </c>
      <c r="R177" s="153" t="s">
        <v>407</v>
      </c>
      <c r="S177" s="153" t="s">
        <v>1212</v>
      </c>
      <c r="T177" s="154">
        <v>1.89</v>
      </c>
      <c r="U177" s="153" t="s">
        <v>1522</v>
      </c>
      <c r="V177" s="155">
        <v>6.7499999999999999E-3</v>
      </c>
      <c r="W177" s="155">
        <v>2.4899999999999999E-2</v>
      </c>
      <c r="X177" s="153" t="s">
        <v>412</v>
      </c>
      <c r="Y177" s="153" t="s">
        <v>339</v>
      </c>
      <c r="Z177" s="154">
        <v>807209.3</v>
      </c>
      <c r="AA177" s="154">
        <v>1</v>
      </c>
      <c r="AB177" s="154">
        <v>115.87</v>
      </c>
      <c r="AD177" s="154">
        <v>935.31299999999999</v>
      </c>
      <c r="AG177" s="157" t="s">
        <v>15</v>
      </c>
      <c r="AH177" s="155">
        <v>1.5E-3</v>
      </c>
      <c r="AI177" s="155">
        <f t="shared" si="2"/>
        <v>3.5163300061955725E-3</v>
      </c>
      <c r="AJ177" s="155">
        <v>8.6545104067092631E-4</v>
      </c>
    </row>
    <row r="178" spans="1:36" s="160" customFormat="1">
      <c r="A178" s="153" t="s">
        <v>1213</v>
      </c>
      <c r="B178" s="160">
        <v>12937</v>
      </c>
      <c r="C178" s="153" t="s">
        <v>1820</v>
      </c>
      <c r="D178" s="153" t="s">
        <v>1821</v>
      </c>
      <c r="E178" s="153" t="s">
        <v>309</v>
      </c>
      <c r="F178" s="153" t="s">
        <v>1822</v>
      </c>
      <c r="G178" s="153" t="s">
        <v>1823</v>
      </c>
      <c r="H178" s="153" t="s">
        <v>321</v>
      </c>
      <c r="I178" s="153" t="s">
        <v>754</v>
      </c>
      <c r="J178" s="153" t="s">
        <v>204</v>
      </c>
      <c r="K178" s="153" t="s">
        <v>204</v>
      </c>
      <c r="L178" s="153" t="s">
        <v>325</v>
      </c>
      <c r="M178" s="153" t="s">
        <v>340</v>
      </c>
      <c r="N178" s="153" t="s">
        <v>464</v>
      </c>
      <c r="O178" s="153" t="s">
        <v>339</v>
      </c>
      <c r="P178" s="153" t="s">
        <v>1538</v>
      </c>
      <c r="Q178" s="153" t="s">
        <v>413</v>
      </c>
      <c r="R178" s="153" t="s">
        <v>407</v>
      </c>
      <c r="S178" s="153" t="s">
        <v>1212</v>
      </c>
      <c r="T178" s="154">
        <v>5.36</v>
      </c>
      <c r="U178" s="153" t="s">
        <v>1824</v>
      </c>
      <c r="V178" s="155">
        <v>3.091E-2</v>
      </c>
      <c r="W178" s="155">
        <v>3.3099999999999997E-2</v>
      </c>
      <c r="X178" s="153" t="s">
        <v>412</v>
      </c>
      <c r="Y178" s="153" t="s">
        <v>339</v>
      </c>
      <c r="Z178" s="154">
        <v>872048.19</v>
      </c>
      <c r="AA178" s="154">
        <v>1</v>
      </c>
      <c r="AB178" s="154">
        <v>99.45</v>
      </c>
      <c r="AD178" s="154">
        <v>867.25199999999995</v>
      </c>
      <c r="AG178" s="157" t="s">
        <v>15</v>
      </c>
      <c r="AH178" s="155">
        <v>3.8999999999999999E-4</v>
      </c>
      <c r="AI178" s="155">
        <f t="shared" si="2"/>
        <v>3.2604531643771898E-3</v>
      </c>
      <c r="AJ178" s="155">
        <v>8.0247376645459017E-4</v>
      </c>
    </row>
    <row r="179" spans="1:36" s="160" customFormat="1">
      <c r="A179" s="153" t="s">
        <v>1213</v>
      </c>
      <c r="B179" s="160">
        <v>12937</v>
      </c>
      <c r="C179" s="153" t="s">
        <v>1825</v>
      </c>
      <c r="D179" s="153" t="s">
        <v>1826</v>
      </c>
      <c r="E179" s="153" t="s">
        <v>309</v>
      </c>
      <c r="F179" s="153" t="s">
        <v>1827</v>
      </c>
      <c r="G179" s="153" t="s">
        <v>1828</v>
      </c>
      <c r="H179" s="153" t="s">
        <v>321</v>
      </c>
      <c r="I179" s="153" t="s">
        <v>951</v>
      </c>
      <c r="J179" s="153" t="s">
        <v>204</v>
      </c>
      <c r="K179" s="153" t="s">
        <v>204</v>
      </c>
      <c r="L179" s="153" t="s">
        <v>325</v>
      </c>
      <c r="M179" s="153" t="s">
        <v>340</v>
      </c>
      <c r="N179" s="153" t="s">
        <v>441</v>
      </c>
      <c r="O179" s="153" t="s">
        <v>339</v>
      </c>
      <c r="Q179" s="153" t="s">
        <v>410</v>
      </c>
      <c r="R179" s="153" t="s">
        <v>410</v>
      </c>
      <c r="S179" s="153" t="s">
        <v>1212</v>
      </c>
      <c r="T179" s="154">
        <v>3.39</v>
      </c>
      <c r="U179" s="153" t="s">
        <v>1283</v>
      </c>
      <c r="V179" s="155">
        <v>5.994E-2</v>
      </c>
      <c r="W179" s="155">
        <v>7.0499999999999993E-2</v>
      </c>
      <c r="X179" s="153" t="s">
        <v>412</v>
      </c>
      <c r="Y179" s="153" t="s">
        <v>339</v>
      </c>
      <c r="Z179" s="154">
        <v>903000</v>
      </c>
      <c r="AA179" s="154">
        <v>1</v>
      </c>
      <c r="AB179" s="154">
        <v>95.4</v>
      </c>
      <c r="AD179" s="154">
        <v>861.46199999999999</v>
      </c>
      <c r="AG179" s="157" t="s">
        <v>15</v>
      </c>
      <c r="AH179" s="155">
        <v>3.4499999999999999E-3</v>
      </c>
      <c r="AI179" s="155">
        <f t="shared" si="2"/>
        <v>3.238685530723138E-3</v>
      </c>
      <c r="AJ179" s="155">
        <v>7.9711624279621635E-4</v>
      </c>
    </row>
    <row r="180" spans="1:36" s="160" customFormat="1">
      <c r="A180" s="153" t="s">
        <v>1213</v>
      </c>
      <c r="B180" s="160">
        <v>12937</v>
      </c>
      <c r="C180" s="153" t="s">
        <v>1986</v>
      </c>
      <c r="D180" s="153" t="s">
        <v>1987</v>
      </c>
      <c r="E180" s="153" t="s">
        <v>309</v>
      </c>
      <c r="F180" s="153" t="s">
        <v>1988</v>
      </c>
      <c r="G180" s="153" t="s">
        <v>1989</v>
      </c>
      <c r="H180" s="153" t="s">
        <v>321</v>
      </c>
      <c r="I180" s="153" t="s">
        <v>754</v>
      </c>
      <c r="J180" s="153" t="s">
        <v>204</v>
      </c>
      <c r="K180" s="153" t="s">
        <v>204</v>
      </c>
      <c r="L180" s="153" t="s">
        <v>325</v>
      </c>
      <c r="M180" s="153" t="s">
        <v>340</v>
      </c>
      <c r="N180" s="153" t="s">
        <v>484</v>
      </c>
      <c r="O180" s="153" t="s">
        <v>339</v>
      </c>
      <c r="P180" s="153" t="s">
        <v>1538</v>
      </c>
      <c r="Q180" s="153" t="s">
        <v>413</v>
      </c>
      <c r="R180" s="153" t="s">
        <v>407</v>
      </c>
      <c r="S180" s="153" t="s">
        <v>1212</v>
      </c>
      <c r="T180" s="154">
        <v>8.3699999999999992</v>
      </c>
      <c r="U180" s="153" t="s">
        <v>1990</v>
      </c>
      <c r="V180" s="155">
        <v>6.3E-3</v>
      </c>
      <c r="W180" s="155">
        <v>3.1600000000000003E-2</v>
      </c>
      <c r="X180" s="153" t="s">
        <v>412</v>
      </c>
      <c r="Y180" s="153" t="s">
        <v>339</v>
      </c>
      <c r="Z180" s="154">
        <v>938401</v>
      </c>
      <c r="AA180" s="154">
        <v>1</v>
      </c>
      <c r="AB180" s="154">
        <v>91.2</v>
      </c>
      <c r="AD180" s="154">
        <v>855.822</v>
      </c>
      <c r="AG180" s="157" t="s">
        <v>15</v>
      </c>
      <c r="AH180" s="155">
        <v>1.9599999999999999E-3</v>
      </c>
      <c r="AI180" s="155">
        <f t="shared" si="2"/>
        <v>3.2174818254020925E-3</v>
      </c>
      <c r="AJ180" s="155">
        <v>7.9189751508754126E-4</v>
      </c>
    </row>
    <row r="181" spans="1:36" s="160" customFormat="1">
      <c r="A181" s="153" t="s">
        <v>1213</v>
      </c>
      <c r="B181" s="160">
        <v>12937</v>
      </c>
      <c r="C181" s="153" t="s">
        <v>1683</v>
      </c>
      <c r="D181" s="153" t="s">
        <v>1684</v>
      </c>
      <c r="E181" s="153" t="s">
        <v>309</v>
      </c>
      <c r="F181" s="153" t="s">
        <v>1685</v>
      </c>
      <c r="G181" s="153" t="s">
        <v>1686</v>
      </c>
      <c r="H181" s="153" t="s">
        <v>321</v>
      </c>
      <c r="I181" s="153" t="s">
        <v>754</v>
      </c>
      <c r="J181" s="153" t="s">
        <v>204</v>
      </c>
      <c r="K181" s="153" t="s">
        <v>204</v>
      </c>
      <c r="L181" s="153" t="s">
        <v>325</v>
      </c>
      <c r="M181" s="153" t="s">
        <v>340</v>
      </c>
      <c r="N181" s="153" t="s">
        <v>441</v>
      </c>
      <c r="O181" s="153" t="s">
        <v>339</v>
      </c>
      <c r="Q181" s="153" t="s">
        <v>410</v>
      </c>
      <c r="R181" s="153" t="s">
        <v>410</v>
      </c>
      <c r="S181" s="153" t="s">
        <v>1212</v>
      </c>
      <c r="T181" s="154">
        <v>2.4900000000000002</v>
      </c>
      <c r="U181" s="153" t="s">
        <v>1528</v>
      </c>
      <c r="V181" s="155">
        <v>4.8399999999999997E-3</v>
      </c>
      <c r="W181" s="155">
        <v>3.1399999999999997E-2</v>
      </c>
      <c r="X181" s="153" t="s">
        <v>412</v>
      </c>
      <c r="Y181" s="153" t="s">
        <v>339</v>
      </c>
      <c r="Z181" s="154">
        <v>746614.44</v>
      </c>
      <c r="AA181" s="154">
        <v>1</v>
      </c>
      <c r="AB181" s="154">
        <v>109.1</v>
      </c>
      <c r="AD181" s="154">
        <v>814.55600000000004</v>
      </c>
      <c r="AG181" s="157" t="s">
        <v>15</v>
      </c>
      <c r="AH181" s="155">
        <v>9.8999999999999999E-4</v>
      </c>
      <c r="AI181" s="155">
        <f t="shared" si="2"/>
        <v>3.0623413814697764E-3</v>
      </c>
      <c r="AJ181" s="155">
        <v>7.5371382401906851E-4</v>
      </c>
    </row>
    <row r="182" spans="1:36" s="160" customFormat="1">
      <c r="A182" s="153" t="s">
        <v>1213</v>
      </c>
      <c r="B182" s="160">
        <v>12937</v>
      </c>
      <c r="C182" s="153" t="s">
        <v>1991</v>
      </c>
      <c r="D182" s="153" t="s">
        <v>1992</v>
      </c>
      <c r="E182" s="153" t="s">
        <v>311</v>
      </c>
      <c r="F182" s="153" t="s">
        <v>1993</v>
      </c>
      <c r="G182" s="153" t="s">
        <v>1994</v>
      </c>
      <c r="H182" s="153" t="s">
        <v>321</v>
      </c>
      <c r="I182" s="153" t="s">
        <v>951</v>
      </c>
      <c r="J182" s="153" t="s">
        <v>204</v>
      </c>
      <c r="K182" s="153" t="s">
        <v>224</v>
      </c>
      <c r="L182" s="153" t="s">
        <v>325</v>
      </c>
      <c r="M182" s="153" t="s">
        <v>340</v>
      </c>
      <c r="N182" s="153" t="s">
        <v>465</v>
      </c>
      <c r="O182" s="153" t="s">
        <v>339</v>
      </c>
      <c r="Q182" s="153" t="s">
        <v>410</v>
      </c>
      <c r="R182" s="153" t="s">
        <v>410</v>
      </c>
      <c r="S182" s="153" t="s">
        <v>1212</v>
      </c>
      <c r="T182" s="154">
        <v>1.68</v>
      </c>
      <c r="U182" s="153" t="s">
        <v>1833</v>
      </c>
      <c r="V182" s="155">
        <v>3.9910000000000001E-2</v>
      </c>
      <c r="W182" s="155">
        <v>7.17E-2</v>
      </c>
      <c r="X182" s="153" t="s">
        <v>412</v>
      </c>
      <c r="Y182" s="153" t="s">
        <v>339</v>
      </c>
      <c r="Z182" s="154">
        <v>829806</v>
      </c>
      <c r="AA182" s="154">
        <v>1</v>
      </c>
      <c r="AB182" s="154">
        <v>97.03</v>
      </c>
      <c r="AD182" s="154">
        <v>805.16099999999994</v>
      </c>
      <c r="AG182" s="157" t="s">
        <v>15</v>
      </c>
      <c r="AH182" s="155">
        <v>2.31E-3</v>
      </c>
      <c r="AI182" s="155">
        <f t="shared" si="2"/>
        <v>3.0270206702124672E-3</v>
      </c>
      <c r="AJ182" s="155">
        <v>7.4502057103626666E-4</v>
      </c>
    </row>
    <row r="183" spans="1:36" s="160" customFormat="1">
      <c r="A183" s="153" t="s">
        <v>1213</v>
      </c>
      <c r="B183" s="160">
        <v>12937</v>
      </c>
      <c r="C183" s="153" t="s">
        <v>1861</v>
      </c>
      <c r="D183" s="153" t="s">
        <v>1862</v>
      </c>
      <c r="E183" s="153" t="s">
        <v>309</v>
      </c>
      <c r="F183" s="153" t="s">
        <v>1995</v>
      </c>
      <c r="G183" s="153" t="s">
        <v>1996</v>
      </c>
      <c r="H183" s="153" t="s">
        <v>321</v>
      </c>
      <c r="I183" s="153" t="s">
        <v>754</v>
      </c>
      <c r="J183" s="153" t="s">
        <v>204</v>
      </c>
      <c r="K183" s="153" t="s">
        <v>204</v>
      </c>
      <c r="L183" s="153" t="s">
        <v>325</v>
      </c>
      <c r="M183" s="153" t="s">
        <v>340</v>
      </c>
      <c r="N183" s="153" t="s">
        <v>464</v>
      </c>
      <c r="O183" s="153" t="s">
        <v>339</v>
      </c>
      <c r="P183" s="153" t="s">
        <v>1538</v>
      </c>
      <c r="Q183" s="153" t="s">
        <v>413</v>
      </c>
      <c r="R183" s="153" t="s">
        <v>407</v>
      </c>
      <c r="S183" s="153" t="s">
        <v>1212</v>
      </c>
      <c r="T183" s="154">
        <v>1.5</v>
      </c>
      <c r="U183" s="153" t="s">
        <v>1997</v>
      </c>
      <c r="V183" s="155">
        <v>1.3100000000000001E-2</v>
      </c>
      <c r="W183" s="155">
        <v>2.53E-2</v>
      </c>
      <c r="X183" s="153" t="s">
        <v>412</v>
      </c>
      <c r="Y183" s="153" t="s">
        <v>339</v>
      </c>
      <c r="Z183" s="154">
        <v>616133.56000000006</v>
      </c>
      <c r="AA183" s="154">
        <v>1</v>
      </c>
      <c r="AB183" s="154">
        <v>117.88</v>
      </c>
      <c r="AD183" s="154">
        <v>726.298</v>
      </c>
      <c r="AG183" s="157" t="s">
        <v>15</v>
      </c>
      <c r="AH183" s="155">
        <v>5.1999999999999995E-4</v>
      </c>
      <c r="AI183" s="155">
        <f t="shared" si="2"/>
        <v>2.7305334693731747E-3</v>
      </c>
      <c r="AJ183" s="155">
        <v>6.7204813782895394E-4</v>
      </c>
    </row>
    <row r="184" spans="1:36" s="160" customFormat="1">
      <c r="A184" s="153" t="s">
        <v>1213</v>
      </c>
      <c r="B184" s="160">
        <v>12937</v>
      </c>
      <c r="C184" s="153" t="s">
        <v>1998</v>
      </c>
      <c r="D184" s="153" t="s">
        <v>1999</v>
      </c>
      <c r="E184" s="153" t="s">
        <v>309</v>
      </c>
      <c r="F184" s="153" t="s">
        <v>2000</v>
      </c>
      <c r="G184" s="153" t="s">
        <v>2001</v>
      </c>
      <c r="H184" s="153" t="s">
        <v>321</v>
      </c>
      <c r="I184" s="153" t="s">
        <v>754</v>
      </c>
      <c r="J184" s="153" t="s">
        <v>204</v>
      </c>
      <c r="K184" s="153" t="s">
        <v>204</v>
      </c>
      <c r="L184" s="153" t="s">
        <v>325</v>
      </c>
      <c r="M184" s="153" t="s">
        <v>340</v>
      </c>
      <c r="N184" s="153" t="s">
        <v>464</v>
      </c>
      <c r="O184" s="153" t="s">
        <v>339</v>
      </c>
      <c r="P184" s="153" t="s">
        <v>1560</v>
      </c>
      <c r="Q184" s="153" t="s">
        <v>413</v>
      </c>
      <c r="R184" s="153" t="s">
        <v>407</v>
      </c>
      <c r="S184" s="153" t="s">
        <v>1212</v>
      </c>
      <c r="T184" s="154">
        <v>3.2</v>
      </c>
      <c r="U184" s="153" t="s">
        <v>1913</v>
      </c>
      <c r="V184" s="155">
        <v>3.431E-2</v>
      </c>
      <c r="W184" s="155">
        <v>3.32E-2</v>
      </c>
      <c r="X184" s="153" t="s">
        <v>412</v>
      </c>
      <c r="Y184" s="153" t="s">
        <v>339</v>
      </c>
      <c r="Z184" s="154">
        <v>677000</v>
      </c>
      <c r="AA184" s="154">
        <v>1</v>
      </c>
      <c r="AB184" s="154">
        <v>105.81</v>
      </c>
      <c r="AD184" s="154">
        <v>716.33399999999995</v>
      </c>
      <c r="AG184" s="157" t="s">
        <v>15</v>
      </c>
      <c r="AH184" s="155">
        <v>1.5499999999999999E-3</v>
      </c>
      <c r="AI184" s="155">
        <f t="shared" si="2"/>
        <v>2.6930735899726608E-3</v>
      </c>
      <c r="AJ184" s="155">
        <v>6.6282838554362791E-4</v>
      </c>
    </row>
    <row r="185" spans="1:36" s="160" customFormat="1">
      <c r="A185" s="153" t="s">
        <v>1213</v>
      </c>
      <c r="B185" s="160">
        <v>12937</v>
      </c>
      <c r="C185" s="153" t="s">
        <v>1807</v>
      </c>
      <c r="D185" s="153" t="s">
        <v>1808</v>
      </c>
      <c r="E185" s="153" t="s">
        <v>309</v>
      </c>
      <c r="F185" s="153" t="s">
        <v>2002</v>
      </c>
      <c r="G185" s="153" t="s">
        <v>2003</v>
      </c>
      <c r="H185" s="153" t="s">
        <v>321</v>
      </c>
      <c r="I185" s="153" t="s">
        <v>754</v>
      </c>
      <c r="J185" s="153" t="s">
        <v>204</v>
      </c>
      <c r="K185" s="153" t="s">
        <v>204</v>
      </c>
      <c r="L185" s="153" t="s">
        <v>325</v>
      </c>
      <c r="M185" s="153" t="s">
        <v>340</v>
      </c>
      <c r="N185" s="153" t="s">
        <v>464</v>
      </c>
      <c r="O185" s="153" t="s">
        <v>339</v>
      </c>
      <c r="P185" s="153" t="s">
        <v>1811</v>
      </c>
      <c r="Q185" s="153" t="s">
        <v>413</v>
      </c>
      <c r="R185" s="153" t="s">
        <v>407</v>
      </c>
      <c r="S185" s="153" t="s">
        <v>1212</v>
      </c>
      <c r="T185" s="154">
        <v>0.5</v>
      </c>
      <c r="U185" s="153" t="s">
        <v>1965</v>
      </c>
      <c r="V185" s="155">
        <v>3.9500000000000004E-3</v>
      </c>
      <c r="W185" s="155">
        <v>2.7900000000000001E-2</v>
      </c>
      <c r="X185" s="153" t="s">
        <v>412</v>
      </c>
      <c r="Y185" s="153" t="s">
        <v>339</v>
      </c>
      <c r="Z185" s="154">
        <v>605563.81000000006</v>
      </c>
      <c r="AA185" s="154">
        <v>1</v>
      </c>
      <c r="AB185" s="154">
        <v>114.12</v>
      </c>
      <c r="AC185" s="154">
        <v>2.27</v>
      </c>
      <c r="AD185" s="154">
        <v>693.33900000000006</v>
      </c>
      <c r="AG185" s="157" t="s">
        <v>15</v>
      </c>
      <c r="AH185" s="155">
        <v>1.1100000000000001E-3</v>
      </c>
      <c r="AI185" s="155">
        <f t="shared" si="2"/>
        <v>2.6066233765227602E-3</v>
      </c>
      <c r="AJ185" s="155">
        <v>6.4155096645480113E-4</v>
      </c>
    </row>
    <row r="186" spans="1:36" s="160" customFormat="1">
      <c r="A186" s="153" t="s">
        <v>1213</v>
      </c>
      <c r="B186" s="160">
        <v>12937</v>
      </c>
      <c r="C186" s="153" t="s">
        <v>1973</v>
      </c>
      <c r="D186" s="153" t="s">
        <v>1974</v>
      </c>
      <c r="E186" s="153" t="s">
        <v>309</v>
      </c>
      <c r="F186" s="153" t="s">
        <v>2004</v>
      </c>
      <c r="G186" s="153" t="s">
        <v>2005</v>
      </c>
      <c r="H186" s="153" t="s">
        <v>321</v>
      </c>
      <c r="I186" s="153" t="s">
        <v>754</v>
      </c>
      <c r="J186" s="153" t="s">
        <v>204</v>
      </c>
      <c r="K186" s="153" t="s">
        <v>204</v>
      </c>
      <c r="L186" s="153" t="s">
        <v>325</v>
      </c>
      <c r="M186" s="153" t="s">
        <v>340</v>
      </c>
      <c r="N186" s="153" t="s">
        <v>464</v>
      </c>
      <c r="O186" s="153" t="s">
        <v>339</v>
      </c>
      <c r="P186" s="153" t="s">
        <v>1538</v>
      </c>
      <c r="Q186" s="153" t="s">
        <v>413</v>
      </c>
      <c r="R186" s="153" t="s">
        <v>407</v>
      </c>
      <c r="S186" s="153" t="s">
        <v>1212</v>
      </c>
      <c r="T186" s="154">
        <v>3.44</v>
      </c>
      <c r="U186" s="153" t="s">
        <v>1913</v>
      </c>
      <c r="V186" s="155">
        <v>2.487E-2</v>
      </c>
      <c r="W186" s="155">
        <v>2.93E-2</v>
      </c>
      <c r="X186" s="153" t="s">
        <v>412</v>
      </c>
      <c r="Y186" s="153" t="s">
        <v>339</v>
      </c>
      <c r="Z186" s="154">
        <v>508940</v>
      </c>
      <c r="AA186" s="154">
        <v>1</v>
      </c>
      <c r="AB186" s="154">
        <v>117.13</v>
      </c>
      <c r="AD186" s="154">
        <v>596.12099999999998</v>
      </c>
      <c r="AG186" s="157" t="s">
        <v>15</v>
      </c>
      <c r="AH186" s="155">
        <v>3.6999999999999999E-4</v>
      </c>
      <c r="AI186" s="155">
        <f t="shared" si="2"/>
        <v>2.2411301453345682E-3</v>
      </c>
      <c r="AJ186" s="155">
        <v>5.5159453553601124E-4</v>
      </c>
    </row>
    <row r="187" spans="1:36" s="160" customFormat="1">
      <c r="A187" s="153" t="s">
        <v>1213</v>
      </c>
      <c r="B187" s="160">
        <v>12937</v>
      </c>
      <c r="C187" s="153" t="s">
        <v>1795</v>
      </c>
      <c r="D187" s="153" t="s">
        <v>1796</v>
      </c>
      <c r="E187" s="153" t="s">
        <v>309</v>
      </c>
      <c r="F187" s="153" t="s">
        <v>1797</v>
      </c>
      <c r="G187" s="153" t="s">
        <v>1798</v>
      </c>
      <c r="H187" s="153" t="s">
        <v>321</v>
      </c>
      <c r="I187" s="153" t="s">
        <v>951</v>
      </c>
      <c r="J187" s="153" t="s">
        <v>204</v>
      </c>
      <c r="K187" s="153" t="s">
        <v>204</v>
      </c>
      <c r="L187" s="153" t="s">
        <v>325</v>
      </c>
      <c r="M187" s="153" t="s">
        <v>340</v>
      </c>
      <c r="N187" s="153" t="s">
        <v>447</v>
      </c>
      <c r="O187" s="153" t="s">
        <v>339</v>
      </c>
      <c r="Q187" s="153" t="s">
        <v>410</v>
      </c>
      <c r="R187" s="153" t="s">
        <v>410</v>
      </c>
      <c r="S187" s="153" t="s">
        <v>1212</v>
      </c>
      <c r="T187" s="154">
        <v>3.6</v>
      </c>
      <c r="U187" s="153" t="s">
        <v>1654</v>
      </c>
      <c r="V187" s="155">
        <v>6.368E-2</v>
      </c>
      <c r="W187" s="155">
        <v>1.7299999999999999E-2</v>
      </c>
      <c r="X187" s="153" t="s">
        <v>412</v>
      </c>
      <c r="Y187" s="153" t="s">
        <v>339</v>
      </c>
      <c r="Z187" s="154">
        <v>461000</v>
      </c>
      <c r="AA187" s="154">
        <v>1</v>
      </c>
      <c r="AB187" s="154">
        <v>120.3</v>
      </c>
      <c r="AD187" s="154">
        <v>554.58299999999997</v>
      </c>
      <c r="AG187" s="157" t="s">
        <v>15</v>
      </c>
      <c r="AH187" s="155">
        <v>9.1800000000000007E-3</v>
      </c>
      <c r="AI187" s="155">
        <f t="shared" si="2"/>
        <v>2.0849671113584E-3</v>
      </c>
      <c r="AJ187" s="155">
        <v>5.1315916114541798E-4</v>
      </c>
    </row>
    <row r="188" spans="1:36" s="160" customFormat="1">
      <c r="A188" s="153" t="s">
        <v>1213</v>
      </c>
      <c r="B188" s="160">
        <v>12937</v>
      </c>
      <c r="C188" s="153" t="s">
        <v>1840</v>
      </c>
      <c r="D188" s="153" t="s">
        <v>1841</v>
      </c>
      <c r="E188" s="153" t="s">
        <v>309</v>
      </c>
      <c r="F188" s="153" t="s">
        <v>1842</v>
      </c>
      <c r="G188" s="153" t="s">
        <v>1843</v>
      </c>
      <c r="H188" s="153" t="s">
        <v>321</v>
      </c>
      <c r="I188" s="153" t="s">
        <v>951</v>
      </c>
      <c r="J188" s="153" t="s">
        <v>204</v>
      </c>
      <c r="K188" s="153" t="s">
        <v>204</v>
      </c>
      <c r="L188" s="153" t="s">
        <v>325</v>
      </c>
      <c r="M188" s="153" t="s">
        <v>340</v>
      </c>
      <c r="N188" s="153" t="s">
        <v>447</v>
      </c>
      <c r="O188" s="153" t="s">
        <v>339</v>
      </c>
      <c r="Q188" s="153" t="s">
        <v>410</v>
      </c>
      <c r="R188" s="153" t="s">
        <v>410</v>
      </c>
      <c r="S188" s="153" t="s">
        <v>1212</v>
      </c>
      <c r="T188" s="154">
        <v>1.65</v>
      </c>
      <c r="U188" s="153" t="s">
        <v>1572</v>
      </c>
      <c r="V188" s="155">
        <v>4.19E-2</v>
      </c>
      <c r="W188" s="155">
        <v>7.2400000000000006E-2</v>
      </c>
      <c r="X188" s="153" t="s">
        <v>412</v>
      </c>
      <c r="Y188" s="153" t="s">
        <v>339</v>
      </c>
      <c r="Z188" s="154">
        <v>544782</v>
      </c>
      <c r="AA188" s="154">
        <v>1</v>
      </c>
      <c r="AB188" s="154">
        <v>96.4</v>
      </c>
      <c r="AD188" s="154">
        <v>525.16999999999996</v>
      </c>
      <c r="AG188" s="157" t="s">
        <v>15</v>
      </c>
      <c r="AH188" s="155">
        <v>6.8100000000000001E-3</v>
      </c>
      <c r="AI188" s="155">
        <f t="shared" si="2"/>
        <v>1.9743882843002596E-3</v>
      </c>
      <c r="AJ188" s="155">
        <v>4.8594312602214483E-4</v>
      </c>
    </row>
    <row r="189" spans="1:36" s="160" customFormat="1">
      <c r="A189" s="153" t="s">
        <v>1213</v>
      </c>
      <c r="B189" s="160">
        <v>12937</v>
      </c>
      <c r="C189" s="153" t="s">
        <v>1904</v>
      </c>
      <c r="D189" s="153" t="s">
        <v>1905</v>
      </c>
      <c r="E189" s="153" t="s">
        <v>309</v>
      </c>
      <c r="F189" s="153" t="s">
        <v>2006</v>
      </c>
      <c r="G189" s="153" t="s">
        <v>2007</v>
      </c>
      <c r="H189" s="153" t="s">
        <v>321</v>
      </c>
      <c r="I189" s="153" t="s">
        <v>754</v>
      </c>
      <c r="J189" s="153" t="s">
        <v>204</v>
      </c>
      <c r="K189" s="153" t="s">
        <v>204</v>
      </c>
      <c r="L189" s="153" t="s">
        <v>325</v>
      </c>
      <c r="M189" s="153" t="s">
        <v>340</v>
      </c>
      <c r="N189" s="153" t="s">
        <v>448</v>
      </c>
      <c r="O189" s="153" t="s">
        <v>339</v>
      </c>
      <c r="P189" s="153" t="s">
        <v>1566</v>
      </c>
      <c r="Q189" s="153" t="s">
        <v>413</v>
      </c>
      <c r="R189" s="153" t="s">
        <v>407</v>
      </c>
      <c r="S189" s="153" t="s">
        <v>1212</v>
      </c>
      <c r="T189" s="154">
        <v>3.87</v>
      </c>
      <c r="U189" s="153" t="s">
        <v>2008</v>
      </c>
      <c r="V189" s="155">
        <v>2.3210000000000001E-2</v>
      </c>
      <c r="W189" s="155">
        <v>3.0800000000000001E-2</v>
      </c>
      <c r="X189" s="153" t="s">
        <v>411</v>
      </c>
      <c r="Y189" s="153" t="s">
        <v>339</v>
      </c>
      <c r="Z189" s="154">
        <v>475169</v>
      </c>
      <c r="AA189" s="154">
        <v>1</v>
      </c>
      <c r="AB189" s="154">
        <v>110.29</v>
      </c>
      <c r="AD189" s="154">
        <v>524.06399999999996</v>
      </c>
      <c r="AG189" s="157" t="s">
        <v>15</v>
      </c>
      <c r="AH189" s="155">
        <v>5.5999999999999995E-4</v>
      </c>
      <c r="AI189" s="155">
        <f t="shared" si="2"/>
        <v>1.9702302527248917E-3</v>
      </c>
      <c r="AJ189" s="155">
        <v>4.8491973721969897E-4</v>
      </c>
    </row>
    <row r="190" spans="1:36" s="160" customFormat="1">
      <c r="A190" s="153" t="s">
        <v>1213</v>
      </c>
      <c r="B190" s="160">
        <v>12937</v>
      </c>
      <c r="C190" s="153" t="s">
        <v>1534</v>
      </c>
      <c r="D190" s="153" t="s">
        <v>1535</v>
      </c>
      <c r="E190" s="153" t="s">
        <v>309</v>
      </c>
      <c r="F190" s="153" t="s">
        <v>2009</v>
      </c>
      <c r="G190" s="153" t="s">
        <v>2010</v>
      </c>
      <c r="H190" s="153" t="s">
        <v>321</v>
      </c>
      <c r="I190" s="153" t="s">
        <v>754</v>
      </c>
      <c r="J190" s="153" t="s">
        <v>204</v>
      </c>
      <c r="K190" s="153" t="s">
        <v>204</v>
      </c>
      <c r="L190" s="153" t="s">
        <v>325</v>
      </c>
      <c r="M190" s="153" t="s">
        <v>340</v>
      </c>
      <c r="N190" s="153" t="s">
        <v>464</v>
      </c>
      <c r="O190" s="153" t="s">
        <v>339</v>
      </c>
      <c r="P190" s="153" t="s">
        <v>2011</v>
      </c>
      <c r="Q190" s="153" t="s">
        <v>415</v>
      </c>
      <c r="R190" s="153" t="s">
        <v>407</v>
      </c>
      <c r="S190" s="153" t="s">
        <v>1212</v>
      </c>
      <c r="T190" s="154">
        <v>5.56</v>
      </c>
      <c r="U190" s="153" t="s">
        <v>2012</v>
      </c>
      <c r="V190" s="155">
        <v>3.0000000000000001E-3</v>
      </c>
      <c r="W190" s="155">
        <v>3.3099999999999997E-2</v>
      </c>
      <c r="X190" s="153" t="s">
        <v>412</v>
      </c>
      <c r="Y190" s="153" t="s">
        <v>339</v>
      </c>
      <c r="Z190" s="154">
        <v>500000</v>
      </c>
      <c r="AA190" s="154">
        <v>1</v>
      </c>
      <c r="AB190" s="154">
        <v>102.12</v>
      </c>
      <c r="AD190" s="154">
        <v>510.6</v>
      </c>
      <c r="AG190" s="157" t="s">
        <v>15</v>
      </c>
      <c r="AH190" s="155">
        <v>1.9000000000000001E-4</v>
      </c>
      <c r="AI190" s="155">
        <f t="shared" si="2"/>
        <v>1.9196120455542258E-3</v>
      </c>
      <c r="AJ190" s="155">
        <v>4.7246141277473424E-4</v>
      </c>
    </row>
    <row r="191" spans="1:36" s="160" customFormat="1">
      <c r="A191" s="153" t="s">
        <v>1213</v>
      </c>
      <c r="B191" s="160">
        <v>12937</v>
      </c>
      <c r="C191" s="153" t="s">
        <v>2013</v>
      </c>
      <c r="D191" s="153" t="s">
        <v>2014</v>
      </c>
      <c r="E191" s="153" t="s">
        <v>309</v>
      </c>
      <c r="F191" s="153" t="s">
        <v>2015</v>
      </c>
      <c r="G191" s="153" t="s">
        <v>2016</v>
      </c>
      <c r="H191" s="153" t="s">
        <v>321</v>
      </c>
      <c r="I191" s="153" t="s">
        <v>951</v>
      </c>
      <c r="J191" s="153" t="s">
        <v>204</v>
      </c>
      <c r="K191" s="153" t="s">
        <v>204</v>
      </c>
      <c r="L191" s="153" t="s">
        <v>325</v>
      </c>
      <c r="M191" s="153" t="s">
        <v>340</v>
      </c>
      <c r="N191" s="153" t="s">
        <v>447</v>
      </c>
      <c r="O191" s="153" t="s">
        <v>339</v>
      </c>
      <c r="Q191" s="153" t="s">
        <v>410</v>
      </c>
      <c r="R191" s="153" t="s">
        <v>410</v>
      </c>
      <c r="S191" s="153" t="s">
        <v>1212</v>
      </c>
      <c r="T191" s="154">
        <v>0.77</v>
      </c>
      <c r="U191" s="153" t="s">
        <v>2017</v>
      </c>
      <c r="V191" s="155">
        <v>8.4860000000000005E-2</v>
      </c>
      <c r="W191" s="155">
        <v>6.6799999999999998E-2</v>
      </c>
      <c r="X191" s="153" t="s">
        <v>412</v>
      </c>
      <c r="Y191" s="153" t="s">
        <v>339</v>
      </c>
      <c r="Z191" s="154">
        <v>511000</v>
      </c>
      <c r="AA191" s="154">
        <v>1</v>
      </c>
      <c r="AB191" s="154">
        <v>99.26</v>
      </c>
      <c r="AD191" s="154">
        <v>507.21899999999999</v>
      </c>
      <c r="AG191" s="157" t="s">
        <v>15</v>
      </c>
      <c r="AH191" s="155">
        <v>2.129E-2</v>
      </c>
      <c r="AI191" s="155">
        <f t="shared" si="2"/>
        <v>1.9069011009282585E-3</v>
      </c>
      <c r="AJ191" s="155">
        <v>4.6933295206852312E-4</v>
      </c>
    </row>
    <row r="192" spans="1:36" s="160" customFormat="1">
      <c r="A192" s="153" t="s">
        <v>1213</v>
      </c>
      <c r="B192" s="160">
        <v>12937</v>
      </c>
      <c r="C192" s="153" t="s">
        <v>2018</v>
      </c>
      <c r="D192" s="153" t="s">
        <v>2019</v>
      </c>
      <c r="E192" s="153" t="s">
        <v>309</v>
      </c>
      <c r="F192" s="153" t="s">
        <v>2020</v>
      </c>
      <c r="G192" s="153" t="s">
        <v>2021</v>
      </c>
      <c r="H192" s="153" t="s">
        <v>321</v>
      </c>
      <c r="I192" s="153" t="s">
        <v>951</v>
      </c>
      <c r="J192" s="153" t="s">
        <v>204</v>
      </c>
      <c r="K192" s="153" t="s">
        <v>204</v>
      </c>
      <c r="L192" s="153" t="s">
        <v>325</v>
      </c>
      <c r="M192" s="153" t="s">
        <v>340</v>
      </c>
      <c r="N192" s="153" t="s">
        <v>451</v>
      </c>
      <c r="O192" s="153" t="s">
        <v>339</v>
      </c>
      <c r="P192" s="153" t="s">
        <v>1538</v>
      </c>
      <c r="Q192" s="153" t="s">
        <v>413</v>
      </c>
      <c r="R192" s="153" t="s">
        <v>407</v>
      </c>
      <c r="S192" s="153" t="s">
        <v>1212</v>
      </c>
      <c r="T192" s="154">
        <v>2.87</v>
      </c>
      <c r="U192" s="153" t="s">
        <v>2022</v>
      </c>
      <c r="V192" s="155">
        <v>1.555E-2</v>
      </c>
      <c r="W192" s="155">
        <v>5.4899999999999997E-2</v>
      </c>
      <c r="X192" s="153" t="s">
        <v>412</v>
      </c>
      <c r="Y192" s="153" t="s">
        <v>339</v>
      </c>
      <c r="Z192" s="154">
        <v>508673.35</v>
      </c>
      <c r="AA192" s="154">
        <v>1</v>
      </c>
      <c r="AB192" s="154">
        <v>89.72</v>
      </c>
      <c r="AD192" s="154">
        <v>456.38200000000001</v>
      </c>
      <c r="AG192" s="157" t="s">
        <v>15</v>
      </c>
      <c r="AH192" s="155">
        <v>1.6199999999999999E-3</v>
      </c>
      <c r="AI192" s="155">
        <f t="shared" si="2"/>
        <v>1.7157782698279055E-3</v>
      </c>
      <c r="AJ192" s="155">
        <v>4.2229315410293529E-4</v>
      </c>
    </row>
    <row r="193" spans="1:36" s="160" customFormat="1">
      <c r="A193" s="153" t="s">
        <v>1213</v>
      </c>
      <c r="B193" s="160">
        <v>12937</v>
      </c>
      <c r="C193" s="153" t="s">
        <v>1861</v>
      </c>
      <c r="D193" s="153" t="s">
        <v>1862</v>
      </c>
      <c r="E193" s="153" t="s">
        <v>309</v>
      </c>
      <c r="F193" s="153" t="s">
        <v>1863</v>
      </c>
      <c r="G193" s="153" t="s">
        <v>1864</v>
      </c>
      <c r="H193" s="153" t="s">
        <v>321</v>
      </c>
      <c r="I193" s="153" t="s">
        <v>754</v>
      </c>
      <c r="J193" s="153" t="s">
        <v>204</v>
      </c>
      <c r="K193" s="153" t="s">
        <v>204</v>
      </c>
      <c r="L193" s="153" t="s">
        <v>325</v>
      </c>
      <c r="M193" s="153" t="s">
        <v>340</v>
      </c>
      <c r="N193" s="153" t="s">
        <v>464</v>
      </c>
      <c r="O193" s="153" t="s">
        <v>339</v>
      </c>
      <c r="P193" s="153" t="s">
        <v>1538</v>
      </c>
      <c r="Q193" s="153" t="s">
        <v>413</v>
      </c>
      <c r="R193" s="153" t="s">
        <v>407</v>
      </c>
      <c r="S193" s="153" t="s">
        <v>1212</v>
      </c>
      <c r="T193" s="154">
        <v>5.3</v>
      </c>
      <c r="U193" s="153" t="s">
        <v>1865</v>
      </c>
      <c r="V193" s="155">
        <v>2.7449999999999999E-2</v>
      </c>
      <c r="W193" s="155">
        <v>3.0300000000000001E-2</v>
      </c>
      <c r="X193" s="153" t="s">
        <v>412</v>
      </c>
      <c r="Y193" s="153" t="s">
        <v>339</v>
      </c>
      <c r="Z193" s="154">
        <v>291521.51</v>
      </c>
      <c r="AA193" s="154">
        <v>1</v>
      </c>
      <c r="AB193" s="154">
        <v>97.92</v>
      </c>
      <c r="AD193" s="154">
        <v>285.45800000000003</v>
      </c>
      <c r="AG193" s="157" t="s">
        <v>15</v>
      </c>
      <c r="AH193" s="155">
        <v>2.3000000000000001E-4</v>
      </c>
      <c r="AI193" s="155">
        <f t="shared" si="2"/>
        <v>1.0731856938891856E-3</v>
      </c>
      <c r="AJ193" s="155">
        <v>2.6413609472747765E-4</v>
      </c>
    </row>
    <row r="194" spans="1:36" s="160" customFormat="1">
      <c r="A194" s="153" t="s">
        <v>1213</v>
      </c>
      <c r="B194" s="160">
        <v>12937</v>
      </c>
      <c r="C194" s="153" t="s">
        <v>1840</v>
      </c>
      <c r="D194" s="153" t="s">
        <v>1841</v>
      </c>
      <c r="E194" s="153" t="s">
        <v>309</v>
      </c>
      <c r="F194" s="153" t="s">
        <v>1856</v>
      </c>
      <c r="G194" s="153" t="s">
        <v>1857</v>
      </c>
      <c r="H194" s="153" t="s">
        <v>321</v>
      </c>
      <c r="I194" s="153" t="s">
        <v>951</v>
      </c>
      <c r="J194" s="153" t="s">
        <v>204</v>
      </c>
      <c r="K194" s="153" t="s">
        <v>204</v>
      </c>
      <c r="L194" s="153" t="s">
        <v>325</v>
      </c>
      <c r="M194" s="153" t="s">
        <v>340</v>
      </c>
      <c r="N194" s="153" t="s">
        <v>447</v>
      </c>
      <c r="O194" s="153" t="s">
        <v>339</v>
      </c>
      <c r="Q194" s="153" t="s">
        <v>410</v>
      </c>
      <c r="R194" s="153" t="s">
        <v>410</v>
      </c>
      <c r="S194" s="153" t="s">
        <v>1212</v>
      </c>
      <c r="T194" s="154">
        <v>1.63</v>
      </c>
      <c r="U194" s="153" t="s">
        <v>1572</v>
      </c>
      <c r="V194" s="155">
        <v>6.25E-2</v>
      </c>
      <c r="W194" s="155">
        <v>7.6399999999999996E-2</v>
      </c>
      <c r="X194" s="153" t="s">
        <v>412</v>
      </c>
      <c r="Y194" s="153" t="s">
        <v>339</v>
      </c>
      <c r="Z194" s="154">
        <v>277680.75</v>
      </c>
      <c r="AA194" s="154">
        <v>1</v>
      </c>
      <c r="AB194" s="154">
        <v>99.6</v>
      </c>
      <c r="AD194" s="154">
        <v>276.57</v>
      </c>
      <c r="AG194" s="157" t="s">
        <v>15</v>
      </c>
      <c r="AH194" s="155">
        <v>3.7299999999999998E-3</v>
      </c>
      <c r="AI194" s="155">
        <f t="shared" si="2"/>
        <v>1.0397710603974387E-3</v>
      </c>
      <c r="AJ194" s="155">
        <v>2.5591197205465774E-4</v>
      </c>
    </row>
    <row r="195" spans="1:36" s="160" customFormat="1">
      <c r="A195" s="153" t="s">
        <v>1213</v>
      </c>
      <c r="B195" s="160">
        <v>12937</v>
      </c>
      <c r="C195" s="153" t="s">
        <v>2013</v>
      </c>
      <c r="D195" s="153" t="s">
        <v>2014</v>
      </c>
      <c r="E195" s="153" t="s">
        <v>309</v>
      </c>
      <c r="F195" s="153" t="s">
        <v>2023</v>
      </c>
      <c r="G195" s="153" t="s">
        <v>2024</v>
      </c>
      <c r="H195" s="153" t="s">
        <v>321</v>
      </c>
      <c r="I195" s="153" t="s">
        <v>951</v>
      </c>
      <c r="J195" s="153" t="s">
        <v>204</v>
      </c>
      <c r="K195" s="153" t="s">
        <v>204</v>
      </c>
      <c r="L195" s="153" t="s">
        <v>325</v>
      </c>
      <c r="M195" s="153" t="s">
        <v>340</v>
      </c>
      <c r="N195" s="153" t="s">
        <v>447</v>
      </c>
      <c r="O195" s="153" t="s">
        <v>339</v>
      </c>
      <c r="Q195" s="153" t="s">
        <v>410</v>
      </c>
      <c r="R195" s="153" t="s">
        <v>410</v>
      </c>
      <c r="S195" s="153" t="s">
        <v>1212</v>
      </c>
      <c r="T195" s="154">
        <v>0.53</v>
      </c>
      <c r="U195" s="153" t="s">
        <v>2017</v>
      </c>
      <c r="V195" s="155">
        <v>5.0189999999999999E-2</v>
      </c>
      <c r="W195" s="155">
        <v>6.6400000000000001E-2</v>
      </c>
      <c r="X195" s="153" t="s">
        <v>412</v>
      </c>
      <c r="Y195" s="153" t="s">
        <v>339</v>
      </c>
      <c r="Z195" s="154">
        <v>262013.1</v>
      </c>
      <c r="AA195" s="154">
        <v>1</v>
      </c>
      <c r="AB195" s="154">
        <v>101</v>
      </c>
      <c r="AD195" s="154">
        <v>264.63299999999998</v>
      </c>
      <c r="AG195" s="157" t="s">
        <v>15</v>
      </c>
      <c r="AH195" s="155">
        <v>5.0400000000000002E-3</v>
      </c>
      <c r="AI195" s="155">
        <f t="shared" ref="AI195:AI258" si="3">AD195/SUMIF(B:B,B195,AD:AD)</f>
        <v>9.9489364365677887E-4</v>
      </c>
      <c r="AJ195" s="155">
        <v>2.4486659037762677E-4</v>
      </c>
    </row>
    <row r="196" spans="1:36" s="160" customFormat="1">
      <c r="A196" s="153" t="s">
        <v>1213</v>
      </c>
      <c r="B196" s="160">
        <v>12937</v>
      </c>
      <c r="C196" s="153" t="s">
        <v>1866</v>
      </c>
      <c r="D196" s="153" t="s">
        <v>1867</v>
      </c>
      <c r="E196" s="153" t="s">
        <v>309</v>
      </c>
      <c r="F196" s="153" t="s">
        <v>2025</v>
      </c>
      <c r="G196" s="153" t="s">
        <v>2026</v>
      </c>
      <c r="H196" s="153" t="s">
        <v>321</v>
      </c>
      <c r="I196" s="153" t="s">
        <v>951</v>
      </c>
      <c r="J196" s="153" t="s">
        <v>204</v>
      </c>
      <c r="K196" s="153" t="s">
        <v>204</v>
      </c>
      <c r="L196" s="153" t="s">
        <v>314</v>
      </c>
      <c r="M196" s="153" t="s">
        <v>340</v>
      </c>
      <c r="N196" s="153" t="s">
        <v>443</v>
      </c>
      <c r="O196" s="153" t="s">
        <v>339</v>
      </c>
      <c r="Q196" s="153" t="s">
        <v>410</v>
      </c>
      <c r="R196" s="153" t="s">
        <v>410</v>
      </c>
      <c r="S196" s="153" t="s">
        <v>1212</v>
      </c>
      <c r="T196" s="154">
        <v>0.51</v>
      </c>
      <c r="U196" s="153" t="s">
        <v>2027</v>
      </c>
      <c r="V196" s="155">
        <v>3.9350000000000003E-2</v>
      </c>
      <c r="W196" s="155">
        <v>3.5497000000000001</v>
      </c>
      <c r="X196" s="153" t="s">
        <v>412</v>
      </c>
      <c r="Y196" s="153" t="s">
        <v>338</v>
      </c>
      <c r="Z196" s="154">
        <v>950000</v>
      </c>
      <c r="AA196" s="154">
        <v>1</v>
      </c>
      <c r="AB196" s="154">
        <v>25</v>
      </c>
      <c r="AD196" s="154">
        <v>237.5</v>
      </c>
      <c r="AG196" s="157" t="s">
        <v>15</v>
      </c>
      <c r="AH196" s="155">
        <v>7.45E-3</v>
      </c>
      <c r="AI196" s="155">
        <f t="shared" si="3"/>
        <v>8.92886527260338E-4</v>
      </c>
      <c r="AJ196" s="155">
        <v>2.1976025368977551E-4</v>
      </c>
    </row>
    <row r="197" spans="1:36" s="160" customFormat="1">
      <c r="A197" s="153" t="s">
        <v>1213</v>
      </c>
      <c r="B197" s="160">
        <v>12937</v>
      </c>
      <c r="C197" s="153" t="s">
        <v>1546</v>
      </c>
      <c r="D197" s="153" t="s">
        <v>1547</v>
      </c>
      <c r="E197" s="153" t="s">
        <v>309</v>
      </c>
      <c r="F197" s="153" t="s">
        <v>1834</v>
      </c>
      <c r="G197" s="153" t="s">
        <v>1835</v>
      </c>
      <c r="H197" s="153" t="s">
        <v>321</v>
      </c>
      <c r="I197" s="153" t="s">
        <v>754</v>
      </c>
      <c r="J197" s="153" t="s">
        <v>204</v>
      </c>
      <c r="K197" s="153" t="s">
        <v>204</v>
      </c>
      <c r="L197" s="153" t="s">
        <v>325</v>
      </c>
      <c r="M197" s="153" t="s">
        <v>340</v>
      </c>
      <c r="N197" s="153" t="s">
        <v>443</v>
      </c>
      <c r="O197" s="153" t="s">
        <v>339</v>
      </c>
      <c r="P197" s="153" t="s">
        <v>1544</v>
      </c>
      <c r="Q197" s="153" t="s">
        <v>415</v>
      </c>
      <c r="R197" s="153" t="s">
        <v>407</v>
      </c>
      <c r="S197" s="153" t="s">
        <v>1212</v>
      </c>
      <c r="T197" s="154">
        <v>0.66</v>
      </c>
      <c r="U197" s="153" t="s">
        <v>1836</v>
      </c>
      <c r="V197" s="155">
        <v>1.721E-2</v>
      </c>
      <c r="W197" s="155">
        <v>2.7099999999999999E-2</v>
      </c>
      <c r="X197" s="153" t="s">
        <v>412</v>
      </c>
      <c r="Y197" s="153" t="s">
        <v>339</v>
      </c>
      <c r="Z197" s="154">
        <v>178257.6</v>
      </c>
      <c r="AA197" s="154">
        <v>1</v>
      </c>
      <c r="AB197" s="154">
        <v>113.12</v>
      </c>
      <c r="AD197" s="154">
        <v>201.64500000000001</v>
      </c>
      <c r="AG197" s="157" t="s">
        <v>15</v>
      </c>
      <c r="AH197" s="155">
        <v>5.9000000000000003E-4</v>
      </c>
      <c r="AI197" s="155">
        <f t="shared" si="3"/>
        <v>7.5808885806067728E-4</v>
      </c>
      <c r="AJ197" s="155">
        <v>1.8658339518010436E-4</v>
      </c>
    </row>
    <row r="198" spans="1:36" s="160" customFormat="1">
      <c r="A198" s="153" t="s">
        <v>1213</v>
      </c>
      <c r="B198" s="160">
        <v>12937</v>
      </c>
      <c r="C198" s="153" t="s">
        <v>2028</v>
      </c>
      <c r="D198" s="153" t="s">
        <v>2029</v>
      </c>
      <c r="E198" s="153" t="s">
        <v>309</v>
      </c>
      <c r="F198" s="153" t="s">
        <v>2030</v>
      </c>
      <c r="G198" s="153" t="s">
        <v>2031</v>
      </c>
      <c r="H198" s="153" t="s">
        <v>321</v>
      </c>
      <c r="I198" s="153" t="s">
        <v>951</v>
      </c>
      <c r="J198" s="153" t="s">
        <v>204</v>
      </c>
      <c r="K198" s="153" t="s">
        <v>204</v>
      </c>
      <c r="L198" s="153" t="s">
        <v>325</v>
      </c>
      <c r="M198" s="153" t="s">
        <v>340</v>
      </c>
      <c r="N198" s="153" t="s">
        <v>465</v>
      </c>
      <c r="O198" s="153" t="s">
        <v>339</v>
      </c>
      <c r="Q198" s="153" t="s">
        <v>410</v>
      </c>
      <c r="R198" s="153" t="s">
        <v>410</v>
      </c>
      <c r="S198" s="153" t="s">
        <v>1212</v>
      </c>
      <c r="T198" s="154">
        <v>1.65</v>
      </c>
      <c r="U198" s="153" t="s">
        <v>1833</v>
      </c>
      <c r="V198" s="155">
        <v>8.7929999999999994E-2</v>
      </c>
      <c r="W198" s="155">
        <v>7.3200000000000001E-2</v>
      </c>
      <c r="X198" s="153" t="s">
        <v>412</v>
      </c>
      <c r="Y198" s="153" t="s">
        <v>339</v>
      </c>
      <c r="Z198" s="154">
        <v>175223</v>
      </c>
      <c r="AA198" s="154">
        <v>1</v>
      </c>
      <c r="AB198" s="154">
        <v>101</v>
      </c>
      <c r="AD198" s="154">
        <v>176.97499999999999</v>
      </c>
      <c r="AG198" s="157" t="s">
        <v>15</v>
      </c>
      <c r="AH198" s="155">
        <v>5.5000000000000003E-4</v>
      </c>
      <c r="AI198" s="155">
        <f t="shared" si="3"/>
        <v>6.6534144489220344E-4</v>
      </c>
      <c r="AJ198" s="155">
        <v>1.6375608798630746E-4</v>
      </c>
    </row>
    <row r="199" spans="1:36" s="160" customFormat="1">
      <c r="A199" s="153" t="s">
        <v>1213</v>
      </c>
      <c r="B199" s="160">
        <v>12937</v>
      </c>
      <c r="C199" s="153" t="s">
        <v>2032</v>
      </c>
      <c r="D199" s="153" t="s">
        <v>2033</v>
      </c>
      <c r="E199" s="153" t="s">
        <v>309</v>
      </c>
      <c r="F199" s="153" t="s">
        <v>2034</v>
      </c>
      <c r="G199" s="153" t="s">
        <v>2035</v>
      </c>
      <c r="H199" s="153" t="s">
        <v>321</v>
      </c>
      <c r="I199" s="153" t="s">
        <v>754</v>
      </c>
      <c r="J199" s="153" t="s">
        <v>204</v>
      </c>
      <c r="K199" s="153" t="s">
        <v>204</v>
      </c>
      <c r="L199" s="153" t="s">
        <v>325</v>
      </c>
      <c r="M199" s="153" t="s">
        <v>340</v>
      </c>
      <c r="N199" s="153" t="s">
        <v>445</v>
      </c>
      <c r="O199" s="153" t="s">
        <v>339</v>
      </c>
      <c r="P199" s="153" t="s">
        <v>1566</v>
      </c>
      <c r="Q199" s="153" t="s">
        <v>413</v>
      </c>
      <c r="R199" s="153" t="s">
        <v>407</v>
      </c>
      <c r="S199" s="153" t="s">
        <v>1212</v>
      </c>
      <c r="T199" s="154">
        <v>6.79</v>
      </c>
      <c r="U199" s="153" t="s">
        <v>2036</v>
      </c>
      <c r="V199" s="155">
        <v>3.6089999999999997E-2</v>
      </c>
      <c r="W199" s="155">
        <v>3.7499999999999999E-2</v>
      </c>
      <c r="X199" s="153" t="s">
        <v>411</v>
      </c>
      <c r="Y199" s="153" t="s">
        <v>339</v>
      </c>
      <c r="Z199" s="154">
        <v>154466</v>
      </c>
      <c r="AA199" s="154">
        <v>1</v>
      </c>
      <c r="AB199" s="154">
        <v>102.18</v>
      </c>
      <c r="AD199" s="154">
        <v>157.833</v>
      </c>
      <c r="AG199" s="157" t="s">
        <v>15</v>
      </c>
      <c r="AH199" s="155">
        <v>1E-4</v>
      </c>
      <c r="AI199" s="155">
        <f t="shared" si="3"/>
        <v>5.9337667055613021E-4</v>
      </c>
      <c r="AJ199" s="155">
        <v>1.460438741920772E-4</v>
      </c>
    </row>
    <row r="200" spans="1:36" s="160" customFormat="1">
      <c r="A200" s="153" t="s">
        <v>1213</v>
      </c>
      <c r="B200" s="160">
        <v>12937</v>
      </c>
      <c r="C200" s="153" t="s">
        <v>1769</v>
      </c>
      <c r="D200" s="153" t="s">
        <v>1770</v>
      </c>
      <c r="E200" s="153" t="s">
        <v>309</v>
      </c>
      <c r="F200" s="153" t="s">
        <v>2037</v>
      </c>
      <c r="G200" s="153" t="s">
        <v>2038</v>
      </c>
      <c r="H200" s="153" t="s">
        <v>321</v>
      </c>
      <c r="I200" s="153" t="s">
        <v>951</v>
      </c>
      <c r="J200" s="153" t="s">
        <v>204</v>
      </c>
      <c r="K200" s="153" t="s">
        <v>204</v>
      </c>
      <c r="L200" s="153" t="s">
        <v>325</v>
      </c>
      <c r="M200" s="153" t="s">
        <v>340</v>
      </c>
      <c r="N200" s="153" t="s">
        <v>464</v>
      </c>
      <c r="O200" s="153" t="s">
        <v>339</v>
      </c>
      <c r="P200" s="153" t="s">
        <v>1560</v>
      </c>
      <c r="Q200" s="153" t="s">
        <v>413</v>
      </c>
      <c r="R200" s="153" t="s">
        <v>407</v>
      </c>
      <c r="S200" s="153" t="s">
        <v>1212</v>
      </c>
      <c r="T200" s="154">
        <v>2.9</v>
      </c>
      <c r="U200" s="153" t="s">
        <v>1587</v>
      </c>
      <c r="V200" s="155">
        <v>7.1160000000000001E-2</v>
      </c>
      <c r="W200" s="155">
        <v>7.1999999999999995E-2</v>
      </c>
      <c r="X200" s="153" t="s">
        <v>412</v>
      </c>
      <c r="Y200" s="153" t="s">
        <v>339</v>
      </c>
      <c r="Z200" s="154">
        <v>69547</v>
      </c>
      <c r="AA200" s="154">
        <v>1</v>
      </c>
      <c r="AB200" s="154">
        <v>92.4</v>
      </c>
      <c r="AD200" s="154">
        <v>64.260999999999996</v>
      </c>
      <c r="AG200" s="157" t="s">
        <v>15</v>
      </c>
      <c r="AH200" s="155">
        <v>6.0000000000000002E-5</v>
      </c>
      <c r="AI200" s="155">
        <f t="shared" si="3"/>
        <v>2.4159065738221715E-4</v>
      </c>
      <c r="AJ200" s="155">
        <v>5.9461110157299635E-5</v>
      </c>
    </row>
    <row r="201" spans="1:36" s="160" customFormat="1">
      <c r="A201" s="153" t="s">
        <v>1213</v>
      </c>
      <c r="B201" s="160">
        <v>12937</v>
      </c>
      <c r="C201" s="153" t="s">
        <v>1600</v>
      </c>
      <c r="D201" s="153" t="s">
        <v>1601</v>
      </c>
      <c r="E201" s="153" t="s">
        <v>309</v>
      </c>
      <c r="F201" s="153" t="s">
        <v>2039</v>
      </c>
      <c r="G201" s="153" t="s">
        <v>2040</v>
      </c>
      <c r="H201" s="153" t="s">
        <v>321</v>
      </c>
      <c r="I201" s="153" t="s">
        <v>754</v>
      </c>
      <c r="J201" s="153" t="s">
        <v>204</v>
      </c>
      <c r="K201" s="153" t="s">
        <v>204</v>
      </c>
      <c r="L201" s="153" t="s">
        <v>325</v>
      </c>
      <c r="M201" s="153" t="s">
        <v>340</v>
      </c>
      <c r="N201" s="153" t="s">
        <v>448</v>
      </c>
      <c r="O201" s="153" t="s">
        <v>339</v>
      </c>
      <c r="P201" s="153" t="s">
        <v>1566</v>
      </c>
      <c r="Q201" s="153" t="s">
        <v>413</v>
      </c>
      <c r="R201" s="153" t="s">
        <v>407</v>
      </c>
      <c r="S201" s="153" t="s">
        <v>1212</v>
      </c>
      <c r="T201" s="154">
        <v>3.87</v>
      </c>
      <c r="U201" s="153" t="s">
        <v>2041</v>
      </c>
      <c r="V201" s="155">
        <v>2.3130000000000001E-2</v>
      </c>
      <c r="W201" s="155">
        <v>3.0499999999999999E-2</v>
      </c>
      <c r="X201" s="153" t="s">
        <v>411</v>
      </c>
      <c r="Y201" s="153" t="s">
        <v>339</v>
      </c>
      <c r="Z201" s="154">
        <v>20789</v>
      </c>
      <c r="AA201" s="154">
        <v>1</v>
      </c>
      <c r="AB201" s="154">
        <v>110.02</v>
      </c>
      <c r="AD201" s="154">
        <v>22.872</v>
      </c>
      <c r="AG201" s="157" t="s">
        <v>15</v>
      </c>
      <c r="AH201" s="155">
        <v>2.0000000000000002E-5</v>
      </c>
      <c r="AI201" s="155">
        <f t="shared" si="3"/>
        <v>8.5987792216835578E-5</v>
      </c>
      <c r="AJ201" s="155">
        <v>2.1163606410073876E-5</v>
      </c>
    </row>
    <row r="202" spans="1:36" s="160" customFormat="1">
      <c r="A202" s="153" t="s">
        <v>1213</v>
      </c>
      <c r="B202" s="160">
        <v>12937</v>
      </c>
      <c r="C202" s="153" t="s">
        <v>2013</v>
      </c>
      <c r="D202" s="153" t="s">
        <v>2014</v>
      </c>
      <c r="E202" s="153" t="s">
        <v>309</v>
      </c>
      <c r="F202" s="153" t="s">
        <v>2042</v>
      </c>
      <c r="G202" s="153" t="s">
        <v>2043</v>
      </c>
      <c r="H202" s="153" t="s">
        <v>321</v>
      </c>
      <c r="I202" s="153" t="s">
        <v>951</v>
      </c>
      <c r="J202" s="153" t="s">
        <v>204</v>
      </c>
      <c r="K202" s="153" t="s">
        <v>204</v>
      </c>
      <c r="L202" s="153" t="s">
        <v>325</v>
      </c>
      <c r="M202" s="153" t="s">
        <v>340</v>
      </c>
      <c r="N202" s="153" t="s">
        <v>447</v>
      </c>
      <c r="O202" s="153" t="s">
        <v>339</v>
      </c>
      <c r="P202" s="153" t="s">
        <v>1527</v>
      </c>
      <c r="Q202" s="153" t="s">
        <v>415</v>
      </c>
      <c r="R202" s="153" t="s">
        <v>407</v>
      </c>
      <c r="S202" s="153" t="s">
        <v>1212</v>
      </c>
      <c r="T202" s="180">
        <v>2.1</v>
      </c>
      <c r="U202" s="153" t="s">
        <v>2044</v>
      </c>
      <c r="V202" s="155">
        <v>6.9989999999999997E-2</v>
      </c>
      <c r="W202" s="181">
        <v>7.3300000000000004E-2</v>
      </c>
      <c r="X202" s="153" t="s">
        <v>412</v>
      </c>
      <c r="Y202" s="153" t="s">
        <v>339</v>
      </c>
      <c r="Z202" s="154">
        <v>22268</v>
      </c>
      <c r="AA202" s="154">
        <v>1</v>
      </c>
      <c r="AB202" s="154">
        <v>102.47</v>
      </c>
      <c r="AD202" s="154">
        <v>22.818000000000001</v>
      </c>
      <c r="AG202" s="157" t="s">
        <v>15</v>
      </c>
      <c r="AI202" s="155">
        <f t="shared" si="3"/>
        <v>8.5784778016953235E-5</v>
      </c>
      <c r="AJ202" s="155">
        <v>2.1113639868182307E-5</v>
      </c>
    </row>
    <row r="203" spans="1:36" s="160" customFormat="1">
      <c r="A203" s="153" t="s">
        <v>1213</v>
      </c>
      <c r="B203" s="160">
        <v>12937</v>
      </c>
      <c r="C203" s="153" t="s">
        <v>1512</v>
      </c>
      <c r="D203" s="153" t="s">
        <v>1513</v>
      </c>
      <c r="E203" s="153" t="s">
        <v>309</v>
      </c>
      <c r="F203" s="153" t="s">
        <v>1588</v>
      </c>
      <c r="G203" s="153" t="s">
        <v>1589</v>
      </c>
      <c r="H203" s="153" t="s">
        <v>321</v>
      </c>
      <c r="I203" s="153" t="s">
        <v>754</v>
      </c>
      <c r="J203" s="153" t="s">
        <v>204</v>
      </c>
      <c r="K203" s="153" t="s">
        <v>204</v>
      </c>
      <c r="L203" s="153" t="s">
        <v>325</v>
      </c>
      <c r="M203" s="153" t="s">
        <v>340</v>
      </c>
      <c r="N203" s="153" t="s">
        <v>448</v>
      </c>
      <c r="O203" s="153" t="s">
        <v>339</v>
      </c>
      <c r="P203" s="153" t="s">
        <v>1566</v>
      </c>
      <c r="Q203" s="153" t="s">
        <v>413</v>
      </c>
      <c r="R203" s="153" t="s">
        <v>407</v>
      </c>
      <c r="S203" s="153" t="s">
        <v>1212</v>
      </c>
      <c r="T203" s="154">
        <v>4.42</v>
      </c>
      <c r="U203" s="153" t="s">
        <v>1590</v>
      </c>
      <c r="V203" s="155">
        <v>3.1269999999999999E-2</v>
      </c>
      <c r="W203" s="155">
        <v>3.09E-2</v>
      </c>
      <c r="X203" s="153" t="s">
        <v>411</v>
      </c>
      <c r="Y203" s="153" t="s">
        <v>339</v>
      </c>
      <c r="Z203" s="154">
        <v>16833</v>
      </c>
      <c r="AA203" s="154">
        <v>1</v>
      </c>
      <c r="AB203" s="154">
        <v>105.66</v>
      </c>
      <c r="AD203" s="154">
        <v>17.786000000000001</v>
      </c>
      <c r="AG203" s="157" t="s">
        <v>15</v>
      </c>
      <c r="AH203" s="155">
        <v>1.0000000000000001E-5</v>
      </c>
      <c r="AI203" s="155">
        <f t="shared" si="3"/>
        <v>6.6866862205694204E-5</v>
      </c>
      <c r="AJ203" s="155">
        <v>1.6457498408953041E-5</v>
      </c>
    </row>
    <row r="204" spans="1:36" s="160" customFormat="1">
      <c r="A204" s="153" t="s">
        <v>1213</v>
      </c>
      <c r="B204" s="160">
        <v>12937</v>
      </c>
      <c r="C204" s="153" t="s">
        <v>2045</v>
      </c>
      <c r="D204" s="153" t="s">
        <v>2046</v>
      </c>
      <c r="E204" s="153" t="s">
        <v>311</v>
      </c>
      <c r="F204" s="153" t="s">
        <v>2047</v>
      </c>
      <c r="G204" s="153" t="s">
        <v>2048</v>
      </c>
      <c r="H204" s="153" t="s">
        <v>312</v>
      </c>
      <c r="I204" s="153" t="s">
        <v>951</v>
      </c>
      <c r="J204" s="153" t="s">
        <v>204</v>
      </c>
      <c r="K204" s="153" t="s">
        <v>204</v>
      </c>
      <c r="L204" s="159" t="s">
        <v>325</v>
      </c>
      <c r="M204" s="153" t="s">
        <v>340</v>
      </c>
      <c r="N204" s="153" t="s">
        <v>465</v>
      </c>
      <c r="O204" s="153" t="s">
        <v>339</v>
      </c>
      <c r="P204" s="153" t="s">
        <v>1554</v>
      </c>
      <c r="Q204" s="153" t="s">
        <v>413</v>
      </c>
      <c r="R204" s="153" t="s">
        <v>407</v>
      </c>
      <c r="S204" s="153" t="s">
        <v>1212</v>
      </c>
      <c r="T204" s="154">
        <v>0.42</v>
      </c>
      <c r="U204" s="153" t="s">
        <v>2049</v>
      </c>
      <c r="V204" s="155">
        <v>-5.1999999999999995E-4</v>
      </c>
      <c r="W204" s="155">
        <v>0.08</v>
      </c>
      <c r="X204" s="177"/>
      <c r="Y204" s="177"/>
      <c r="Z204" s="154">
        <v>2156000</v>
      </c>
      <c r="AA204" s="154">
        <v>1</v>
      </c>
      <c r="AB204" s="154">
        <v>100.04</v>
      </c>
      <c r="AD204" s="154">
        <v>2156.8620000000001</v>
      </c>
      <c r="AG204" s="157" t="s">
        <v>15</v>
      </c>
      <c r="AH204" s="155">
        <v>1.8759999999999999E-2</v>
      </c>
      <c r="AI204" s="155">
        <f t="shared" si="3"/>
        <v>8.1087706145675249E-3</v>
      </c>
      <c r="AJ204" s="155">
        <v>1.9957580643951015E-3</v>
      </c>
    </row>
    <row r="205" spans="1:36" s="160" customFormat="1">
      <c r="A205" s="153" t="s">
        <v>1213</v>
      </c>
      <c r="B205" s="160">
        <v>12937</v>
      </c>
      <c r="C205" s="153" t="s">
        <v>1866</v>
      </c>
      <c r="D205" s="153" t="s">
        <v>1867</v>
      </c>
      <c r="E205" s="153" t="s">
        <v>309</v>
      </c>
      <c r="F205" s="153" t="s">
        <v>1868</v>
      </c>
      <c r="G205" s="153" t="s">
        <v>1869</v>
      </c>
      <c r="H205" s="153" t="s">
        <v>312</v>
      </c>
      <c r="I205" s="153" t="s">
        <v>951</v>
      </c>
      <c r="J205" s="153" t="s">
        <v>204</v>
      </c>
      <c r="K205" s="153" t="s">
        <v>204</v>
      </c>
      <c r="L205" s="153" t="s">
        <v>314</v>
      </c>
      <c r="M205" s="153" t="s">
        <v>340</v>
      </c>
      <c r="N205" s="153" t="s">
        <v>443</v>
      </c>
      <c r="O205" s="153" t="s">
        <v>339</v>
      </c>
      <c r="P205" s="153" t="s">
        <v>410</v>
      </c>
      <c r="Q205" s="153" t="s">
        <v>415</v>
      </c>
      <c r="R205" s="153" t="s">
        <v>407</v>
      </c>
      <c r="S205" s="153" t="s">
        <v>1212</v>
      </c>
      <c r="T205" s="154">
        <v>0.01</v>
      </c>
      <c r="U205" s="153" t="s">
        <v>1870</v>
      </c>
      <c r="V205" s="155">
        <v>3.5009999999999999E-2</v>
      </c>
      <c r="W205" s="155">
        <v>9.99</v>
      </c>
      <c r="X205" s="153" t="s">
        <v>412</v>
      </c>
      <c r="Y205" s="153" t="s">
        <v>338</v>
      </c>
      <c r="Z205" s="154">
        <v>825000</v>
      </c>
      <c r="AA205" s="154">
        <v>1</v>
      </c>
      <c r="AB205" s="154">
        <v>25</v>
      </c>
      <c r="AD205" s="154">
        <v>206.25</v>
      </c>
      <c r="AG205" s="157" t="s">
        <v>15</v>
      </c>
      <c r="AH205" s="155">
        <v>8.1199999999999994E-2</v>
      </c>
      <c r="AI205" s="155">
        <f t="shared" si="3"/>
        <v>7.7540145788397769E-4</v>
      </c>
      <c r="AJ205" s="155">
        <v>1.9084443083585768E-4</v>
      </c>
    </row>
    <row r="206" spans="1:36" s="160" customFormat="1">
      <c r="A206" s="153" t="s">
        <v>1213</v>
      </c>
      <c r="B206" s="160">
        <v>12937</v>
      </c>
      <c r="C206" s="153" t="s">
        <v>1629</v>
      </c>
      <c r="D206" s="153" t="s">
        <v>1630</v>
      </c>
      <c r="E206" s="153" t="s">
        <v>309</v>
      </c>
      <c r="F206" s="153" t="s">
        <v>2050</v>
      </c>
      <c r="G206" s="153" t="s">
        <v>2051</v>
      </c>
      <c r="H206" s="153" t="s">
        <v>312</v>
      </c>
      <c r="I206" s="153" t="s">
        <v>754</v>
      </c>
      <c r="J206" s="153" t="s">
        <v>204</v>
      </c>
      <c r="K206" s="153" t="s">
        <v>204</v>
      </c>
      <c r="L206" s="159" t="s">
        <v>325</v>
      </c>
      <c r="M206" s="153" t="s">
        <v>340</v>
      </c>
      <c r="N206" s="153" t="s">
        <v>447</v>
      </c>
      <c r="O206" s="153" t="s">
        <v>339</v>
      </c>
      <c r="P206" s="153" t="s">
        <v>1586</v>
      </c>
      <c r="Q206" s="153" t="s">
        <v>415</v>
      </c>
      <c r="R206" s="153" t="s">
        <v>407</v>
      </c>
      <c r="S206" s="153" t="s">
        <v>1212</v>
      </c>
      <c r="T206" s="154">
        <v>2.91</v>
      </c>
      <c r="U206" s="153" t="s">
        <v>1865</v>
      </c>
      <c r="V206" s="155">
        <v>3.1949999999999999E-2</v>
      </c>
      <c r="W206" s="155">
        <v>4.4400000000000002E-2</v>
      </c>
      <c r="X206" s="177"/>
      <c r="Y206" s="177"/>
      <c r="Z206" s="154">
        <v>7702</v>
      </c>
      <c r="AA206" s="154">
        <v>1</v>
      </c>
      <c r="AB206" s="154">
        <v>114.9</v>
      </c>
      <c r="AD206" s="154">
        <v>8.85</v>
      </c>
      <c r="AG206" s="157" t="s">
        <v>15</v>
      </c>
      <c r="AH206" s="155">
        <v>8.0000000000000007E-5</v>
      </c>
      <c r="AI206" s="155">
        <f t="shared" si="3"/>
        <v>3.3271771647385224E-5</v>
      </c>
      <c r="AJ206" s="155">
        <v>8.1889610322295298E-6</v>
      </c>
    </row>
    <row r="207" spans="1:36" s="160" customFormat="1">
      <c r="A207" s="153" t="s">
        <v>1213</v>
      </c>
      <c r="B207" s="160">
        <v>12937</v>
      </c>
      <c r="C207" s="153" t="s">
        <v>1624</v>
      </c>
      <c r="D207" s="153" t="s">
        <v>1625</v>
      </c>
      <c r="E207" s="153" t="s">
        <v>309</v>
      </c>
      <c r="F207" s="153" t="s">
        <v>1626</v>
      </c>
      <c r="G207" s="153" t="s">
        <v>1627</v>
      </c>
      <c r="H207" s="153" t="s">
        <v>321</v>
      </c>
      <c r="I207" s="153" t="s">
        <v>754</v>
      </c>
      <c r="J207" s="153" t="s">
        <v>204</v>
      </c>
      <c r="K207" s="153" t="s">
        <v>204</v>
      </c>
      <c r="L207" s="153" t="s">
        <v>327</v>
      </c>
      <c r="M207" s="153" t="s">
        <v>340</v>
      </c>
      <c r="N207" s="153" t="s">
        <v>447</v>
      </c>
      <c r="O207" s="153" t="s">
        <v>339</v>
      </c>
      <c r="P207" s="153" t="s">
        <v>1614</v>
      </c>
      <c r="Q207" s="153" t="s">
        <v>415</v>
      </c>
      <c r="R207" s="153" t="s">
        <v>407</v>
      </c>
      <c r="S207" s="153" t="s">
        <v>1212</v>
      </c>
      <c r="T207" s="154">
        <v>2.82</v>
      </c>
      <c r="U207" s="153" t="s">
        <v>1628</v>
      </c>
      <c r="V207" s="155">
        <v>3.3090000000000001E-2</v>
      </c>
      <c r="W207" s="155">
        <v>3.2199999999999999E-2</v>
      </c>
      <c r="X207" s="153" t="s">
        <v>412</v>
      </c>
      <c r="Y207" s="153" t="s">
        <v>339</v>
      </c>
      <c r="Z207" s="154">
        <v>1230165</v>
      </c>
      <c r="AA207" s="154">
        <v>1</v>
      </c>
      <c r="AB207" s="154">
        <f>AD207*1000/Z207*100</f>
        <v>108.98999999999998</v>
      </c>
      <c r="AD207" s="154">
        <f>1340756.8335/1000</f>
        <v>1340.7568334999999</v>
      </c>
      <c r="AG207" s="157" t="s">
        <v>15</v>
      </c>
      <c r="AI207" s="155">
        <f t="shared" si="3"/>
        <v>5.0406051072184512E-3</v>
      </c>
      <c r="AJ207" s="155">
        <v>1.2406107868053054E-3</v>
      </c>
    </row>
    <row r="208" spans="1:36" s="160" customFormat="1">
      <c r="A208" s="153" t="s">
        <v>1213</v>
      </c>
      <c r="B208" s="160">
        <v>12937</v>
      </c>
      <c r="C208" s="153" t="s">
        <v>1679</v>
      </c>
      <c r="D208" s="153" t="s">
        <v>1680</v>
      </c>
      <c r="E208" s="153" t="s">
        <v>309</v>
      </c>
      <c r="F208" s="153" t="s">
        <v>1681</v>
      </c>
      <c r="G208" s="153" t="s">
        <v>1682</v>
      </c>
      <c r="H208" s="153" t="s">
        <v>321</v>
      </c>
      <c r="I208" s="153" t="s">
        <v>951</v>
      </c>
      <c r="J208" s="153" t="s">
        <v>204</v>
      </c>
      <c r="K208" s="153" t="s">
        <v>204</v>
      </c>
      <c r="L208" s="153" t="s">
        <v>327</v>
      </c>
      <c r="M208" s="153" t="s">
        <v>340</v>
      </c>
      <c r="N208" s="153" t="s">
        <v>447</v>
      </c>
      <c r="O208" s="153" t="s">
        <v>339</v>
      </c>
      <c r="Q208" s="153" t="s">
        <v>410</v>
      </c>
      <c r="R208" s="153" t="s">
        <v>410</v>
      </c>
      <c r="S208" s="153" t="s">
        <v>1212</v>
      </c>
      <c r="T208" s="154">
        <v>2.0499999999999998</v>
      </c>
      <c r="U208" s="153" t="s">
        <v>1572</v>
      </c>
      <c r="V208" s="155">
        <v>6.7040000000000002E-2</v>
      </c>
      <c r="W208" s="155">
        <v>7.1099999999999997E-2</v>
      </c>
      <c r="X208" s="153" t="s">
        <v>412</v>
      </c>
      <c r="Y208" s="153" t="s">
        <v>339</v>
      </c>
      <c r="Z208" s="154">
        <v>988000</v>
      </c>
      <c r="AA208" s="154">
        <v>1</v>
      </c>
      <c r="AB208" s="154">
        <f>AD208*1000/Z208*100</f>
        <v>105.22</v>
      </c>
      <c r="AD208" s="154">
        <f>1039573.6/1000</f>
        <v>1039.5735999999999</v>
      </c>
      <c r="AG208" s="157" t="s">
        <v>15</v>
      </c>
      <c r="AI208" s="155">
        <f t="shared" si="3"/>
        <v>3.9083000485706431E-3</v>
      </c>
      <c r="AJ208" s="155">
        <v>9.619240339587082E-4</v>
      </c>
    </row>
    <row r="209" spans="1:36" s="160" customFormat="1">
      <c r="A209" s="153" t="s">
        <v>1213</v>
      </c>
      <c r="B209" s="160">
        <v>12937</v>
      </c>
      <c r="C209" s="153" t="s">
        <v>1620</v>
      </c>
      <c r="D209" s="153" t="s">
        <v>1621</v>
      </c>
      <c r="E209" s="153" t="s">
        <v>309</v>
      </c>
      <c r="F209" s="153" t="s">
        <v>1622</v>
      </c>
      <c r="G209" s="153" t="s">
        <v>1623</v>
      </c>
      <c r="H209" s="153" t="s">
        <v>321</v>
      </c>
      <c r="I209" s="153" t="s">
        <v>951</v>
      </c>
      <c r="J209" s="153" t="s">
        <v>204</v>
      </c>
      <c r="K209" s="153" t="s">
        <v>204</v>
      </c>
      <c r="L209" s="153" t="s">
        <v>327</v>
      </c>
      <c r="M209" s="153" t="s">
        <v>340</v>
      </c>
      <c r="N209" s="153" t="s">
        <v>447</v>
      </c>
      <c r="O209" s="153" t="s">
        <v>339</v>
      </c>
      <c r="Q209" s="153" t="s">
        <v>410</v>
      </c>
      <c r="R209" s="153" t="s">
        <v>410</v>
      </c>
      <c r="S209" s="153" t="s">
        <v>1212</v>
      </c>
      <c r="T209" s="154">
        <v>1.59</v>
      </c>
      <c r="U209" s="178">
        <v>46538</v>
      </c>
      <c r="V209" s="155">
        <v>6.4979999999999996E-2</v>
      </c>
      <c r="W209" s="155">
        <v>6.3100000000000003E-2</v>
      </c>
      <c r="X209" s="153" t="s">
        <v>412</v>
      </c>
      <c r="Y209" s="153" t="s">
        <v>339</v>
      </c>
      <c r="Z209" s="154">
        <v>1834551.7799999998</v>
      </c>
      <c r="AA209" s="154">
        <v>1</v>
      </c>
      <c r="AB209" s="154">
        <f>AD209*1000/Z209*100</f>
        <v>101.67000000000002</v>
      </c>
      <c r="AD209" s="154">
        <f>1865188.794726/1000</f>
        <v>1865.188794726</v>
      </c>
      <c r="AG209" s="157" t="s">
        <v>15</v>
      </c>
      <c r="AI209" s="155">
        <f t="shared" si="3"/>
        <v>7.0122187183486043E-3</v>
      </c>
      <c r="AJ209" s="155">
        <v>1.7258710008771047E-3</v>
      </c>
    </row>
    <row r="210" spans="1:36" s="160" customFormat="1">
      <c r="A210" s="153" t="s">
        <v>1213</v>
      </c>
      <c r="B210" s="160">
        <v>12937</v>
      </c>
      <c r="C210" s="153" t="s">
        <v>1546</v>
      </c>
      <c r="D210" s="153" t="s">
        <v>1547</v>
      </c>
      <c r="E210" s="153" t="s">
        <v>309</v>
      </c>
      <c r="F210" s="153" t="s">
        <v>1639</v>
      </c>
      <c r="G210" s="153" t="s">
        <v>1640</v>
      </c>
      <c r="H210" s="153" t="s">
        <v>321</v>
      </c>
      <c r="I210" s="153" t="s">
        <v>754</v>
      </c>
      <c r="J210" s="153" t="s">
        <v>204</v>
      </c>
      <c r="K210" s="153" t="s">
        <v>204</v>
      </c>
      <c r="L210" s="153" t="s">
        <v>327</v>
      </c>
      <c r="M210" s="153" t="s">
        <v>340</v>
      </c>
      <c r="N210" s="153" t="s">
        <v>443</v>
      </c>
      <c r="O210" s="153" t="s">
        <v>339</v>
      </c>
      <c r="P210" s="153" t="s">
        <v>1544</v>
      </c>
      <c r="Q210" s="153" t="s">
        <v>415</v>
      </c>
      <c r="R210" s="153" t="s">
        <v>407</v>
      </c>
      <c r="S210" s="153" t="s">
        <v>1212</v>
      </c>
      <c r="T210" s="154">
        <v>3.25</v>
      </c>
      <c r="U210" s="153" t="s">
        <v>1641</v>
      </c>
      <c r="V210" s="155">
        <v>2.921E-2</v>
      </c>
      <c r="W210" s="155">
        <v>3.3300000000000003E-2</v>
      </c>
      <c r="X210" s="153" t="s">
        <v>412</v>
      </c>
      <c r="Y210" s="153" t="s">
        <v>339</v>
      </c>
      <c r="Z210" s="154">
        <v>1689000</v>
      </c>
      <c r="AA210" s="154">
        <v>1</v>
      </c>
      <c r="AB210" s="154">
        <f>AD210*1000/Z210*100</f>
        <v>104.54</v>
      </c>
      <c r="AD210" s="154">
        <f>1765680.6/1000</f>
        <v>1765.6806000000001</v>
      </c>
      <c r="AG210" s="157" t="s">
        <v>15</v>
      </c>
      <c r="AI210" s="155">
        <f t="shared" si="3"/>
        <v>6.6381154491997893E-3</v>
      </c>
      <c r="AJ210" s="155">
        <v>1.6337954382783793E-3</v>
      </c>
    </row>
    <row r="211" spans="1:36" s="160" customFormat="1">
      <c r="A211" s="153" t="s">
        <v>1213</v>
      </c>
      <c r="B211" s="160">
        <v>12937</v>
      </c>
      <c r="C211" s="153" t="s">
        <v>2052</v>
      </c>
      <c r="D211" s="153" t="s">
        <v>2053</v>
      </c>
      <c r="E211" s="153" t="s">
        <v>80</v>
      </c>
      <c r="F211" s="153" t="s">
        <v>2054</v>
      </c>
      <c r="G211" s="153" t="s">
        <v>2055</v>
      </c>
      <c r="H211" s="153" t="s">
        <v>321</v>
      </c>
      <c r="I211" s="153" t="s">
        <v>755</v>
      </c>
      <c r="J211" s="153" t="s">
        <v>205</v>
      </c>
      <c r="K211" s="153" t="s">
        <v>233</v>
      </c>
      <c r="L211" s="153" t="s">
        <v>325</v>
      </c>
      <c r="M211" s="153" t="s">
        <v>314</v>
      </c>
      <c r="N211" s="153" t="s">
        <v>486</v>
      </c>
      <c r="O211" s="153" t="s">
        <v>339</v>
      </c>
      <c r="P211" s="153" t="s">
        <v>2056</v>
      </c>
      <c r="Q211" s="153" t="s">
        <v>433</v>
      </c>
      <c r="R211" s="153" t="s">
        <v>407</v>
      </c>
      <c r="S211" s="153" t="s">
        <v>1216</v>
      </c>
      <c r="T211" s="154">
        <v>2.27</v>
      </c>
      <c r="U211" s="153" t="s">
        <v>2057</v>
      </c>
      <c r="V211" s="155">
        <v>7.5090000000000004E-2</v>
      </c>
      <c r="W211" s="155">
        <v>7.1489999999999998E-2</v>
      </c>
      <c r="X211" s="153" t="s">
        <v>412</v>
      </c>
      <c r="Y211" s="153" t="s">
        <v>339</v>
      </c>
      <c r="Z211" s="154">
        <v>2000000</v>
      </c>
      <c r="AA211" s="154">
        <v>3.71</v>
      </c>
      <c r="AB211" s="154">
        <f>(AD211-(AC211*AA211))*1000/AA211/Z211*100</f>
        <v>101.16733153638815</v>
      </c>
      <c r="AD211" s="154">
        <v>7506.616</v>
      </c>
      <c r="AG211" s="157" t="s">
        <v>15</v>
      </c>
      <c r="AH211" s="155">
        <v>4.4400000000000004E-3</v>
      </c>
      <c r="AI211" s="155">
        <f t="shared" si="3"/>
        <v>2.822128964933427E-2</v>
      </c>
      <c r="AJ211" s="155">
        <v>6.9459193116283274E-3</v>
      </c>
    </row>
    <row r="212" spans="1:36" s="160" customFormat="1">
      <c r="A212" s="153" t="s">
        <v>1213</v>
      </c>
      <c r="B212" s="160">
        <v>12937</v>
      </c>
      <c r="C212" s="153" t="s">
        <v>2058</v>
      </c>
      <c r="D212" s="153" t="s">
        <v>2059</v>
      </c>
      <c r="E212" s="153" t="s">
        <v>80</v>
      </c>
      <c r="F212" s="153" t="s">
        <v>2060</v>
      </c>
      <c r="G212" s="153" t="s">
        <v>2061</v>
      </c>
      <c r="H212" s="153" t="s">
        <v>321</v>
      </c>
      <c r="I212" s="153" t="s">
        <v>755</v>
      </c>
      <c r="J212" s="153" t="s">
        <v>205</v>
      </c>
      <c r="K212" s="153" t="s">
        <v>224</v>
      </c>
      <c r="L212" s="153" t="s">
        <v>325</v>
      </c>
      <c r="M212" s="153" t="s">
        <v>314</v>
      </c>
      <c r="N212" s="153" t="s">
        <v>537</v>
      </c>
      <c r="O212" s="153" t="s">
        <v>339</v>
      </c>
      <c r="P212" s="153" t="s">
        <v>1876</v>
      </c>
      <c r="Q212" s="153" t="s">
        <v>433</v>
      </c>
      <c r="R212" s="153" t="s">
        <v>407</v>
      </c>
      <c r="S212" s="153" t="s">
        <v>1216</v>
      </c>
      <c r="T212" s="154">
        <v>1.966</v>
      </c>
      <c r="U212" s="153" t="s">
        <v>2062</v>
      </c>
      <c r="V212" s="155">
        <v>3.5290000000000002E-2</v>
      </c>
      <c r="W212" s="155">
        <v>6.8830000000000002E-2</v>
      </c>
      <c r="X212" s="153" t="s">
        <v>412</v>
      </c>
      <c r="Y212" s="153" t="s">
        <v>339</v>
      </c>
      <c r="Z212" s="154">
        <v>2000000</v>
      </c>
      <c r="AA212" s="154">
        <v>3.71</v>
      </c>
      <c r="AB212" s="154">
        <f>(AD212-(AC212*AA212))*1000/AA212/Z212*100</f>
        <v>94.261495956873304</v>
      </c>
      <c r="AD212" s="154">
        <v>6994.2030000000004</v>
      </c>
      <c r="AG212" s="157" t="s">
        <v>15</v>
      </c>
      <c r="AH212" s="155">
        <v>6.6699999999999997E-3</v>
      </c>
      <c r="AI212" s="155">
        <f t="shared" si="3"/>
        <v>2.6294861589995108E-2</v>
      </c>
      <c r="AJ212" s="155">
        <v>6.4717803184749009E-3</v>
      </c>
    </row>
    <row r="213" spans="1:36" s="160" customFormat="1">
      <c r="A213" s="153" t="s">
        <v>1213</v>
      </c>
      <c r="B213" s="160">
        <v>12937</v>
      </c>
      <c r="C213" s="153" t="s">
        <v>2058</v>
      </c>
      <c r="D213" s="153" t="s">
        <v>2059</v>
      </c>
      <c r="E213" s="153" t="s">
        <v>80</v>
      </c>
      <c r="F213" s="153" t="s">
        <v>2063</v>
      </c>
      <c r="G213" s="153" t="s">
        <v>2064</v>
      </c>
      <c r="H213" s="153" t="s">
        <v>321</v>
      </c>
      <c r="I213" s="153" t="s">
        <v>755</v>
      </c>
      <c r="J213" s="153" t="s">
        <v>205</v>
      </c>
      <c r="K213" s="153" t="s">
        <v>224</v>
      </c>
      <c r="L213" s="153" t="s">
        <v>325</v>
      </c>
      <c r="M213" s="153" t="s">
        <v>314</v>
      </c>
      <c r="N213" s="153" t="s">
        <v>537</v>
      </c>
      <c r="O213" s="153" t="s">
        <v>339</v>
      </c>
      <c r="P213" s="153" t="s">
        <v>1876</v>
      </c>
      <c r="Q213" s="153" t="s">
        <v>433</v>
      </c>
      <c r="R213" s="153" t="s">
        <v>407</v>
      </c>
      <c r="S213" s="153" t="s">
        <v>1216</v>
      </c>
      <c r="T213" s="154">
        <v>1.24</v>
      </c>
      <c r="U213" s="153" t="s">
        <v>2065</v>
      </c>
      <c r="V213" s="155">
        <v>3.4029999999999998E-2</v>
      </c>
      <c r="W213" s="155">
        <v>6.2719999999999998E-2</v>
      </c>
      <c r="X213" s="153" t="s">
        <v>412</v>
      </c>
      <c r="Y213" s="153" t="s">
        <v>339</v>
      </c>
      <c r="Z213" s="154">
        <v>1500000</v>
      </c>
      <c r="AA213" s="154">
        <v>3.71</v>
      </c>
      <c r="AB213" s="154">
        <v>97.465999999999994</v>
      </c>
      <c r="AD213" s="154">
        <v>5423.9840000000004</v>
      </c>
      <c r="AG213" s="157" t="s">
        <v>15</v>
      </c>
      <c r="AH213" s="155">
        <v>3.7499999999999999E-3</v>
      </c>
      <c r="AI213" s="155">
        <f t="shared" si="3"/>
        <v>2.0391588369160579E-2</v>
      </c>
      <c r="AJ213" s="155">
        <v>5.0188467362075086E-3</v>
      </c>
    </row>
    <row r="214" spans="1:36" s="160" customFormat="1">
      <c r="A214" s="153" t="s">
        <v>1213</v>
      </c>
      <c r="B214" s="160">
        <v>12937</v>
      </c>
      <c r="C214" s="153" t="s">
        <v>2066</v>
      </c>
      <c r="D214" s="153" t="s">
        <v>2067</v>
      </c>
      <c r="E214" s="153" t="s">
        <v>80</v>
      </c>
      <c r="F214" s="153" t="s">
        <v>2068</v>
      </c>
      <c r="G214" s="153" t="s">
        <v>2069</v>
      </c>
      <c r="H214" s="153" t="s">
        <v>321</v>
      </c>
      <c r="I214" s="153" t="s">
        <v>755</v>
      </c>
      <c r="J214" s="153" t="s">
        <v>205</v>
      </c>
      <c r="K214" s="153" t="s">
        <v>233</v>
      </c>
      <c r="L214" s="153" t="s">
        <v>325</v>
      </c>
      <c r="M214" s="153" t="s">
        <v>314</v>
      </c>
      <c r="N214" s="153" t="s">
        <v>486</v>
      </c>
      <c r="O214" s="153" t="s">
        <v>339</v>
      </c>
      <c r="P214" s="153" t="s">
        <v>2070</v>
      </c>
      <c r="Q214" s="153" t="s">
        <v>431</v>
      </c>
      <c r="R214" s="153" t="s">
        <v>407</v>
      </c>
      <c r="S214" s="153" t="s">
        <v>1216</v>
      </c>
      <c r="T214" s="154">
        <v>0.73899999999999999</v>
      </c>
      <c r="U214" s="153" t="s">
        <v>2071</v>
      </c>
      <c r="V214" s="155">
        <v>0.09</v>
      </c>
      <c r="W214" s="155">
        <v>6.2449999999999999E-2</v>
      </c>
      <c r="X214" s="153" t="s">
        <v>412</v>
      </c>
      <c r="Y214" s="153" t="s">
        <v>339</v>
      </c>
      <c r="Z214" s="154">
        <v>1000000</v>
      </c>
      <c r="AA214" s="154">
        <v>3.71</v>
      </c>
      <c r="AB214" s="154">
        <v>102.819</v>
      </c>
      <c r="AD214" s="154">
        <v>3814.585</v>
      </c>
      <c r="AG214" s="157" t="s">
        <v>15</v>
      </c>
      <c r="AH214" s="155">
        <v>1.6000000000000001E-3</v>
      </c>
      <c r="AI214" s="155">
        <f t="shared" si="3"/>
        <v>1.4341017067744743E-2</v>
      </c>
      <c r="AJ214" s="155">
        <v>3.5296596518787885E-3</v>
      </c>
    </row>
    <row r="215" spans="1:36" s="160" customFormat="1">
      <c r="A215" s="153" t="s">
        <v>1213</v>
      </c>
      <c r="B215" s="160">
        <v>12937</v>
      </c>
      <c r="C215" s="153" t="s">
        <v>1872</v>
      </c>
      <c r="D215" s="153" t="s">
        <v>1873</v>
      </c>
      <c r="E215" s="153" t="s">
        <v>80</v>
      </c>
      <c r="F215" s="153" t="s">
        <v>1874</v>
      </c>
      <c r="G215" s="153" t="s">
        <v>1875</v>
      </c>
      <c r="H215" s="153" t="s">
        <v>321</v>
      </c>
      <c r="I215" s="153" t="s">
        <v>755</v>
      </c>
      <c r="J215" s="153" t="s">
        <v>205</v>
      </c>
      <c r="K215" s="153" t="s">
        <v>224</v>
      </c>
      <c r="L215" s="153" t="s">
        <v>325</v>
      </c>
      <c r="M215" s="153" t="s">
        <v>314</v>
      </c>
      <c r="N215" s="153" t="s">
        <v>534</v>
      </c>
      <c r="O215" s="153" t="s">
        <v>339</v>
      </c>
      <c r="P215" s="153" t="s">
        <v>1876</v>
      </c>
      <c r="Q215" s="153" t="s">
        <v>433</v>
      </c>
      <c r="R215" s="153" t="s">
        <v>407</v>
      </c>
      <c r="S215" s="153" t="s">
        <v>1216</v>
      </c>
      <c r="T215" s="154">
        <v>1.609</v>
      </c>
      <c r="U215" s="153" t="s">
        <v>1877</v>
      </c>
      <c r="V215" s="155">
        <v>5.824E-2</v>
      </c>
      <c r="W215" s="155">
        <v>4.4999999999999998E-2</v>
      </c>
      <c r="X215" s="153" t="s">
        <v>412</v>
      </c>
      <c r="Y215" s="153" t="s">
        <v>339</v>
      </c>
      <c r="Z215" s="154">
        <v>860000</v>
      </c>
      <c r="AA215" s="154">
        <v>3.71</v>
      </c>
      <c r="AB215" s="154">
        <v>100.123</v>
      </c>
      <c r="AD215" s="154">
        <v>3194.527</v>
      </c>
      <c r="AG215" s="157" t="s">
        <v>15</v>
      </c>
      <c r="AH215" s="155">
        <v>5.1000000000000004E-4</v>
      </c>
      <c r="AI215" s="155">
        <f t="shared" si="3"/>
        <v>1.2009895239028992E-2</v>
      </c>
      <c r="AJ215" s="155">
        <v>2.9559160586898419E-3</v>
      </c>
    </row>
    <row r="216" spans="1:36" s="160" customFormat="1">
      <c r="A216" s="153" t="s">
        <v>1213</v>
      </c>
      <c r="B216" s="160">
        <v>12937</v>
      </c>
      <c r="C216" s="153" t="s">
        <v>2072</v>
      </c>
      <c r="D216" s="153" t="s">
        <v>2073</v>
      </c>
      <c r="E216" s="153" t="s">
        <v>80</v>
      </c>
      <c r="F216" s="153" t="s">
        <v>2074</v>
      </c>
      <c r="G216" s="153" t="s">
        <v>2075</v>
      </c>
      <c r="H216" s="153" t="s">
        <v>321</v>
      </c>
      <c r="I216" s="153" t="s">
        <v>755</v>
      </c>
      <c r="J216" s="153" t="s">
        <v>205</v>
      </c>
      <c r="K216" s="153" t="s">
        <v>224</v>
      </c>
      <c r="L216" s="153" t="s">
        <v>325</v>
      </c>
      <c r="M216" s="153" t="s">
        <v>314</v>
      </c>
      <c r="N216" s="153" t="s">
        <v>537</v>
      </c>
      <c r="O216" s="153" t="s">
        <v>339</v>
      </c>
      <c r="P216" s="153" t="s">
        <v>1876</v>
      </c>
      <c r="Q216" s="153" t="s">
        <v>423</v>
      </c>
      <c r="R216" s="153" t="s">
        <v>407</v>
      </c>
      <c r="S216" s="153" t="s">
        <v>1216</v>
      </c>
      <c r="T216" s="154">
        <v>1.228</v>
      </c>
      <c r="U216" s="153" t="s">
        <v>2076</v>
      </c>
      <c r="V216" s="155">
        <v>2.9569999999999999E-2</v>
      </c>
      <c r="W216" s="155">
        <v>5.3969999999999997E-2</v>
      </c>
      <c r="X216" s="153" t="s">
        <v>412</v>
      </c>
      <c r="Y216" s="153" t="s">
        <v>339</v>
      </c>
      <c r="Z216" s="154">
        <v>800000</v>
      </c>
      <c r="AA216" s="154">
        <v>3.71</v>
      </c>
      <c r="AB216" s="154">
        <f>(AD216-(AC216*AA216))*1000/AA216/Z216*100</f>
        <v>98.16634097035039</v>
      </c>
      <c r="AD216" s="154">
        <v>2913.5770000000002</v>
      </c>
      <c r="AG216" s="157" t="s">
        <v>15</v>
      </c>
      <c r="AH216" s="155">
        <v>8.0000000000000004E-4</v>
      </c>
      <c r="AI216" s="155">
        <f t="shared" si="3"/>
        <v>1.0953657471307764E-2</v>
      </c>
      <c r="AJ216" s="155">
        <v>2.6959512449039793E-3</v>
      </c>
    </row>
    <row r="217" spans="1:36" s="160" customFormat="1">
      <c r="A217" s="153" t="s">
        <v>1213</v>
      </c>
      <c r="B217" s="160">
        <v>12937</v>
      </c>
      <c r="C217" s="153" t="s">
        <v>1881</v>
      </c>
      <c r="D217" s="153" t="s">
        <v>1882</v>
      </c>
      <c r="E217" s="153" t="s">
        <v>309</v>
      </c>
      <c r="F217" s="153" t="s">
        <v>1883</v>
      </c>
      <c r="G217" s="153" t="s">
        <v>1884</v>
      </c>
      <c r="H217" s="153" t="s">
        <v>321</v>
      </c>
      <c r="I217" s="153" t="s">
        <v>755</v>
      </c>
      <c r="J217" s="153" t="s">
        <v>205</v>
      </c>
      <c r="K217" s="153" t="s">
        <v>204</v>
      </c>
      <c r="L217" s="153" t="s">
        <v>325</v>
      </c>
      <c r="M217" s="153" t="s">
        <v>340</v>
      </c>
      <c r="N217" s="153" t="s">
        <v>536</v>
      </c>
      <c r="O217" s="153" t="s">
        <v>339</v>
      </c>
      <c r="P217" s="153" t="s">
        <v>1876</v>
      </c>
      <c r="Q217" s="153" t="s">
        <v>433</v>
      </c>
      <c r="R217" s="153" t="s">
        <v>407</v>
      </c>
      <c r="S217" s="153" t="s">
        <v>1216</v>
      </c>
      <c r="T217" s="154">
        <v>1.4370000000000001</v>
      </c>
      <c r="U217" s="153" t="s">
        <v>1885</v>
      </c>
      <c r="V217" s="155">
        <v>4.7960000000000003E-2</v>
      </c>
      <c r="W217" s="155">
        <v>7.4329999999999993E-2</v>
      </c>
      <c r="X217" s="153" t="s">
        <v>412</v>
      </c>
      <c r="Y217" s="153" t="s">
        <v>339</v>
      </c>
      <c r="Z217" s="154">
        <v>793000</v>
      </c>
      <c r="AA217" s="154">
        <v>3.71</v>
      </c>
      <c r="AB217" s="154">
        <f>(AD217-(AC217*AA217))*1000/AA217/Z217*100</f>
        <v>95.180674568240292</v>
      </c>
      <c r="AD217" s="154">
        <v>2800.2440000000001</v>
      </c>
      <c r="AG217" s="157" t="s">
        <v>15</v>
      </c>
      <c r="AH217" s="155">
        <v>1.32E-3</v>
      </c>
      <c r="AI217" s="155">
        <f t="shared" si="3"/>
        <v>1.052757953954357E-2</v>
      </c>
      <c r="AJ217" s="155">
        <v>2.5910835024558813E-3</v>
      </c>
    </row>
    <row r="218" spans="1:36" s="160" customFormat="1">
      <c r="A218" s="153" t="s">
        <v>1213</v>
      </c>
      <c r="B218" s="160">
        <v>12937</v>
      </c>
      <c r="C218" s="153" t="s">
        <v>1573</v>
      </c>
      <c r="D218" s="153" t="s">
        <v>1574</v>
      </c>
      <c r="E218" s="153" t="s">
        <v>309</v>
      </c>
      <c r="F218" s="153" t="s">
        <v>1878</v>
      </c>
      <c r="G218" s="153" t="s">
        <v>1879</v>
      </c>
      <c r="H218" s="153" t="s">
        <v>321</v>
      </c>
      <c r="I218" s="153" t="s">
        <v>755</v>
      </c>
      <c r="J218" s="153" t="s">
        <v>205</v>
      </c>
      <c r="K218" s="153" t="s">
        <v>204</v>
      </c>
      <c r="L218" s="153" t="s">
        <v>325</v>
      </c>
      <c r="M218" s="153" t="s">
        <v>340</v>
      </c>
      <c r="N218" s="153" t="s">
        <v>536</v>
      </c>
      <c r="O218" s="153" t="s">
        <v>339</v>
      </c>
      <c r="P218" s="153" t="s">
        <v>1876</v>
      </c>
      <c r="Q218" s="153" t="s">
        <v>433</v>
      </c>
      <c r="R218" s="153" t="s">
        <v>407</v>
      </c>
      <c r="S218" s="153" t="s">
        <v>1216</v>
      </c>
      <c r="T218" s="154">
        <v>1.2529999999999999</v>
      </c>
      <c r="U218" s="153" t="s">
        <v>1880</v>
      </c>
      <c r="V218" s="155">
        <v>4.811E-2</v>
      </c>
      <c r="W218" s="155">
        <v>7.9500000000000001E-2</v>
      </c>
      <c r="X218" s="153" t="s">
        <v>412</v>
      </c>
      <c r="Y218" s="153" t="s">
        <v>339</v>
      </c>
      <c r="Z218" s="154">
        <v>791000</v>
      </c>
      <c r="AA218" s="154">
        <v>3.71</v>
      </c>
      <c r="AB218" s="154">
        <v>95.29</v>
      </c>
      <c r="AD218" s="154">
        <v>2796.3879999999999</v>
      </c>
      <c r="AG218" s="157" t="s">
        <v>15</v>
      </c>
      <c r="AH218" s="155">
        <v>1.0499999999999999E-3</v>
      </c>
      <c r="AI218" s="155">
        <f t="shared" si="3"/>
        <v>1.0513082821863083E-2</v>
      </c>
      <c r="AJ218" s="155">
        <v>2.5875155212422901E-3</v>
      </c>
    </row>
    <row r="219" spans="1:36" s="160" customFormat="1">
      <c r="A219" s="153" t="s">
        <v>1213</v>
      </c>
      <c r="B219" s="160">
        <v>12937</v>
      </c>
      <c r="C219" s="153" t="s">
        <v>2077</v>
      </c>
      <c r="D219" s="153" t="s">
        <v>2078</v>
      </c>
      <c r="E219" s="153" t="s">
        <v>80</v>
      </c>
      <c r="F219" s="153" t="s">
        <v>2079</v>
      </c>
      <c r="G219" s="153" t="s">
        <v>2080</v>
      </c>
      <c r="H219" s="153" t="s">
        <v>321</v>
      </c>
      <c r="I219" s="153" t="s">
        <v>755</v>
      </c>
      <c r="J219" s="153" t="s">
        <v>205</v>
      </c>
      <c r="K219" s="153" t="s">
        <v>208</v>
      </c>
      <c r="L219" s="153" t="s">
        <v>325</v>
      </c>
      <c r="M219" s="153" t="s">
        <v>314</v>
      </c>
      <c r="N219" s="153" t="s">
        <v>536</v>
      </c>
      <c r="O219" s="153" t="s">
        <v>339</v>
      </c>
      <c r="P219" s="153" t="s">
        <v>2081</v>
      </c>
      <c r="Q219" s="153" t="s">
        <v>433</v>
      </c>
      <c r="R219" s="153" t="s">
        <v>407</v>
      </c>
      <c r="S219" s="153" t="s">
        <v>1216</v>
      </c>
      <c r="T219" s="154">
        <v>6.7130000000000001</v>
      </c>
      <c r="U219" s="153" t="s">
        <v>2082</v>
      </c>
      <c r="V219" s="155">
        <v>5.8319999999999997E-2</v>
      </c>
      <c r="W219" s="155">
        <v>5.0250000000000003E-2</v>
      </c>
      <c r="X219" s="153" t="s">
        <v>412</v>
      </c>
      <c r="Y219" s="153" t="s">
        <v>339</v>
      </c>
      <c r="Z219" s="154">
        <v>497000</v>
      </c>
      <c r="AA219" s="154">
        <v>3.71</v>
      </c>
      <c r="AB219" s="154">
        <v>107.63</v>
      </c>
      <c r="AD219" s="154">
        <v>1984.558</v>
      </c>
      <c r="AG219" s="157" t="s">
        <v>15</v>
      </c>
      <c r="AH219" s="155">
        <v>6.6E-4</v>
      </c>
      <c r="AI219" s="155">
        <f t="shared" si="3"/>
        <v>7.4609898979651444E-3</v>
      </c>
      <c r="AJ219" s="155">
        <v>1.8363240822824147E-3</v>
      </c>
    </row>
    <row r="220" spans="1:36" s="160" customFormat="1">
      <c r="A220" s="153" t="s">
        <v>1213</v>
      </c>
      <c r="B220" s="160">
        <v>12937</v>
      </c>
      <c r="C220" s="153" t="s">
        <v>2083</v>
      </c>
      <c r="D220" s="153" t="s">
        <v>2084</v>
      </c>
      <c r="E220" s="153" t="s">
        <v>80</v>
      </c>
      <c r="F220" s="153" t="s">
        <v>2085</v>
      </c>
      <c r="G220" s="153" t="s">
        <v>2086</v>
      </c>
      <c r="H220" s="153" t="s">
        <v>321</v>
      </c>
      <c r="I220" s="153" t="s">
        <v>755</v>
      </c>
      <c r="J220" s="153" t="s">
        <v>205</v>
      </c>
      <c r="K220" s="153" t="s">
        <v>224</v>
      </c>
      <c r="L220" s="153" t="s">
        <v>325</v>
      </c>
      <c r="M220" s="153" t="s">
        <v>314</v>
      </c>
      <c r="N220" s="153" t="s">
        <v>536</v>
      </c>
      <c r="O220" s="153" t="s">
        <v>339</v>
      </c>
      <c r="P220" s="153" t="s">
        <v>2087</v>
      </c>
      <c r="Q220" s="153" t="s">
        <v>431</v>
      </c>
      <c r="R220" s="153" t="s">
        <v>407</v>
      </c>
      <c r="S220" s="153" t="s">
        <v>1216</v>
      </c>
      <c r="T220" s="154">
        <v>3.2080000000000002</v>
      </c>
      <c r="U220" s="153" t="s">
        <v>2088</v>
      </c>
      <c r="V220" s="155">
        <v>6.0350000000000001E-2</v>
      </c>
      <c r="W220" s="155">
        <v>5.058E-2</v>
      </c>
      <c r="X220" s="153" t="s">
        <v>412</v>
      </c>
      <c r="Y220" s="153" t="s">
        <v>339</v>
      </c>
      <c r="Z220" s="154">
        <v>488000</v>
      </c>
      <c r="AA220" s="154">
        <v>3.71</v>
      </c>
      <c r="AB220" s="154">
        <f>(AD220-(AC220*AA220))*1000/AA220/Z220*100</f>
        <v>106.78847598426937</v>
      </c>
      <c r="AD220" s="154">
        <v>1933.384</v>
      </c>
      <c r="AG220" s="157" t="s">
        <v>15</v>
      </c>
      <c r="AH220" s="155">
        <v>9.7999999999999997E-4</v>
      </c>
      <c r="AI220" s="155">
        <f t="shared" si="3"/>
        <v>7.2686001078766374E-3</v>
      </c>
      <c r="AJ220" s="155">
        <v>1.7889724560831701E-3</v>
      </c>
    </row>
    <row r="221" spans="1:36" s="160" customFormat="1">
      <c r="A221" s="153" t="s">
        <v>1213</v>
      </c>
      <c r="B221" s="160">
        <v>12937</v>
      </c>
      <c r="C221" s="153" t="s">
        <v>1886</v>
      </c>
      <c r="D221" s="153" t="s">
        <v>1887</v>
      </c>
      <c r="E221" s="153" t="s">
        <v>80</v>
      </c>
      <c r="F221" s="153" t="s">
        <v>1888</v>
      </c>
      <c r="G221" s="153" t="s">
        <v>1889</v>
      </c>
      <c r="H221" s="153" t="s">
        <v>321</v>
      </c>
      <c r="I221" s="153" t="s">
        <v>755</v>
      </c>
      <c r="J221" s="153" t="s">
        <v>205</v>
      </c>
      <c r="K221" s="153" t="s">
        <v>204</v>
      </c>
      <c r="L221" s="153" t="s">
        <v>325</v>
      </c>
      <c r="M221" s="153" t="s">
        <v>314</v>
      </c>
      <c r="N221" s="153" t="s">
        <v>486</v>
      </c>
      <c r="O221" s="153" t="s">
        <v>339</v>
      </c>
      <c r="P221" s="153" t="s">
        <v>1890</v>
      </c>
      <c r="Q221" s="153" t="s">
        <v>433</v>
      </c>
      <c r="R221" s="153" t="s">
        <v>407</v>
      </c>
      <c r="S221" s="153" t="s">
        <v>1216</v>
      </c>
      <c r="T221" s="154">
        <v>0.69799999999999995</v>
      </c>
      <c r="U221" s="153" t="s">
        <v>1848</v>
      </c>
      <c r="V221" s="155">
        <v>6.1249999999999999E-2</v>
      </c>
      <c r="W221" s="155">
        <v>8.0320000000000003E-2</v>
      </c>
      <c r="X221" s="153" t="s">
        <v>412</v>
      </c>
      <c r="Y221" s="153" t="s">
        <v>339</v>
      </c>
      <c r="Z221" s="154">
        <v>168000</v>
      </c>
      <c r="AA221" s="154">
        <v>3.71</v>
      </c>
      <c r="AB221" s="154">
        <v>99.778000000000006</v>
      </c>
      <c r="AD221" s="154">
        <v>621.89800000000002</v>
      </c>
      <c r="AG221" s="157" t="s">
        <v>15</v>
      </c>
      <c r="AH221" s="155">
        <v>2.7999999999999998E-4</v>
      </c>
      <c r="AI221" s="155">
        <f t="shared" si="3"/>
        <v>2.3380393496006302E-3</v>
      </c>
      <c r="AJ221" s="155">
        <v>5.7544615683858527E-4</v>
      </c>
    </row>
    <row r="222" spans="1:36" s="160" customFormat="1">
      <c r="A222" s="153" t="s">
        <v>1213</v>
      </c>
      <c r="B222" s="160">
        <v>12937</v>
      </c>
      <c r="C222" s="153" t="s">
        <v>1886</v>
      </c>
      <c r="D222" s="153" t="s">
        <v>1887</v>
      </c>
      <c r="E222" s="153" t="s">
        <v>80</v>
      </c>
      <c r="F222" s="153" t="s">
        <v>1891</v>
      </c>
      <c r="G222" s="153" t="s">
        <v>1892</v>
      </c>
      <c r="H222" s="153" t="s">
        <v>321</v>
      </c>
      <c r="I222" s="153" t="s">
        <v>755</v>
      </c>
      <c r="J222" s="153" t="s">
        <v>205</v>
      </c>
      <c r="K222" s="153" t="s">
        <v>204</v>
      </c>
      <c r="L222" s="153" t="s">
        <v>325</v>
      </c>
      <c r="M222" s="153" t="s">
        <v>314</v>
      </c>
      <c r="N222" s="153" t="s">
        <v>486</v>
      </c>
      <c r="O222" s="153" t="s">
        <v>339</v>
      </c>
      <c r="P222" s="153" t="s">
        <v>1890</v>
      </c>
      <c r="Q222" s="153" t="s">
        <v>433</v>
      </c>
      <c r="R222" s="153" t="s">
        <v>407</v>
      </c>
      <c r="S222" s="153" t="s">
        <v>1216</v>
      </c>
      <c r="T222" s="154">
        <v>2.4049999999999998</v>
      </c>
      <c r="U222" s="153" t="s">
        <v>1572</v>
      </c>
      <c r="V222" s="155">
        <v>6.5000000000000002E-2</v>
      </c>
      <c r="W222" s="155">
        <v>8.4870000000000001E-2</v>
      </c>
      <c r="X222" s="153" t="s">
        <v>412</v>
      </c>
      <c r="Y222" s="153" t="s">
        <v>339</v>
      </c>
      <c r="Z222" s="154">
        <v>168000</v>
      </c>
      <c r="AA222" s="154">
        <v>3.71</v>
      </c>
      <c r="AB222" s="154">
        <v>96.222999999999999</v>
      </c>
      <c r="AD222" s="154">
        <v>599.73900000000003</v>
      </c>
      <c r="AG222" s="157" t="s">
        <v>15</v>
      </c>
      <c r="AH222" s="155">
        <v>2.7999999999999998E-4</v>
      </c>
      <c r="AI222" s="155">
        <f t="shared" si="3"/>
        <v>2.2547320967266859E-3</v>
      </c>
      <c r="AJ222" s="155">
        <v>5.5494229384274647E-4</v>
      </c>
    </row>
    <row r="223" spans="1:36" s="160" customFormat="1">
      <c r="A223" s="153" t="s">
        <v>1213</v>
      </c>
      <c r="B223" s="160">
        <v>12938</v>
      </c>
      <c r="C223" s="153" t="s">
        <v>1517</v>
      </c>
      <c r="D223" s="153" t="s">
        <v>1518</v>
      </c>
      <c r="E223" s="153" t="s">
        <v>311</v>
      </c>
      <c r="F223" s="153" t="s">
        <v>1519</v>
      </c>
      <c r="G223" s="153" t="s">
        <v>1520</v>
      </c>
      <c r="H223" s="153" t="s">
        <v>321</v>
      </c>
      <c r="I223" s="153" t="s">
        <v>951</v>
      </c>
      <c r="J223" s="153" t="s">
        <v>204</v>
      </c>
      <c r="K223" s="153" t="s">
        <v>224</v>
      </c>
      <c r="L223" s="153" t="s">
        <v>325</v>
      </c>
      <c r="M223" s="153" t="s">
        <v>340</v>
      </c>
      <c r="N223" s="153" t="s">
        <v>465</v>
      </c>
      <c r="O223" s="153" t="s">
        <v>339</v>
      </c>
      <c r="P223" s="153" t="s">
        <v>1521</v>
      </c>
      <c r="Q223" s="153" t="s">
        <v>413</v>
      </c>
      <c r="R223" s="153" t="s">
        <v>407</v>
      </c>
      <c r="S223" s="153" t="s">
        <v>1212</v>
      </c>
      <c r="T223" s="154">
        <v>1.84</v>
      </c>
      <c r="U223" s="153" t="s">
        <v>1522</v>
      </c>
      <c r="V223" s="155">
        <v>7.3709999999999998E-2</v>
      </c>
      <c r="W223" s="155">
        <v>7.3700000000000002E-2</v>
      </c>
      <c r="X223" s="153" t="s">
        <v>412</v>
      </c>
      <c r="Y223" s="153" t="s">
        <v>339</v>
      </c>
      <c r="Z223" s="154">
        <v>1426582.84</v>
      </c>
      <c r="AA223" s="154">
        <v>1</v>
      </c>
      <c r="AB223" s="154">
        <v>99.55</v>
      </c>
      <c r="AD223" s="154">
        <v>1420.163</v>
      </c>
      <c r="AG223" s="157" t="s">
        <v>15</v>
      </c>
      <c r="AH223" s="155">
        <v>7.7400000000000004E-3</v>
      </c>
      <c r="AI223" s="155">
        <f t="shared" si="3"/>
        <v>0.11278129175639177</v>
      </c>
      <c r="AJ223" s="155">
        <v>6.2534813214870574E-3</v>
      </c>
    </row>
    <row r="224" spans="1:36" s="160" customFormat="1">
      <c r="A224" s="153" t="s">
        <v>1213</v>
      </c>
      <c r="B224" s="160">
        <v>12938</v>
      </c>
      <c r="C224" s="153" t="s">
        <v>1540</v>
      </c>
      <c r="D224" s="153" t="s">
        <v>1541</v>
      </c>
      <c r="E224" s="153" t="s">
        <v>80</v>
      </c>
      <c r="F224" s="153" t="s">
        <v>1542</v>
      </c>
      <c r="G224" s="153" t="s">
        <v>1543</v>
      </c>
      <c r="H224" s="153" t="s">
        <v>321</v>
      </c>
      <c r="I224" s="153" t="s">
        <v>755</v>
      </c>
      <c r="J224" s="153" t="s">
        <v>204</v>
      </c>
      <c r="K224" s="153" t="s">
        <v>224</v>
      </c>
      <c r="L224" s="153" t="s">
        <v>325</v>
      </c>
      <c r="M224" s="153" t="s">
        <v>340</v>
      </c>
      <c r="N224" s="153" t="s">
        <v>443</v>
      </c>
      <c r="O224" s="153" t="s">
        <v>339</v>
      </c>
      <c r="P224" s="153" t="s">
        <v>1544</v>
      </c>
      <c r="Q224" s="153" t="s">
        <v>415</v>
      </c>
      <c r="R224" s="153" t="s">
        <v>407</v>
      </c>
      <c r="S224" s="153" t="s">
        <v>1212</v>
      </c>
      <c r="T224" s="154">
        <v>1.77</v>
      </c>
      <c r="U224" s="153" t="s">
        <v>1545</v>
      </c>
      <c r="V224" s="155">
        <v>2.7200000000000002E-3</v>
      </c>
      <c r="W224" s="155">
        <v>8.1500000000000003E-2</v>
      </c>
      <c r="X224" s="153" t="s">
        <v>412</v>
      </c>
      <c r="Y224" s="153" t="s">
        <v>339</v>
      </c>
      <c r="Z224" s="154">
        <v>948000</v>
      </c>
      <c r="AA224" s="154">
        <v>1</v>
      </c>
      <c r="AB224" s="154">
        <v>104.6</v>
      </c>
      <c r="AD224" s="154">
        <v>991.60799999999995</v>
      </c>
      <c r="AG224" s="157" t="s">
        <v>15</v>
      </c>
      <c r="AH224" s="155">
        <v>2.2499999999999998E-3</v>
      </c>
      <c r="AI224" s="155">
        <f t="shared" si="3"/>
        <v>7.8747883979495406E-2</v>
      </c>
      <c r="AJ224" s="155">
        <v>4.3664016780025515E-3</v>
      </c>
    </row>
    <row r="225" spans="1:36" s="160" customFormat="1">
      <c r="A225" s="153" t="s">
        <v>1213</v>
      </c>
      <c r="B225" s="160">
        <v>12938</v>
      </c>
      <c r="C225" s="153" t="s">
        <v>1562</v>
      </c>
      <c r="D225" s="153" t="s">
        <v>1563</v>
      </c>
      <c r="E225" s="153" t="s">
        <v>311</v>
      </c>
      <c r="F225" s="153" t="s">
        <v>1564</v>
      </c>
      <c r="G225" s="153" t="s">
        <v>1565</v>
      </c>
      <c r="H225" s="153" t="s">
        <v>321</v>
      </c>
      <c r="I225" s="153" t="s">
        <v>951</v>
      </c>
      <c r="J225" s="153" t="s">
        <v>204</v>
      </c>
      <c r="K225" s="153" t="s">
        <v>224</v>
      </c>
      <c r="L225" s="153" t="s">
        <v>325</v>
      </c>
      <c r="M225" s="153" t="s">
        <v>340</v>
      </c>
      <c r="N225" s="153" t="s">
        <v>465</v>
      </c>
      <c r="O225" s="153" t="s">
        <v>339</v>
      </c>
      <c r="P225" s="153" t="s">
        <v>1566</v>
      </c>
      <c r="Q225" s="153" t="s">
        <v>413</v>
      </c>
      <c r="R225" s="153" t="s">
        <v>407</v>
      </c>
      <c r="S225" s="153" t="s">
        <v>1212</v>
      </c>
      <c r="T225" s="154">
        <v>4.29</v>
      </c>
      <c r="U225" s="153" t="s">
        <v>1567</v>
      </c>
      <c r="V225" s="155">
        <v>7.3849999999999999E-2</v>
      </c>
      <c r="W225" s="155">
        <v>6.6699999999999995E-2</v>
      </c>
      <c r="X225" s="153" t="s">
        <v>412</v>
      </c>
      <c r="Y225" s="153" t="s">
        <v>339</v>
      </c>
      <c r="Z225" s="154">
        <v>755637</v>
      </c>
      <c r="AA225" s="154">
        <v>1</v>
      </c>
      <c r="AB225" s="154">
        <v>104.03</v>
      </c>
      <c r="AD225" s="154">
        <v>786.08900000000006</v>
      </c>
      <c r="AG225" s="157" t="s">
        <v>15</v>
      </c>
      <c r="AH225" s="155">
        <v>1.81E-3</v>
      </c>
      <c r="AI225" s="155">
        <f t="shared" si="3"/>
        <v>6.2426730491845134E-2</v>
      </c>
      <c r="AJ225" s="155">
        <v>3.4614286377876624E-3</v>
      </c>
    </row>
    <row r="226" spans="1:36" s="160" customFormat="1">
      <c r="A226" s="153" t="s">
        <v>1213</v>
      </c>
      <c r="B226" s="160">
        <v>12938</v>
      </c>
      <c r="C226" s="153" t="s">
        <v>1582</v>
      </c>
      <c r="D226" s="153" t="s">
        <v>1583</v>
      </c>
      <c r="E226" s="153" t="s">
        <v>309</v>
      </c>
      <c r="F226" s="153" t="s">
        <v>1584</v>
      </c>
      <c r="G226" s="153" t="s">
        <v>1585</v>
      </c>
      <c r="H226" s="153" t="s">
        <v>321</v>
      </c>
      <c r="I226" s="153" t="s">
        <v>951</v>
      </c>
      <c r="J226" s="153" t="s">
        <v>204</v>
      </c>
      <c r="K226" s="153" t="s">
        <v>204</v>
      </c>
      <c r="L226" s="153" t="s">
        <v>327</v>
      </c>
      <c r="M226" s="153" t="s">
        <v>340</v>
      </c>
      <c r="N226" s="153" t="s">
        <v>447</v>
      </c>
      <c r="O226" s="153" t="s">
        <v>339</v>
      </c>
      <c r="P226" s="153" t="s">
        <v>1586</v>
      </c>
      <c r="Q226" s="153" t="s">
        <v>415</v>
      </c>
      <c r="R226" s="153" t="s">
        <v>407</v>
      </c>
      <c r="S226" s="153" t="s">
        <v>1212</v>
      </c>
      <c r="T226" s="154">
        <v>2.83</v>
      </c>
      <c r="U226" s="153" t="s">
        <v>1587</v>
      </c>
      <c r="V226" s="155">
        <v>7.0690000000000003E-2</v>
      </c>
      <c r="W226" s="155">
        <v>6.3100000000000003E-2</v>
      </c>
      <c r="X226" s="153" t="s">
        <v>412</v>
      </c>
      <c r="Y226" s="153" t="s">
        <v>339</v>
      </c>
      <c r="Z226" s="154">
        <v>600000</v>
      </c>
      <c r="AA226" s="154">
        <v>1</v>
      </c>
      <c r="AB226" s="154">
        <f>AD226*1000/Z226*100</f>
        <v>106.06733333333334</v>
      </c>
      <c r="AD226" s="154">
        <f>642.48-6.076</f>
        <v>636.404</v>
      </c>
      <c r="AG226" s="157" t="s">
        <v>15</v>
      </c>
      <c r="AH226" s="155">
        <v>2.8999999999999998E-3</v>
      </c>
      <c r="AI226" s="155">
        <f t="shared" si="3"/>
        <v>5.0539596651183523E-2</v>
      </c>
      <c r="AJ226" s="155">
        <v>2.8023124999874307E-3</v>
      </c>
    </row>
    <row r="227" spans="1:36" s="160" customFormat="1">
      <c r="A227" s="153" t="s">
        <v>1213</v>
      </c>
      <c r="B227" s="160">
        <v>12938</v>
      </c>
      <c r="C227" s="153" t="s">
        <v>1615</v>
      </c>
      <c r="D227" s="153" t="s">
        <v>1616</v>
      </c>
      <c r="E227" s="153" t="s">
        <v>309</v>
      </c>
      <c r="F227" s="153" t="s">
        <v>1617</v>
      </c>
      <c r="G227" s="153" t="s">
        <v>1618</v>
      </c>
      <c r="H227" s="153" t="s">
        <v>321</v>
      </c>
      <c r="I227" s="153" t="s">
        <v>951</v>
      </c>
      <c r="J227" s="153" t="s">
        <v>204</v>
      </c>
      <c r="K227" s="153" t="s">
        <v>204</v>
      </c>
      <c r="L227" s="153" t="s">
        <v>327</v>
      </c>
      <c r="M227" s="153" t="s">
        <v>340</v>
      </c>
      <c r="N227" s="153" t="s">
        <v>447</v>
      </c>
      <c r="O227" s="153" t="s">
        <v>339</v>
      </c>
      <c r="Q227" s="153" t="s">
        <v>410</v>
      </c>
      <c r="R227" s="153" t="s">
        <v>410</v>
      </c>
      <c r="S227" s="153" t="s">
        <v>1212</v>
      </c>
      <c r="T227" s="154">
        <v>0.48</v>
      </c>
      <c r="U227" s="153" t="s">
        <v>1619</v>
      </c>
      <c r="V227" s="155">
        <v>6.2850000000000003E-2</v>
      </c>
      <c r="W227" s="155">
        <v>7.1499999999999994E-2</v>
      </c>
      <c r="X227" s="153" t="s">
        <v>412</v>
      </c>
      <c r="Y227" s="153" t="s">
        <v>339</v>
      </c>
      <c r="Z227" s="154">
        <v>550000</v>
      </c>
      <c r="AA227" s="154">
        <v>1</v>
      </c>
      <c r="AB227" s="154">
        <f>AD227*1000/Z227*100</f>
        <v>97.875999999999991</v>
      </c>
      <c r="AD227" s="154">
        <f>545.875-7.557</f>
        <v>538.31799999999998</v>
      </c>
      <c r="AG227" s="157" t="s">
        <v>15</v>
      </c>
      <c r="AH227" s="155">
        <v>5.4999999999999997E-3</v>
      </c>
      <c r="AI227" s="155">
        <f t="shared" si="3"/>
        <v>4.2750162774074035E-2</v>
      </c>
      <c r="AJ227" s="155">
        <v>2.3704050577435616E-3</v>
      </c>
    </row>
    <row r="228" spans="1:36" s="160" customFormat="1">
      <c r="A228" s="153" t="s">
        <v>1213</v>
      </c>
      <c r="B228" s="160">
        <v>12938</v>
      </c>
      <c r="C228" s="153" t="s">
        <v>1620</v>
      </c>
      <c r="D228" s="153" t="s">
        <v>1621</v>
      </c>
      <c r="E228" s="153" t="s">
        <v>309</v>
      </c>
      <c r="F228" s="153" t="s">
        <v>1622</v>
      </c>
      <c r="G228" s="153" t="s">
        <v>1623</v>
      </c>
      <c r="H228" s="153" t="s">
        <v>321</v>
      </c>
      <c r="I228" s="153" t="s">
        <v>951</v>
      </c>
      <c r="J228" s="153" t="s">
        <v>204</v>
      </c>
      <c r="K228" s="153" t="s">
        <v>204</v>
      </c>
      <c r="L228" s="153" t="s">
        <v>327</v>
      </c>
      <c r="M228" s="153" t="s">
        <v>340</v>
      </c>
      <c r="N228" s="153" t="s">
        <v>447</v>
      </c>
      <c r="O228" s="153" t="s">
        <v>339</v>
      </c>
      <c r="Q228" s="153" t="s">
        <v>410</v>
      </c>
      <c r="R228" s="153" t="s">
        <v>410</v>
      </c>
      <c r="S228" s="153" t="s">
        <v>1212</v>
      </c>
      <c r="T228" s="154">
        <v>1.59</v>
      </c>
      <c r="U228" s="153" t="s">
        <v>1331</v>
      </c>
      <c r="V228" s="155">
        <v>6.4699999999999994E-2</v>
      </c>
      <c r="W228" s="155">
        <v>6.3100000000000003E-2</v>
      </c>
      <c r="X228" s="153" t="s">
        <v>412</v>
      </c>
      <c r="Y228" s="153" t="s">
        <v>339</v>
      </c>
      <c r="Z228" s="154">
        <v>150000</v>
      </c>
      <c r="AA228" s="154">
        <v>1</v>
      </c>
      <c r="AB228" s="154">
        <f>AD228*1000/Z228*100</f>
        <v>100.66349726775931</v>
      </c>
      <c r="AD228" s="154">
        <f>150995.245901639/1000</f>
        <v>150.99524590163898</v>
      </c>
      <c r="AG228" s="157" t="s">
        <v>15</v>
      </c>
      <c r="AH228" s="155">
        <v>2.1199999999999999E-3</v>
      </c>
      <c r="AI228" s="155">
        <f t="shared" si="3"/>
        <v>1.1991186139802872E-2</v>
      </c>
      <c r="AJ228" s="155">
        <v>6.6488561515772808E-4</v>
      </c>
    </row>
    <row r="229" spans="1:36" s="160" customFormat="1">
      <c r="A229" s="153" t="s">
        <v>1213</v>
      </c>
      <c r="B229" s="160">
        <v>12938</v>
      </c>
      <c r="C229" s="153" t="s">
        <v>1591</v>
      </c>
      <c r="D229" s="153" t="s">
        <v>1592</v>
      </c>
      <c r="E229" s="153" t="s">
        <v>309</v>
      </c>
      <c r="F229" s="153" t="s">
        <v>1593</v>
      </c>
      <c r="G229" s="153" t="s">
        <v>1594</v>
      </c>
      <c r="H229" s="153" t="s">
        <v>321</v>
      </c>
      <c r="I229" s="153" t="s">
        <v>754</v>
      </c>
      <c r="J229" s="153" t="s">
        <v>204</v>
      </c>
      <c r="K229" s="153" t="s">
        <v>204</v>
      </c>
      <c r="L229" s="153" t="s">
        <v>325</v>
      </c>
      <c r="M229" s="153" t="s">
        <v>340</v>
      </c>
      <c r="N229" s="153" t="s">
        <v>464</v>
      </c>
      <c r="O229" s="153" t="s">
        <v>339</v>
      </c>
      <c r="P229" s="153" t="s">
        <v>1538</v>
      </c>
      <c r="Q229" s="153" t="s">
        <v>413</v>
      </c>
      <c r="R229" s="153" t="s">
        <v>407</v>
      </c>
      <c r="S229" s="153" t="s">
        <v>1212</v>
      </c>
      <c r="T229" s="154">
        <v>3.74</v>
      </c>
      <c r="U229" s="153" t="s">
        <v>1283</v>
      </c>
      <c r="V229" s="155">
        <v>2.8539999999999999E-2</v>
      </c>
      <c r="W229" s="155">
        <v>3.0700000000000002E-2</v>
      </c>
      <c r="X229" s="153" t="s">
        <v>412</v>
      </c>
      <c r="Y229" s="153" t="s">
        <v>339</v>
      </c>
      <c r="Z229" s="154">
        <v>508043</v>
      </c>
      <c r="AA229" s="154">
        <v>1</v>
      </c>
      <c r="AB229" s="154">
        <v>103.53</v>
      </c>
      <c r="AD229" s="154">
        <v>525.97699999999998</v>
      </c>
      <c r="AG229" s="157" t="s">
        <v>15</v>
      </c>
      <c r="AH229" s="155">
        <v>6.8000000000000005E-4</v>
      </c>
      <c r="AI229" s="155">
        <f t="shared" si="3"/>
        <v>4.1770110539530794E-2</v>
      </c>
      <c r="AJ229" s="155">
        <v>2.316063258254016E-3</v>
      </c>
    </row>
    <row r="230" spans="1:36" s="160" customFormat="1">
      <c r="A230" s="153" t="s">
        <v>1213</v>
      </c>
      <c r="B230" s="160">
        <v>12938</v>
      </c>
      <c r="C230" s="153" t="s">
        <v>1642</v>
      </c>
      <c r="D230" s="153" t="s">
        <v>1643</v>
      </c>
      <c r="E230" s="153" t="s">
        <v>309</v>
      </c>
      <c r="F230" s="153" t="s">
        <v>1644</v>
      </c>
      <c r="G230" s="153" t="s">
        <v>1645</v>
      </c>
      <c r="H230" s="153" t="s">
        <v>321</v>
      </c>
      <c r="I230" s="153" t="s">
        <v>951</v>
      </c>
      <c r="J230" s="153" t="s">
        <v>204</v>
      </c>
      <c r="K230" s="153" t="s">
        <v>204</v>
      </c>
      <c r="L230" s="153" t="s">
        <v>325</v>
      </c>
      <c r="M230" s="153" t="s">
        <v>340</v>
      </c>
      <c r="N230" s="153" t="s">
        <v>447</v>
      </c>
      <c r="O230" s="153" t="s">
        <v>339</v>
      </c>
      <c r="Q230" s="153" t="s">
        <v>410</v>
      </c>
      <c r="R230" s="153" t="s">
        <v>410</v>
      </c>
      <c r="S230" s="153" t="s">
        <v>1212</v>
      </c>
      <c r="T230" s="154">
        <v>2.5</v>
      </c>
      <c r="U230" s="153" t="s">
        <v>1370</v>
      </c>
      <c r="V230" s="155">
        <v>8.1350000000000006E-2</v>
      </c>
      <c r="W230" s="155">
        <v>6.7599999999999993E-2</v>
      </c>
      <c r="X230" s="153" t="s">
        <v>412</v>
      </c>
      <c r="Y230" s="153" t="s">
        <v>339</v>
      </c>
      <c r="Z230" s="154">
        <v>496000</v>
      </c>
      <c r="AA230" s="154">
        <v>1</v>
      </c>
      <c r="AB230" s="154">
        <v>102.79</v>
      </c>
      <c r="AD230" s="154">
        <v>509.83800000000002</v>
      </c>
      <c r="AG230" s="157" t="s">
        <v>15</v>
      </c>
      <c r="AH230" s="155">
        <v>3.6600000000000001E-3</v>
      </c>
      <c r="AI230" s="155">
        <f t="shared" si="3"/>
        <v>4.048844268333654E-2</v>
      </c>
      <c r="AJ230" s="155">
        <v>2.24499751787951E-3</v>
      </c>
    </row>
    <row r="231" spans="1:36" s="160" customFormat="1">
      <c r="A231" s="153" t="s">
        <v>1213</v>
      </c>
      <c r="B231" s="160">
        <v>12938</v>
      </c>
      <c r="C231" s="153" t="s">
        <v>1696</v>
      </c>
      <c r="D231" s="153" t="s">
        <v>1697</v>
      </c>
      <c r="E231" s="153" t="s">
        <v>309</v>
      </c>
      <c r="F231" s="153" t="s">
        <v>1698</v>
      </c>
      <c r="G231" s="153" t="s">
        <v>1699</v>
      </c>
      <c r="H231" s="153" t="s">
        <v>321</v>
      </c>
      <c r="I231" s="153" t="s">
        <v>951</v>
      </c>
      <c r="J231" s="153" t="s">
        <v>204</v>
      </c>
      <c r="K231" s="153" t="s">
        <v>204</v>
      </c>
      <c r="L231" s="153" t="s">
        <v>325</v>
      </c>
      <c r="M231" s="153" t="s">
        <v>340</v>
      </c>
      <c r="N231" s="153" t="s">
        <v>464</v>
      </c>
      <c r="O231" s="153" t="s">
        <v>339</v>
      </c>
      <c r="Q231" s="153" t="s">
        <v>410</v>
      </c>
      <c r="R231" s="153" t="s">
        <v>410</v>
      </c>
      <c r="S231" s="153" t="s">
        <v>1212</v>
      </c>
      <c r="T231" s="154">
        <v>0.92</v>
      </c>
      <c r="U231" s="153" t="s">
        <v>1700</v>
      </c>
      <c r="V231" s="155">
        <v>8.6809999999999998E-2</v>
      </c>
      <c r="W231" s="155">
        <v>8.6900000000000005E-2</v>
      </c>
      <c r="X231" s="153" t="s">
        <v>412</v>
      </c>
      <c r="Y231" s="153" t="s">
        <v>339</v>
      </c>
      <c r="Z231" s="154">
        <v>484000</v>
      </c>
      <c r="AA231" s="154">
        <v>1</v>
      </c>
      <c r="AB231" s="154">
        <v>100.1</v>
      </c>
      <c r="AD231" s="154">
        <v>484.48399999999998</v>
      </c>
      <c r="AG231" s="157" t="s">
        <v>15</v>
      </c>
      <c r="AH231" s="155">
        <v>4.4000000000000003E-3</v>
      </c>
      <c r="AI231" s="155">
        <f t="shared" si="3"/>
        <v>3.8474971785142767E-2</v>
      </c>
      <c r="AJ231" s="155">
        <v>2.1333548645890194E-3</v>
      </c>
    </row>
    <row r="232" spans="1:36" s="160" customFormat="1">
      <c r="A232" s="153" t="s">
        <v>1213</v>
      </c>
      <c r="B232" s="160">
        <v>12938</v>
      </c>
      <c r="C232" s="153" t="s">
        <v>1650</v>
      </c>
      <c r="D232" s="153" t="s">
        <v>1651</v>
      </c>
      <c r="E232" s="153" t="s">
        <v>309</v>
      </c>
      <c r="F232" s="153" t="s">
        <v>1652</v>
      </c>
      <c r="G232" s="153" t="s">
        <v>1653</v>
      </c>
      <c r="H232" s="153" t="s">
        <v>321</v>
      </c>
      <c r="I232" s="153" t="s">
        <v>755</v>
      </c>
      <c r="J232" s="153" t="s">
        <v>204</v>
      </c>
      <c r="K232" s="153" t="s">
        <v>204</v>
      </c>
      <c r="L232" s="153" t="s">
        <v>325</v>
      </c>
      <c r="M232" s="153" t="s">
        <v>340</v>
      </c>
      <c r="N232" s="153" t="s">
        <v>454</v>
      </c>
      <c r="O232" s="153" t="s">
        <v>339</v>
      </c>
      <c r="Q232" s="153" t="s">
        <v>410</v>
      </c>
      <c r="R232" s="153" t="s">
        <v>410</v>
      </c>
      <c r="S232" s="153" t="s">
        <v>1212</v>
      </c>
      <c r="T232" s="154">
        <v>3.51</v>
      </c>
      <c r="U232" s="153" t="s">
        <v>1654</v>
      </c>
      <c r="V232" s="155">
        <v>7.3270000000000002E-2</v>
      </c>
      <c r="W232" s="155">
        <v>9.7799999999999998E-2</v>
      </c>
      <c r="X232" s="153" t="s">
        <v>412</v>
      </c>
      <c r="Y232" s="153" t="s">
        <v>339</v>
      </c>
      <c r="Z232" s="154">
        <v>500000</v>
      </c>
      <c r="AA232" s="154">
        <v>1</v>
      </c>
      <c r="AB232" s="154">
        <v>92.3</v>
      </c>
      <c r="AD232" s="154">
        <v>461.5</v>
      </c>
      <c r="AG232" s="157" t="s">
        <v>15</v>
      </c>
      <c r="AH232" s="155">
        <v>9.5700000000000004E-3</v>
      </c>
      <c r="AI232" s="155">
        <f t="shared" si="3"/>
        <v>3.6649712846747028E-2</v>
      </c>
      <c r="AJ232" s="155">
        <v>2.0321481617717662E-3</v>
      </c>
    </row>
    <row r="233" spans="1:36" s="160" customFormat="1">
      <c r="A233" s="153" t="s">
        <v>1213</v>
      </c>
      <c r="B233" s="160">
        <v>12938</v>
      </c>
      <c r="C233" s="153" t="s">
        <v>1550</v>
      </c>
      <c r="D233" s="153" t="s">
        <v>1551</v>
      </c>
      <c r="E233" s="153" t="s">
        <v>311</v>
      </c>
      <c r="F233" s="153" t="s">
        <v>1552</v>
      </c>
      <c r="G233" s="153" t="s">
        <v>1553</v>
      </c>
      <c r="H233" s="153" t="s">
        <v>321</v>
      </c>
      <c r="I233" s="153" t="s">
        <v>951</v>
      </c>
      <c r="J233" s="153" t="s">
        <v>204</v>
      </c>
      <c r="K233" s="153" t="s">
        <v>224</v>
      </c>
      <c r="L233" s="153" t="s">
        <v>325</v>
      </c>
      <c r="M233" s="153" t="s">
        <v>340</v>
      </c>
      <c r="N233" s="153" t="s">
        <v>465</v>
      </c>
      <c r="O233" s="153" t="s">
        <v>339</v>
      </c>
      <c r="P233" s="153" t="s">
        <v>1554</v>
      </c>
      <c r="Q233" s="153" t="s">
        <v>413</v>
      </c>
      <c r="R233" s="153" t="s">
        <v>407</v>
      </c>
      <c r="S233" s="153" t="s">
        <v>1212</v>
      </c>
      <c r="T233" s="154">
        <v>4.1399999999999997</v>
      </c>
      <c r="U233" s="153" t="s">
        <v>1555</v>
      </c>
      <c r="V233" s="155">
        <v>7.7369999999999994E-2</v>
      </c>
      <c r="W233" s="155">
        <v>8.2100000000000006E-2</v>
      </c>
      <c r="X233" s="153" t="s">
        <v>412</v>
      </c>
      <c r="Y233" s="153" t="s">
        <v>339</v>
      </c>
      <c r="Z233" s="154">
        <v>393581</v>
      </c>
      <c r="AA233" s="154">
        <v>1</v>
      </c>
      <c r="AB233" s="154">
        <v>107.75</v>
      </c>
      <c r="AD233" s="154">
        <v>424.084</v>
      </c>
      <c r="AG233" s="157" t="s">
        <v>15</v>
      </c>
      <c r="AH233" s="155">
        <v>7.3999999999999999E-4</v>
      </c>
      <c r="AI233" s="155">
        <f t="shared" si="3"/>
        <v>3.3678346311809028E-2</v>
      </c>
      <c r="AJ233" s="155">
        <v>1.8673922449335164E-3</v>
      </c>
    </row>
    <row r="234" spans="1:36" s="160" customFormat="1">
      <c r="A234" s="153" t="s">
        <v>1213</v>
      </c>
      <c r="B234" s="160">
        <v>12938</v>
      </c>
      <c r="C234" s="153" t="s">
        <v>1523</v>
      </c>
      <c r="D234" s="153" t="s">
        <v>1524</v>
      </c>
      <c r="E234" s="153" t="s">
        <v>311</v>
      </c>
      <c r="F234" s="153" t="s">
        <v>1525</v>
      </c>
      <c r="G234" s="153" t="s">
        <v>1526</v>
      </c>
      <c r="H234" s="153" t="s">
        <v>321</v>
      </c>
      <c r="I234" s="153" t="s">
        <v>951</v>
      </c>
      <c r="J234" s="153" t="s">
        <v>204</v>
      </c>
      <c r="K234" s="153" t="s">
        <v>224</v>
      </c>
      <c r="L234" s="153" t="s">
        <v>325</v>
      </c>
      <c r="M234" s="153" t="s">
        <v>340</v>
      </c>
      <c r="N234" s="153" t="s">
        <v>447</v>
      </c>
      <c r="O234" s="153" t="s">
        <v>339</v>
      </c>
      <c r="P234" s="153" t="s">
        <v>1527</v>
      </c>
      <c r="Q234" s="153" t="s">
        <v>415</v>
      </c>
      <c r="R234" s="153" t="s">
        <v>407</v>
      </c>
      <c r="S234" s="153" t="s">
        <v>1212</v>
      </c>
      <c r="T234" s="154">
        <v>2.5099999999999998</v>
      </c>
      <c r="U234" s="153" t="s">
        <v>1528</v>
      </c>
      <c r="V234" s="155">
        <v>6.5000000000000002E-2</v>
      </c>
      <c r="W234" s="155">
        <v>8.3799999999999999E-2</v>
      </c>
      <c r="X234" s="153" t="s">
        <v>412</v>
      </c>
      <c r="Y234" s="153" t="s">
        <v>339</v>
      </c>
      <c r="Z234" s="154">
        <v>379000</v>
      </c>
      <c r="AA234" s="154">
        <v>1</v>
      </c>
      <c r="AB234" s="154">
        <v>97.5</v>
      </c>
      <c r="AD234" s="154">
        <v>369.52499999999998</v>
      </c>
      <c r="AG234" s="157" t="s">
        <v>15</v>
      </c>
      <c r="AH234" s="155">
        <v>6.3000000000000003E-4</v>
      </c>
      <c r="AI234" s="155">
        <f t="shared" si="3"/>
        <v>2.9345579934331952E-2</v>
      </c>
      <c r="AJ234" s="155">
        <v>1.6271496196721819E-3</v>
      </c>
    </row>
    <row r="235" spans="1:36" s="160" customFormat="1">
      <c r="A235" s="153" t="s">
        <v>1213</v>
      </c>
      <c r="B235" s="160">
        <v>12938</v>
      </c>
      <c r="C235" s="153" t="s">
        <v>1701</v>
      </c>
      <c r="D235" s="153" t="s">
        <v>1702</v>
      </c>
      <c r="E235" s="153" t="s">
        <v>311</v>
      </c>
      <c r="F235" s="153" t="s">
        <v>1703</v>
      </c>
      <c r="G235" s="153" t="s">
        <v>1704</v>
      </c>
      <c r="H235" s="153" t="s">
        <v>321</v>
      </c>
      <c r="I235" s="153" t="s">
        <v>951</v>
      </c>
      <c r="J235" s="153" t="s">
        <v>204</v>
      </c>
      <c r="K235" s="153" t="s">
        <v>224</v>
      </c>
      <c r="L235" s="153" t="s">
        <v>325</v>
      </c>
      <c r="M235" s="153" t="s">
        <v>340</v>
      </c>
      <c r="N235" s="153" t="s">
        <v>465</v>
      </c>
      <c r="O235" s="153" t="s">
        <v>339</v>
      </c>
      <c r="P235" s="153" t="s">
        <v>1566</v>
      </c>
      <c r="Q235" s="153" t="s">
        <v>413</v>
      </c>
      <c r="R235" s="153" t="s">
        <v>407</v>
      </c>
      <c r="S235" s="153" t="s">
        <v>1212</v>
      </c>
      <c r="T235" s="154">
        <v>2.96</v>
      </c>
      <c r="U235" s="153" t="s">
        <v>1308</v>
      </c>
      <c r="V235" s="155">
        <v>8.4330000000000002E-2</v>
      </c>
      <c r="W235" s="155">
        <v>9.69E-2</v>
      </c>
      <c r="X235" s="153" t="s">
        <v>412</v>
      </c>
      <c r="Y235" s="153" t="s">
        <v>339</v>
      </c>
      <c r="Z235" s="154">
        <v>349000</v>
      </c>
      <c r="AA235" s="154">
        <v>1</v>
      </c>
      <c r="AB235" s="154">
        <v>100.91</v>
      </c>
      <c r="AD235" s="154">
        <v>352.17599999999999</v>
      </c>
      <c r="AG235" s="157" t="s">
        <v>15</v>
      </c>
      <c r="AH235" s="155">
        <v>5.9000000000000003E-4</v>
      </c>
      <c r="AI235" s="155">
        <f t="shared" si="3"/>
        <v>2.7967820740012962E-2</v>
      </c>
      <c r="AJ235" s="155">
        <v>1.5507558201953058E-3</v>
      </c>
    </row>
    <row r="236" spans="1:36" s="160" customFormat="1">
      <c r="A236" s="153" t="s">
        <v>1213</v>
      </c>
      <c r="B236" s="160">
        <v>12938</v>
      </c>
      <c r="C236" s="153" t="s">
        <v>1523</v>
      </c>
      <c r="D236" s="153" t="s">
        <v>1524</v>
      </c>
      <c r="E236" s="153" t="s">
        <v>311</v>
      </c>
      <c r="F236" s="153" t="s">
        <v>1766</v>
      </c>
      <c r="G236" s="153" t="s">
        <v>1767</v>
      </c>
      <c r="H236" s="153" t="s">
        <v>321</v>
      </c>
      <c r="I236" s="153" t="s">
        <v>951</v>
      </c>
      <c r="J236" s="153" t="s">
        <v>204</v>
      </c>
      <c r="K236" s="153" t="s">
        <v>224</v>
      </c>
      <c r="L236" s="153" t="s">
        <v>325</v>
      </c>
      <c r="M236" s="153" t="s">
        <v>340</v>
      </c>
      <c r="N236" s="153" t="s">
        <v>447</v>
      </c>
      <c r="O236" s="153" t="s">
        <v>339</v>
      </c>
      <c r="P236" s="153" t="s">
        <v>1527</v>
      </c>
      <c r="Q236" s="153" t="s">
        <v>415</v>
      </c>
      <c r="R236" s="153" t="s">
        <v>407</v>
      </c>
      <c r="S236" s="153" t="s">
        <v>1212</v>
      </c>
      <c r="T236" s="154">
        <v>0.97</v>
      </c>
      <c r="U236" s="153" t="s">
        <v>1768</v>
      </c>
      <c r="V236" s="155">
        <v>8.0259999999999998E-2</v>
      </c>
      <c r="W236" s="155">
        <v>7.2099999999999997E-2</v>
      </c>
      <c r="X236" s="153" t="s">
        <v>412</v>
      </c>
      <c r="Y236" s="153" t="s">
        <v>339</v>
      </c>
      <c r="Z236" s="154">
        <v>333350</v>
      </c>
      <c r="AA236" s="154">
        <v>1</v>
      </c>
      <c r="AB236" s="154">
        <v>99.95</v>
      </c>
      <c r="AD236" s="154">
        <v>333.18299999999999</v>
      </c>
      <c r="AG236" s="157" t="s">
        <v>15</v>
      </c>
      <c r="AH236" s="155">
        <v>8.3000000000000001E-4</v>
      </c>
      <c r="AI236" s="155">
        <f t="shared" si="3"/>
        <v>2.6459504388770781E-2</v>
      </c>
      <c r="AJ236" s="155">
        <v>1.467122905706614E-3</v>
      </c>
    </row>
    <row r="237" spans="1:36" s="160" customFormat="1">
      <c r="A237" s="153" t="s">
        <v>1213</v>
      </c>
      <c r="B237" s="160">
        <v>12938</v>
      </c>
      <c r="C237" s="153" t="s">
        <v>1745</v>
      </c>
      <c r="D237" s="153" t="s">
        <v>1746</v>
      </c>
      <c r="E237" s="153" t="s">
        <v>309</v>
      </c>
      <c r="F237" s="153" t="s">
        <v>1747</v>
      </c>
      <c r="G237" s="153" t="s">
        <v>1748</v>
      </c>
      <c r="H237" s="153" t="s">
        <v>321</v>
      </c>
      <c r="I237" s="153" t="s">
        <v>951</v>
      </c>
      <c r="J237" s="153" t="s">
        <v>204</v>
      </c>
      <c r="K237" s="153" t="s">
        <v>204</v>
      </c>
      <c r="L237" s="153" t="s">
        <v>325</v>
      </c>
      <c r="M237" s="153" t="s">
        <v>340</v>
      </c>
      <c r="N237" s="153" t="s">
        <v>447</v>
      </c>
      <c r="O237" s="153" t="s">
        <v>339</v>
      </c>
      <c r="Q237" s="153" t="s">
        <v>410</v>
      </c>
      <c r="R237" s="153" t="s">
        <v>410</v>
      </c>
      <c r="S237" s="153" t="s">
        <v>1212</v>
      </c>
      <c r="T237" s="154">
        <v>1.08</v>
      </c>
      <c r="U237" s="153" t="s">
        <v>1749</v>
      </c>
      <c r="V237" s="155">
        <v>3.5000000000000003E-2</v>
      </c>
      <c r="W237" s="155">
        <v>7.3999999999999996E-2</v>
      </c>
      <c r="X237" s="153" t="s">
        <v>412</v>
      </c>
      <c r="Y237" s="153" t="s">
        <v>339</v>
      </c>
      <c r="Z237" s="154">
        <v>335000</v>
      </c>
      <c r="AA237" s="154">
        <v>1</v>
      </c>
      <c r="AB237" s="154">
        <f>AD237*1000/Z237*100</f>
        <v>96.3313432835821</v>
      </c>
      <c r="AD237" s="154">
        <f>324.783-2.073</f>
        <v>322.71000000000004</v>
      </c>
      <c r="AG237" s="157" t="s">
        <v>15</v>
      </c>
      <c r="AH237" s="155">
        <v>5.9800000000000001E-3</v>
      </c>
      <c r="AI237" s="155">
        <f t="shared" si="3"/>
        <v>2.5627798120853165E-2</v>
      </c>
      <c r="AJ237" s="155">
        <v>1.4210065726660169E-3</v>
      </c>
    </row>
    <row r="238" spans="1:36" s="160" customFormat="1">
      <c r="A238" s="153" t="s">
        <v>1213</v>
      </c>
      <c r="B238" s="160">
        <v>12938</v>
      </c>
      <c r="C238" s="153" t="s">
        <v>1568</v>
      </c>
      <c r="D238" s="153" t="s">
        <v>1569</v>
      </c>
      <c r="E238" s="153" t="s">
        <v>309</v>
      </c>
      <c r="F238" s="153" t="s">
        <v>1570</v>
      </c>
      <c r="G238" s="153" t="s">
        <v>1571</v>
      </c>
      <c r="H238" s="153" t="s">
        <v>321</v>
      </c>
      <c r="I238" s="153" t="s">
        <v>754</v>
      </c>
      <c r="J238" s="153" t="s">
        <v>204</v>
      </c>
      <c r="K238" s="153" t="s">
        <v>204</v>
      </c>
      <c r="L238" s="153" t="s">
        <v>325</v>
      </c>
      <c r="M238" s="153" t="s">
        <v>340</v>
      </c>
      <c r="N238" s="153" t="s">
        <v>443</v>
      </c>
      <c r="O238" s="153" t="s">
        <v>339</v>
      </c>
      <c r="P238" s="153" t="s">
        <v>1527</v>
      </c>
      <c r="Q238" s="153" t="s">
        <v>415</v>
      </c>
      <c r="R238" s="153" t="s">
        <v>407</v>
      </c>
      <c r="S238" s="153" t="s">
        <v>1212</v>
      </c>
      <c r="T238" s="154">
        <v>1.46</v>
      </c>
      <c r="U238" s="153" t="s">
        <v>1572</v>
      </c>
      <c r="V238" s="155">
        <v>5.595E-2</v>
      </c>
      <c r="W238" s="155">
        <v>4.3400000000000001E-2</v>
      </c>
      <c r="X238" s="153" t="s">
        <v>412</v>
      </c>
      <c r="Y238" s="153" t="s">
        <v>339</v>
      </c>
      <c r="Z238" s="154">
        <v>300000.65999999997</v>
      </c>
      <c r="AA238" s="154">
        <v>1</v>
      </c>
      <c r="AB238" s="154">
        <v>104.83</v>
      </c>
      <c r="AD238" s="154">
        <v>314.49099999999999</v>
      </c>
      <c r="AG238" s="157" t="s">
        <v>15</v>
      </c>
      <c r="AH238" s="155">
        <v>1.6199999999999999E-3</v>
      </c>
      <c r="AI238" s="155">
        <f t="shared" si="3"/>
        <v>2.4975091750566239E-2</v>
      </c>
      <c r="AJ238" s="155">
        <v>1.3848154009615701E-3</v>
      </c>
    </row>
    <row r="239" spans="1:36" s="160" customFormat="1">
      <c r="A239" s="153" t="s">
        <v>1213</v>
      </c>
      <c r="B239" s="160">
        <v>12938</v>
      </c>
      <c r="C239" s="153" t="s">
        <v>1769</v>
      </c>
      <c r="D239" s="153" t="s">
        <v>1770</v>
      </c>
      <c r="E239" s="153" t="s">
        <v>309</v>
      </c>
      <c r="F239" s="153" t="s">
        <v>1771</v>
      </c>
      <c r="G239" s="153" t="s">
        <v>1772</v>
      </c>
      <c r="H239" s="153" t="s">
        <v>321</v>
      </c>
      <c r="I239" s="153" t="s">
        <v>754</v>
      </c>
      <c r="J239" s="153" t="s">
        <v>204</v>
      </c>
      <c r="K239" s="153" t="s">
        <v>204</v>
      </c>
      <c r="L239" s="153" t="s">
        <v>325</v>
      </c>
      <c r="M239" s="153" t="s">
        <v>340</v>
      </c>
      <c r="N239" s="153" t="s">
        <v>464</v>
      </c>
      <c r="O239" s="153" t="s">
        <v>339</v>
      </c>
      <c r="P239" s="153" t="s">
        <v>1560</v>
      </c>
      <c r="Q239" s="153" t="s">
        <v>413</v>
      </c>
      <c r="R239" s="153" t="s">
        <v>407</v>
      </c>
      <c r="S239" s="153" t="s">
        <v>1212</v>
      </c>
      <c r="T239" s="154">
        <v>4.05</v>
      </c>
      <c r="U239" s="153" t="s">
        <v>1587</v>
      </c>
      <c r="V239" s="155">
        <v>3.5409999999999997E-2</v>
      </c>
      <c r="W239" s="155">
        <v>3.9E-2</v>
      </c>
      <c r="X239" s="153" t="s">
        <v>412</v>
      </c>
      <c r="Y239" s="153" t="s">
        <v>339</v>
      </c>
      <c r="Z239" s="154">
        <v>295095</v>
      </c>
      <c r="AA239" s="154">
        <v>1</v>
      </c>
      <c r="AB239" s="154">
        <v>106.27</v>
      </c>
      <c r="AD239" s="154">
        <v>313.59699999999998</v>
      </c>
      <c r="AG239" s="157" t="s">
        <v>15</v>
      </c>
      <c r="AH239" s="155">
        <v>1.7000000000000001E-4</v>
      </c>
      <c r="AI239" s="155">
        <f t="shared" si="3"/>
        <v>2.4904095340414576E-2</v>
      </c>
      <c r="AJ239" s="155">
        <v>1.3808788019222982E-3</v>
      </c>
    </row>
    <row r="240" spans="1:36" s="160" customFormat="1">
      <c r="A240" s="153" t="s">
        <v>1213</v>
      </c>
      <c r="B240" s="160">
        <v>12938</v>
      </c>
      <c r="C240" s="153" t="s">
        <v>1550</v>
      </c>
      <c r="D240" s="153" t="s">
        <v>1551</v>
      </c>
      <c r="E240" s="153" t="s">
        <v>311</v>
      </c>
      <c r="F240" s="153" t="s">
        <v>1657</v>
      </c>
      <c r="G240" s="153" t="s">
        <v>1658</v>
      </c>
      <c r="H240" s="153" t="s">
        <v>321</v>
      </c>
      <c r="I240" s="153" t="s">
        <v>951</v>
      </c>
      <c r="J240" s="153" t="s">
        <v>204</v>
      </c>
      <c r="K240" s="153" t="s">
        <v>224</v>
      </c>
      <c r="L240" s="153" t="s">
        <v>325</v>
      </c>
      <c r="M240" s="153" t="s">
        <v>340</v>
      </c>
      <c r="N240" s="153" t="s">
        <v>465</v>
      </c>
      <c r="O240" s="153" t="s">
        <v>339</v>
      </c>
      <c r="P240" s="153" t="s">
        <v>1560</v>
      </c>
      <c r="Q240" s="153" t="s">
        <v>413</v>
      </c>
      <c r="R240" s="153" t="s">
        <v>407</v>
      </c>
      <c r="S240" s="153" t="s">
        <v>1212</v>
      </c>
      <c r="T240" s="154">
        <v>2.02</v>
      </c>
      <c r="U240" s="153" t="s">
        <v>1659</v>
      </c>
      <c r="V240" s="155">
        <v>7.7929999999999999E-2</v>
      </c>
      <c r="W240" s="155">
        <v>6.5199999999999994E-2</v>
      </c>
      <c r="X240" s="153" t="s">
        <v>412</v>
      </c>
      <c r="Y240" s="153" t="s">
        <v>339</v>
      </c>
      <c r="Z240" s="154">
        <v>305069</v>
      </c>
      <c r="AA240" s="154">
        <v>1</v>
      </c>
      <c r="AB240" s="154">
        <v>102.45</v>
      </c>
      <c r="AD240" s="154">
        <v>312.54300000000001</v>
      </c>
      <c r="AG240" s="157" t="s">
        <v>15</v>
      </c>
      <c r="AH240" s="155">
        <v>8.5999999999999998E-4</v>
      </c>
      <c r="AI240" s="155">
        <f t="shared" si="3"/>
        <v>2.4820392637618326E-2</v>
      </c>
      <c r="AJ240" s="155">
        <v>1.3762376661422171E-3</v>
      </c>
    </row>
    <row r="241" spans="1:36" s="160" customFormat="1">
      <c r="A241" s="153" t="s">
        <v>1213</v>
      </c>
      <c r="B241" s="160">
        <v>12938</v>
      </c>
      <c r="C241" s="153" t="s">
        <v>1713</v>
      </c>
      <c r="D241" s="153" t="s">
        <v>1714</v>
      </c>
      <c r="E241" s="153" t="s">
        <v>309</v>
      </c>
      <c r="F241" s="153" t="s">
        <v>1715</v>
      </c>
      <c r="G241" s="153" t="s">
        <v>1716</v>
      </c>
      <c r="H241" s="153" t="s">
        <v>321</v>
      </c>
      <c r="I241" s="153" t="s">
        <v>754</v>
      </c>
      <c r="J241" s="153" t="s">
        <v>204</v>
      </c>
      <c r="K241" s="153" t="s">
        <v>204</v>
      </c>
      <c r="L241" s="153" t="s">
        <v>325</v>
      </c>
      <c r="M241" s="153" t="s">
        <v>340</v>
      </c>
      <c r="N241" s="153" t="s">
        <v>459</v>
      </c>
      <c r="O241" s="153" t="s">
        <v>339</v>
      </c>
      <c r="Q241" s="153" t="s">
        <v>410</v>
      </c>
      <c r="R241" s="153" t="s">
        <v>410</v>
      </c>
      <c r="S241" s="153" t="s">
        <v>1212</v>
      </c>
      <c r="T241" s="154">
        <v>4.58</v>
      </c>
      <c r="U241" s="153" t="s">
        <v>1717</v>
      </c>
      <c r="V241" s="155">
        <v>3.5159999999999997E-2</v>
      </c>
      <c r="W241" s="155">
        <v>3.8899999999999997E-2</v>
      </c>
      <c r="X241" s="153" t="s">
        <v>412</v>
      </c>
      <c r="Y241" s="153" t="s">
        <v>339</v>
      </c>
      <c r="Z241" s="154">
        <v>302000</v>
      </c>
      <c r="AA241" s="154">
        <v>1</v>
      </c>
      <c r="AB241" s="154">
        <v>101.18</v>
      </c>
      <c r="AD241" s="154">
        <v>305.56400000000002</v>
      </c>
      <c r="AG241" s="157" t="s">
        <v>15</v>
      </c>
      <c r="AH241" s="155">
        <v>8.8999999999999995E-4</v>
      </c>
      <c r="AI241" s="155">
        <f t="shared" si="3"/>
        <v>2.4266160035327E-2</v>
      </c>
      <c r="AJ241" s="155">
        <v>1.3455066541790423E-3</v>
      </c>
    </row>
    <row r="242" spans="1:36" s="160" customFormat="1">
      <c r="A242" s="153" t="s">
        <v>1213</v>
      </c>
      <c r="B242" s="160">
        <v>12938</v>
      </c>
      <c r="C242" s="153" t="s">
        <v>1750</v>
      </c>
      <c r="D242" s="153" t="s">
        <v>1751</v>
      </c>
      <c r="E242" s="153" t="s">
        <v>309</v>
      </c>
      <c r="F242" s="153" t="s">
        <v>1752</v>
      </c>
      <c r="G242" s="153" t="s">
        <v>1753</v>
      </c>
      <c r="H242" s="153" t="s">
        <v>321</v>
      </c>
      <c r="I242" s="153" t="s">
        <v>754</v>
      </c>
      <c r="J242" s="153" t="s">
        <v>204</v>
      </c>
      <c r="K242" s="153" t="s">
        <v>204</v>
      </c>
      <c r="L242" s="153" t="s">
        <v>325</v>
      </c>
      <c r="M242" s="153" t="s">
        <v>340</v>
      </c>
      <c r="N242" s="153" t="s">
        <v>464</v>
      </c>
      <c r="O242" s="153" t="s">
        <v>339</v>
      </c>
      <c r="Q242" s="153" t="s">
        <v>410</v>
      </c>
      <c r="R242" s="153" t="s">
        <v>410</v>
      </c>
      <c r="S242" s="153" t="s">
        <v>1212</v>
      </c>
      <c r="T242" s="154">
        <v>2.99</v>
      </c>
      <c r="U242" s="153" t="s">
        <v>1528</v>
      </c>
      <c r="V242" s="155">
        <v>4.5400000000000003E-2</v>
      </c>
      <c r="W242" s="155">
        <v>3.8199999999999998E-2</v>
      </c>
      <c r="X242" s="153" t="s">
        <v>412</v>
      </c>
      <c r="Y242" s="153" t="s">
        <v>339</v>
      </c>
      <c r="Z242" s="154">
        <v>284000</v>
      </c>
      <c r="AA242" s="154">
        <v>1</v>
      </c>
      <c r="AB242" s="154">
        <v>107.58</v>
      </c>
      <c r="AD242" s="154">
        <v>305.52699999999999</v>
      </c>
      <c r="AG242" s="157" t="s">
        <v>15</v>
      </c>
      <c r="AH242" s="155">
        <v>2.9E-4</v>
      </c>
      <c r="AI242" s="155">
        <f t="shared" si="3"/>
        <v>2.4263221705152934E-2</v>
      </c>
      <c r="AJ242" s="155">
        <v>1.3453437300577301E-3</v>
      </c>
    </row>
    <row r="243" spans="1:36" s="160" customFormat="1">
      <c r="A243" s="153" t="s">
        <v>1213</v>
      </c>
      <c r="B243" s="160">
        <v>12938</v>
      </c>
      <c r="C243" s="153" t="s">
        <v>1778</v>
      </c>
      <c r="D243" s="153" t="s">
        <v>1779</v>
      </c>
      <c r="E243" s="153" t="s">
        <v>309</v>
      </c>
      <c r="F243" s="153" t="s">
        <v>1780</v>
      </c>
      <c r="G243" s="153" t="s">
        <v>1781</v>
      </c>
      <c r="H243" s="153" t="s">
        <v>321</v>
      </c>
      <c r="I243" s="153" t="s">
        <v>951</v>
      </c>
      <c r="J243" s="153" t="s">
        <v>204</v>
      </c>
      <c r="K243" s="153" t="s">
        <v>204</v>
      </c>
      <c r="L243" s="153" t="s">
        <v>325</v>
      </c>
      <c r="M243" s="153" t="s">
        <v>340</v>
      </c>
      <c r="N243" s="153" t="s">
        <v>447</v>
      </c>
      <c r="O243" s="153" t="s">
        <v>339</v>
      </c>
      <c r="Q243" s="153" t="s">
        <v>410</v>
      </c>
      <c r="R243" s="153" t="s">
        <v>410</v>
      </c>
      <c r="S243" s="153" t="s">
        <v>1212</v>
      </c>
      <c r="T243" s="154">
        <v>2.91</v>
      </c>
      <c r="U243" s="153" t="s">
        <v>1744</v>
      </c>
      <c r="V243" s="155">
        <v>7.7640000000000001E-2</v>
      </c>
      <c r="W243" s="155">
        <v>7.0300000000000001E-2</v>
      </c>
      <c r="X243" s="153" t="s">
        <v>412</v>
      </c>
      <c r="Y243" s="153" t="s">
        <v>339</v>
      </c>
      <c r="Z243" s="154">
        <v>286000</v>
      </c>
      <c r="AA243" s="154">
        <v>1</v>
      </c>
      <c r="AB243" s="154">
        <v>102.79</v>
      </c>
      <c r="AD243" s="154">
        <v>293.97899999999998</v>
      </c>
      <c r="AG243" s="157" t="s">
        <v>15</v>
      </c>
      <c r="AH243" s="155">
        <v>4.7800000000000004E-3</v>
      </c>
      <c r="AI243" s="155">
        <f t="shared" si="3"/>
        <v>2.3346145033529459E-2</v>
      </c>
      <c r="AJ243" s="155">
        <v>1.2944937907898204E-3</v>
      </c>
    </row>
    <row r="244" spans="1:36" s="160" customFormat="1">
      <c r="A244" s="153" t="s">
        <v>1213</v>
      </c>
      <c r="B244" s="160">
        <v>12938</v>
      </c>
      <c r="C244" s="153" t="s">
        <v>1624</v>
      </c>
      <c r="D244" s="153" t="s">
        <v>1625</v>
      </c>
      <c r="E244" s="153" t="s">
        <v>309</v>
      </c>
      <c r="F244" s="153" t="s">
        <v>1626</v>
      </c>
      <c r="G244" s="153" t="s">
        <v>1627</v>
      </c>
      <c r="H244" s="153" t="s">
        <v>321</v>
      </c>
      <c r="I244" s="153" t="s">
        <v>754</v>
      </c>
      <c r="J244" s="153" t="s">
        <v>204</v>
      </c>
      <c r="K244" s="153" t="s">
        <v>204</v>
      </c>
      <c r="L244" s="153" t="s">
        <v>325</v>
      </c>
      <c r="M244" s="153" t="s">
        <v>340</v>
      </c>
      <c r="N244" s="153" t="s">
        <v>447</v>
      </c>
      <c r="O244" s="153" t="s">
        <v>339</v>
      </c>
      <c r="P244" s="153" t="s">
        <v>1614</v>
      </c>
      <c r="Q244" s="153" t="s">
        <v>415</v>
      </c>
      <c r="R244" s="153" t="s">
        <v>407</v>
      </c>
      <c r="S244" s="153" t="s">
        <v>1212</v>
      </c>
      <c r="T244" s="154">
        <v>2.82</v>
      </c>
      <c r="U244" s="153" t="s">
        <v>1628</v>
      </c>
      <c r="V244" s="155">
        <v>3.3390000000000003E-2</v>
      </c>
      <c r="W244" s="155">
        <v>3.2199999999999999E-2</v>
      </c>
      <c r="X244" s="153" t="s">
        <v>412</v>
      </c>
      <c r="Y244" s="153" t="s">
        <v>339</v>
      </c>
      <c r="Z244" s="154">
        <v>236000</v>
      </c>
      <c r="AA244" s="154">
        <v>1</v>
      </c>
      <c r="AB244" s="154">
        <v>108.99</v>
      </c>
      <c r="AD244" s="154">
        <v>257.21600000000001</v>
      </c>
      <c r="AG244" s="157" t="s">
        <v>15</v>
      </c>
      <c r="AH244" s="155">
        <v>7.9000000000000001E-4</v>
      </c>
      <c r="AI244" s="155">
        <f t="shared" si="3"/>
        <v>2.0426636055447204E-2</v>
      </c>
      <c r="AJ244" s="155">
        <v>1.1326132645249982E-3</v>
      </c>
    </row>
    <row r="245" spans="1:36" s="160" customFormat="1">
      <c r="A245" s="153" t="s">
        <v>1213</v>
      </c>
      <c r="B245" s="160">
        <v>12938</v>
      </c>
      <c r="C245" s="153" t="s">
        <v>1556</v>
      </c>
      <c r="D245" s="153" t="s">
        <v>1557</v>
      </c>
      <c r="E245" s="153" t="s">
        <v>311</v>
      </c>
      <c r="F245" s="153" t="s">
        <v>1558</v>
      </c>
      <c r="G245" s="153" t="s">
        <v>1559</v>
      </c>
      <c r="H245" s="153" t="s">
        <v>321</v>
      </c>
      <c r="I245" s="153" t="s">
        <v>951</v>
      </c>
      <c r="J245" s="153" t="s">
        <v>204</v>
      </c>
      <c r="K245" s="153" t="s">
        <v>224</v>
      </c>
      <c r="L245" s="153" t="s">
        <v>325</v>
      </c>
      <c r="M245" s="153" t="s">
        <v>340</v>
      </c>
      <c r="N245" s="153" t="s">
        <v>465</v>
      </c>
      <c r="O245" s="153" t="s">
        <v>339</v>
      </c>
      <c r="P245" s="153" t="s">
        <v>1560</v>
      </c>
      <c r="Q245" s="153" t="s">
        <v>413</v>
      </c>
      <c r="R245" s="153" t="s">
        <v>407</v>
      </c>
      <c r="S245" s="153" t="s">
        <v>1212</v>
      </c>
      <c r="T245" s="154">
        <v>2.5</v>
      </c>
      <c r="U245" s="153" t="s">
        <v>1561</v>
      </c>
      <c r="V245" s="155">
        <v>3.4360000000000002E-2</v>
      </c>
      <c r="W245" s="155">
        <v>7.2999999999999995E-2</v>
      </c>
      <c r="X245" s="153" t="s">
        <v>412</v>
      </c>
      <c r="Y245" s="153" t="s">
        <v>339</v>
      </c>
      <c r="Z245" s="154">
        <v>248865.98</v>
      </c>
      <c r="AA245" s="154">
        <v>1</v>
      </c>
      <c r="AB245" s="154">
        <v>100.76</v>
      </c>
      <c r="AD245" s="154">
        <v>250.75700000000001</v>
      </c>
      <c r="AG245" s="157" t="s">
        <v>15</v>
      </c>
      <c r="AH245" s="155">
        <v>4.6999999999999999E-4</v>
      </c>
      <c r="AI245" s="155">
        <f t="shared" si="3"/>
        <v>1.9913698904250803E-2</v>
      </c>
      <c r="AJ245" s="155">
        <v>1.1041719969694535E-3</v>
      </c>
    </row>
    <row r="246" spans="1:36" s="160" customFormat="1">
      <c r="A246" s="153" t="s">
        <v>1213</v>
      </c>
      <c r="B246" s="160">
        <v>12938</v>
      </c>
      <c r="C246" s="153" t="s">
        <v>1782</v>
      </c>
      <c r="D246" s="153" t="s">
        <v>1783</v>
      </c>
      <c r="E246" s="153" t="s">
        <v>309</v>
      </c>
      <c r="F246" s="153" t="s">
        <v>1784</v>
      </c>
      <c r="G246" s="153" t="s">
        <v>1785</v>
      </c>
      <c r="H246" s="153" t="s">
        <v>321</v>
      </c>
      <c r="I246" s="153" t="s">
        <v>952</v>
      </c>
      <c r="J246" s="153" t="s">
        <v>204</v>
      </c>
      <c r="K246" s="153" t="s">
        <v>204</v>
      </c>
      <c r="L246" s="153" t="s">
        <v>325</v>
      </c>
      <c r="M246" s="153" t="s">
        <v>340</v>
      </c>
      <c r="N246" s="153" t="s">
        <v>461</v>
      </c>
      <c r="O246" s="153" t="s">
        <v>339</v>
      </c>
      <c r="Q246" s="153" t="s">
        <v>410</v>
      </c>
      <c r="R246" s="153" t="s">
        <v>410</v>
      </c>
      <c r="S246" s="153" t="s">
        <v>1212</v>
      </c>
      <c r="T246" s="154">
        <v>3.43</v>
      </c>
      <c r="U246" s="153" t="s">
        <v>1744</v>
      </c>
      <c r="V246" s="155">
        <v>5.7970000000000001E-2</v>
      </c>
      <c r="W246" s="155">
        <v>0.05</v>
      </c>
      <c r="X246" s="153" t="s">
        <v>412</v>
      </c>
      <c r="Y246" s="153" t="s">
        <v>339</v>
      </c>
      <c r="Z246" s="154">
        <v>224000</v>
      </c>
      <c r="AA246" s="154">
        <v>1</v>
      </c>
      <c r="AB246" s="154">
        <v>100.9</v>
      </c>
      <c r="AD246" s="154">
        <v>226.01599999999999</v>
      </c>
      <c r="AG246" s="157" t="s">
        <v>15</v>
      </c>
      <c r="AH246" s="155">
        <v>7.5000000000000002E-4</v>
      </c>
      <c r="AI246" s="155">
        <f t="shared" si="3"/>
        <v>1.7948908989751627E-2</v>
      </c>
      <c r="AJ246" s="155">
        <v>9.9522860006718856E-4</v>
      </c>
    </row>
    <row r="247" spans="1:36" s="160" customFormat="1">
      <c r="A247" s="153" t="s">
        <v>1213</v>
      </c>
      <c r="B247" s="160">
        <v>12938</v>
      </c>
      <c r="C247" s="153" t="s">
        <v>1556</v>
      </c>
      <c r="D247" s="153" t="s">
        <v>1557</v>
      </c>
      <c r="E247" s="153" t="s">
        <v>311</v>
      </c>
      <c r="F247" s="153" t="s">
        <v>1849</v>
      </c>
      <c r="G247" s="153" t="s">
        <v>1850</v>
      </c>
      <c r="H247" s="153" t="s">
        <v>321</v>
      </c>
      <c r="I247" s="153" t="s">
        <v>951</v>
      </c>
      <c r="J247" s="153" t="s">
        <v>204</v>
      </c>
      <c r="K247" s="153" t="s">
        <v>224</v>
      </c>
      <c r="L247" s="153" t="s">
        <v>325</v>
      </c>
      <c r="M247" s="153" t="s">
        <v>340</v>
      </c>
      <c r="N247" s="153" t="s">
        <v>465</v>
      </c>
      <c r="O247" s="153" t="s">
        <v>339</v>
      </c>
      <c r="P247" s="153" t="s">
        <v>1560</v>
      </c>
      <c r="Q247" s="153" t="s">
        <v>413</v>
      </c>
      <c r="R247" s="153" t="s">
        <v>407</v>
      </c>
      <c r="S247" s="153" t="s">
        <v>1212</v>
      </c>
      <c r="T247" s="154">
        <v>1.86</v>
      </c>
      <c r="U247" s="153" t="s">
        <v>1851</v>
      </c>
      <c r="V247" s="155">
        <v>6.6860000000000003E-2</v>
      </c>
      <c r="W247" s="155">
        <v>7.0800000000000002E-2</v>
      </c>
      <c r="X247" s="153" t="s">
        <v>412</v>
      </c>
      <c r="Y247" s="153" t="s">
        <v>339</v>
      </c>
      <c r="Z247" s="154">
        <v>225000.83</v>
      </c>
      <c r="AA247" s="154">
        <v>1</v>
      </c>
      <c r="AB247" s="154">
        <v>97.67</v>
      </c>
      <c r="AD247" s="154">
        <v>219.75800000000001</v>
      </c>
      <c r="AG247" s="157" t="s">
        <v>15</v>
      </c>
      <c r="AH247" s="155">
        <v>7.7999999999999999E-4</v>
      </c>
      <c r="AI247" s="155">
        <f t="shared" si="3"/>
        <v>1.7451934118689998E-2</v>
      </c>
      <c r="AJ247" s="155">
        <v>9.6767240679228577E-4</v>
      </c>
    </row>
    <row r="248" spans="1:36" s="160" customFormat="1">
      <c r="A248" s="153" t="s">
        <v>1213</v>
      </c>
      <c r="B248" s="160">
        <v>12938</v>
      </c>
      <c r="C248" s="153" t="s">
        <v>1769</v>
      </c>
      <c r="D248" s="153" t="s">
        <v>1770</v>
      </c>
      <c r="E248" s="153" t="s">
        <v>309</v>
      </c>
      <c r="F248" s="153" t="s">
        <v>1977</v>
      </c>
      <c r="G248" s="153" t="s">
        <v>1978</v>
      </c>
      <c r="H248" s="153" t="s">
        <v>321</v>
      </c>
      <c r="I248" s="153" t="s">
        <v>951</v>
      </c>
      <c r="J248" s="153" t="s">
        <v>204</v>
      </c>
      <c r="K248" s="153" t="s">
        <v>204</v>
      </c>
      <c r="L248" s="153" t="s">
        <v>325</v>
      </c>
      <c r="M248" s="153" t="s">
        <v>340</v>
      </c>
      <c r="N248" s="153" t="s">
        <v>464</v>
      </c>
      <c r="O248" s="153" t="s">
        <v>339</v>
      </c>
      <c r="P248" s="153" t="s">
        <v>1521</v>
      </c>
      <c r="Q248" s="153" t="s">
        <v>413</v>
      </c>
      <c r="R248" s="153" t="s">
        <v>407</v>
      </c>
      <c r="S248" s="153" t="s">
        <v>1212</v>
      </c>
      <c r="T248" s="154">
        <v>2.91</v>
      </c>
      <c r="U248" s="153" t="s">
        <v>1979</v>
      </c>
      <c r="V248" s="155">
        <v>6.6830000000000001E-2</v>
      </c>
      <c r="W248" s="155">
        <v>6.8000000000000005E-2</v>
      </c>
      <c r="X248" s="153" t="s">
        <v>412</v>
      </c>
      <c r="Y248" s="153" t="s">
        <v>339</v>
      </c>
      <c r="Z248" s="154">
        <v>211000</v>
      </c>
      <c r="AA248" s="154">
        <v>1</v>
      </c>
      <c r="AB248" s="154">
        <v>101.61</v>
      </c>
      <c r="AD248" s="154">
        <v>214.39699999999999</v>
      </c>
      <c r="AG248" s="157" t="s">
        <v>15</v>
      </c>
      <c r="AH248" s="155">
        <v>1.6000000000000001E-4</v>
      </c>
      <c r="AI248" s="155">
        <f t="shared" si="3"/>
        <v>1.7026193900767112E-2</v>
      </c>
      <c r="AJ248" s="155">
        <v>9.4406602262054468E-4</v>
      </c>
    </row>
    <row r="249" spans="1:36" s="160" customFormat="1">
      <c r="A249" s="153" t="s">
        <v>1213</v>
      </c>
      <c r="B249" s="160">
        <v>12938</v>
      </c>
      <c r="C249" s="153" t="s">
        <v>1605</v>
      </c>
      <c r="D249" s="153" t="s">
        <v>1606</v>
      </c>
      <c r="E249" s="153" t="s">
        <v>311</v>
      </c>
      <c r="F249" s="153" t="s">
        <v>1607</v>
      </c>
      <c r="G249" s="153" t="s">
        <v>1608</v>
      </c>
      <c r="H249" s="153" t="s">
        <v>321</v>
      </c>
      <c r="I249" s="153" t="s">
        <v>951</v>
      </c>
      <c r="J249" s="153" t="s">
        <v>204</v>
      </c>
      <c r="K249" s="153" t="s">
        <v>224</v>
      </c>
      <c r="L249" s="153" t="s">
        <v>325</v>
      </c>
      <c r="M249" s="153" t="s">
        <v>340</v>
      </c>
      <c r="N249" s="153" t="s">
        <v>465</v>
      </c>
      <c r="O249" s="153" t="s">
        <v>339</v>
      </c>
      <c r="P249" s="153" t="s">
        <v>1566</v>
      </c>
      <c r="Q249" s="153" t="s">
        <v>413</v>
      </c>
      <c r="R249" s="153" t="s">
        <v>407</v>
      </c>
      <c r="S249" s="153" t="s">
        <v>1212</v>
      </c>
      <c r="T249" s="154">
        <v>3.44</v>
      </c>
      <c r="U249" s="153" t="s">
        <v>1609</v>
      </c>
      <c r="V249" s="155">
        <v>6.6930000000000003E-2</v>
      </c>
      <c r="W249" s="155">
        <v>6.59E-2</v>
      </c>
      <c r="X249" s="153" t="s">
        <v>412</v>
      </c>
      <c r="Y249" s="153" t="s">
        <v>339</v>
      </c>
      <c r="Z249" s="154">
        <v>100000</v>
      </c>
      <c r="AA249" s="154">
        <v>1</v>
      </c>
      <c r="AB249" s="154">
        <v>95.42</v>
      </c>
      <c r="AD249" s="154">
        <v>95.42</v>
      </c>
      <c r="AG249" s="157" t="s">
        <v>15</v>
      </c>
      <c r="AH249" s="155">
        <v>1.1E-4</v>
      </c>
      <c r="AI249" s="155">
        <f t="shared" si="3"/>
        <v>7.5777152759189635E-3</v>
      </c>
      <c r="AJ249" s="155">
        <v>4.2016809880013426E-4</v>
      </c>
    </row>
    <row r="250" spans="1:36" s="160" customFormat="1">
      <c r="A250" s="153" t="s">
        <v>1213</v>
      </c>
      <c r="B250" s="160">
        <v>12938</v>
      </c>
      <c r="C250" s="153" t="s">
        <v>1620</v>
      </c>
      <c r="D250" s="153" t="s">
        <v>1621</v>
      </c>
      <c r="E250" s="153" t="s">
        <v>309</v>
      </c>
      <c r="F250" s="153" t="s">
        <v>1622</v>
      </c>
      <c r="G250" s="153" t="s">
        <v>1623</v>
      </c>
      <c r="H250" s="153" t="s">
        <v>321</v>
      </c>
      <c r="I250" s="153" t="s">
        <v>951</v>
      </c>
      <c r="J250" s="153" t="s">
        <v>204</v>
      </c>
      <c r="K250" s="153" t="s">
        <v>204</v>
      </c>
      <c r="L250" s="153" t="s">
        <v>327</v>
      </c>
      <c r="M250" s="153" t="s">
        <v>340</v>
      </c>
      <c r="N250" s="153" t="s">
        <v>447</v>
      </c>
      <c r="O250" s="153" t="s">
        <v>339</v>
      </c>
      <c r="Q250" s="153" t="s">
        <v>410</v>
      </c>
      <c r="R250" s="153" t="s">
        <v>410</v>
      </c>
      <c r="S250" s="153" t="s">
        <v>1212</v>
      </c>
      <c r="T250" s="154">
        <v>1.59</v>
      </c>
      <c r="U250" s="153" t="s">
        <v>1331</v>
      </c>
      <c r="V250" s="155">
        <v>6.4699999999999994E-2</v>
      </c>
      <c r="W250" s="155">
        <v>6.3100000000000003E-2</v>
      </c>
      <c r="X250" s="153" t="s">
        <v>412</v>
      </c>
      <c r="Y250" s="153" t="s">
        <v>339</v>
      </c>
      <c r="Z250" s="154">
        <v>380648.89</v>
      </c>
      <c r="AA250" s="154">
        <v>1</v>
      </c>
      <c r="AB250" s="154">
        <f>AD250*1000/Z250*100</f>
        <v>101.66999999999999</v>
      </c>
      <c r="AD250" s="154">
        <f>387005.726463/1000</f>
        <v>387.00572646299997</v>
      </c>
      <c r="AG250" s="157" t="s">
        <v>15</v>
      </c>
      <c r="AI250" s="155">
        <f t="shared" si="3"/>
        <v>3.073380009732541E-2</v>
      </c>
      <c r="AJ250" s="155">
        <v>1.7041234574798102E-3</v>
      </c>
    </row>
    <row r="251" spans="1:36" s="160" customFormat="1">
      <c r="A251" s="153" t="s">
        <v>1213</v>
      </c>
      <c r="B251" s="160">
        <v>12938</v>
      </c>
      <c r="C251" s="153" t="s">
        <v>2089</v>
      </c>
      <c r="D251" s="153" t="s">
        <v>2090</v>
      </c>
      <c r="E251" s="153" t="s">
        <v>309</v>
      </c>
      <c r="F251" s="153" t="s">
        <v>2091</v>
      </c>
      <c r="G251" s="153" t="s">
        <v>2092</v>
      </c>
      <c r="H251" s="153" t="s">
        <v>321</v>
      </c>
      <c r="I251" s="153" t="s">
        <v>755</v>
      </c>
      <c r="J251" s="153" t="s">
        <v>205</v>
      </c>
      <c r="K251" s="153" t="s">
        <v>204</v>
      </c>
      <c r="L251" s="153" t="s">
        <v>325</v>
      </c>
      <c r="M251" s="153" t="s">
        <v>314</v>
      </c>
      <c r="N251" s="153" t="s">
        <v>534</v>
      </c>
      <c r="O251" s="153" t="s">
        <v>339</v>
      </c>
      <c r="P251" s="153" t="s">
        <v>1890</v>
      </c>
      <c r="Q251" s="153" t="s">
        <v>433</v>
      </c>
      <c r="R251" s="153" t="s">
        <v>407</v>
      </c>
      <c r="S251" s="153" t="s">
        <v>1218</v>
      </c>
      <c r="T251" s="154">
        <v>4.8339999999999996</v>
      </c>
      <c r="U251" s="153" t="s">
        <v>2093</v>
      </c>
      <c r="V251" s="155">
        <v>4.1070000000000002E-2</v>
      </c>
      <c r="W251" s="155">
        <v>4.4069999999999998E-2</v>
      </c>
      <c r="X251" s="153" t="s">
        <v>412</v>
      </c>
      <c r="Y251" s="153" t="s">
        <v>339</v>
      </c>
      <c r="Z251" s="154">
        <v>50000</v>
      </c>
      <c r="AA251" s="154">
        <v>4.1524000000000001</v>
      </c>
      <c r="AB251" s="154">
        <v>101.104</v>
      </c>
      <c r="AD251" s="154">
        <v>209.911</v>
      </c>
      <c r="AG251" s="157" t="s">
        <v>15</v>
      </c>
      <c r="AH251" s="155">
        <v>3.0000000000000001E-5</v>
      </c>
      <c r="AI251" s="155">
        <f t="shared" si="3"/>
        <v>1.6669941220744347E-2</v>
      </c>
      <c r="AJ251" s="155">
        <v>9.2431257375010455E-4</v>
      </c>
    </row>
    <row r="252" spans="1:36" s="160" customFormat="1">
      <c r="A252" s="153" t="s">
        <v>1213</v>
      </c>
      <c r="B252" s="160">
        <v>12938</v>
      </c>
      <c r="C252" s="153" t="s">
        <v>1573</v>
      </c>
      <c r="D252" s="153" t="s">
        <v>1574</v>
      </c>
      <c r="E252" s="153" t="s">
        <v>309</v>
      </c>
      <c r="F252" s="153" t="s">
        <v>1878</v>
      </c>
      <c r="G252" s="153" t="s">
        <v>1879</v>
      </c>
      <c r="H252" s="153" t="s">
        <v>321</v>
      </c>
      <c r="I252" s="153" t="s">
        <v>755</v>
      </c>
      <c r="J252" s="153" t="s">
        <v>205</v>
      </c>
      <c r="K252" s="153" t="s">
        <v>204</v>
      </c>
      <c r="L252" s="153" t="s">
        <v>325</v>
      </c>
      <c r="M252" s="153" t="s">
        <v>340</v>
      </c>
      <c r="N252" s="153" t="s">
        <v>536</v>
      </c>
      <c r="O252" s="153" t="s">
        <v>339</v>
      </c>
      <c r="P252" s="153" t="s">
        <v>1876</v>
      </c>
      <c r="Q252" s="153" t="s">
        <v>433</v>
      </c>
      <c r="R252" s="153" t="s">
        <v>407</v>
      </c>
      <c r="S252" s="153" t="s">
        <v>1216</v>
      </c>
      <c r="T252" s="154">
        <v>1.2529999999999999</v>
      </c>
      <c r="U252" s="153" t="s">
        <v>1880</v>
      </c>
      <c r="V252" s="155">
        <v>5.638E-2</v>
      </c>
      <c r="W252" s="155">
        <v>7.9500000000000001E-2</v>
      </c>
      <c r="X252" s="153" t="s">
        <v>412</v>
      </c>
      <c r="Y252" s="153" t="s">
        <v>339</v>
      </c>
      <c r="Z252" s="154">
        <v>49000</v>
      </c>
      <c r="AA252" s="154">
        <v>3.71</v>
      </c>
      <c r="AB252" s="154">
        <v>95.29</v>
      </c>
      <c r="AD252" s="154">
        <v>173.22800000000001</v>
      </c>
      <c r="AG252" s="157" t="s">
        <v>15</v>
      </c>
      <c r="AH252" s="155">
        <v>6.9999999999999994E-5</v>
      </c>
      <c r="AI252" s="155">
        <f t="shared" si="3"/>
        <v>1.3756785388984387E-2</v>
      </c>
      <c r="AJ252" s="155">
        <v>7.6278431585568706E-4</v>
      </c>
    </row>
    <row r="253" spans="1:36" s="160" customFormat="1">
      <c r="A253" s="153" t="s">
        <v>1213</v>
      </c>
      <c r="B253" s="160">
        <v>12938</v>
      </c>
      <c r="C253" s="153" t="s">
        <v>1881</v>
      </c>
      <c r="D253" s="153" t="s">
        <v>1882</v>
      </c>
      <c r="E253" s="153" t="s">
        <v>309</v>
      </c>
      <c r="F253" s="153" t="s">
        <v>1883</v>
      </c>
      <c r="G253" s="153" t="s">
        <v>1884</v>
      </c>
      <c r="H253" s="153" t="s">
        <v>321</v>
      </c>
      <c r="I253" s="153" t="s">
        <v>755</v>
      </c>
      <c r="J253" s="153" t="s">
        <v>205</v>
      </c>
      <c r="K253" s="153" t="s">
        <v>204</v>
      </c>
      <c r="L253" s="153" t="s">
        <v>325</v>
      </c>
      <c r="M253" s="153" t="s">
        <v>340</v>
      </c>
      <c r="N253" s="153" t="s">
        <v>536</v>
      </c>
      <c r="O253" s="153" t="s">
        <v>339</v>
      </c>
      <c r="P253" s="153" t="s">
        <v>1876</v>
      </c>
      <c r="Q253" s="153" t="s">
        <v>433</v>
      </c>
      <c r="R253" s="153" t="s">
        <v>407</v>
      </c>
      <c r="S253" s="153" t="s">
        <v>1216</v>
      </c>
      <c r="T253" s="154">
        <v>1.4370000000000001</v>
      </c>
      <c r="U253" s="153" t="s">
        <v>1885</v>
      </c>
      <c r="V253" s="155">
        <v>5.6419999999999998E-2</v>
      </c>
      <c r="W253" s="155">
        <v>7.4329999999999993E-2</v>
      </c>
      <c r="X253" s="153" t="s">
        <v>412</v>
      </c>
      <c r="Y253" s="153" t="s">
        <v>339</v>
      </c>
      <c r="Z253" s="154">
        <v>49000</v>
      </c>
      <c r="AA253" s="154">
        <v>3.71</v>
      </c>
      <c r="AB253" s="154">
        <v>95.180999999999997</v>
      </c>
      <c r="AD253" s="154">
        <v>173.029</v>
      </c>
      <c r="AG253" s="157" t="s">
        <v>15</v>
      </c>
      <c r="AH253" s="155">
        <v>8.0000000000000007E-5</v>
      </c>
      <c r="AI253" s="155">
        <f t="shared" si="3"/>
        <v>1.3740981937507675E-2</v>
      </c>
      <c r="AJ253" s="155">
        <v>7.6190804828430542E-4</v>
      </c>
    </row>
    <row r="254" spans="1:36" s="160" customFormat="1">
      <c r="A254" s="153" t="s">
        <v>1213</v>
      </c>
      <c r="B254" s="160">
        <v>12938</v>
      </c>
      <c r="C254" s="153" t="s">
        <v>1886</v>
      </c>
      <c r="D254" s="153" t="s">
        <v>1887</v>
      </c>
      <c r="E254" s="153" t="s">
        <v>80</v>
      </c>
      <c r="F254" s="153" t="s">
        <v>1888</v>
      </c>
      <c r="G254" s="153" t="s">
        <v>1889</v>
      </c>
      <c r="H254" s="153" t="s">
        <v>321</v>
      </c>
      <c r="I254" s="153" t="s">
        <v>755</v>
      </c>
      <c r="J254" s="153" t="s">
        <v>205</v>
      </c>
      <c r="K254" s="153" t="s">
        <v>204</v>
      </c>
      <c r="L254" s="153" t="s">
        <v>325</v>
      </c>
      <c r="M254" s="153" t="s">
        <v>314</v>
      </c>
      <c r="N254" s="153" t="s">
        <v>486</v>
      </c>
      <c r="O254" s="153" t="s">
        <v>339</v>
      </c>
      <c r="P254" s="153" t="s">
        <v>1890</v>
      </c>
      <c r="Q254" s="153" t="s">
        <v>433</v>
      </c>
      <c r="R254" s="153" t="s">
        <v>407</v>
      </c>
      <c r="S254" s="153" t="s">
        <v>1216</v>
      </c>
      <c r="T254" s="154">
        <v>0.69799999999999995</v>
      </c>
      <c r="U254" s="153" t="s">
        <v>1848</v>
      </c>
      <c r="V254" s="155">
        <v>6.1249999999999999E-2</v>
      </c>
      <c r="W254" s="155">
        <v>8.0320000000000003E-2</v>
      </c>
      <c r="X254" s="153" t="s">
        <v>412</v>
      </c>
      <c r="Y254" s="153" t="s">
        <v>339</v>
      </c>
      <c r="Z254" s="154">
        <v>32000</v>
      </c>
      <c r="AA254" s="154">
        <v>3.71</v>
      </c>
      <c r="AB254" s="154">
        <v>99.778000000000006</v>
      </c>
      <c r="AD254" s="154">
        <v>118.45699999999999</v>
      </c>
      <c r="AG254" s="157" t="s">
        <v>15</v>
      </c>
      <c r="AH254" s="155">
        <v>5.0000000000000002E-5</v>
      </c>
      <c r="AI254" s="155">
        <f t="shared" si="3"/>
        <v>9.4071831737532231E-3</v>
      </c>
      <c r="AJ254" s="155">
        <v>5.2160817941278032E-4</v>
      </c>
    </row>
    <row r="255" spans="1:36" s="160" customFormat="1">
      <c r="A255" s="153" t="s">
        <v>1213</v>
      </c>
      <c r="B255" s="160">
        <v>12938</v>
      </c>
      <c r="C255" s="153" t="s">
        <v>1886</v>
      </c>
      <c r="D255" s="153" t="s">
        <v>1887</v>
      </c>
      <c r="E255" s="153" t="s">
        <v>80</v>
      </c>
      <c r="F255" s="153" t="s">
        <v>1891</v>
      </c>
      <c r="G255" s="153" t="s">
        <v>1892</v>
      </c>
      <c r="H255" s="153" t="s">
        <v>321</v>
      </c>
      <c r="I255" s="153" t="s">
        <v>755</v>
      </c>
      <c r="J255" s="153" t="s">
        <v>205</v>
      </c>
      <c r="K255" s="153" t="s">
        <v>204</v>
      </c>
      <c r="L255" s="153" t="s">
        <v>325</v>
      </c>
      <c r="M255" s="153" t="s">
        <v>314</v>
      </c>
      <c r="N255" s="153" t="s">
        <v>486</v>
      </c>
      <c r="O255" s="153" t="s">
        <v>339</v>
      </c>
      <c r="P255" s="153" t="s">
        <v>1890</v>
      </c>
      <c r="Q255" s="153" t="s">
        <v>433</v>
      </c>
      <c r="R255" s="153" t="s">
        <v>407</v>
      </c>
      <c r="S255" s="153" t="s">
        <v>1216</v>
      </c>
      <c r="T255" s="154">
        <v>2.4049999999999998</v>
      </c>
      <c r="U255" s="153" t="s">
        <v>1572</v>
      </c>
      <c r="V255" s="155">
        <v>6.5000000000000002E-2</v>
      </c>
      <c r="W255" s="155">
        <v>8.4870000000000001E-2</v>
      </c>
      <c r="X255" s="153" t="s">
        <v>412</v>
      </c>
      <c r="Y255" s="153" t="s">
        <v>339</v>
      </c>
      <c r="Z255" s="154">
        <v>32000</v>
      </c>
      <c r="AA255" s="154">
        <v>3.71</v>
      </c>
      <c r="AB255" s="154">
        <v>96.222999999999999</v>
      </c>
      <c r="AD255" s="154">
        <v>114.236</v>
      </c>
      <c r="AG255" s="157" t="s">
        <v>15</v>
      </c>
      <c r="AH255" s="155">
        <v>5.0000000000000002E-5</v>
      </c>
      <c r="AI255" s="155">
        <f t="shared" si="3"/>
        <v>9.0719752909230629E-3</v>
      </c>
      <c r="AJ255" s="155">
        <v>5.0302161951930552E-4</v>
      </c>
    </row>
    <row r="256" spans="1:36" s="160" customFormat="1">
      <c r="A256" s="153" t="s">
        <v>1213</v>
      </c>
      <c r="B256" s="160">
        <v>13498</v>
      </c>
      <c r="C256" s="153" t="s">
        <v>1573</v>
      </c>
      <c r="D256" s="153" t="s">
        <v>1574</v>
      </c>
      <c r="E256" s="153" t="s">
        <v>309</v>
      </c>
      <c r="F256" s="153" t="s">
        <v>2094</v>
      </c>
      <c r="G256" s="153" t="s">
        <v>2095</v>
      </c>
      <c r="H256" s="153" t="s">
        <v>321</v>
      </c>
      <c r="I256" s="153" t="s">
        <v>754</v>
      </c>
      <c r="J256" s="153" t="s">
        <v>204</v>
      </c>
      <c r="K256" s="153" t="s">
        <v>204</v>
      </c>
      <c r="L256" s="153" t="s">
        <v>325</v>
      </c>
      <c r="M256" s="153" t="s">
        <v>340</v>
      </c>
      <c r="N256" s="153" t="s">
        <v>448</v>
      </c>
      <c r="O256" s="153" t="s">
        <v>339</v>
      </c>
      <c r="P256" s="153" t="s">
        <v>1215</v>
      </c>
      <c r="Q256" s="153" t="s">
        <v>413</v>
      </c>
      <c r="R256" s="153" t="s">
        <v>407</v>
      </c>
      <c r="S256" s="153" t="s">
        <v>1212</v>
      </c>
      <c r="T256" s="154">
        <v>5.04</v>
      </c>
      <c r="U256" s="153" t="s">
        <v>2096</v>
      </c>
      <c r="V256" s="155">
        <v>1.8460000000000001E-2</v>
      </c>
      <c r="W256" s="155">
        <v>2.5899999999999999E-2</v>
      </c>
      <c r="X256" s="153" t="s">
        <v>412</v>
      </c>
      <c r="Y256" s="153" t="s">
        <v>339</v>
      </c>
      <c r="Z256" s="154">
        <v>6950000</v>
      </c>
      <c r="AA256" s="154">
        <v>1</v>
      </c>
      <c r="AB256" s="154">
        <v>101.35</v>
      </c>
      <c r="AD256" s="154">
        <v>7043.8249999999998</v>
      </c>
      <c r="AG256" s="157" t="s">
        <v>15</v>
      </c>
      <c r="AH256" s="155">
        <v>1.9499999999999999E-3</v>
      </c>
      <c r="AI256" s="155">
        <f t="shared" si="3"/>
        <v>5.5288370197204853E-2</v>
      </c>
      <c r="AJ256" s="155">
        <v>8.8403629730578245E-3</v>
      </c>
    </row>
    <row r="257" spans="1:36" s="160" customFormat="1">
      <c r="A257" s="153" t="s">
        <v>1213</v>
      </c>
      <c r="B257" s="160">
        <v>13498</v>
      </c>
      <c r="C257" s="153" t="s">
        <v>1904</v>
      </c>
      <c r="D257" s="153" t="s">
        <v>1905</v>
      </c>
      <c r="E257" s="153" t="s">
        <v>309</v>
      </c>
      <c r="F257" s="153" t="s">
        <v>2097</v>
      </c>
      <c r="G257" s="153" t="s">
        <v>2098</v>
      </c>
      <c r="H257" s="153" t="s">
        <v>321</v>
      </c>
      <c r="I257" s="153" t="s">
        <v>754</v>
      </c>
      <c r="J257" s="153" t="s">
        <v>204</v>
      </c>
      <c r="K257" s="153" t="s">
        <v>204</v>
      </c>
      <c r="L257" s="153" t="s">
        <v>325</v>
      </c>
      <c r="M257" s="153" t="s">
        <v>340</v>
      </c>
      <c r="N257" s="153" t="s">
        <v>448</v>
      </c>
      <c r="O257" s="153" t="s">
        <v>339</v>
      </c>
      <c r="P257" s="153" t="s">
        <v>1215</v>
      </c>
      <c r="Q257" s="153" t="s">
        <v>413</v>
      </c>
      <c r="R257" s="153" t="s">
        <v>407</v>
      </c>
      <c r="S257" s="153" t="s">
        <v>1212</v>
      </c>
      <c r="T257" s="154">
        <v>5.05</v>
      </c>
      <c r="U257" s="153" t="s">
        <v>2099</v>
      </c>
      <c r="V257" s="155">
        <v>1.452E-2</v>
      </c>
      <c r="W257" s="155">
        <v>2.58E-2</v>
      </c>
      <c r="X257" s="153" t="s">
        <v>412</v>
      </c>
      <c r="Y257" s="153" t="s">
        <v>339</v>
      </c>
      <c r="Z257" s="154">
        <v>4400000</v>
      </c>
      <c r="AA257" s="154">
        <v>1</v>
      </c>
      <c r="AB257" s="154">
        <v>102.7</v>
      </c>
      <c r="AD257" s="154">
        <v>4518.8</v>
      </c>
      <c r="AG257" s="157" t="s">
        <v>15</v>
      </c>
      <c r="AH257" s="155">
        <v>1.5399999999999999E-3</v>
      </c>
      <c r="AI257" s="155">
        <f t="shared" si="3"/>
        <v>3.5468951492566798E-2</v>
      </c>
      <c r="AJ257" s="155">
        <v>5.6713266162424104E-3</v>
      </c>
    </row>
    <row r="258" spans="1:36" s="160" customFormat="1">
      <c r="A258" s="153" t="s">
        <v>1213</v>
      </c>
      <c r="B258" s="160">
        <v>13498</v>
      </c>
      <c r="C258" s="153" t="s">
        <v>1512</v>
      </c>
      <c r="D258" s="153" t="s">
        <v>1513</v>
      </c>
      <c r="E258" s="153" t="s">
        <v>309</v>
      </c>
      <c r="F258" s="153" t="s">
        <v>1898</v>
      </c>
      <c r="G258" s="153" t="s">
        <v>1899</v>
      </c>
      <c r="H258" s="153" t="s">
        <v>321</v>
      </c>
      <c r="I258" s="153" t="s">
        <v>754</v>
      </c>
      <c r="J258" s="153" t="s">
        <v>204</v>
      </c>
      <c r="K258" s="153" t="s">
        <v>204</v>
      </c>
      <c r="L258" s="153" t="s">
        <v>325</v>
      </c>
      <c r="M258" s="153" t="s">
        <v>340</v>
      </c>
      <c r="N258" s="153" t="s">
        <v>448</v>
      </c>
      <c r="O258" s="153" t="s">
        <v>339</v>
      </c>
      <c r="P258" s="153" t="s">
        <v>1215</v>
      </c>
      <c r="Q258" s="153" t="s">
        <v>413</v>
      </c>
      <c r="R258" s="153" t="s">
        <v>407</v>
      </c>
      <c r="S258" s="153" t="s">
        <v>1212</v>
      </c>
      <c r="T258" s="154">
        <v>3.43</v>
      </c>
      <c r="U258" s="153" t="s">
        <v>1900</v>
      </c>
      <c r="V258" s="155">
        <v>2.4250000000000001E-2</v>
      </c>
      <c r="W258" s="155">
        <v>2.4799999999999999E-2</v>
      </c>
      <c r="X258" s="153" t="s">
        <v>412</v>
      </c>
      <c r="Y258" s="153" t="s">
        <v>339</v>
      </c>
      <c r="Z258" s="154">
        <v>3297513.82</v>
      </c>
      <c r="AA258" s="154">
        <v>1</v>
      </c>
      <c r="AB258" s="154">
        <v>102.63</v>
      </c>
      <c r="AD258" s="154">
        <v>3384.2379999999998</v>
      </c>
      <c r="AG258" s="157" t="s">
        <v>15</v>
      </c>
      <c r="AH258" s="155">
        <v>1.2700000000000001E-3</v>
      </c>
      <c r="AI258" s="155">
        <f t="shared" si="3"/>
        <v>2.6563550823515372E-2</v>
      </c>
      <c r="AJ258" s="155">
        <v>4.247392901898509E-3</v>
      </c>
    </row>
    <row r="259" spans="1:36" s="160" customFormat="1">
      <c r="A259" s="153" t="s">
        <v>1213</v>
      </c>
      <c r="B259" s="160">
        <v>13498</v>
      </c>
      <c r="C259" s="153" t="s">
        <v>1986</v>
      </c>
      <c r="D259" s="153" t="s">
        <v>1987</v>
      </c>
      <c r="E259" s="153" t="s">
        <v>309</v>
      </c>
      <c r="F259" s="153" t="s">
        <v>2100</v>
      </c>
      <c r="G259" s="153" t="s">
        <v>2101</v>
      </c>
      <c r="H259" s="153" t="s">
        <v>321</v>
      </c>
      <c r="I259" s="153" t="s">
        <v>951</v>
      </c>
      <c r="J259" s="153" t="s">
        <v>204</v>
      </c>
      <c r="K259" s="153" t="s">
        <v>204</v>
      </c>
      <c r="L259" s="153" t="s">
        <v>325</v>
      </c>
      <c r="M259" s="153" t="s">
        <v>340</v>
      </c>
      <c r="N259" s="153" t="s">
        <v>484</v>
      </c>
      <c r="O259" s="153" t="s">
        <v>339</v>
      </c>
      <c r="P259" s="153" t="s">
        <v>1538</v>
      </c>
      <c r="Q259" s="153" t="s">
        <v>413</v>
      </c>
      <c r="R259" s="153" t="s">
        <v>407</v>
      </c>
      <c r="S259" s="153" t="s">
        <v>1212</v>
      </c>
      <c r="T259" s="154">
        <v>3.38</v>
      </c>
      <c r="U259" s="153" t="s">
        <v>2102</v>
      </c>
      <c r="V259" s="155">
        <v>4.2709999999999998E-2</v>
      </c>
      <c r="W259" s="155">
        <v>5.3800000000000001E-2</v>
      </c>
      <c r="X259" s="153" t="s">
        <v>412</v>
      </c>
      <c r="Y259" s="153" t="s">
        <v>339</v>
      </c>
      <c r="Z259" s="154">
        <v>3499000</v>
      </c>
      <c r="AA259" s="154">
        <v>1</v>
      </c>
      <c r="AB259" s="154">
        <v>94.21</v>
      </c>
      <c r="AD259" s="154">
        <v>3296.4079999999999</v>
      </c>
      <c r="AG259" s="157" t="s">
        <v>15</v>
      </c>
      <c r="AH259" s="155">
        <v>2.49E-3</v>
      </c>
      <c r="AI259" s="155">
        <f t="shared" ref="AI259:AI322" si="4">AD259/SUMIF(B:B,B259,AD:AD)</f>
        <v>2.5874155849276163E-2</v>
      </c>
      <c r="AJ259" s="155">
        <v>4.137161730635215E-3</v>
      </c>
    </row>
    <row r="260" spans="1:36" s="160" customFormat="1">
      <c r="A260" s="153" t="s">
        <v>1213</v>
      </c>
      <c r="B260" s="160">
        <v>13498</v>
      </c>
      <c r="C260" s="153" t="s">
        <v>1512</v>
      </c>
      <c r="D260" s="153" t="s">
        <v>1513</v>
      </c>
      <c r="E260" s="153" t="s">
        <v>309</v>
      </c>
      <c r="F260" s="153" t="s">
        <v>2103</v>
      </c>
      <c r="G260" s="153" t="s">
        <v>2104</v>
      </c>
      <c r="H260" s="153" t="s">
        <v>321</v>
      </c>
      <c r="I260" s="153" t="s">
        <v>754</v>
      </c>
      <c r="J260" s="153" t="s">
        <v>204</v>
      </c>
      <c r="K260" s="153" t="s">
        <v>204</v>
      </c>
      <c r="L260" s="153" t="s">
        <v>325</v>
      </c>
      <c r="M260" s="153" t="s">
        <v>340</v>
      </c>
      <c r="N260" s="153" t="s">
        <v>448</v>
      </c>
      <c r="O260" s="153" t="s">
        <v>339</v>
      </c>
      <c r="P260" s="153" t="s">
        <v>1215</v>
      </c>
      <c r="Q260" s="153" t="s">
        <v>413</v>
      </c>
      <c r="R260" s="153" t="s">
        <v>407</v>
      </c>
      <c r="S260" s="153" t="s">
        <v>1212</v>
      </c>
      <c r="T260" s="154">
        <v>4.38</v>
      </c>
      <c r="U260" s="153" t="s">
        <v>2105</v>
      </c>
      <c r="V260" s="155">
        <v>1.7659999999999999E-2</v>
      </c>
      <c r="W260" s="155">
        <v>2.5700000000000001E-2</v>
      </c>
      <c r="X260" s="153" t="s">
        <v>412</v>
      </c>
      <c r="Y260" s="153" t="s">
        <v>339</v>
      </c>
      <c r="Z260" s="154">
        <v>3147303</v>
      </c>
      <c r="AA260" s="154">
        <v>1</v>
      </c>
      <c r="AB260" s="154">
        <v>102.5</v>
      </c>
      <c r="AD260" s="154">
        <v>3225.9859999999999</v>
      </c>
      <c r="AG260" s="157" t="s">
        <v>15</v>
      </c>
      <c r="AH260" s="155">
        <v>1.17E-3</v>
      </c>
      <c r="AI260" s="155">
        <f t="shared" si="4"/>
        <v>2.5321399696755682E-2</v>
      </c>
      <c r="AJ260" s="155">
        <v>4.0487784954911449E-3</v>
      </c>
    </row>
    <row r="261" spans="1:36" s="160" customFormat="1">
      <c r="A261" s="153" t="s">
        <v>1213</v>
      </c>
      <c r="B261" s="160">
        <v>13498</v>
      </c>
      <c r="C261" s="153" t="s">
        <v>455</v>
      </c>
      <c r="D261" s="153" t="s">
        <v>2106</v>
      </c>
      <c r="E261" s="153" t="s">
        <v>309</v>
      </c>
      <c r="F261" s="153" t="s">
        <v>2107</v>
      </c>
      <c r="G261" s="153" t="s">
        <v>2108</v>
      </c>
      <c r="H261" s="153" t="s">
        <v>321</v>
      </c>
      <c r="I261" s="153" t="s">
        <v>754</v>
      </c>
      <c r="J261" s="153" t="s">
        <v>204</v>
      </c>
      <c r="K261" s="153" t="s">
        <v>204</v>
      </c>
      <c r="L261" s="153" t="s">
        <v>325</v>
      </c>
      <c r="M261" s="153" t="s">
        <v>340</v>
      </c>
      <c r="N261" s="153" t="s">
        <v>440</v>
      </c>
      <c r="O261" s="153" t="s">
        <v>339</v>
      </c>
      <c r="P261" s="153" t="s">
        <v>1923</v>
      </c>
      <c r="Q261" s="153" t="s">
        <v>415</v>
      </c>
      <c r="R261" s="153" t="s">
        <v>407</v>
      </c>
      <c r="S261" s="153" t="s">
        <v>1212</v>
      </c>
      <c r="T261" s="154">
        <v>10.4</v>
      </c>
      <c r="U261" s="153" t="s">
        <v>2109</v>
      </c>
      <c r="V261" s="155">
        <v>3.0640000000000001E-2</v>
      </c>
      <c r="W261" s="155">
        <v>3.4799999999999998E-2</v>
      </c>
      <c r="X261" s="153" t="s">
        <v>412</v>
      </c>
      <c r="Y261" s="153" t="s">
        <v>339</v>
      </c>
      <c r="Z261" s="154">
        <v>2925100</v>
      </c>
      <c r="AA261" s="154">
        <v>1</v>
      </c>
      <c r="AB261" s="154">
        <v>102.97</v>
      </c>
      <c r="AD261" s="154">
        <v>3011.9749999999999</v>
      </c>
      <c r="AG261" s="157" t="s">
        <v>15</v>
      </c>
      <c r="AH261" s="155">
        <v>5.9000000000000003E-4</v>
      </c>
      <c r="AI261" s="155">
        <f t="shared" si="4"/>
        <v>2.3641585193375204E-2</v>
      </c>
      <c r="AJ261" s="155">
        <v>3.7801836737533711E-3</v>
      </c>
    </row>
    <row r="262" spans="1:36" s="160" customFormat="1">
      <c r="A262" s="153" t="s">
        <v>1213</v>
      </c>
      <c r="B262" s="160">
        <v>13498</v>
      </c>
      <c r="C262" s="153" t="s">
        <v>2110</v>
      </c>
      <c r="D262" s="153" t="s">
        <v>2111</v>
      </c>
      <c r="E262" s="153" t="s">
        <v>309</v>
      </c>
      <c r="F262" s="153" t="s">
        <v>2112</v>
      </c>
      <c r="G262" s="153" t="s">
        <v>2113</v>
      </c>
      <c r="H262" s="153" t="s">
        <v>321</v>
      </c>
      <c r="I262" s="153" t="s">
        <v>754</v>
      </c>
      <c r="J262" s="153" t="s">
        <v>204</v>
      </c>
      <c r="K262" s="153" t="s">
        <v>224</v>
      </c>
      <c r="L262" s="153" t="s">
        <v>325</v>
      </c>
      <c r="M262" s="153" t="s">
        <v>340</v>
      </c>
      <c r="N262" s="153" t="s">
        <v>465</v>
      </c>
      <c r="O262" s="153" t="s">
        <v>339</v>
      </c>
      <c r="P262" s="153" t="s">
        <v>1566</v>
      </c>
      <c r="Q262" s="153" t="s">
        <v>413</v>
      </c>
      <c r="R262" s="153" t="s">
        <v>407</v>
      </c>
      <c r="S262" s="153" t="s">
        <v>1212</v>
      </c>
      <c r="T262" s="154">
        <v>4.58</v>
      </c>
      <c r="U262" s="153" t="s">
        <v>2114</v>
      </c>
      <c r="V262" s="155">
        <v>3.049E-2</v>
      </c>
      <c r="W262" s="155">
        <v>3.3500000000000002E-2</v>
      </c>
      <c r="X262" s="153" t="s">
        <v>412</v>
      </c>
      <c r="Y262" s="153" t="s">
        <v>339</v>
      </c>
      <c r="Z262" s="154">
        <v>2800000</v>
      </c>
      <c r="AA262" s="154">
        <v>1</v>
      </c>
      <c r="AB262" s="154">
        <v>103.6</v>
      </c>
      <c r="AD262" s="154">
        <v>2900.8</v>
      </c>
      <c r="AG262" s="157" t="s">
        <v>15</v>
      </c>
      <c r="AH262" s="155">
        <v>1.644E-2</v>
      </c>
      <c r="AI262" s="155">
        <f t="shared" si="4"/>
        <v>2.2768950714711376E-2</v>
      </c>
      <c r="AJ262" s="155">
        <v>3.6406533257493105E-3</v>
      </c>
    </row>
    <row r="263" spans="1:36" s="160" customFormat="1">
      <c r="A263" s="153" t="s">
        <v>1213</v>
      </c>
      <c r="B263" s="160">
        <v>13498</v>
      </c>
      <c r="C263" s="153" t="s">
        <v>2110</v>
      </c>
      <c r="D263" s="153" t="s">
        <v>2111</v>
      </c>
      <c r="E263" s="153" t="s">
        <v>309</v>
      </c>
      <c r="F263" s="153" t="s">
        <v>2115</v>
      </c>
      <c r="G263" s="153" t="s">
        <v>2116</v>
      </c>
      <c r="H263" s="153" t="s">
        <v>321</v>
      </c>
      <c r="I263" s="153" t="s">
        <v>754</v>
      </c>
      <c r="J263" s="153" t="s">
        <v>204</v>
      </c>
      <c r="K263" s="153" t="s">
        <v>204</v>
      </c>
      <c r="L263" s="153" t="s">
        <v>325</v>
      </c>
      <c r="M263" s="153" t="s">
        <v>340</v>
      </c>
      <c r="N263" s="153" t="s">
        <v>465</v>
      </c>
      <c r="O263" s="153" t="s">
        <v>339</v>
      </c>
      <c r="P263" s="153" t="s">
        <v>1538</v>
      </c>
      <c r="Q263" s="153" t="s">
        <v>413</v>
      </c>
      <c r="R263" s="153" t="s">
        <v>407</v>
      </c>
      <c r="S263" s="153" t="s">
        <v>1212</v>
      </c>
      <c r="T263" s="154">
        <v>2.95</v>
      </c>
      <c r="U263" s="153" t="s">
        <v>1951</v>
      </c>
      <c r="V263" s="155">
        <v>2.809E-2</v>
      </c>
      <c r="W263" s="155">
        <v>2.63E-2</v>
      </c>
      <c r="X263" s="153" t="s">
        <v>412</v>
      </c>
      <c r="Y263" s="153" t="s">
        <v>339</v>
      </c>
      <c r="Z263" s="154">
        <v>2376000</v>
      </c>
      <c r="AA263" s="154">
        <v>1</v>
      </c>
      <c r="AB263" s="154">
        <v>105.76</v>
      </c>
      <c r="AC263" s="154">
        <v>33.756</v>
      </c>
      <c r="AD263" s="154">
        <v>2546.6129999999998</v>
      </c>
      <c r="AG263" s="157" t="s">
        <v>15</v>
      </c>
      <c r="AH263" s="155">
        <v>3.5000000000000001E-3</v>
      </c>
      <c r="AI263" s="155">
        <f t="shared" si="4"/>
        <v>1.9988867169899088E-2</v>
      </c>
      <c r="AJ263" s="155">
        <v>3.1961304081103239E-3</v>
      </c>
    </row>
    <row r="264" spans="1:36" s="160" customFormat="1">
      <c r="A264" s="153" t="s">
        <v>1213</v>
      </c>
      <c r="B264" s="160">
        <v>13498</v>
      </c>
      <c r="C264" s="153" t="s">
        <v>1861</v>
      </c>
      <c r="D264" s="153" t="s">
        <v>1862</v>
      </c>
      <c r="E264" s="153" t="s">
        <v>309</v>
      </c>
      <c r="F264" s="153" t="s">
        <v>2117</v>
      </c>
      <c r="G264" s="153" t="s">
        <v>2118</v>
      </c>
      <c r="H264" s="153" t="s">
        <v>321</v>
      </c>
      <c r="I264" s="153" t="s">
        <v>754</v>
      </c>
      <c r="J264" s="153" t="s">
        <v>204</v>
      </c>
      <c r="K264" s="153" t="s">
        <v>204</v>
      </c>
      <c r="L264" s="153" t="s">
        <v>325</v>
      </c>
      <c r="M264" s="153" t="s">
        <v>340</v>
      </c>
      <c r="N264" s="153" t="s">
        <v>464</v>
      </c>
      <c r="O264" s="153" t="s">
        <v>339</v>
      </c>
      <c r="P264" s="153" t="s">
        <v>1538</v>
      </c>
      <c r="Q264" s="153" t="s">
        <v>413</v>
      </c>
      <c r="R264" s="153" t="s">
        <v>407</v>
      </c>
      <c r="S264" s="153" t="s">
        <v>1212</v>
      </c>
      <c r="T264" s="154">
        <v>3.89</v>
      </c>
      <c r="U264" s="153" t="s">
        <v>2119</v>
      </c>
      <c r="V264" s="155">
        <v>2.7089999999999999E-2</v>
      </c>
      <c r="W264" s="155">
        <v>2.9600000000000001E-2</v>
      </c>
      <c r="X264" s="153" t="s">
        <v>412</v>
      </c>
      <c r="Y264" s="153" t="s">
        <v>339</v>
      </c>
      <c r="Z264" s="154">
        <v>2047415.58</v>
      </c>
      <c r="AA264" s="154">
        <v>1</v>
      </c>
      <c r="AB264" s="154">
        <v>114.42</v>
      </c>
      <c r="AD264" s="154">
        <v>2342.6529999999998</v>
      </c>
      <c r="AG264" s="157" t="s">
        <v>15</v>
      </c>
      <c r="AH264" s="155">
        <v>1.74E-3</v>
      </c>
      <c r="AI264" s="155">
        <f t="shared" si="4"/>
        <v>1.8387944945763495E-2</v>
      </c>
      <c r="AJ264" s="155">
        <v>2.9401501087722693E-3</v>
      </c>
    </row>
    <row r="265" spans="1:36" s="160" customFormat="1">
      <c r="A265" s="153" t="s">
        <v>1213</v>
      </c>
      <c r="B265" s="160">
        <v>13498</v>
      </c>
      <c r="C265" s="153" t="s">
        <v>1861</v>
      </c>
      <c r="D265" s="153" t="s">
        <v>1862</v>
      </c>
      <c r="E265" s="153" t="s">
        <v>309</v>
      </c>
      <c r="F265" s="153" t="s">
        <v>2120</v>
      </c>
      <c r="G265" s="153" t="s">
        <v>2121</v>
      </c>
      <c r="H265" s="153" t="s">
        <v>321</v>
      </c>
      <c r="I265" s="153" t="s">
        <v>754</v>
      </c>
      <c r="J265" s="153" t="s">
        <v>204</v>
      </c>
      <c r="K265" s="153" t="s">
        <v>204</v>
      </c>
      <c r="L265" s="153" t="s">
        <v>325</v>
      </c>
      <c r="M265" s="153" t="s">
        <v>340</v>
      </c>
      <c r="N265" s="153" t="s">
        <v>464</v>
      </c>
      <c r="O265" s="153" t="s">
        <v>339</v>
      </c>
      <c r="P265" s="153" t="s">
        <v>1538</v>
      </c>
      <c r="Q265" s="153" t="s">
        <v>413</v>
      </c>
      <c r="R265" s="153" t="s">
        <v>407</v>
      </c>
      <c r="S265" s="153" t="s">
        <v>1212</v>
      </c>
      <c r="T265" s="154">
        <v>6.07</v>
      </c>
      <c r="U265" s="153" t="s">
        <v>2122</v>
      </c>
      <c r="V265" s="155">
        <v>3.1519999999999999E-2</v>
      </c>
      <c r="W265" s="155">
        <v>3.4599999999999999E-2</v>
      </c>
      <c r="X265" s="153" t="s">
        <v>412</v>
      </c>
      <c r="Y265" s="153" t="s">
        <v>339</v>
      </c>
      <c r="Z265" s="154">
        <v>2078787.88</v>
      </c>
      <c r="AA265" s="154">
        <v>1</v>
      </c>
      <c r="AB265" s="154">
        <v>107.95</v>
      </c>
      <c r="AD265" s="154">
        <v>2244.0520000000001</v>
      </c>
      <c r="AG265" s="157" t="s">
        <v>15</v>
      </c>
      <c r="AH265" s="155">
        <v>1.9499999999999999E-3</v>
      </c>
      <c r="AI265" s="155">
        <f t="shared" si="4"/>
        <v>1.7614006270425225E-2</v>
      </c>
      <c r="AJ265" s="155">
        <v>2.8164007780455019E-3</v>
      </c>
    </row>
    <row r="266" spans="1:36" s="160" customFormat="1">
      <c r="A266" s="153" t="s">
        <v>1213</v>
      </c>
      <c r="B266" s="160">
        <v>13498</v>
      </c>
      <c r="C266" s="153" t="s">
        <v>2123</v>
      </c>
      <c r="D266" s="153" t="s">
        <v>2124</v>
      </c>
      <c r="E266" s="153" t="s">
        <v>309</v>
      </c>
      <c r="F266" s="153" t="s">
        <v>2125</v>
      </c>
      <c r="G266" s="153" t="s">
        <v>2126</v>
      </c>
      <c r="H266" s="153" t="s">
        <v>321</v>
      </c>
      <c r="I266" s="153" t="s">
        <v>951</v>
      </c>
      <c r="J266" s="153" t="s">
        <v>204</v>
      </c>
      <c r="K266" s="153" t="s">
        <v>204</v>
      </c>
      <c r="L266" s="153" t="s">
        <v>325</v>
      </c>
      <c r="M266" s="153" t="s">
        <v>340</v>
      </c>
      <c r="N266" s="153" t="s">
        <v>445</v>
      </c>
      <c r="O266" s="153" t="s">
        <v>339</v>
      </c>
      <c r="P266" s="153" t="s">
        <v>1566</v>
      </c>
      <c r="Q266" s="153" t="s">
        <v>413</v>
      </c>
      <c r="R266" s="153" t="s">
        <v>407</v>
      </c>
      <c r="S266" s="153" t="s">
        <v>1212</v>
      </c>
      <c r="T266" s="154">
        <v>7.65</v>
      </c>
      <c r="U266" s="153" t="s">
        <v>2127</v>
      </c>
      <c r="V266" s="155">
        <v>4.8890000000000003E-2</v>
      </c>
      <c r="W266" s="155">
        <v>6.0999999999999999E-2</v>
      </c>
      <c r="X266" s="153" t="s">
        <v>412</v>
      </c>
      <c r="Y266" s="153" t="s">
        <v>339</v>
      </c>
      <c r="Z266" s="154">
        <v>2312000</v>
      </c>
      <c r="AA266" s="154">
        <v>1</v>
      </c>
      <c r="AB266" s="154">
        <v>95.72</v>
      </c>
      <c r="AD266" s="154">
        <v>2213.0459999999998</v>
      </c>
      <c r="AG266" s="157" t="s">
        <v>15</v>
      </c>
      <c r="AH266" s="155">
        <v>1.82E-3</v>
      </c>
      <c r="AI266" s="155">
        <f t="shared" si="4"/>
        <v>1.7370634067632774E-2</v>
      </c>
      <c r="AJ266" s="155">
        <v>2.7774866519360893E-3</v>
      </c>
    </row>
    <row r="267" spans="1:36" s="160" customFormat="1">
      <c r="A267" s="153" t="s">
        <v>1213</v>
      </c>
      <c r="B267" s="160">
        <v>13498</v>
      </c>
      <c r="C267" s="153" t="s">
        <v>2128</v>
      </c>
      <c r="D267" s="153" t="s">
        <v>2129</v>
      </c>
      <c r="E267" s="153" t="s">
        <v>309</v>
      </c>
      <c r="F267" s="153" t="s">
        <v>2130</v>
      </c>
      <c r="G267" s="153" t="s">
        <v>2131</v>
      </c>
      <c r="H267" s="153" t="s">
        <v>321</v>
      </c>
      <c r="I267" s="153" t="s">
        <v>754</v>
      </c>
      <c r="J267" s="153" t="s">
        <v>204</v>
      </c>
      <c r="K267" s="153" t="s">
        <v>204</v>
      </c>
      <c r="L267" s="153" t="s">
        <v>325</v>
      </c>
      <c r="M267" s="153" t="s">
        <v>340</v>
      </c>
      <c r="N267" s="153" t="s">
        <v>445</v>
      </c>
      <c r="O267" s="153" t="s">
        <v>339</v>
      </c>
      <c r="P267" s="153" t="s">
        <v>1538</v>
      </c>
      <c r="Q267" s="153" t="s">
        <v>413</v>
      </c>
      <c r="R267" s="153" t="s">
        <v>407</v>
      </c>
      <c r="S267" s="153" t="s">
        <v>1212</v>
      </c>
      <c r="T267" s="154">
        <v>4.54</v>
      </c>
      <c r="U267" s="153" t="s">
        <v>2132</v>
      </c>
      <c r="V267" s="155">
        <v>3.363E-2</v>
      </c>
      <c r="W267" s="155">
        <v>2.7E-2</v>
      </c>
      <c r="X267" s="153" t="s">
        <v>412</v>
      </c>
      <c r="Y267" s="153" t="s">
        <v>339</v>
      </c>
      <c r="Z267" s="154">
        <v>2017528.82</v>
      </c>
      <c r="AA267" s="154">
        <v>1</v>
      </c>
      <c r="AB267" s="154">
        <v>104.2</v>
      </c>
      <c r="AD267" s="154">
        <v>2102.2649999999999</v>
      </c>
      <c r="AG267" s="157" t="s">
        <v>15</v>
      </c>
      <c r="AH267" s="155">
        <v>2.3700000000000001E-3</v>
      </c>
      <c r="AI267" s="155">
        <f t="shared" si="4"/>
        <v>1.6501092172594701E-2</v>
      </c>
      <c r="AJ267" s="155">
        <v>2.6384507942141385E-3</v>
      </c>
    </row>
    <row r="268" spans="1:36" s="160" customFormat="1">
      <c r="A268" s="153" t="s">
        <v>1213</v>
      </c>
      <c r="B268" s="160">
        <v>13498</v>
      </c>
      <c r="C268" s="153" t="s">
        <v>1691</v>
      </c>
      <c r="D268" s="153" t="s">
        <v>1692</v>
      </c>
      <c r="E268" s="153" t="s">
        <v>309</v>
      </c>
      <c r="F268" s="153" t="s">
        <v>2133</v>
      </c>
      <c r="G268" s="153" t="s">
        <v>2134</v>
      </c>
      <c r="H268" s="153" t="s">
        <v>321</v>
      </c>
      <c r="I268" s="153" t="s">
        <v>754</v>
      </c>
      <c r="J268" s="153" t="s">
        <v>204</v>
      </c>
      <c r="K268" s="153" t="s">
        <v>204</v>
      </c>
      <c r="L268" s="153" t="s">
        <v>325</v>
      </c>
      <c r="M268" s="153" t="s">
        <v>340</v>
      </c>
      <c r="N268" s="153" t="s">
        <v>464</v>
      </c>
      <c r="O268" s="153" t="s">
        <v>339</v>
      </c>
      <c r="P268" s="153" t="s">
        <v>1538</v>
      </c>
      <c r="Q268" s="153" t="s">
        <v>413</v>
      </c>
      <c r="R268" s="153" t="s">
        <v>407</v>
      </c>
      <c r="S268" s="153" t="s">
        <v>1212</v>
      </c>
      <c r="T268" s="154">
        <v>2.14</v>
      </c>
      <c r="U268" s="153" t="s">
        <v>2135</v>
      </c>
      <c r="V268" s="155">
        <v>3.007E-2</v>
      </c>
      <c r="W268" s="155">
        <v>2.63E-2</v>
      </c>
      <c r="X268" s="153" t="s">
        <v>412</v>
      </c>
      <c r="Y268" s="153" t="s">
        <v>339</v>
      </c>
      <c r="Z268" s="154">
        <v>1721077.42</v>
      </c>
      <c r="AA268" s="154">
        <v>1</v>
      </c>
      <c r="AB268" s="154">
        <v>119.57</v>
      </c>
      <c r="AD268" s="154">
        <v>2057.8919999999998</v>
      </c>
      <c r="AG268" s="157" t="s">
        <v>15</v>
      </c>
      <c r="AH268" s="155">
        <v>1.7899999999999999E-3</v>
      </c>
      <c r="AI268" s="155">
        <f t="shared" si="4"/>
        <v>1.6152799753240077E-2</v>
      </c>
      <c r="AJ268" s="155">
        <v>2.5827603950058257E-3</v>
      </c>
    </row>
    <row r="269" spans="1:36" s="160" customFormat="1">
      <c r="A269" s="153" t="s">
        <v>1213</v>
      </c>
      <c r="B269" s="160">
        <v>13498</v>
      </c>
      <c r="C269" s="153" t="s">
        <v>2136</v>
      </c>
      <c r="D269" s="153" t="s">
        <v>2137</v>
      </c>
      <c r="E269" s="153" t="s">
        <v>309</v>
      </c>
      <c r="F269" s="153" t="s">
        <v>2138</v>
      </c>
      <c r="G269" s="153" t="s">
        <v>2139</v>
      </c>
      <c r="H269" s="153" t="s">
        <v>321</v>
      </c>
      <c r="I269" s="153" t="s">
        <v>951</v>
      </c>
      <c r="J269" s="153" t="s">
        <v>204</v>
      </c>
      <c r="K269" s="153" t="s">
        <v>204</v>
      </c>
      <c r="L269" s="153" t="s">
        <v>325</v>
      </c>
      <c r="M269" s="153" t="s">
        <v>340</v>
      </c>
      <c r="N269" s="153" t="s">
        <v>440</v>
      </c>
      <c r="O269" s="153" t="s">
        <v>339</v>
      </c>
      <c r="P269" s="153" t="s">
        <v>1566</v>
      </c>
      <c r="Q269" s="153" t="s">
        <v>413</v>
      </c>
      <c r="R269" s="153" t="s">
        <v>407</v>
      </c>
      <c r="S269" s="153" t="s">
        <v>1212</v>
      </c>
      <c r="T269" s="154">
        <v>6.57</v>
      </c>
      <c r="U269" s="153" t="s">
        <v>2140</v>
      </c>
      <c r="V269" s="155">
        <v>4.9689999999999998E-2</v>
      </c>
      <c r="W269" s="155">
        <v>5.91E-2</v>
      </c>
      <c r="X269" s="153" t="s">
        <v>412</v>
      </c>
      <c r="Y269" s="153" t="s">
        <v>339</v>
      </c>
      <c r="Z269" s="154">
        <v>2000000</v>
      </c>
      <c r="AA269" s="154">
        <v>1</v>
      </c>
      <c r="AB269" s="154">
        <v>102.78</v>
      </c>
      <c r="AD269" s="154">
        <v>2055.6</v>
      </c>
      <c r="AG269" s="157" t="s">
        <v>15</v>
      </c>
      <c r="AH269" s="155">
        <v>1.0019999999999999E-2</v>
      </c>
      <c r="AI269" s="155">
        <f t="shared" si="4"/>
        <v>1.6134809393670953E-2</v>
      </c>
      <c r="AJ269" s="155">
        <v>2.57988381701954E-3</v>
      </c>
    </row>
    <row r="270" spans="1:36" s="160" customFormat="1">
      <c r="A270" s="153" t="s">
        <v>1213</v>
      </c>
      <c r="B270" s="160">
        <v>13498</v>
      </c>
      <c r="C270" s="153" t="s">
        <v>2141</v>
      </c>
      <c r="D270" s="153" t="s">
        <v>2142</v>
      </c>
      <c r="E270" s="153" t="s">
        <v>309</v>
      </c>
      <c r="F270" s="153" t="s">
        <v>2143</v>
      </c>
      <c r="G270" s="153" t="s">
        <v>2144</v>
      </c>
      <c r="H270" s="153" t="s">
        <v>321</v>
      </c>
      <c r="I270" s="153" t="s">
        <v>951</v>
      </c>
      <c r="J270" s="153" t="s">
        <v>204</v>
      </c>
      <c r="K270" s="153" t="s">
        <v>204</v>
      </c>
      <c r="L270" s="153" t="s">
        <v>325</v>
      </c>
      <c r="M270" s="153" t="s">
        <v>340</v>
      </c>
      <c r="N270" s="153" t="s">
        <v>475</v>
      </c>
      <c r="O270" s="153" t="s">
        <v>339</v>
      </c>
      <c r="P270" s="153" t="s">
        <v>1566</v>
      </c>
      <c r="Q270" s="153" t="s">
        <v>413</v>
      </c>
      <c r="R270" s="153" t="s">
        <v>407</v>
      </c>
      <c r="S270" s="153" t="s">
        <v>1212</v>
      </c>
      <c r="T270" s="154">
        <v>2.79</v>
      </c>
      <c r="U270" s="153" t="s">
        <v>1913</v>
      </c>
      <c r="V270" s="155">
        <v>5.2449999999999997E-2</v>
      </c>
      <c r="W270" s="155">
        <v>5.8400000000000001E-2</v>
      </c>
      <c r="X270" s="153" t="s">
        <v>412</v>
      </c>
      <c r="Y270" s="153" t="s">
        <v>339</v>
      </c>
      <c r="Z270" s="154">
        <v>2216000</v>
      </c>
      <c r="AA270" s="154">
        <v>1</v>
      </c>
      <c r="AB270" s="154">
        <v>90.77</v>
      </c>
      <c r="AD270" s="154">
        <v>2011.463</v>
      </c>
      <c r="AG270" s="157" t="s">
        <v>15</v>
      </c>
      <c r="AH270" s="155">
        <v>3.8600000000000001E-3</v>
      </c>
      <c r="AI270" s="155">
        <f t="shared" si="4"/>
        <v>1.5788369384812977E-2</v>
      </c>
      <c r="AJ270" s="155">
        <v>2.5244896099599025E-3</v>
      </c>
    </row>
    <row r="271" spans="1:36" s="160" customFormat="1">
      <c r="A271" s="153" t="s">
        <v>1213</v>
      </c>
      <c r="B271" s="160">
        <v>13498</v>
      </c>
      <c r="C271" s="153" t="s">
        <v>2145</v>
      </c>
      <c r="D271" s="153" t="s">
        <v>2146</v>
      </c>
      <c r="E271" s="153" t="s">
        <v>309</v>
      </c>
      <c r="F271" s="153" t="s">
        <v>2147</v>
      </c>
      <c r="G271" s="153" t="s">
        <v>2148</v>
      </c>
      <c r="H271" s="153" t="s">
        <v>321</v>
      </c>
      <c r="I271" s="153" t="s">
        <v>951</v>
      </c>
      <c r="J271" s="153" t="s">
        <v>204</v>
      </c>
      <c r="K271" s="153" t="s">
        <v>204</v>
      </c>
      <c r="L271" s="153" t="s">
        <v>325</v>
      </c>
      <c r="M271" s="153" t="s">
        <v>340</v>
      </c>
      <c r="N271" s="153" t="s">
        <v>445</v>
      </c>
      <c r="O271" s="153" t="s">
        <v>339</v>
      </c>
      <c r="P271" s="153" t="s">
        <v>1566</v>
      </c>
      <c r="Q271" s="153" t="s">
        <v>413</v>
      </c>
      <c r="R271" s="153" t="s">
        <v>407</v>
      </c>
      <c r="S271" s="153" t="s">
        <v>1212</v>
      </c>
      <c r="T271" s="154">
        <v>3.15</v>
      </c>
      <c r="U271" s="153" t="s">
        <v>2149</v>
      </c>
      <c r="V271" s="155">
        <v>0.03</v>
      </c>
      <c r="W271" s="155">
        <v>5.4800000000000001E-2</v>
      </c>
      <c r="X271" s="153" t="s">
        <v>412</v>
      </c>
      <c r="Y271" s="153" t="s">
        <v>339</v>
      </c>
      <c r="Z271" s="154">
        <v>1973000</v>
      </c>
      <c r="AA271" s="154">
        <v>1</v>
      </c>
      <c r="AB271" s="154">
        <v>100.38</v>
      </c>
      <c r="AD271" s="154">
        <v>1980.4970000000001</v>
      </c>
      <c r="AG271" s="157" t="s">
        <v>15</v>
      </c>
      <c r="AH271" s="155">
        <v>2.1900000000000001E-3</v>
      </c>
      <c r="AI271" s="155">
        <f t="shared" si="4"/>
        <v>1.5545311149901314E-2</v>
      </c>
      <c r="AJ271" s="155">
        <v>2.4856256859095878E-3</v>
      </c>
    </row>
    <row r="272" spans="1:36" s="160" customFormat="1">
      <c r="A272" s="153" t="s">
        <v>1213</v>
      </c>
      <c r="B272" s="160">
        <v>13498</v>
      </c>
      <c r="C272" s="153" t="s">
        <v>2018</v>
      </c>
      <c r="D272" s="153" t="s">
        <v>2019</v>
      </c>
      <c r="E272" s="153" t="s">
        <v>309</v>
      </c>
      <c r="F272" s="153" t="s">
        <v>2020</v>
      </c>
      <c r="G272" s="153" t="s">
        <v>2021</v>
      </c>
      <c r="H272" s="153" t="s">
        <v>321</v>
      </c>
      <c r="I272" s="153" t="s">
        <v>951</v>
      </c>
      <c r="J272" s="153" t="s">
        <v>204</v>
      </c>
      <c r="K272" s="153" t="s">
        <v>204</v>
      </c>
      <c r="L272" s="153" t="s">
        <v>325</v>
      </c>
      <c r="M272" s="153" t="s">
        <v>340</v>
      </c>
      <c r="N272" s="153" t="s">
        <v>451</v>
      </c>
      <c r="O272" s="153" t="s">
        <v>339</v>
      </c>
      <c r="P272" s="153" t="s">
        <v>1538</v>
      </c>
      <c r="Q272" s="153" t="s">
        <v>413</v>
      </c>
      <c r="R272" s="153" t="s">
        <v>407</v>
      </c>
      <c r="S272" s="153" t="s">
        <v>1212</v>
      </c>
      <c r="T272" s="154">
        <v>2.87</v>
      </c>
      <c r="U272" s="153" t="s">
        <v>2022</v>
      </c>
      <c r="V272" s="155">
        <v>4.829E-2</v>
      </c>
      <c r="W272" s="155">
        <v>5.4899999999999997E-2</v>
      </c>
      <c r="X272" s="153" t="s">
        <v>412</v>
      </c>
      <c r="Y272" s="153" t="s">
        <v>339</v>
      </c>
      <c r="Z272" s="154">
        <v>2017105.26</v>
      </c>
      <c r="AA272" s="154">
        <v>1</v>
      </c>
      <c r="AB272" s="154">
        <v>89.72</v>
      </c>
      <c r="AD272" s="154">
        <v>1809.7470000000001</v>
      </c>
      <c r="AG272" s="157" t="s">
        <v>15</v>
      </c>
      <c r="AH272" s="155">
        <v>6.4400000000000004E-3</v>
      </c>
      <c r="AI272" s="155">
        <f t="shared" si="4"/>
        <v>1.4205060758789564E-2</v>
      </c>
      <c r="AJ272" s="155">
        <v>2.2713256461372165E-3</v>
      </c>
    </row>
    <row r="273" spans="1:36" s="160" customFormat="1">
      <c r="A273" s="153" t="s">
        <v>1213</v>
      </c>
      <c r="B273" s="160">
        <v>13498</v>
      </c>
      <c r="C273" s="153" t="s">
        <v>2150</v>
      </c>
      <c r="D273" s="153" t="s">
        <v>2151</v>
      </c>
      <c r="E273" s="153" t="s">
        <v>309</v>
      </c>
      <c r="F273" s="153" t="s">
        <v>2152</v>
      </c>
      <c r="G273" s="153" t="s">
        <v>2153</v>
      </c>
      <c r="H273" s="153" t="s">
        <v>321</v>
      </c>
      <c r="I273" s="153" t="s">
        <v>754</v>
      </c>
      <c r="J273" s="153" t="s">
        <v>204</v>
      </c>
      <c r="K273" s="153" t="s">
        <v>204</v>
      </c>
      <c r="L273" s="153" t="s">
        <v>325</v>
      </c>
      <c r="M273" s="153" t="s">
        <v>340</v>
      </c>
      <c r="N273" s="153" t="s">
        <v>477</v>
      </c>
      <c r="O273" s="153" t="s">
        <v>339</v>
      </c>
      <c r="P273" s="153" t="s">
        <v>1538</v>
      </c>
      <c r="Q273" s="153" t="s">
        <v>413</v>
      </c>
      <c r="R273" s="153" t="s">
        <v>407</v>
      </c>
      <c r="S273" s="153" t="s">
        <v>1212</v>
      </c>
      <c r="T273" s="154">
        <v>3.5</v>
      </c>
      <c r="U273" s="153" t="s">
        <v>2154</v>
      </c>
      <c r="V273" s="155">
        <v>2.3099999999999999E-2</v>
      </c>
      <c r="W273" s="155">
        <v>3.04E-2</v>
      </c>
      <c r="X273" s="153" t="s">
        <v>412</v>
      </c>
      <c r="Y273" s="153" t="s">
        <v>339</v>
      </c>
      <c r="Z273" s="154">
        <v>1651389.47</v>
      </c>
      <c r="AA273" s="154">
        <v>1</v>
      </c>
      <c r="AB273" s="154">
        <v>103.8</v>
      </c>
      <c r="AD273" s="154">
        <v>1714.1420000000001</v>
      </c>
      <c r="AG273" s="157" t="s">
        <v>15</v>
      </c>
      <c r="AH273" s="155">
        <v>2.5699999999999998E-3</v>
      </c>
      <c r="AI273" s="155">
        <f t="shared" si="4"/>
        <v>1.3454638277722279E-2</v>
      </c>
      <c r="AJ273" s="155">
        <v>2.1513364496368501E-3</v>
      </c>
    </row>
    <row r="274" spans="1:36" s="160" customFormat="1">
      <c r="A274" s="153" t="s">
        <v>1213</v>
      </c>
      <c r="B274" s="160">
        <v>13498</v>
      </c>
      <c r="C274" s="153" t="s">
        <v>2155</v>
      </c>
      <c r="D274" s="153" t="s">
        <v>2156</v>
      </c>
      <c r="E274" s="153" t="s">
        <v>309</v>
      </c>
      <c r="F274" s="153" t="s">
        <v>2157</v>
      </c>
      <c r="G274" s="153" t="s">
        <v>2158</v>
      </c>
      <c r="H274" s="153" t="s">
        <v>321</v>
      </c>
      <c r="I274" s="153" t="s">
        <v>951</v>
      </c>
      <c r="J274" s="153" t="s">
        <v>204</v>
      </c>
      <c r="K274" s="153" t="s">
        <v>204</v>
      </c>
      <c r="L274" s="153" t="s">
        <v>325</v>
      </c>
      <c r="M274" s="153" t="s">
        <v>340</v>
      </c>
      <c r="N274" s="153" t="s">
        <v>451</v>
      </c>
      <c r="O274" s="153" t="s">
        <v>339</v>
      </c>
      <c r="P274" s="153" t="s">
        <v>1521</v>
      </c>
      <c r="Q274" s="153" t="s">
        <v>413</v>
      </c>
      <c r="R274" s="153" t="s">
        <v>407</v>
      </c>
      <c r="S274" s="153" t="s">
        <v>1212</v>
      </c>
      <c r="T274" s="154">
        <v>4.79</v>
      </c>
      <c r="U274" s="153" t="s">
        <v>2159</v>
      </c>
      <c r="V274" s="155">
        <v>5.1360000000000003E-2</v>
      </c>
      <c r="W274" s="155">
        <v>0.06</v>
      </c>
      <c r="X274" s="153" t="s">
        <v>412</v>
      </c>
      <c r="Y274" s="153" t="s">
        <v>339</v>
      </c>
      <c r="Z274" s="154">
        <v>1999000</v>
      </c>
      <c r="AA274" s="154">
        <v>1</v>
      </c>
      <c r="AB274" s="154">
        <v>83.35</v>
      </c>
      <c r="AD274" s="154">
        <v>1666.1669999999999</v>
      </c>
      <c r="AG274" s="157" t="s">
        <v>15</v>
      </c>
      <c r="AH274" s="155">
        <v>4.8700000000000002E-3</v>
      </c>
      <c r="AI274" s="155">
        <f t="shared" si="4"/>
        <v>1.307807305070274E-2</v>
      </c>
      <c r="AJ274" s="155">
        <v>2.0911253550068088E-3</v>
      </c>
    </row>
    <row r="275" spans="1:36" s="160" customFormat="1">
      <c r="A275" s="153" t="s">
        <v>1213</v>
      </c>
      <c r="B275" s="160">
        <v>13498</v>
      </c>
      <c r="C275" s="153" t="s">
        <v>1973</v>
      </c>
      <c r="D275" s="153" t="s">
        <v>1974</v>
      </c>
      <c r="E275" s="153" t="s">
        <v>309</v>
      </c>
      <c r="F275" s="153" t="s">
        <v>2004</v>
      </c>
      <c r="G275" s="153" t="s">
        <v>2005</v>
      </c>
      <c r="H275" s="153" t="s">
        <v>321</v>
      </c>
      <c r="I275" s="153" t="s">
        <v>754</v>
      </c>
      <c r="J275" s="153" t="s">
        <v>204</v>
      </c>
      <c r="K275" s="153" t="s">
        <v>204</v>
      </c>
      <c r="L275" s="153" t="s">
        <v>325</v>
      </c>
      <c r="M275" s="153" t="s">
        <v>340</v>
      </c>
      <c r="N275" s="153" t="s">
        <v>464</v>
      </c>
      <c r="O275" s="153" t="s">
        <v>339</v>
      </c>
      <c r="P275" s="153" t="s">
        <v>1538</v>
      </c>
      <c r="Q275" s="153" t="s">
        <v>413</v>
      </c>
      <c r="R275" s="153" t="s">
        <v>407</v>
      </c>
      <c r="S275" s="153" t="s">
        <v>1212</v>
      </c>
      <c r="T275" s="154">
        <v>3.44</v>
      </c>
      <c r="U275" s="153" t="s">
        <v>1913</v>
      </c>
      <c r="V275" s="155">
        <v>2.2679999999999999E-2</v>
      </c>
      <c r="W275" s="155">
        <v>2.93E-2</v>
      </c>
      <c r="X275" s="153" t="s">
        <v>412</v>
      </c>
      <c r="Y275" s="153" t="s">
        <v>339</v>
      </c>
      <c r="Z275" s="154">
        <v>1415625</v>
      </c>
      <c r="AA275" s="154">
        <v>1</v>
      </c>
      <c r="AB275" s="154">
        <v>117.13</v>
      </c>
      <c r="AD275" s="154">
        <v>1658.1220000000001</v>
      </c>
      <c r="AG275" s="157" t="s">
        <v>15</v>
      </c>
      <c r="AH275" s="155">
        <v>1.0300000000000001E-3</v>
      </c>
      <c r="AI275" s="155">
        <f t="shared" si="4"/>
        <v>1.3014926260679349E-2</v>
      </c>
      <c r="AJ275" s="155">
        <v>2.081028465870828E-3</v>
      </c>
    </row>
    <row r="276" spans="1:36" s="160" customFormat="1">
      <c r="A276" s="153" t="s">
        <v>1213</v>
      </c>
      <c r="B276" s="160">
        <v>13498</v>
      </c>
      <c r="C276" s="153" t="s">
        <v>455</v>
      </c>
      <c r="D276" s="153" t="s">
        <v>2106</v>
      </c>
      <c r="E276" s="153" t="s">
        <v>309</v>
      </c>
      <c r="F276" s="153" t="s">
        <v>2160</v>
      </c>
      <c r="G276" s="153" t="s">
        <v>2161</v>
      </c>
      <c r="H276" s="153" t="s">
        <v>321</v>
      </c>
      <c r="I276" s="153" t="s">
        <v>754</v>
      </c>
      <c r="J276" s="153" t="s">
        <v>204</v>
      </c>
      <c r="K276" s="153" t="s">
        <v>204</v>
      </c>
      <c r="L276" s="153" t="s">
        <v>325</v>
      </c>
      <c r="M276" s="153" t="s">
        <v>340</v>
      </c>
      <c r="N276" s="153" t="s">
        <v>440</v>
      </c>
      <c r="O276" s="153" t="s">
        <v>339</v>
      </c>
      <c r="P276" s="153" t="s">
        <v>1923</v>
      </c>
      <c r="Q276" s="153" t="s">
        <v>415</v>
      </c>
      <c r="R276" s="153" t="s">
        <v>407</v>
      </c>
      <c r="S276" s="153" t="s">
        <v>1212</v>
      </c>
      <c r="T276" s="154">
        <v>0.9</v>
      </c>
      <c r="U276" s="153" t="s">
        <v>2162</v>
      </c>
      <c r="V276" s="155">
        <v>5.2599999999999999E-3</v>
      </c>
      <c r="W276" s="155">
        <v>2.6100000000000002E-2</v>
      </c>
      <c r="X276" s="153" t="s">
        <v>412</v>
      </c>
      <c r="Y276" s="153" t="s">
        <v>339</v>
      </c>
      <c r="Z276" s="154">
        <v>1285250</v>
      </c>
      <c r="AA276" s="154">
        <v>1</v>
      </c>
      <c r="AB276" s="154">
        <v>119.4</v>
      </c>
      <c r="AD276" s="154">
        <v>1534.5889999999999</v>
      </c>
      <c r="AG276" s="157" t="s">
        <v>15</v>
      </c>
      <c r="AH276" s="155">
        <v>4.2999999999999999E-4</v>
      </c>
      <c r="AI276" s="155">
        <f t="shared" si="4"/>
        <v>1.2045291405246213E-2</v>
      </c>
      <c r="AJ276" s="155">
        <v>1.9259881917086004E-3</v>
      </c>
    </row>
    <row r="277" spans="1:36" s="160" customFormat="1">
      <c r="A277" s="153" t="s">
        <v>1213</v>
      </c>
      <c r="B277" s="160">
        <v>13498</v>
      </c>
      <c r="C277" s="153" t="s">
        <v>1534</v>
      </c>
      <c r="D277" s="153" t="s">
        <v>1535</v>
      </c>
      <c r="E277" s="153" t="s">
        <v>309</v>
      </c>
      <c r="F277" s="153" t="s">
        <v>2163</v>
      </c>
      <c r="G277" s="153" t="s">
        <v>2164</v>
      </c>
      <c r="H277" s="153" t="s">
        <v>321</v>
      </c>
      <c r="I277" s="153" t="s">
        <v>951</v>
      </c>
      <c r="J277" s="153" t="s">
        <v>204</v>
      </c>
      <c r="K277" s="153" t="s">
        <v>204</v>
      </c>
      <c r="L277" s="153" t="s">
        <v>325</v>
      </c>
      <c r="M277" s="153" t="s">
        <v>340</v>
      </c>
      <c r="N277" s="153" t="s">
        <v>464</v>
      </c>
      <c r="O277" s="153" t="s">
        <v>339</v>
      </c>
      <c r="P277" s="153" t="s">
        <v>1538</v>
      </c>
      <c r="Q277" s="153" t="s">
        <v>413</v>
      </c>
      <c r="R277" s="153" t="s">
        <v>407</v>
      </c>
      <c r="S277" s="153" t="s">
        <v>1212</v>
      </c>
      <c r="T277" s="154">
        <v>7.71</v>
      </c>
      <c r="U277" s="153" t="s">
        <v>2165</v>
      </c>
      <c r="V277" s="155">
        <v>5.1900000000000002E-2</v>
      </c>
      <c r="W277" s="155">
        <v>6.13E-2</v>
      </c>
      <c r="X277" s="153" t="s">
        <v>412</v>
      </c>
      <c r="Y277" s="153" t="s">
        <v>339</v>
      </c>
      <c r="Z277" s="154">
        <v>1500000</v>
      </c>
      <c r="AA277" s="154">
        <v>1</v>
      </c>
      <c r="AB277" s="154">
        <v>100.47</v>
      </c>
      <c r="AD277" s="154">
        <v>1507.05</v>
      </c>
      <c r="AG277" s="157" t="s">
        <v>15</v>
      </c>
      <c r="AH277" s="155">
        <v>9.2200000000000008E-3</v>
      </c>
      <c r="AI277" s="155">
        <f t="shared" si="4"/>
        <v>1.182913236852102E-2</v>
      </c>
      <c r="AJ277" s="155">
        <v>1.8914253290714623E-3</v>
      </c>
    </row>
    <row r="278" spans="1:36" s="160" customFormat="1">
      <c r="A278" s="153" t="s">
        <v>1213</v>
      </c>
      <c r="B278" s="160">
        <v>13498</v>
      </c>
      <c r="C278" s="153" t="s">
        <v>2145</v>
      </c>
      <c r="D278" s="153" t="s">
        <v>2146</v>
      </c>
      <c r="E278" s="153" t="s">
        <v>309</v>
      </c>
      <c r="F278" s="153" t="s">
        <v>2166</v>
      </c>
      <c r="G278" s="153" t="s">
        <v>2167</v>
      </c>
      <c r="H278" s="153" t="s">
        <v>321</v>
      </c>
      <c r="I278" s="153" t="s">
        <v>951</v>
      </c>
      <c r="J278" s="153" t="s">
        <v>204</v>
      </c>
      <c r="K278" s="153" t="s">
        <v>204</v>
      </c>
      <c r="L278" s="153" t="s">
        <v>325</v>
      </c>
      <c r="M278" s="153" t="s">
        <v>340</v>
      </c>
      <c r="N278" s="153" t="s">
        <v>445</v>
      </c>
      <c r="O278" s="153" t="s">
        <v>339</v>
      </c>
      <c r="P278" s="153" t="s">
        <v>1566</v>
      </c>
      <c r="Q278" s="153" t="s">
        <v>413</v>
      </c>
      <c r="R278" s="153" t="s">
        <v>407</v>
      </c>
      <c r="S278" s="153" t="s">
        <v>1212</v>
      </c>
      <c r="T278" s="154">
        <v>5.16</v>
      </c>
      <c r="U278" s="153" t="s">
        <v>2168</v>
      </c>
      <c r="V278" s="155">
        <v>4.5010000000000001E-2</v>
      </c>
      <c r="W278" s="155">
        <v>5.6899999999999999E-2</v>
      </c>
      <c r="X278" s="153" t="s">
        <v>412</v>
      </c>
      <c r="Y278" s="153" t="s">
        <v>339</v>
      </c>
      <c r="Z278" s="154">
        <v>1495000</v>
      </c>
      <c r="AA278" s="154">
        <v>1</v>
      </c>
      <c r="AB278" s="154">
        <v>100.33</v>
      </c>
      <c r="AD278" s="154">
        <v>1499.934</v>
      </c>
      <c r="AG278" s="157" t="s">
        <v>15</v>
      </c>
      <c r="AH278" s="155">
        <v>2.99E-3</v>
      </c>
      <c r="AI278" s="155">
        <f t="shared" si="4"/>
        <v>1.177327748252892E-2</v>
      </c>
      <c r="AJ278" s="155">
        <v>1.8824943827580206E-3</v>
      </c>
    </row>
    <row r="279" spans="1:36" s="160" customFormat="1">
      <c r="A279" s="153" t="s">
        <v>1213</v>
      </c>
      <c r="B279" s="160">
        <v>13498</v>
      </c>
      <c r="C279" s="153" t="s">
        <v>1591</v>
      </c>
      <c r="D279" s="153" t="s">
        <v>1592</v>
      </c>
      <c r="E279" s="153" t="s">
        <v>309</v>
      </c>
      <c r="F279" s="153" t="s">
        <v>1593</v>
      </c>
      <c r="G279" s="153" t="s">
        <v>1594</v>
      </c>
      <c r="H279" s="153" t="s">
        <v>321</v>
      </c>
      <c r="I279" s="153" t="s">
        <v>754</v>
      </c>
      <c r="J279" s="153" t="s">
        <v>204</v>
      </c>
      <c r="K279" s="153" t="s">
        <v>204</v>
      </c>
      <c r="L279" s="153" t="s">
        <v>325</v>
      </c>
      <c r="M279" s="153" t="s">
        <v>340</v>
      </c>
      <c r="N279" s="153" t="s">
        <v>464</v>
      </c>
      <c r="O279" s="153" t="s">
        <v>339</v>
      </c>
      <c r="P279" s="153" t="s">
        <v>1538</v>
      </c>
      <c r="Q279" s="153" t="s">
        <v>413</v>
      </c>
      <c r="R279" s="153" t="s">
        <v>407</v>
      </c>
      <c r="S279" s="153" t="s">
        <v>1212</v>
      </c>
      <c r="T279" s="154">
        <v>3.74</v>
      </c>
      <c r="U279" s="153" t="s">
        <v>1283</v>
      </c>
      <c r="V279" s="155">
        <v>2.8539999999999999E-2</v>
      </c>
      <c r="W279" s="155">
        <v>3.0700000000000002E-2</v>
      </c>
      <c r="X279" s="153" t="s">
        <v>412</v>
      </c>
      <c r="Y279" s="153" t="s">
        <v>339</v>
      </c>
      <c r="Z279" s="154">
        <v>1400000</v>
      </c>
      <c r="AA279" s="154">
        <v>1</v>
      </c>
      <c r="AB279" s="154">
        <v>103.53</v>
      </c>
      <c r="AD279" s="154">
        <v>1449.42</v>
      </c>
      <c r="AG279" s="157" t="s">
        <v>15</v>
      </c>
      <c r="AH279" s="155">
        <v>1.8799999999999999E-3</v>
      </c>
      <c r="AI279" s="155">
        <f t="shared" si="4"/>
        <v>1.1376783144276394E-2</v>
      </c>
      <c r="AJ279" s="155">
        <v>1.819096712426767E-3</v>
      </c>
    </row>
    <row r="280" spans="1:36" s="160" customFormat="1">
      <c r="A280" s="153" t="s">
        <v>1213</v>
      </c>
      <c r="B280" s="160">
        <v>13498</v>
      </c>
      <c r="C280" s="153" t="s">
        <v>2018</v>
      </c>
      <c r="D280" s="153" t="s">
        <v>2019</v>
      </c>
      <c r="E280" s="153" t="s">
        <v>309</v>
      </c>
      <c r="F280" s="153" t="s">
        <v>2169</v>
      </c>
      <c r="G280" s="153" t="s">
        <v>2170</v>
      </c>
      <c r="H280" s="153" t="s">
        <v>321</v>
      </c>
      <c r="I280" s="153" t="s">
        <v>951</v>
      </c>
      <c r="J280" s="153" t="s">
        <v>204</v>
      </c>
      <c r="K280" s="153" t="s">
        <v>204</v>
      </c>
      <c r="L280" s="153" t="s">
        <v>325</v>
      </c>
      <c r="M280" s="153" t="s">
        <v>340</v>
      </c>
      <c r="N280" s="153" t="s">
        <v>451</v>
      </c>
      <c r="O280" s="153" t="s">
        <v>339</v>
      </c>
      <c r="P280" s="153" t="s">
        <v>1538</v>
      </c>
      <c r="Q280" s="153" t="s">
        <v>413</v>
      </c>
      <c r="R280" s="153" t="s">
        <v>407</v>
      </c>
      <c r="S280" s="153" t="s">
        <v>1212</v>
      </c>
      <c r="T280" s="154">
        <v>6.3</v>
      </c>
      <c r="U280" s="153" t="s">
        <v>2171</v>
      </c>
      <c r="V280" s="155">
        <v>4.8120000000000003E-2</v>
      </c>
      <c r="W280" s="155">
        <v>5.9799999999999999E-2</v>
      </c>
      <c r="X280" s="153" t="s">
        <v>412</v>
      </c>
      <c r="Y280" s="153" t="s">
        <v>339</v>
      </c>
      <c r="Z280" s="154">
        <v>1419000</v>
      </c>
      <c r="AA280" s="154">
        <v>1</v>
      </c>
      <c r="AB280" s="154">
        <v>97.42</v>
      </c>
      <c r="AD280" s="154">
        <v>1382.39</v>
      </c>
      <c r="AG280" s="157" t="s">
        <v>15</v>
      </c>
      <c r="AH280" s="155">
        <v>4.4600000000000004E-3</v>
      </c>
      <c r="AI280" s="155">
        <f t="shared" si="4"/>
        <v>1.0850651468046698E-2</v>
      </c>
      <c r="AJ280" s="155">
        <v>1.7349706118941636E-3</v>
      </c>
    </row>
    <row r="281" spans="1:36" s="160" customFormat="1">
      <c r="A281" s="153" t="s">
        <v>1213</v>
      </c>
      <c r="B281" s="160">
        <v>13498</v>
      </c>
      <c r="C281" s="153" t="s">
        <v>1973</v>
      </c>
      <c r="D281" s="153" t="s">
        <v>1974</v>
      </c>
      <c r="E281" s="153" t="s">
        <v>309</v>
      </c>
      <c r="F281" s="153" t="s">
        <v>2172</v>
      </c>
      <c r="G281" s="153" t="s">
        <v>2173</v>
      </c>
      <c r="H281" s="153" t="s">
        <v>321</v>
      </c>
      <c r="I281" s="153" t="s">
        <v>754</v>
      </c>
      <c r="J281" s="153" t="s">
        <v>204</v>
      </c>
      <c r="K281" s="153" t="s">
        <v>204</v>
      </c>
      <c r="L281" s="153" t="s">
        <v>325</v>
      </c>
      <c r="M281" s="153" t="s">
        <v>340</v>
      </c>
      <c r="N281" s="153" t="s">
        <v>464</v>
      </c>
      <c r="O281" s="153" t="s">
        <v>339</v>
      </c>
      <c r="P281" s="153" t="s">
        <v>1538</v>
      </c>
      <c r="Q281" s="153" t="s">
        <v>413</v>
      </c>
      <c r="R281" s="153" t="s">
        <v>407</v>
      </c>
      <c r="S281" s="153" t="s">
        <v>1212</v>
      </c>
      <c r="T281" s="154">
        <v>5.83</v>
      </c>
      <c r="U281" s="153" t="s">
        <v>2174</v>
      </c>
      <c r="V281" s="155">
        <v>2.7449999999999999E-2</v>
      </c>
      <c r="W281" s="155">
        <v>3.4099999999999998E-2</v>
      </c>
      <c r="X281" s="153" t="s">
        <v>412</v>
      </c>
      <c r="Y281" s="153" t="s">
        <v>339</v>
      </c>
      <c r="Z281" s="154">
        <v>1448750</v>
      </c>
      <c r="AA281" s="154">
        <v>1</v>
      </c>
      <c r="AB281" s="154">
        <v>94.3</v>
      </c>
      <c r="AD281" s="154">
        <v>1366.171</v>
      </c>
      <c r="AG281" s="157" t="s">
        <v>15</v>
      </c>
      <c r="AH281" s="155">
        <v>4.2000000000000002E-4</v>
      </c>
      <c r="AI281" s="155">
        <f t="shared" si="4"/>
        <v>1.0723345341584374E-2</v>
      </c>
      <c r="AJ281" s="155">
        <v>1.7146149319816125E-3</v>
      </c>
    </row>
    <row r="282" spans="1:36" s="160" customFormat="1">
      <c r="A282" s="153" t="s">
        <v>1213</v>
      </c>
      <c r="B282" s="160">
        <v>13498</v>
      </c>
      <c r="C282" s="153" t="s">
        <v>1534</v>
      </c>
      <c r="D282" s="153" t="s">
        <v>1535</v>
      </c>
      <c r="E282" s="153" t="s">
        <v>309</v>
      </c>
      <c r="F282" s="153" t="s">
        <v>2009</v>
      </c>
      <c r="G282" s="153" t="s">
        <v>2010</v>
      </c>
      <c r="H282" s="153" t="s">
        <v>321</v>
      </c>
      <c r="I282" s="153" t="s">
        <v>754</v>
      </c>
      <c r="J282" s="153" t="s">
        <v>204</v>
      </c>
      <c r="K282" s="153" t="s">
        <v>204</v>
      </c>
      <c r="L282" s="153" t="s">
        <v>325</v>
      </c>
      <c r="M282" s="153" t="s">
        <v>340</v>
      </c>
      <c r="N282" s="153" t="s">
        <v>464</v>
      </c>
      <c r="O282" s="153" t="s">
        <v>339</v>
      </c>
      <c r="P282" s="153" t="s">
        <v>2011</v>
      </c>
      <c r="Q282" s="153" t="s">
        <v>415</v>
      </c>
      <c r="R282" s="153" t="s">
        <v>407</v>
      </c>
      <c r="S282" s="153" t="s">
        <v>1212</v>
      </c>
      <c r="T282" s="154">
        <v>5.56</v>
      </c>
      <c r="U282" s="153" t="s">
        <v>2012</v>
      </c>
      <c r="V282" s="155">
        <v>2.5270000000000001E-2</v>
      </c>
      <c r="W282" s="155">
        <v>3.3099999999999997E-2</v>
      </c>
      <c r="X282" s="153" t="s">
        <v>412</v>
      </c>
      <c r="Y282" s="153" t="s">
        <v>339</v>
      </c>
      <c r="Z282" s="154">
        <v>1278380</v>
      </c>
      <c r="AA282" s="154">
        <v>1</v>
      </c>
      <c r="AB282" s="154">
        <v>102.12</v>
      </c>
      <c r="AD282" s="154">
        <v>1305.482</v>
      </c>
      <c r="AG282" s="157" t="s">
        <v>15</v>
      </c>
      <c r="AH282" s="155">
        <v>4.8999999999999998E-4</v>
      </c>
      <c r="AI282" s="155">
        <f t="shared" si="4"/>
        <v>1.024698542365652E-2</v>
      </c>
      <c r="AJ282" s="155">
        <v>1.6384471128674369E-3</v>
      </c>
    </row>
    <row r="283" spans="1:36" s="160" customFormat="1">
      <c r="A283" s="153" t="s">
        <v>1213</v>
      </c>
      <c r="B283" s="160">
        <v>13498</v>
      </c>
      <c r="C283" s="153" t="s">
        <v>1591</v>
      </c>
      <c r="D283" s="153" t="s">
        <v>1592</v>
      </c>
      <c r="E283" s="153" t="s">
        <v>309</v>
      </c>
      <c r="F283" s="153" t="s">
        <v>2175</v>
      </c>
      <c r="G283" s="153" t="s">
        <v>2176</v>
      </c>
      <c r="H283" s="153" t="s">
        <v>321</v>
      </c>
      <c r="I283" s="153" t="s">
        <v>754</v>
      </c>
      <c r="J283" s="153" t="s">
        <v>204</v>
      </c>
      <c r="K283" s="153" t="s">
        <v>204</v>
      </c>
      <c r="L283" s="153" t="s">
        <v>325</v>
      </c>
      <c r="M283" s="153" t="s">
        <v>340</v>
      </c>
      <c r="N283" s="153" t="s">
        <v>464</v>
      </c>
      <c r="O283" s="153" t="s">
        <v>339</v>
      </c>
      <c r="P283" s="153" t="s">
        <v>1538</v>
      </c>
      <c r="Q283" s="153" t="s">
        <v>413</v>
      </c>
      <c r="R283" s="153" t="s">
        <v>407</v>
      </c>
      <c r="S283" s="153" t="s">
        <v>1212</v>
      </c>
      <c r="T283" s="154">
        <v>3.97</v>
      </c>
      <c r="U283" s="153" t="s">
        <v>2177</v>
      </c>
      <c r="V283" s="155">
        <v>1.813E-2</v>
      </c>
      <c r="W283" s="155">
        <v>3.1899999999999998E-2</v>
      </c>
      <c r="X283" s="153" t="s">
        <v>412</v>
      </c>
      <c r="Y283" s="153" t="s">
        <v>339</v>
      </c>
      <c r="Z283" s="154">
        <v>1243202.6599999999</v>
      </c>
      <c r="AA283" s="154">
        <v>1</v>
      </c>
      <c r="AB283" s="154">
        <v>103.53</v>
      </c>
      <c r="AD283" s="154">
        <v>1287.088</v>
      </c>
      <c r="AG283" s="157" t="s">
        <v>15</v>
      </c>
      <c r="AH283" s="155">
        <v>7.6999999999999996E-4</v>
      </c>
      <c r="AI283" s="155">
        <f t="shared" si="4"/>
        <v>1.0102607293676376E-2</v>
      </c>
      <c r="AJ283" s="155">
        <v>1.6153616959914603E-3</v>
      </c>
    </row>
    <row r="284" spans="1:36" s="160" customFormat="1">
      <c r="A284" s="153" t="s">
        <v>1213</v>
      </c>
      <c r="B284" s="160">
        <v>13498</v>
      </c>
      <c r="C284" s="153" t="s">
        <v>1600</v>
      </c>
      <c r="D284" s="153" t="s">
        <v>1601</v>
      </c>
      <c r="E284" s="153" t="s">
        <v>309</v>
      </c>
      <c r="F284" s="153" t="s">
        <v>1957</v>
      </c>
      <c r="G284" s="153" t="s">
        <v>1958</v>
      </c>
      <c r="H284" s="153" t="s">
        <v>321</v>
      </c>
      <c r="I284" s="153" t="s">
        <v>754</v>
      </c>
      <c r="J284" s="153" t="s">
        <v>204</v>
      </c>
      <c r="K284" s="153" t="s">
        <v>204</v>
      </c>
      <c r="L284" s="153" t="s">
        <v>325</v>
      </c>
      <c r="M284" s="153" t="s">
        <v>340</v>
      </c>
      <c r="N284" s="153" t="s">
        <v>448</v>
      </c>
      <c r="O284" s="153" t="s">
        <v>339</v>
      </c>
      <c r="P284" s="153" t="s">
        <v>1215</v>
      </c>
      <c r="Q284" s="153" t="s">
        <v>413</v>
      </c>
      <c r="R284" s="153" t="s">
        <v>407</v>
      </c>
      <c r="S284" s="153" t="s">
        <v>1212</v>
      </c>
      <c r="T284" s="154">
        <v>3.91</v>
      </c>
      <c r="U284" s="153" t="s">
        <v>1959</v>
      </c>
      <c r="V284" s="155">
        <v>1.289E-2</v>
      </c>
      <c r="W284" s="155">
        <v>2.4799999999999999E-2</v>
      </c>
      <c r="X284" s="153" t="s">
        <v>412</v>
      </c>
      <c r="Y284" s="153" t="s">
        <v>339</v>
      </c>
      <c r="Z284" s="154">
        <v>1215000</v>
      </c>
      <c r="AA284" s="154">
        <v>1</v>
      </c>
      <c r="AB284" s="154">
        <v>103.84</v>
      </c>
      <c r="AD284" s="154">
        <v>1261.6559999999999</v>
      </c>
      <c r="AG284" s="157" t="s">
        <v>15</v>
      </c>
      <c r="AH284" s="155">
        <v>6.8000000000000005E-4</v>
      </c>
      <c r="AI284" s="155">
        <f t="shared" si="4"/>
        <v>9.9029865150716684E-3</v>
      </c>
      <c r="AJ284" s="155">
        <v>1.5834432268172821E-3</v>
      </c>
    </row>
    <row r="285" spans="1:36" s="160" customFormat="1">
      <c r="A285" s="153" t="s">
        <v>1213</v>
      </c>
      <c r="B285" s="160">
        <v>13498</v>
      </c>
      <c r="C285" s="153" t="s">
        <v>2178</v>
      </c>
      <c r="D285" s="153" t="s">
        <v>2179</v>
      </c>
      <c r="E285" s="153" t="s">
        <v>309</v>
      </c>
      <c r="F285" s="153" t="s">
        <v>2180</v>
      </c>
      <c r="G285" s="153" t="s">
        <v>2181</v>
      </c>
      <c r="H285" s="153" t="s">
        <v>321</v>
      </c>
      <c r="I285" s="153" t="s">
        <v>754</v>
      </c>
      <c r="J285" s="153" t="s">
        <v>204</v>
      </c>
      <c r="K285" s="153" t="s">
        <v>204</v>
      </c>
      <c r="L285" s="153" t="s">
        <v>325</v>
      </c>
      <c r="M285" s="153" t="s">
        <v>340</v>
      </c>
      <c r="N285" s="153" t="s">
        <v>464</v>
      </c>
      <c r="O285" s="153" t="s">
        <v>339</v>
      </c>
      <c r="P285" s="153" t="s">
        <v>1566</v>
      </c>
      <c r="Q285" s="153" t="s">
        <v>413</v>
      </c>
      <c r="R285" s="153" t="s">
        <v>407</v>
      </c>
      <c r="S285" s="153" t="s">
        <v>1212</v>
      </c>
      <c r="T285" s="154">
        <v>6.91</v>
      </c>
      <c r="U285" s="153" t="s">
        <v>2182</v>
      </c>
      <c r="V285" s="155">
        <v>2.7349999999999999E-2</v>
      </c>
      <c r="W285" s="155">
        <v>4.2299999999999997E-2</v>
      </c>
      <c r="X285" s="153" t="s">
        <v>412</v>
      </c>
      <c r="Y285" s="153" t="s">
        <v>339</v>
      </c>
      <c r="Z285" s="154">
        <v>1275290</v>
      </c>
      <c r="AA285" s="154">
        <v>1</v>
      </c>
      <c r="AB285" s="154">
        <v>97.49</v>
      </c>
      <c r="AD285" s="154">
        <v>1243.28</v>
      </c>
      <c r="AG285" s="157" t="s">
        <v>15</v>
      </c>
      <c r="AH285" s="155">
        <v>1.2099999999999999E-3</v>
      </c>
      <c r="AI285" s="155">
        <f t="shared" si="4"/>
        <v>9.7587496706378792E-3</v>
      </c>
      <c r="AJ285" s="155">
        <v>1.5603804008678993E-3</v>
      </c>
    </row>
    <row r="286" spans="1:36" s="160" customFormat="1">
      <c r="A286" s="153" t="s">
        <v>1213</v>
      </c>
      <c r="B286" s="160">
        <v>13498</v>
      </c>
      <c r="C286" s="153" t="s">
        <v>1820</v>
      </c>
      <c r="D286" s="153" t="s">
        <v>1821</v>
      </c>
      <c r="E286" s="153" t="s">
        <v>309</v>
      </c>
      <c r="F286" s="153" t="s">
        <v>2183</v>
      </c>
      <c r="G286" s="153" t="s">
        <v>2184</v>
      </c>
      <c r="H286" s="153" t="s">
        <v>321</v>
      </c>
      <c r="I286" s="153" t="s">
        <v>754</v>
      </c>
      <c r="J286" s="153" t="s">
        <v>204</v>
      </c>
      <c r="K286" s="153" t="s">
        <v>204</v>
      </c>
      <c r="L286" s="153" t="s">
        <v>325</v>
      </c>
      <c r="M286" s="153" t="s">
        <v>340</v>
      </c>
      <c r="N286" s="153" t="s">
        <v>464</v>
      </c>
      <c r="O286" s="153" t="s">
        <v>339</v>
      </c>
      <c r="P286" s="153" t="s">
        <v>1538</v>
      </c>
      <c r="Q286" s="153" t="s">
        <v>413</v>
      </c>
      <c r="R286" s="153" t="s">
        <v>407</v>
      </c>
      <c r="S286" s="153" t="s">
        <v>1212</v>
      </c>
      <c r="T286" s="154">
        <v>7.76</v>
      </c>
      <c r="U286" s="153" t="s">
        <v>2185</v>
      </c>
      <c r="V286" s="155">
        <v>3.1649999999999998E-2</v>
      </c>
      <c r="W286" s="155">
        <v>3.5799999999999998E-2</v>
      </c>
      <c r="X286" s="153" t="s">
        <v>412</v>
      </c>
      <c r="Y286" s="153" t="s">
        <v>339</v>
      </c>
      <c r="Z286" s="154">
        <v>1199000</v>
      </c>
      <c r="AA286" s="154">
        <v>1</v>
      </c>
      <c r="AB286" s="154">
        <v>100.49</v>
      </c>
      <c r="AD286" s="154">
        <v>1204.875</v>
      </c>
      <c r="AG286" s="157" t="s">
        <v>15</v>
      </c>
      <c r="AH286" s="155">
        <v>3.0000000000000001E-3</v>
      </c>
      <c r="AI286" s="155">
        <f t="shared" si="4"/>
        <v>9.4573012590967558E-3</v>
      </c>
      <c r="AJ286" s="155">
        <v>1.5121801488769307E-3</v>
      </c>
    </row>
    <row r="287" spans="1:36" s="160" customFormat="1">
      <c r="A287" s="153" t="s">
        <v>1213</v>
      </c>
      <c r="B287" s="160">
        <v>13498</v>
      </c>
      <c r="C287" s="153" t="s">
        <v>1577</v>
      </c>
      <c r="D287" s="153" t="s">
        <v>1578</v>
      </c>
      <c r="E287" s="153" t="s">
        <v>309</v>
      </c>
      <c r="F287" s="153" t="s">
        <v>1579</v>
      </c>
      <c r="G287" s="153" t="s">
        <v>1580</v>
      </c>
      <c r="H287" s="153" t="s">
        <v>321</v>
      </c>
      <c r="I287" s="153" t="s">
        <v>754</v>
      </c>
      <c r="J287" s="153" t="s">
        <v>204</v>
      </c>
      <c r="K287" s="153" t="s">
        <v>204</v>
      </c>
      <c r="L287" s="153" t="s">
        <v>325</v>
      </c>
      <c r="M287" s="153" t="s">
        <v>340</v>
      </c>
      <c r="N287" s="153" t="s">
        <v>456</v>
      </c>
      <c r="O287" s="153" t="s">
        <v>339</v>
      </c>
      <c r="P287" s="153" t="s">
        <v>1566</v>
      </c>
      <c r="Q287" s="153" t="s">
        <v>413</v>
      </c>
      <c r="R287" s="153" t="s">
        <v>407</v>
      </c>
      <c r="S287" s="153" t="s">
        <v>1212</v>
      </c>
      <c r="T287" s="154">
        <v>5.0199999999999996</v>
      </c>
      <c r="U287" s="153" t="s">
        <v>1581</v>
      </c>
      <c r="V287" s="155">
        <v>3.2820000000000002E-2</v>
      </c>
      <c r="W287" s="155">
        <v>5.1499999999999997E-2</v>
      </c>
      <c r="X287" s="153" t="s">
        <v>412</v>
      </c>
      <c r="Y287" s="153" t="s">
        <v>339</v>
      </c>
      <c r="Z287" s="154">
        <v>844188.26</v>
      </c>
      <c r="AA287" s="154">
        <v>1</v>
      </c>
      <c r="AB287" s="154">
        <v>141.9</v>
      </c>
      <c r="AD287" s="154">
        <v>1197.903</v>
      </c>
      <c r="AG287" s="157" t="s">
        <v>15</v>
      </c>
      <c r="AH287" s="155">
        <v>2.9999999999999997E-4</v>
      </c>
      <c r="AI287" s="155">
        <f t="shared" si="4"/>
        <v>9.40257665747549E-3</v>
      </c>
      <c r="AJ287" s="155">
        <v>1.5034299299762398E-3</v>
      </c>
    </row>
    <row r="288" spans="1:36" s="160" customFormat="1">
      <c r="A288" s="153" t="s">
        <v>1213</v>
      </c>
      <c r="B288" s="160">
        <v>13498</v>
      </c>
      <c r="C288" s="153" t="s">
        <v>1512</v>
      </c>
      <c r="D288" s="153" t="s">
        <v>1513</v>
      </c>
      <c r="E288" s="153" t="s">
        <v>309</v>
      </c>
      <c r="F288" s="153" t="s">
        <v>2186</v>
      </c>
      <c r="G288" s="153" t="s">
        <v>2187</v>
      </c>
      <c r="H288" s="153" t="s">
        <v>321</v>
      </c>
      <c r="I288" s="153" t="s">
        <v>754</v>
      </c>
      <c r="J288" s="153" t="s">
        <v>204</v>
      </c>
      <c r="K288" s="153" t="s">
        <v>204</v>
      </c>
      <c r="L288" s="153" t="s">
        <v>325</v>
      </c>
      <c r="M288" s="153" t="s">
        <v>340</v>
      </c>
      <c r="N288" s="153" t="s">
        <v>448</v>
      </c>
      <c r="O288" s="153" t="s">
        <v>339</v>
      </c>
      <c r="P288" s="153" t="s">
        <v>1215</v>
      </c>
      <c r="Q288" s="153" t="s">
        <v>413</v>
      </c>
      <c r="R288" s="153" t="s">
        <v>407</v>
      </c>
      <c r="S288" s="153" t="s">
        <v>1212</v>
      </c>
      <c r="T288" s="154">
        <v>1.72</v>
      </c>
      <c r="U288" s="153" t="s">
        <v>2188</v>
      </c>
      <c r="V288" s="155">
        <v>1.277E-2</v>
      </c>
      <c r="W288" s="155">
        <v>2.1399999999999999E-2</v>
      </c>
      <c r="X288" s="153" t="s">
        <v>412</v>
      </c>
      <c r="Y288" s="153" t="s">
        <v>339</v>
      </c>
      <c r="Z288" s="154">
        <v>1081652</v>
      </c>
      <c r="AA288" s="154">
        <v>1</v>
      </c>
      <c r="AB288" s="154">
        <v>110.39</v>
      </c>
      <c r="AD288" s="154">
        <v>1194.0360000000001</v>
      </c>
      <c r="AG288" s="157" t="s">
        <v>15</v>
      </c>
      <c r="AH288" s="155">
        <v>3.6000000000000002E-4</v>
      </c>
      <c r="AI288" s="155">
        <f t="shared" si="4"/>
        <v>9.3722238126003558E-3</v>
      </c>
      <c r="AJ288" s="155">
        <v>1.4985766459129908E-3</v>
      </c>
    </row>
    <row r="289" spans="1:36" s="160" customFormat="1">
      <c r="A289" s="153" t="s">
        <v>1213</v>
      </c>
      <c r="B289" s="160">
        <v>13498</v>
      </c>
      <c r="C289" s="153" t="s">
        <v>1691</v>
      </c>
      <c r="D289" s="153" t="s">
        <v>1692</v>
      </c>
      <c r="E289" s="153" t="s">
        <v>309</v>
      </c>
      <c r="F289" s="153" t="s">
        <v>1693</v>
      </c>
      <c r="G289" s="153" t="s">
        <v>1694</v>
      </c>
      <c r="H289" s="153" t="s">
        <v>321</v>
      </c>
      <c r="I289" s="153" t="s">
        <v>754</v>
      </c>
      <c r="J289" s="153" t="s">
        <v>204</v>
      </c>
      <c r="K289" s="153" t="s">
        <v>204</v>
      </c>
      <c r="L289" s="153" t="s">
        <v>325</v>
      </c>
      <c r="M289" s="153" t="s">
        <v>340</v>
      </c>
      <c r="N289" s="153" t="s">
        <v>464</v>
      </c>
      <c r="O289" s="153" t="s">
        <v>339</v>
      </c>
      <c r="P289" s="153" t="s">
        <v>1538</v>
      </c>
      <c r="Q289" s="153" t="s">
        <v>413</v>
      </c>
      <c r="R289" s="153" t="s">
        <v>407</v>
      </c>
      <c r="S289" s="153" t="s">
        <v>1212</v>
      </c>
      <c r="T289" s="154">
        <v>6.65</v>
      </c>
      <c r="U289" s="153" t="s">
        <v>1695</v>
      </c>
      <c r="V289" s="155">
        <v>3.3919999999999999E-2</v>
      </c>
      <c r="W289" s="155">
        <v>3.39E-2</v>
      </c>
      <c r="X289" s="153" t="s">
        <v>412</v>
      </c>
      <c r="Y289" s="153" t="s">
        <v>339</v>
      </c>
      <c r="Z289" s="154">
        <v>1085714.28</v>
      </c>
      <c r="AA289" s="154">
        <v>1</v>
      </c>
      <c r="AB289" s="154">
        <v>109.06</v>
      </c>
      <c r="AD289" s="154">
        <v>1184.08</v>
      </c>
      <c r="AG289" s="157" t="s">
        <v>15</v>
      </c>
      <c r="AH289" s="155">
        <v>1.2800000000000001E-3</v>
      </c>
      <c r="AI289" s="155">
        <f t="shared" si="4"/>
        <v>9.2940772070723397E-3</v>
      </c>
      <c r="AJ289" s="155">
        <v>1.4860813534036278E-3</v>
      </c>
    </row>
    <row r="290" spans="1:36" s="160" customFormat="1">
      <c r="A290" s="153" t="s">
        <v>1213</v>
      </c>
      <c r="B290" s="160">
        <v>13498</v>
      </c>
      <c r="C290" s="153" t="s">
        <v>2178</v>
      </c>
      <c r="D290" s="153" t="s">
        <v>2179</v>
      </c>
      <c r="E290" s="153" t="s">
        <v>309</v>
      </c>
      <c r="F290" s="153" t="s">
        <v>2189</v>
      </c>
      <c r="G290" s="153" t="s">
        <v>2190</v>
      </c>
      <c r="H290" s="153" t="s">
        <v>321</v>
      </c>
      <c r="I290" s="153" t="s">
        <v>951</v>
      </c>
      <c r="J290" s="153" t="s">
        <v>204</v>
      </c>
      <c r="K290" s="153" t="s">
        <v>204</v>
      </c>
      <c r="L290" s="153" t="s">
        <v>325</v>
      </c>
      <c r="M290" s="153" t="s">
        <v>340</v>
      </c>
      <c r="N290" s="153" t="s">
        <v>464</v>
      </c>
      <c r="O290" s="153" t="s">
        <v>339</v>
      </c>
      <c r="P290" s="153" t="s">
        <v>1566</v>
      </c>
      <c r="Q290" s="153" t="s">
        <v>413</v>
      </c>
      <c r="R290" s="153" t="s">
        <v>407</v>
      </c>
      <c r="S290" s="153" t="s">
        <v>1212</v>
      </c>
      <c r="T290" s="154">
        <v>6.24</v>
      </c>
      <c r="U290" s="153" t="s">
        <v>2182</v>
      </c>
      <c r="V290" s="155">
        <v>4.6280000000000002E-2</v>
      </c>
      <c r="W290" s="155">
        <v>6.6799999999999998E-2</v>
      </c>
      <c r="X290" s="153" t="s">
        <v>412</v>
      </c>
      <c r="Y290" s="153" t="s">
        <v>339</v>
      </c>
      <c r="Z290" s="154">
        <v>1265000</v>
      </c>
      <c r="AA290" s="154">
        <v>1</v>
      </c>
      <c r="AB290" s="154">
        <v>92.67</v>
      </c>
      <c r="AD290" s="154">
        <v>1172.2760000000001</v>
      </c>
      <c r="AG290" s="157" t="s">
        <v>15</v>
      </c>
      <c r="AH290" s="155">
        <v>1.41E-3</v>
      </c>
      <c r="AI290" s="155">
        <f t="shared" si="4"/>
        <v>9.2014252854519425E-3</v>
      </c>
      <c r="AJ290" s="155">
        <v>1.4712667257639612E-3</v>
      </c>
    </row>
    <row r="291" spans="1:36" s="160" customFormat="1">
      <c r="A291" s="153" t="s">
        <v>1213</v>
      </c>
      <c r="B291" s="160">
        <v>13498</v>
      </c>
      <c r="C291" s="153" t="s">
        <v>2150</v>
      </c>
      <c r="D291" s="153" t="s">
        <v>2151</v>
      </c>
      <c r="E291" s="153" t="s">
        <v>309</v>
      </c>
      <c r="F291" s="153" t="s">
        <v>2191</v>
      </c>
      <c r="G291" s="153" t="s">
        <v>2192</v>
      </c>
      <c r="H291" s="153" t="s">
        <v>321</v>
      </c>
      <c r="I291" s="153" t="s">
        <v>951</v>
      </c>
      <c r="J291" s="153" t="s">
        <v>204</v>
      </c>
      <c r="K291" s="153" t="s">
        <v>204</v>
      </c>
      <c r="L291" s="153" t="s">
        <v>325</v>
      </c>
      <c r="M291" s="153" t="s">
        <v>340</v>
      </c>
      <c r="N291" s="153" t="s">
        <v>477</v>
      </c>
      <c r="O291" s="153" t="s">
        <v>339</v>
      </c>
      <c r="P291" s="153" t="s">
        <v>1538</v>
      </c>
      <c r="Q291" s="153" t="s">
        <v>413</v>
      </c>
      <c r="R291" s="153" t="s">
        <v>407</v>
      </c>
      <c r="S291" s="153" t="s">
        <v>1212</v>
      </c>
      <c r="T291" s="154">
        <v>3.31</v>
      </c>
      <c r="U291" s="153" t="s">
        <v>2154</v>
      </c>
      <c r="V291" s="155">
        <v>4.7690000000000003E-2</v>
      </c>
      <c r="W291" s="155">
        <v>5.8299999999999998E-2</v>
      </c>
      <c r="X291" s="153" t="s">
        <v>412</v>
      </c>
      <c r="Y291" s="153" t="s">
        <v>339</v>
      </c>
      <c r="Z291" s="154">
        <v>1212727.8</v>
      </c>
      <c r="AA291" s="154">
        <v>1</v>
      </c>
      <c r="AB291" s="154">
        <v>96.43</v>
      </c>
      <c r="AD291" s="154">
        <v>1169.433</v>
      </c>
      <c r="AG291" s="157" t="s">
        <v>15</v>
      </c>
      <c r="AH291" s="155">
        <v>1.7600000000000001E-3</v>
      </c>
      <c r="AI291" s="155">
        <f t="shared" si="4"/>
        <v>9.1791100183249673E-3</v>
      </c>
      <c r="AJ291" s="155">
        <v>1.4676986144136078E-3</v>
      </c>
    </row>
    <row r="292" spans="1:36" s="160" customFormat="1">
      <c r="A292" s="153" t="s">
        <v>1213</v>
      </c>
      <c r="B292" s="160">
        <v>13498</v>
      </c>
      <c r="C292" s="153" t="s">
        <v>2032</v>
      </c>
      <c r="D292" s="153" t="s">
        <v>2033</v>
      </c>
      <c r="E292" s="153" t="s">
        <v>309</v>
      </c>
      <c r="F292" s="153" t="s">
        <v>2193</v>
      </c>
      <c r="G292" s="153" t="s">
        <v>2194</v>
      </c>
      <c r="H292" s="153" t="s">
        <v>321</v>
      </c>
      <c r="I292" s="153" t="s">
        <v>951</v>
      </c>
      <c r="J292" s="153" t="s">
        <v>204</v>
      </c>
      <c r="K292" s="153" t="s">
        <v>204</v>
      </c>
      <c r="L292" s="153" t="s">
        <v>325</v>
      </c>
      <c r="M292" s="153" t="s">
        <v>340</v>
      </c>
      <c r="N292" s="153" t="s">
        <v>445</v>
      </c>
      <c r="O292" s="153" t="s">
        <v>339</v>
      </c>
      <c r="P292" s="153" t="s">
        <v>1538</v>
      </c>
      <c r="Q292" s="153" t="s">
        <v>413</v>
      </c>
      <c r="R292" s="153" t="s">
        <v>407</v>
      </c>
      <c r="S292" s="153" t="s">
        <v>1212</v>
      </c>
      <c r="T292" s="154">
        <v>5.05</v>
      </c>
      <c r="U292" s="153" t="s">
        <v>1717</v>
      </c>
      <c r="V292" s="155">
        <v>4.1590000000000002E-2</v>
      </c>
      <c r="W292" s="155">
        <v>5.6500000000000002E-2</v>
      </c>
      <c r="X292" s="153" t="s">
        <v>412</v>
      </c>
      <c r="Y292" s="153" t="s">
        <v>339</v>
      </c>
      <c r="Z292" s="154">
        <v>1200000</v>
      </c>
      <c r="AA292" s="154">
        <v>1</v>
      </c>
      <c r="AB292" s="154">
        <v>95.86</v>
      </c>
      <c r="AD292" s="154">
        <v>1150.32</v>
      </c>
      <c r="AG292" s="157" t="s">
        <v>15</v>
      </c>
      <c r="AH292" s="155">
        <v>2.3999999999999998E-3</v>
      </c>
      <c r="AI292" s="155">
        <f t="shared" si="4"/>
        <v>9.0290883156876681E-3</v>
      </c>
      <c r="AJ292" s="155">
        <v>1.4437108155253538E-3</v>
      </c>
    </row>
    <row r="293" spans="1:36" s="160" customFormat="1">
      <c r="A293" s="153" t="s">
        <v>1213</v>
      </c>
      <c r="B293" s="160">
        <v>13498</v>
      </c>
      <c r="C293" s="153" t="s">
        <v>2195</v>
      </c>
      <c r="D293" s="153" t="s">
        <v>2196</v>
      </c>
      <c r="E293" s="153" t="s">
        <v>309</v>
      </c>
      <c r="F293" s="153" t="s">
        <v>2197</v>
      </c>
      <c r="G293" s="153" t="s">
        <v>2198</v>
      </c>
      <c r="H293" s="153" t="s">
        <v>321</v>
      </c>
      <c r="I293" s="153" t="s">
        <v>951</v>
      </c>
      <c r="J293" s="153" t="s">
        <v>204</v>
      </c>
      <c r="K293" s="153" t="s">
        <v>204</v>
      </c>
      <c r="L293" s="153" t="s">
        <v>325</v>
      </c>
      <c r="M293" s="153" t="s">
        <v>340</v>
      </c>
      <c r="N293" s="153" t="s">
        <v>445</v>
      </c>
      <c r="O293" s="153" t="s">
        <v>339</v>
      </c>
      <c r="P293" s="153" t="s">
        <v>2011</v>
      </c>
      <c r="Q293" s="153" t="s">
        <v>415</v>
      </c>
      <c r="R293" s="153" t="s">
        <v>407</v>
      </c>
      <c r="S293" s="153" t="s">
        <v>1212</v>
      </c>
      <c r="T293" s="154">
        <v>4.95</v>
      </c>
      <c r="U293" s="153" t="s">
        <v>2199</v>
      </c>
      <c r="V293" s="155">
        <v>4.9849999999999998E-2</v>
      </c>
      <c r="W293" s="155">
        <v>5.8000000000000003E-2</v>
      </c>
      <c r="X293" s="153" t="s">
        <v>412</v>
      </c>
      <c r="Y293" s="153" t="s">
        <v>339</v>
      </c>
      <c r="Z293" s="154">
        <v>1368810.44</v>
      </c>
      <c r="AA293" s="154">
        <v>1</v>
      </c>
      <c r="AB293" s="154">
        <v>83.08</v>
      </c>
      <c r="AD293" s="154">
        <v>1137.2080000000001</v>
      </c>
      <c r="AG293" s="157" t="s">
        <v>15</v>
      </c>
      <c r="AH293" s="155">
        <v>1.2999999999999999E-3</v>
      </c>
      <c r="AI293" s="155">
        <f t="shared" si="4"/>
        <v>8.9261696443655187E-3</v>
      </c>
      <c r="AJ293" s="155">
        <v>1.4272545805531999E-3</v>
      </c>
    </row>
    <row r="294" spans="1:36" s="160" customFormat="1">
      <c r="A294" s="153" t="s">
        <v>1213</v>
      </c>
      <c r="B294" s="160">
        <v>13498</v>
      </c>
      <c r="C294" s="153" t="s">
        <v>1807</v>
      </c>
      <c r="D294" s="153" t="s">
        <v>1808</v>
      </c>
      <c r="E294" s="153" t="s">
        <v>309</v>
      </c>
      <c r="F294" s="153" t="s">
        <v>2200</v>
      </c>
      <c r="G294" s="153" t="s">
        <v>2201</v>
      </c>
      <c r="H294" s="153" t="s">
        <v>321</v>
      </c>
      <c r="I294" s="153" t="s">
        <v>754</v>
      </c>
      <c r="J294" s="153" t="s">
        <v>204</v>
      </c>
      <c r="K294" s="153" t="s">
        <v>204</v>
      </c>
      <c r="L294" s="153" t="s">
        <v>325</v>
      </c>
      <c r="M294" s="153" t="s">
        <v>340</v>
      </c>
      <c r="N294" s="153" t="s">
        <v>464</v>
      </c>
      <c r="O294" s="153" t="s">
        <v>339</v>
      </c>
      <c r="P294" s="153" t="s">
        <v>1811</v>
      </c>
      <c r="Q294" s="153" t="s">
        <v>413</v>
      </c>
      <c r="R294" s="153" t="s">
        <v>407</v>
      </c>
      <c r="S294" s="153" t="s">
        <v>1212</v>
      </c>
      <c r="T294" s="154">
        <v>10.34</v>
      </c>
      <c r="U294" s="153" t="s">
        <v>2202</v>
      </c>
      <c r="V294" s="155">
        <v>2.971E-2</v>
      </c>
      <c r="W294" s="155">
        <v>3.6400000000000002E-2</v>
      </c>
      <c r="X294" s="153" t="s">
        <v>412</v>
      </c>
      <c r="Y294" s="153" t="s">
        <v>339</v>
      </c>
      <c r="Z294" s="154">
        <v>1150000</v>
      </c>
      <c r="AA294" s="154">
        <v>1</v>
      </c>
      <c r="AB294" s="154">
        <v>93.61</v>
      </c>
      <c r="AD294" s="154">
        <v>1076.5150000000001</v>
      </c>
      <c r="AG294" s="157" t="s">
        <v>15</v>
      </c>
      <c r="AH294" s="155">
        <v>2.5999999999999998E-4</v>
      </c>
      <c r="AI294" s="155">
        <f t="shared" si="4"/>
        <v>8.4497783296495852E-3</v>
      </c>
      <c r="AJ294" s="155">
        <v>1.3510817412331147E-3</v>
      </c>
    </row>
    <row r="295" spans="1:36" s="160" customFormat="1">
      <c r="A295" s="153" t="s">
        <v>1213</v>
      </c>
      <c r="B295" s="160">
        <v>13498</v>
      </c>
      <c r="C295" s="153" t="s">
        <v>2203</v>
      </c>
      <c r="D295" s="153" t="s">
        <v>2204</v>
      </c>
      <c r="E295" s="153" t="s">
        <v>309</v>
      </c>
      <c r="F295" s="153" t="s">
        <v>2205</v>
      </c>
      <c r="G295" s="153" t="s">
        <v>2206</v>
      </c>
      <c r="H295" s="153" t="s">
        <v>321</v>
      </c>
      <c r="I295" s="153" t="s">
        <v>951</v>
      </c>
      <c r="J295" s="153" t="s">
        <v>204</v>
      </c>
      <c r="K295" s="153" t="s">
        <v>204</v>
      </c>
      <c r="L295" s="153" t="s">
        <v>325</v>
      </c>
      <c r="M295" s="153" t="s">
        <v>340</v>
      </c>
      <c r="N295" s="153" t="s">
        <v>459</v>
      </c>
      <c r="O295" s="153" t="s">
        <v>339</v>
      </c>
      <c r="P295" s="153" t="s">
        <v>1811</v>
      </c>
      <c r="Q295" s="153" t="s">
        <v>413</v>
      </c>
      <c r="R295" s="153" t="s">
        <v>407</v>
      </c>
      <c r="S295" s="153" t="s">
        <v>1212</v>
      </c>
      <c r="T295" s="154">
        <v>6.19</v>
      </c>
      <c r="U295" s="153" t="s">
        <v>2207</v>
      </c>
      <c r="V295" s="155">
        <v>4.1799999999999997E-2</v>
      </c>
      <c r="W295" s="155">
        <v>5.5800000000000002E-2</v>
      </c>
      <c r="X295" s="153" t="s">
        <v>412</v>
      </c>
      <c r="Y295" s="153" t="s">
        <v>339</v>
      </c>
      <c r="Z295" s="154">
        <v>1322650.8</v>
      </c>
      <c r="AA295" s="154">
        <v>1</v>
      </c>
      <c r="AB295" s="154">
        <v>80.06</v>
      </c>
      <c r="AD295" s="154">
        <v>1058.914</v>
      </c>
      <c r="AG295" s="157" t="s">
        <v>15</v>
      </c>
      <c r="AH295" s="155">
        <v>1.2999999999999999E-3</v>
      </c>
      <c r="AI295" s="155">
        <f t="shared" si="4"/>
        <v>8.3116246129060541E-3</v>
      </c>
      <c r="AJ295" s="155">
        <v>1.3289915801787456E-3</v>
      </c>
    </row>
    <row r="296" spans="1:36" s="160" customFormat="1">
      <c r="A296" s="153" t="s">
        <v>1213</v>
      </c>
      <c r="B296" s="160">
        <v>13498</v>
      </c>
      <c r="C296" s="153" t="s">
        <v>1605</v>
      </c>
      <c r="D296" s="153" t="s">
        <v>1606</v>
      </c>
      <c r="E296" s="153" t="s">
        <v>311</v>
      </c>
      <c r="F296" s="153" t="s">
        <v>1607</v>
      </c>
      <c r="G296" s="153" t="s">
        <v>1608</v>
      </c>
      <c r="H296" s="153" t="s">
        <v>321</v>
      </c>
      <c r="I296" s="153" t="s">
        <v>951</v>
      </c>
      <c r="J296" s="153" t="s">
        <v>204</v>
      </c>
      <c r="K296" s="153" t="s">
        <v>224</v>
      </c>
      <c r="L296" s="153" t="s">
        <v>325</v>
      </c>
      <c r="M296" s="153" t="s">
        <v>340</v>
      </c>
      <c r="N296" s="153" t="s">
        <v>465</v>
      </c>
      <c r="O296" s="153" t="s">
        <v>339</v>
      </c>
      <c r="P296" s="153" t="s">
        <v>1566</v>
      </c>
      <c r="Q296" s="153" t="s">
        <v>413</v>
      </c>
      <c r="R296" s="153" t="s">
        <v>407</v>
      </c>
      <c r="S296" s="153" t="s">
        <v>1212</v>
      </c>
      <c r="T296" s="154">
        <v>3.44</v>
      </c>
      <c r="U296" s="153" t="s">
        <v>1609</v>
      </c>
      <c r="V296" s="155">
        <v>6.447E-2</v>
      </c>
      <c r="W296" s="155">
        <v>6.59E-2</v>
      </c>
      <c r="X296" s="153" t="s">
        <v>412</v>
      </c>
      <c r="Y296" s="153" t="s">
        <v>339</v>
      </c>
      <c r="Z296" s="154">
        <v>1099239.8799999999</v>
      </c>
      <c r="AA296" s="154">
        <v>1</v>
      </c>
      <c r="AB296" s="154">
        <v>95.42</v>
      </c>
      <c r="AD296" s="154">
        <v>1048.895</v>
      </c>
      <c r="AG296" s="157" t="s">
        <v>15</v>
      </c>
      <c r="AH296" s="155">
        <v>1.1999999999999999E-3</v>
      </c>
      <c r="AI296" s="155">
        <f t="shared" si="4"/>
        <v>8.2329835079657989E-3</v>
      </c>
      <c r="AJ296" s="155">
        <v>1.316417219426304E-3</v>
      </c>
    </row>
    <row r="297" spans="1:36" s="160" customFormat="1">
      <c r="A297" s="153" t="s">
        <v>1213</v>
      </c>
      <c r="B297" s="160">
        <v>13498</v>
      </c>
      <c r="C297" s="153" t="s">
        <v>1893</v>
      </c>
      <c r="D297" s="153" t="s">
        <v>1894</v>
      </c>
      <c r="E297" s="153" t="s">
        <v>309</v>
      </c>
      <c r="F297" s="153" t="s">
        <v>2208</v>
      </c>
      <c r="G297" s="153" t="s">
        <v>2209</v>
      </c>
      <c r="H297" s="153" t="s">
        <v>321</v>
      </c>
      <c r="I297" s="153" t="s">
        <v>754</v>
      </c>
      <c r="J297" s="153" t="s">
        <v>204</v>
      </c>
      <c r="K297" s="153" t="s">
        <v>204</v>
      </c>
      <c r="L297" s="153" t="s">
        <v>325</v>
      </c>
      <c r="M297" s="153" t="s">
        <v>340</v>
      </c>
      <c r="N297" s="153" t="s">
        <v>464</v>
      </c>
      <c r="O297" s="153" t="s">
        <v>339</v>
      </c>
      <c r="P297" s="153" t="s">
        <v>1521</v>
      </c>
      <c r="Q297" s="153" t="s">
        <v>413</v>
      </c>
      <c r="R297" s="153" t="s">
        <v>407</v>
      </c>
      <c r="S297" s="153" t="s">
        <v>1212</v>
      </c>
      <c r="T297" s="154">
        <v>4.32</v>
      </c>
      <c r="U297" s="153" t="s">
        <v>2210</v>
      </c>
      <c r="V297" s="155">
        <v>3.2250000000000001E-2</v>
      </c>
      <c r="W297" s="155">
        <v>3.27E-2</v>
      </c>
      <c r="X297" s="153" t="s">
        <v>412</v>
      </c>
      <c r="Y297" s="153" t="s">
        <v>339</v>
      </c>
      <c r="Z297" s="154">
        <v>1000000</v>
      </c>
      <c r="AA297" s="154">
        <v>1</v>
      </c>
      <c r="AB297" s="154">
        <v>103.92</v>
      </c>
      <c r="AD297" s="154">
        <v>1039.2</v>
      </c>
      <c r="AG297" s="157" t="s">
        <v>15</v>
      </c>
      <c r="AH297" s="155">
        <v>1.2099999999999999E-3</v>
      </c>
      <c r="AI297" s="155">
        <f t="shared" si="4"/>
        <v>8.1568855428599228E-3</v>
      </c>
      <c r="AJ297" s="155">
        <v>1.3042494953525521E-3</v>
      </c>
    </row>
    <row r="298" spans="1:36" s="160" customFormat="1">
      <c r="A298" s="153" t="s">
        <v>1213</v>
      </c>
      <c r="B298" s="160">
        <v>13498</v>
      </c>
      <c r="C298" s="153" t="s">
        <v>2211</v>
      </c>
      <c r="D298" s="153" t="s">
        <v>2212</v>
      </c>
      <c r="E298" s="153" t="s">
        <v>309</v>
      </c>
      <c r="F298" s="153" t="s">
        <v>2213</v>
      </c>
      <c r="G298" s="153" t="s">
        <v>2214</v>
      </c>
      <c r="H298" s="153" t="s">
        <v>321</v>
      </c>
      <c r="I298" s="153" t="s">
        <v>951</v>
      </c>
      <c r="J298" s="153" t="s">
        <v>204</v>
      </c>
      <c r="K298" s="153" t="s">
        <v>204</v>
      </c>
      <c r="L298" s="153" t="s">
        <v>325</v>
      </c>
      <c r="M298" s="153" t="s">
        <v>340</v>
      </c>
      <c r="N298" s="153" t="s">
        <v>454</v>
      </c>
      <c r="O298" s="153" t="s">
        <v>339</v>
      </c>
      <c r="P298" s="153" t="s">
        <v>1527</v>
      </c>
      <c r="Q298" s="153" t="s">
        <v>415</v>
      </c>
      <c r="R298" s="153" t="s">
        <v>407</v>
      </c>
      <c r="S298" s="153" t="s">
        <v>1212</v>
      </c>
      <c r="T298" s="154">
        <v>3.82</v>
      </c>
      <c r="U298" s="153" t="s">
        <v>2215</v>
      </c>
      <c r="V298" s="155">
        <v>5.1189999999999999E-2</v>
      </c>
      <c r="W298" s="155">
        <v>6.5299999999999997E-2</v>
      </c>
      <c r="X298" s="153" t="s">
        <v>412</v>
      </c>
      <c r="Y298" s="153" t="s">
        <v>339</v>
      </c>
      <c r="Z298" s="154">
        <v>1000000</v>
      </c>
      <c r="AA298" s="154">
        <v>1</v>
      </c>
      <c r="AB298" s="154">
        <v>103.07</v>
      </c>
      <c r="AD298" s="154">
        <v>1030.7</v>
      </c>
      <c r="AG298" s="157" t="s">
        <v>15</v>
      </c>
      <c r="AH298" s="155">
        <v>7.5000000000000002E-4</v>
      </c>
      <c r="AI298" s="155">
        <f t="shared" si="4"/>
        <v>8.0901673681925725E-3</v>
      </c>
      <c r="AJ298" s="155">
        <v>1.2935815577943374E-3</v>
      </c>
    </row>
    <row r="299" spans="1:36" s="160" customFormat="1">
      <c r="A299" s="153" t="s">
        <v>1213</v>
      </c>
      <c r="B299" s="160">
        <v>13498</v>
      </c>
      <c r="C299" s="153" t="s">
        <v>2211</v>
      </c>
      <c r="D299" s="153" t="s">
        <v>2212</v>
      </c>
      <c r="E299" s="153" t="s">
        <v>309</v>
      </c>
      <c r="F299" s="153" t="s">
        <v>2216</v>
      </c>
      <c r="G299" s="153" t="s">
        <v>2217</v>
      </c>
      <c r="H299" s="153" t="s">
        <v>321</v>
      </c>
      <c r="I299" s="153" t="s">
        <v>951</v>
      </c>
      <c r="J299" s="153" t="s">
        <v>204</v>
      </c>
      <c r="K299" s="153" t="s">
        <v>204</v>
      </c>
      <c r="L299" s="153" t="s">
        <v>325</v>
      </c>
      <c r="M299" s="153" t="s">
        <v>340</v>
      </c>
      <c r="N299" s="153" t="s">
        <v>454</v>
      </c>
      <c r="O299" s="153" t="s">
        <v>339</v>
      </c>
      <c r="P299" s="153" t="s">
        <v>1527</v>
      </c>
      <c r="Q299" s="153" t="s">
        <v>415</v>
      </c>
      <c r="R299" s="153" t="s">
        <v>407</v>
      </c>
      <c r="S299" s="153" t="s">
        <v>1212</v>
      </c>
      <c r="T299" s="154">
        <v>5.33</v>
      </c>
      <c r="U299" s="153" t="s">
        <v>1732</v>
      </c>
      <c r="V299" s="155">
        <v>6.25E-2</v>
      </c>
      <c r="W299" s="155">
        <v>6.5500000000000003E-2</v>
      </c>
      <c r="X299" s="153" t="s">
        <v>412</v>
      </c>
      <c r="Y299" s="153" t="s">
        <v>339</v>
      </c>
      <c r="Z299" s="154">
        <v>995000</v>
      </c>
      <c r="AA299" s="154">
        <v>1</v>
      </c>
      <c r="AB299" s="154">
        <v>101.21</v>
      </c>
      <c r="AD299" s="154">
        <v>1007.04</v>
      </c>
      <c r="AG299" s="157" t="s">
        <v>15</v>
      </c>
      <c r="AH299" s="155">
        <v>1E-3</v>
      </c>
      <c r="AI299" s="155">
        <f t="shared" si="4"/>
        <v>7.9044553667067512E-3</v>
      </c>
      <c r="AJ299" s="155">
        <v>1.2638870398381775E-3</v>
      </c>
    </row>
    <row r="300" spans="1:36" s="160" customFormat="1">
      <c r="A300" s="153" t="s">
        <v>1213</v>
      </c>
      <c r="B300" s="160">
        <v>13498</v>
      </c>
      <c r="C300" s="153" t="s">
        <v>2128</v>
      </c>
      <c r="D300" s="153" t="s">
        <v>2129</v>
      </c>
      <c r="E300" s="153" t="s">
        <v>309</v>
      </c>
      <c r="F300" s="153" t="s">
        <v>2218</v>
      </c>
      <c r="G300" s="153" t="s">
        <v>2219</v>
      </c>
      <c r="H300" s="153" t="s">
        <v>321</v>
      </c>
      <c r="I300" s="153" t="s">
        <v>951</v>
      </c>
      <c r="J300" s="153" t="s">
        <v>204</v>
      </c>
      <c r="K300" s="153" t="s">
        <v>204</v>
      </c>
      <c r="L300" s="153" t="s">
        <v>325</v>
      </c>
      <c r="M300" s="153" t="s">
        <v>340</v>
      </c>
      <c r="N300" s="153" t="s">
        <v>445</v>
      </c>
      <c r="O300" s="153" t="s">
        <v>339</v>
      </c>
      <c r="P300" s="153" t="s">
        <v>1538</v>
      </c>
      <c r="Q300" s="153" t="s">
        <v>413</v>
      </c>
      <c r="R300" s="153" t="s">
        <v>407</v>
      </c>
      <c r="S300" s="153" t="s">
        <v>1212</v>
      </c>
      <c r="T300" s="154">
        <v>4.24</v>
      </c>
      <c r="U300" s="153" t="s">
        <v>1732</v>
      </c>
      <c r="V300" s="155">
        <v>4.4609999999999997E-2</v>
      </c>
      <c r="W300" s="155">
        <v>5.5100000000000003E-2</v>
      </c>
      <c r="X300" s="153" t="s">
        <v>412</v>
      </c>
      <c r="Y300" s="153" t="s">
        <v>339</v>
      </c>
      <c r="Z300" s="154">
        <v>1158054</v>
      </c>
      <c r="AA300" s="154">
        <v>1</v>
      </c>
      <c r="AB300" s="154">
        <v>86.54</v>
      </c>
      <c r="AD300" s="154">
        <v>1002.18</v>
      </c>
      <c r="AG300" s="157" t="s">
        <v>15</v>
      </c>
      <c r="AH300" s="155">
        <v>1.89E-3</v>
      </c>
      <c r="AI300" s="155">
        <f t="shared" si="4"/>
        <v>7.8663082691910659E-3</v>
      </c>
      <c r="AJ300" s="155">
        <v>1.2577874896578336E-3</v>
      </c>
    </row>
    <row r="301" spans="1:36" s="160" customFormat="1">
      <c r="A301" s="153" t="s">
        <v>1213</v>
      </c>
      <c r="B301" s="160">
        <v>13498</v>
      </c>
      <c r="C301" s="153" t="s">
        <v>1512</v>
      </c>
      <c r="D301" s="153" t="s">
        <v>1513</v>
      </c>
      <c r="E301" s="153" t="s">
        <v>309</v>
      </c>
      <c r="F301" s="153" t="s">
        <v>2220</v>
      </c>
      <c r="G301" s="153" t="s">
        <v>2221</v>
      </c>
      <c r="H301" s="153" t="s">
        <v>321</v>
      </c>
      <c r="I301" s="153" t="s">
        <v>951</v>
      </c>
      <c r="J301" s="153" t="s">
        <v>204</v>
      </c>
      <c r="K301" s="153" t="s">
        <v>204</v>
      </c>
      <c r="L301" s="153" t="s">
        <v>325</v>
      </c>
      <c r="M301" s="153" t="s">
        <v>340</v>
      </c>
      <c r="N301" s="153" t="s">
        <v>448</v>
      </c>
      <c r="O301" s="153" t="s">
        <v>339</v>
      </c>
      <c r="P301" s="153" t="s">
        <v>1215</v>
      </c>
      <c r="Q301" s="153" t="s">
        <v>413</v>
      </c>
      <c r="R301" s="153" t="s">
        <v>407</v>
      </c>
      <c r="S301" s="153" t="s">
        <v>1212</v>
      </c>
      <c r="T301" s="154">
        <v>0.68</v>
      </c>
      <c r="U301" s="153" t="s">
        <v>2222</v>
      </c>
      <c r="V301" s="155">
        <v>2.121E-2</v>
      </c>
      <c r="W301" s="155">
        <v>4.4600000000000001E-2</v>
      </c>
      <c r="X301" s="153" t="s">
        <v>412</v>
      </c>
      <c r="Y301" s="153" t="s">
        <v>339</v>
      </c>
      <c r="Z301" s="154">
        <v>1000000</v>
      </c>
      <c r="AA301" s="154">
        <v>1</v>
      </c>
      <c r="AB301" s="154">
        <v>99.95</v>
      </c>
      <c r="AD301" s="154">
        <v>999.5</v>
      </c>
      <c r="AG301" s="157" t="s">
        <v>15</v>
      </c>
      <c r="AH301" s="155">
        <v>3.8999999999999999E-4</v>
      </c>
      <c r="AI301" s="155">
        <f t="shared" si="4"/>
        <v>7.8452724211783027E-3</v>
      </c>
      <c r="AJ301" s="155">
        <v>1.2544239516983024E-3</v>
      </c>
    </row>
    <row r="302" spans="1:36" s="160" customFormat="1">
      <c r="A302" s="153" t="s">
        <v>1213</v>
      </c>
      <c r="B302" s="160">
        <v>13498</v>
      </c>
      <c r="C302" s="153" t="s">
        <v>2223</v>
      </c>
      <c r="D302" s="153" t="s">
        <v>2224</v>
      </c>
      <c r="E302" s="153" t="s">
        <v>309</v>
      </c>
      <c r="F302" s="153" t="s">
        <v>2225</v>
      </c>
      <c r="G302" s="153" t="s">
        <v>2226</v>
      </c>
      <c r="H302" s="153" t="s">
        <v>321</v>
      </c>
      <c r="I302" s="153" t="s">
        <v>951</v>
      </c>
      <c r="J302" s="153" t="s">
        <v>204</v>
      </c>
      <c r="K302" s="153" t="s">
        <v>204</v>
      </c>
      <c r="L302" s="153" t="s">
        <v>325</v>
      </c>
      <c r="M302" s="153" t="s">
        <v>340</v>
      </c>
      <c r="N302" s="153" t="s">
        <v>464</v>
      </c>
      <c r="O302" s="153" t="s">
        <v>339</v>
      </c>
      <c r="P302" s="153" t="s">
        <v>1538</v>
      </c>
      <c r="Q302" s="153" t="s">
        <v>413</v>
      </c>
      <c r="R302" s="153" t="s">
        <v>407</v>
      </c>
      <c r="S302" s="153" t="s">
        <v>1212</v>
      </c>
      <c r="T302" s="154">
        <v>4.58</v>
      </c>
      <c r="U302" s="153" t="s">
        <v>2227</v>
      </c>
      <c r="V302" s="155">
        <v>4.5839999999999999E-2</v>
      </c>
      <c r="W302" s="155">
        <v>5.6599999999999998E-2</v>
      </c>
      <c r="X302" s="153" t="s">
        <v>412</v>
      </c>
      <c r="Y302" s="153" t="s">
        <v>339</v>
      </c>
      <c r="Z302" s="154">
        <v>1000000</v>
      </c>
      <c r="AA302" s="154">
        <v>1</v>
      </c>
      <c r="AB302" s="154">
        <v>98.12</v>
      </c>
      <c r="AD302" s="154">
        <v>981.2</v>
      </c>
      <c r="AG302" s="157" t="s">
        <v>15</v>
      </c>
      <c r="AH302" s="155">
        <v>3.3300000000000001E-3</v>
      </c>
      <c r="AI302" s="155">
        <f t="shared" si="4"/>
        <v>7.7016321157180097E-3</v>
      </c>
      <c r="AJ302" s="155">
        <v>1.2314565096612051E-3</v>
      </c>
    </row>
    <row r="303" spans="1:36" s="160" customFormat="1">
      <c r="A303" s="153" t="s">
        <v>1213</v>
      </c>
      <c r="B303" s="160">
        <v>13498</v>
      </c>
      <c r="C303" s="153" t="s">
        <v>1769</v>
      </c>
      <c r="D303" s="153" t="s">
        <v>1770</v>
      </c>
      <c r="E303" s="153" t="s">
        <v>309</v>
      </c>
      <c r="F303" s="153" t="s">
        <v>1771</v>
      </c>
      <c r="G303" s="153" t="s">
        <v>1772</v>
      </c>
      <c r="H303" s="153" t="s">
        <v>321</v>
      </c>
      <c r="I303" s="153" t="s">
        <v>754</v>
      </c>
      <c r="J303" s="153" t="s">
        <v>204</v>
      </c>
      <c r="K303" s="153" t="s">
        <v>204</v>
      </c>
      <c r="L303" s="153" t="s">
        <v>325</v>
      </c>
      <c r="M303" s="153" t="s">
        <v>340</v>
      </c>
      <c r="N303" s="153" t="s">
        <v>464</v>
      </c>
      <c r="O303" s="153" t="s">
        <v>339</v>
      </c>
      <c r="P303" s="153" t="s">
        <v>1560</v>
      </c>
      <c r="Q303" s="153" t="s">
        <v>413</v>
      </c>
      <c r="R303" s="153" t="s">
        <v>407</v>
      </c>
      <c r="S303" s="153" t="s">
        <v>1212</v>
      </c>
      <c r="T303" s="154">
        <v>4.05</v>
      </c>
      <c r="U303" s="153" t="s">
        <v>1587</v>
      </c>
      <c r="V303" s="155">
        <v>3.5839999999999997E-2</v>
      </c>
      <c r="W303" s="155">
        <v>3.9E-2</v>
      </c>
      <c r="X303" s="153" t="s">
        <v>412</v>
      </c>
      <c r="Y303" s="153" t="s">
        <v>339</v>
      </c>
      <c r="Z303" s="154">
        <v>900526</v>
      </c>
      <c r="AA303" s="154">
        <v>1</v>
      </c>
      <c r="AB303" s="154">
        <v>106.27</v>
      </c>
      <c r="AD303" s="154">
        <v>956.98900000000003</v>
      </c>
      <c r="AG303" s="157" t="s">
        <v>15</v>
      </c>
      <c r="AH303" s="155">
        <v>5.1999999999999995E-4</v>
      </c>
      <c r="AI303" s="155">
        <f t="shared" si="4"/>
        <v>7.5115952066743394E-3</v>
      </c>
      <c r="AJ303" s="155">
        <v>1.2010704583409772E-3</v>
      </c>
    </row>
    <row r="304" spans="1:36" s="160" customFormat="1">
      <c r="A304" s="153" t="s">
        <v>1213</v>
      </c>
      <c r="B304" s="160">
        <v>13498</v>
      </c>
      <c r="C304" s="153" t="s">
        <v>2228</v>
      </c>
      <c r="D304" s="153" t="s">
        <v>2229</v>
      </c>
      <c r="E304" s="153" t="s">
        <v>309</v>
      </c>
      <c r="F304" s="153" t="s">
        <v>2230</v>
      </c>
      <c r="G304" s="153" t="s">
        <v>2231</v>
      </c>
      <c r="H304" s="153" t="s">
        <v>321</v>
      </c>
      <c r="I304" s="153" t="s">
        <v>951</v>
      </c>
      <c r="J304" s="153" t="s">
        <v>204</v>
      </c>
      <c r="K304" s="153" t="s">
        <v>204</v>
      </c>
      <c r="L304" s="153" t="s">
        <v>325</v>
      </c>
      <c r="M304" s="153" t="s">
        <v>340</v>
      </c>
      <c r="N304" s="153" t="s">
        <v>441</v>
      </c>
      <c r="O304" s="153" t="s">
        <v>339</v>
      </c>
      <c r="P304" s="153" t="s">
        <v>1614</v>
      </c>
      <c r="Q304" s="153" t="s">
        <v>415</v>
      </c>
      <c r="R304" s="153" t="s">
        <v>407</v>
      </c>
      <c r="S304" s="153" t="s">
        <v>1212</v>
      </c>
      <c r="T304" s="154">
        <v>1.74</v>
      </c>
      <c r="U304" s="153" t="s">
        <v>2232</v>
      </c>
      <c r="V304" s="155">
        <v>4.0090000000000001E-2</v>
      </c>
      <c r="W304" s="155">
        <v>5.7200000000000001E-2</v>
      </c>
      <c r="X304" s="153" t="s">
        <v>412</v>
      </c>
      <c r="Y304" s="153" t="s">
        <v>339</v>
      </c>
      <c r="Z304" s="154">
        <v>924705.88</v>
      </c>
      <c r="AA304" s="154">
        <v>1</v>
      </c>
      <c r="AB304" s="154">
        <v>96.61</v>
      </c>
      <c r="AD304" s="154">
        <v>893.35799999999995</v>
      </c>
      <c r="AG304" s="157" t="s">
        <v>15</v>
      </c>
      <c r="AH304" s="155">
        <v>1.4400000000000001E-3</v>
      </c>
      <c r="AI304" s="155">
        <f t="shared" si="4"/>
        <v>7.0121429511145628E-3</v>
      </c>
      <c r="AJ304" s="155">
        <v>1.1212102777801822E-3</v>
      </c>
    </row>
    <row r="305" spans="1:36" s="160" customFormat="1">
      <c r="A305" s="153" t="s">
        <v>1213</v>
      </c>
      <c r="B305" s="160">
        <v>13498</v>
      </c>
      <c r="C305" s="153" t="s">
        <v>1624</v>
      </c>
      <c r="D305" s="153" t="s">
        <v>1625</v>
      </c>
      <c r="E305" s="153" t="s">
        <v>309</v>
      </c>
      <c r="F305" s="153" t="s">
        <v>2233</v>
      </c>
      <c r="G305" s="153" t="s">
        <v>2234</v>
      </c>
      <c r="H305" s="153" t="s">
        <v>321</v>
      </c>
      <c r="I305" s="153" t="s">
        <v>951</v>
      </c>
      <c r="J305" s="153" t="s">
        <v>204</v>
      </c>
      <c r="K305" s="153" t="s">
        <v>204</v>
      </c>
      <c r="L305" s="153" t="s">
        <v>325</v>
      </c>
      <c r="M305" s="153" t="s">
        <v>340</v>
      </c>
      <c r="N305" s="153" t="s">
        <v>447</v>
      </c>
      <c r="O305" s="153" t="s">
        <v>339</v>
      </c>
      <c r="P305" s="153" t="s">
        <v>1614</v>
      </c>
      <c r="Q305" s="153" t="s">
        <v>415</v>
      </c>
      <c r="R305" s="153" t="s">
        <v>407</v>
      </c>
      <c r="S305" s="153" t="s">
        <v>1212</v>
      </c>
      <c r="T305" s="154">
        <v>3.45</v>
      </c>
      <c r="U305" s="153" t="s">
        <v>1913</v>
      </c>
      <c r="V305" s="155">
        <v>6.1949999999999998E-2</v>
      </c>
      <c r="W305" s="155">
        <v>6.2199999999999998E-2</v>
      </c>
      <c r="X305" s="153" t="s">
        <v>412</v>
      </c>
      <c r="Y305" s="153" t="s">
        <v>339</v>
      </c>
      <c r="Z305" s="154">
        <v>800000</v>
      </c>
      <c r="AA305" s="154">
        <v>1</v>
      </c>
      <c r="AB305" s="154">
        <v>101.61</v>
      </c>
      <c r="AD305" s="154">
        <v>812.88</v>
      </c>
      <c r="AG305" s="157" t="s">
        <v>15</v>
      </c>
      <c r="AH305" s="155">
        <v>6.6699999999999997E-3</v>
      </c>
      <c r="AI305" s="155">
        <f t="shared" si="4"/>
        <v>6.3804552733641006E-3</v>
      </c>
      <c r="AJ305" s="155">
        <v>1.0202062449790057E-3</v>
      </c>
    </row>
    <row r="306" spans="1:36" s="160" customFormat="1">
      <c r="A306" s="153" t="s">
        <v>1213</v>
      </c>
      <c r="B306" s="160">
        <v>13498</v>
      </c>
      <c r="C306" s="153" t="s">
        <v>1728</v>
      </c>
      <c r="D306" s="153" t="s">
        <v>1729</v>
      </c>
      <c r="E306" s="153" t="s">
        <v>309</v>
      </c>
      <c r="F306" s="153" t="s">
        <v>2235</v>
      </c>
      <c r="G306" s="153" t="s">
        <v>2236</v>
      </c>
      <c r="H306" s="153" t="s">
        <v>321</v>
      </c>
      <c r="I306" s="153" t="s">
        <v>951</v>
      </c>
      <c r="J306" s="153" t="s">
        <v>204</v>
      </c>
      <c r="K306" s="153" t="s">
        <v>204</v>
      </c>
      <c r="L306" s="153" t="s">
        <v>325</v>
      </c>
      <c r="M306" s="153" t="s">
        <v>340</v>
      </c>
      <c r="N306" s="153" t="s">
        <v>461</v>
      </c>
      <c r="O306" s="153" t="s">
        <v>339</v>
      </c>
      <c r="P306" s="153" t="s">
        <v>1614</v>
      </c>
      <c r="Q306" s="153" t="s">
        <v>415</v>
      </c>
      <c r="R306" s="153" t="s">
        <v>407</v>
      </c>
      <c r="S306" s="153" t="s">
        <v>1212</v>
      </c>
      <c r="T306" s="154">
        <v>4.47</v>
      </c>
      <c r="U306" s="153" t="s">
        <v>2237</v>
      </c>
      <c r="V306" s="155">
        <v>4.7169999999999997E-2</v>
      </c>
      <c r="W306" s="155">
        <v>6.4299999999999996E-2</v>
      </c>
      <c r="X306" s="153" t="s">
        <v>412</v>
      </c>
      <c r="Y306" s="153" t="s">
        <v>339</v>
      </c>
      <c r="Z306" s="154">
        <v>800000</v>
      </c>
      <c r="AA306" s="154">
        <v>1</v>
      </c>
      <c r="AB306" s="154">
        <v>100.53</v>
      </c>
      <c r="AD306" s="154">
        <v>804.24</v>
      </c>
      <c r="AG306" s="157" t="s">
        <v>15</v>
      </c>
      <c r="AH306" s="155">
        <v>3.8E-3</v>
      </c>
      <c r="AI306" s="155">
        <f t="shared" si="4"/>
        <v>6.312638211113995E-3</v>
      </c>
      <c r="AJ306" s="155">
        <v>1.0093626002139497E-3</v>
      </c>
    </row>
    <row r="307" spans="1:36" s="160" customFormat="1">
      <c r="A307" s="153" t="s">
        <v>1213</v>
      </c>
      <c r="B307" s="160">
        <v>13498</v>
      </c>
      <c r="C307" s="153" t="s">
        <v>2238</v>
      </c>
      <c r="D307" s="153" t="s">
        <v>2239</v>
      </c>
      <c r="E307" s="153" t="s">
        <v>309</v>
      </c>
      <c r="F307" s="153" t="s">
        <v>2240</v>
      </c>
      <c r="G307" s="153" t="s">
        <v>2241</v>
      </c>
      <c r="H307" s="153" t="s">
        <v>321</v>
      </c>
      <c r="I307" s="153" t="s">
        <v>951</v>
      </c>
      <c r="J307" s="153" t="s">
        <v>204</v>
      </c>
      <c r="K307" s="153" t="s">
        <v>204</v>
      </c>
      <c r="L307" s="153" t="s">
        <v>325</v>
      </c>
      <c r="M307" s="153" t="s">
        <v>340</v>
      </c>
      <c r="N307" s="153" t="s">
        <v>447</v>
      </c>
      <c r="O307" s="153" t="s">
        <v>339</v>
      </c>
      <c r="P307" s="153" t="s">
        <v>1544</v>
      </c>
      <c r="Q307" s="153" t="s">
        <v>415</v>
      </c>
      <c r="R307" s="153" t="s">
        <v>407</v>
      </c>
      <c r="S307" s="153" t="s">
        <v>1212</v>
      </c>
      <c r="T307" s="154">
        <v>4.87</v>
      </c>
      <c r="U307" s="153" t="s">
        <v>2114</v>
      </c>
      <c r="V307" s="155">
        <v>5.9110000000000003E-2</v>
      </c>
      <c r="W307" s="155">
        <v>6.1499999999999999E-2</v>
      </c>
      <c r="X307" s="153" t="s">
        <v>412</v>
      </c>
      <c r="Y307" s="153" t="s">
        <v>339</v>
      </c>
      <c r="Z307" s="154">
        <v>799000</v>
      </c>
      <c r="AA307" s="154">
        <v>1</v>
      </c>
      <c r="AB307" s="154">
        <v>100.45</v>
      </c>
      <c r="AD307" s="154">
        <v>802.596</v>
      </c>
      <c r="AG307" s="157" t="s">
        <v>15</v>
      </c>
      <c r="AH307" s="155">
        <v>5.2700000000000004E-3</v>
      </c>
      <c r="AI307" s="155">
        <f t="shared" si="4"/>
        <v>6.2997341312136272E-3</v>
      </c>
      <c r="AJ307" s="155">
        <v>1.0072992955850433E-3</v>
      </c>
    </row>
    <row r="308" spans="1:36" s="160" customFormat="1">
      <c r="A308" s="153" t="s">
        <v>1213</v>
      </c>
      <c r="B308" s="160">
        <v>13498</v>
      </c>
      <c r="C308" s="153" t="s">
        <v>1683</v>
      </c>
      <c r="D308" s="153" t="s">
        <v>1684</v>
      </c>
      <c r="E308" s="153" t="s">
        <v>309</v>
      </c>
      <c r="F308" s="153" t="s">
        <v>2242</v>
      </c>
      <c r="G308" s="153" t="s">
        <v>2243</v>
      </c>
      <c r="H308" s="153" t="s">
        <v>321</v>
      </c>
      <c r="I308" s="153" t="s">
        <v>952</v>
      </c>
      <c r="J308" s="153" t="s">
        <v>204</v>
      </c>
      <c r="K308" s="153" t="s">
        <v>204</v>
      </c>
      <c r="L308" s="153" t="s">
        <v>325</v>
      </c>
      <c r="M308" s="153" t="s">
        <v>340</v>
      </c>
      <c r="N308" s="153" t="s">
        <v>441</v>
      </c>
      <c r="O308" s="153" t="s">
        <v>339</v>
      </c>
      <c r="Q308" s="153" t="s">
        <v>410</v>
      </c>
      <c r="R308" s="153" t="s">
        <v>410</v>
      </c>
      <c r="S308" s="153" t="s">
        <v>1212</v>
      </c>
      <c r="T308" s="154">
        <v>3.85</v>
      </c>
      <c r="U308" s="153" t="s">
        <v>1587</v>
      </c>
      <c r="V308" s="155">
        <v>5.2839999999999998E-2</v>
      </c>
      <c r="W308" s="155">
        <v>3.49E-2</v>
      </c>
      <c r="X308" s="153" t="s">
        <v>412</v>
      </c>
      <c r="Y308" s="153" t="s">
        <v>339</v>
      </c>
      <c r="Z308" s="154">
        <v>719000</v>
      </c>
      <c r="AA308" s="154">
        <v>1</v>
      </c>
      <c r="AB308" s="154">
        <v>107.3</v>
      </c>
      <c r="AD308" s="154">
        <v>771.48699999999997</v>
      </c>
      <c r="AG308" s="157" t="s">
        <v>15</v>
      </c>
      <c r="AH308" s="155">
        <v>1.7600000000000001E-3</v>
      </c>
      <c r="AI308" s="155">
        <f t="shared" si="4"/>
        <v>6.0555534611281487E-3</v>
      </c>
      <c r="AJ308" s="155">
        <v>9.6825589917345488E-4</v>
      </c>
    </row>
    <row r="309" spans="1:36" s="160" customFormat="1">
      <c r="A309" s="153" t="s">
        <v>1213</v>
      </c>
      <c r="B309" s="160">
        <v>13498</v>
      </c>
      <c r="C309" s="153" t="s">
        <v>455</v>
      </c>
      <c r="D309" s="153" t="s">
        <v>2106</v>
      </c>
      <c r="E309" s="153" t="s">
        <v>309</v>
      </c>
      <c r="F309" s="153" t="s">
        <v>2244</v>
      </c>
      <c r="G309" s="153" t="s">
        <v>2245</v>
      </c>
      <c r="H309" s="153" t="s">
        <v>321</v>
      </c>
      <c r="I309" s="153" t="s">
        <v>754</v>
      </c>
      <c r="J309" s="153" t="s">
        <v>204</v>
      </c>
      <c r="K309" s="153" t="s">
        <v>204</v>
      </c>
      <c r="L309" s="153" t="s">
        <v>325</v>
      </c>
      <c r="M309" s="153" t="s">
        <v>340</v>
      </c>
      <c r="N309" s="153" t="s">
        <v>440</v>
      </c>
      <c r="O309" s="153" t="s">
        <v>339</v>
      </c>
      <c r="P309" s="153" t="s">
        <v>1923</v>
      </c>
      <c r="Q309" s="153" t="s">
        <v>415</v>
      </c>
      <c r="R309" s="153" t="s">
        <v>407</v>
      </c>
      <c r="S309" s="153" t="s">
        <v>1212</v>
      </c>
      <c r="T309" s="154">
        <v>2.78</v>
      </c>
      <c r="U309" s="153" t="s">
        <v>2246</v>
      </c>
      <c r="V309" s="155">
        <v>1.609E-2</v>
      </c>
      <c r="W309" s="155">
        <v>2.24E-2</v>
      </c>
      <c r="X309" s="153" t="s">
        <v>412</v>
      </c>
      <c r="Y309" s="153" t="s">
        <v>339</v>
      </c>
      <c r="Z309" s="154">
        <v>700000</v>
      </c>
      <c r="AA309" s="154">
        <v>1</v>
      </c>
      <c r="AB309" s="154">
        <v>110.06</v>
      </c>
      <c r="AD309" s="154">
        <v>770.42</v>
      </c>
      <c r="AG309" s="157" t="s">
        <v>15</v>
      </c>
      <c r="AH309" s="155">
        <v>5.8E-4</v>
      </c>
      <c r="AI309" s="155">
        <f t="shared" si="4"/>
        <v>6.0471783679081417E-3</v>
      </c>
      <c r="AJ309" s="155">
        <v>9.6691675924702957E-4</v>
      </c>
    </row>
    <row r="310" spans="1:36" s="160" customFormat="1">
      <c r="A310" s="153" t="s">
        <v>1213</v>
      </c>
      <c r="B310" s="160">
        <v>13498</v>
      </c>
      <c r="C310" s="153" t="s">
        <v>1683</v>
      </c>
      <c r="D310" s="153" t="s">
        <v>1684</v>
      </c>
      <c r="E310" s="153" t="s">
        <v>309</v>
      </c>
      <c r="F310" s="153" t="s">
        <v>2247</v>
      </c>
      <c r="G310" s="153" t="s">
        <v>2248</v>
      </c>
      <c r="H310" s="153" t="s">
        <v>321</v>
      </c>
      <c r="I310" s="153" t="s">
        <v>951</v>
      </c>
      <c r="J310" s="153" t="s">
        <v>204</v>
      </c>
      <c r="K310" s="153" t="s">
        <v>204</v>
      </c>
      <c r="L310" s="153" t="s">
        <v>325</v>
      </c>
      <c r="M310" s="153" t="s">
        <v>340</v>
      </c>
      <c r="N310" s="153" t="s">
        <v>441</v>
      </c>
      <c r="O310" s="153" t="s">
        <v>339</v>
      </c>
      <c r="P310" s="153" t="s">
        <v>1527</v>
      </c>
      <c r="Q310" s="153" t="s">
        <v>415</v>
      </c>
      <c r="R310" s="153" t="s">
        <v>407</v>
      </c>
      <c r="S310" s="153" t="s">
        <v>1212</v>
      </c>
      <c r="T310" s="154">
        <v>6.17</v>
      </c>
      <c r="U310" s="153" t="s">
        <v>2249</v>
      </c>
      <c r="V310" s="155">
        <v>6.4500000000000002E-2</v>
      </c>
      <c r="W310" s="155">
        <v>6.7500000000000004E-2</v>
      </c>
      <c r="X310" s="153" t="s">
        <v>412</v>
      </c>
      <c r="Y310" s="153" t="s">
        <v>339</v>
      </c>
      <c r="Z310" s="154">
        <v>766000</v>
      </c>
      <c r="AA310" s="154">
        <v>1</v>
      </c>
      <c r="AB310" s="154">
        <v>100.53</v>
      </c>
      <c r="AD310" s="154">
        <v>770.06</v>
      </c>
      <c r="AG310" s="157" t="s">
        <v>15</v>
      </c>
      <c r="AH310" s="155">
        <v>2.16E-3</v>
      </c>
      <c r="AI310" s="155">
        <f t="shared" si="4"/>
        <v>6.0443526569810531E-3</v>
      </c>
      <c r="AJ310" s="155">
        <v>9.6646494071515225E-4</v>
      </c>
    </row>
    <row r="311" spans="1:36" s="160" customFormat="1">
      <c r="A311" s="153" t="s">
        <v>1213</v>
      </c>
      <c r="B311" s="160">
        <v>13498</v>
      </c>
      <c r="C311" s="153" t="s">
        <v>2250</v>
      </c>
      <c r="D311" s="153" t="s">
        <v>2251</v>
      </c>
      <c r="E311" s="153" t="s">
        <v>309</v>
      </c>
      <c r="F311" s="153" t="s">
        <v>2252</v>
      </c>
      <c r="G311" s="153" t="s">
        <v>2253</v>
      </c>
      <c r="H311" s="153" t="s">
        <v>321</v>
      </c>
      <c r="I311" s="153" t="s">
        <v>754</v>
      </c>
      <c r="J311" s="153" t="s">
        <v>204</v>
      </c>
      <c r="K311" s="153" t="s">
        <v>204</v>
      </c>
      <c r="L311" s="153" t="s">
        <v>325</v>
      </c>
      <c r="M311" s="153" t="s">
        <v>340</v>
      </c>
      <c r="N311" s="153" t="s">
        <v>448</v>
      </c>
      <c r="O311" s="153" t="s">
        <v>339</v>
      </c>
      <c r="P311" s="153" t="s">
        <v>1215</v>
      </c>
      <c r="Q311" s="153" t="s">
        <v>413</v>
      </c>
      <c r="R311" s="153" t="s">
        <v>407</v>
      </c>
      <c r="S311" s="153" t="s">
        <v>1212</v>
      </c>
      <c r="T311" s="154">
        <v>0.94</v>
      </c>
      <c r="U311" s="153" t="s">
        <v>2254</v>
      </c>
      <c r="V311" s="155">
        <v>1.2710000000000001E-2</v>
      </c>
      <c r="W311" s="155">
        <v>1.9699999999999999E-2</v>
      </c>
      <c r="X311" s="153" t="s">
        <v>412</v>
      </c>
      <c r="Y311" s="153" t="s">
        <v>339</v>
      </c>
      <c r="Z311" s="154">
        <v>675000</v>
      </c>
      <c r="AA311" s="154">
        <v>1</v>
      </c>
      <c r="AB311" s="154">
        <v>112.67</v>
      </c>
      <c r="AD311" s="154">
        <v>760.52300000000002</v>
      </c>
      <c r="AG311" s="157" t="s">
        <v>15</v>
      </c>
      <c r="AH311" s="155">
        <v>4.4999999999999999E-4</v>
      </c>
      <c r="AI311" s="155">
        <f t="shared" si="4"/>
        <v>5.9694948650042884E-3</v>
      </c>
      <c r="AJ311" s="155">
        <v>9.5449551477483547E-4</v>
      </c>
    </row>
    <row r="312" spans="1:36" s="160" customFormat="1">
      <c r="A312" s="153" t="s">
        <v>1213</v>
      </c>
      <c r="B312" s="160">
        <v>13498</v>
      </c>
      <c r="C312" s="153" t="s">
        <v>1634</v>
      </c>
      <c r="D312" s="153" t="s">
        <v>1635</v>
      </c>
      <c r="E312" s="153" t="s">
        <v>309</v>
      </c>
      <c r="F312" s="153" t="s">
        <v>1763</v>
      </c>
      <c r="G312" s="153" t="s">
        <v>1764</v>
      </c>
      <c r="H312" s="153" t="s">
        <v>321</v>
      </c>
      <c r="I312" s="153" t="s">
        <v>951</v>
      </c>
      <c r="J312" s="153" t="s">
        <v>204</v>
      </c>
      <c r="K312" s="153" t="s">
        <v>204</v>
      </c>
      <c r="L312" s="153" t="s">
        <v>325</v>
      </c>
      <c r="M312" s="153" t="s">
        <v>340</v>
      </c>
      <c r="N312" s="153" t="s">
        <v>454</v>
      </c>
      <c r="O312" s="153" t="s">
        <v>339</v>
      </c>
      <c r="P312" s="153" t="s">
        <v>1554</v>
      </c>
      <c r="Q312" s="153" t="s">
        <v>413</v>
      </c>
      <c r="R312" s="153" t="s">
        <v>407</v>
      </c>
      <c r="S312" s="153" t="s">
        <v>1212</v>
      </c>
      <c r="T312" s="154">
        <v>3.75</v>
      </c>
      <c r="U312" s="153" t="s">
        <v>1765</v>
      </c>
      <c r="V312" s="155">
        <v>5.228E-2</v>
      </c>
      <c r="W312" s="155">
        <v>6.5699999999999995E-2</v>
      </c>
      <c r="X312" s="153" t="s">
        <v>412</v>
      </c>
      <c r="Y312" s="153" t="s">
        <v>339</v>
      </c>
      <c r="Z312" s="154">
        <v>750000</v>
      </c>
      <c r="AA312" s="154">
        <v>1</v>
      </c>
      <c r="AB312" s="154">
        <v>100.86</v>
      </c>
      <c r="AD312" s="154">
        <v>756.45</v>
      </c>
      <c r="AG312" s="157" t="s">
        <v>15</v>
      </c>
      <c r="AH312" s="155">
        <v>8.1999999999999998E-4</v>
      </c>
      <c r="AI312" s="155">
        <f t="shared" si="4"/>
        <v>5.9375250855430986E-3</v>
      </c>
      <c r="AJ312" s="155">
        <v>9.4938369010723453E-4</v>
      </c>
    </row>
    <row r="313" spans="1:36" s="160" customFormat="1">
      <c r="A313" s="153" t="s">
        <v>1213</v>
      </c>
      <c r="B313" s="160">
        <v>13498</v>
      </c>
      <c r="C313" s="153" t="s">
        <v>1600</v>
      </c>
      <c r="D313" s="153" t="s">
        <v>1601</v>
      </c>
      <c r="E313" s="153" t="s">
        <v>309</v>
      </c>
      <c r="F313" s="153" t="s">
        <v>1954</v>
      </c>
      <c r="G313" s="153" t="s">
        <v>1955</v>
      </c>
      <c r="H313" s="153" t="s">
        <v>321</v>
      </c>
      <c r="I313" s="153" t="s">
        <v>754</v>
      </c>
      <c r="J313" s="153" t="s">
        <v>204</v>
      </c>
      <c r="K313" s="153" t="s">
        <v>204</v>
      </c>
      <c r="L313" s="153" t="s">
        <v>325</v>
      </c>
      <c r="M313" s="153" t="s">
        <v>340</v>
      </c>
      <c r="N313" s="153" t="s">
        <v>448</v>
      </c>
      <c r="O313" s="153" t="s">
        <v>339</v>
      </c>
      <c r="P313" s="153" t="s">
        <v>1215</v>
      </c>
      <c r="Q313" s="153" t="s">
        <v>413</v>
      </c>
      <c r="R313" s="153" t="s">
        <v>407</v>
      </c>
      <c r="S313" s="153" t="s">
        <v>1212</v>
      </c>
      <c r="T313" s="154">
        <v>3.02</v>
      </c>
      <c r="U313" s="153" t="s">
        <v>1956</v>
      </c>
      <c r="V313" s="155">
        <v>1.7500000000000002E-2</v>
      </c>
      <c r="W313" s="155">
        <v>2.35E-2</v>
      </c>
      <c r="X313" s="153" t="s">
        <v>412</v>
      </c>
      <c r="Y313" s="153" t="s">
        <v>339</v>
      </c>
      <c r="Z313" s="154">
        <v>660052.39</v>
      </c>
      <c r="AA313" s="154">
        <v>1</v>
      </c>
      <c r="AB313" s="154">
        <v>114.28</v>
      </c>
      <c r="AD313" s="154">
        <v>754.30799999999999</v>
      </c>
      <c r="AG313" s="157" t="s">
        <v>15</v>
      </c>
      <c r="AH313" s="155">
        <v>2.5000000000000001E-4</v>
      </c>
      <c r="AI313" s="155">
        <f t="shared" si="4"/>
        <v>5.9207121055269265E-3</v>
      </c>
      <c r="AJ313" s="155">
        <v>9.4669536984256434E-4</v>
      </c>
    </row>
    <row r="314" spans="1:36" s="160" customFormat="1">
      <c r="A314" s="153" t="s">
        <v>1213</v>
      </c>
      <c r="B314" s="160">
        <v>13498</v>
      </c>
      <c r="C314" s="153" t="s">
        <v>455</v>
      </c>
      <c r="D314" s="153" t="s">
        <v>2106</v>
      </c>
      <c r="E314" s="153" t="s">
        <v>309</v>
      </c>
      <c r="F314" s="153" t="s">
        <v>2255</v>
      </c>
      <c r="G314" s="153" t="s">
        <v>2256</v>
      </c>
      <c r="H314" s="153" t="s">
        <v>321</v>
      </c>
      <c r="I314" s="153" t="s">
        <v>754</v>
      </c>
      <c r="J314" s="153" t="s">
        <v>204</v>
      </c>
      <c r="K314" s="153" t="s">
        <v>204</v>
      </c>
      <c r="L314" s="153" t="s">
        <v>325</v>
      </c>
      <c r="M314" s="153" t="s">
        <v>340</v>
      </c>
      <c r="N314" s="153" t="s">
        <v>440</v>
      </c>
      <c r="O314" s="153" t="s">
        <v>339</v>
      </c>
      <c r="P314" s="153" t="s">
        <v>1923</v>
      </c>
      <c r="Q314" s="153" t="s">
        <v>415</v>
      </c>
      <c r="R314" s="153" t="s">
        <v>407</v>
      </c>
      <c r="S314" s="153" t="s">
        <v>1212</v>
      </c>
      <c r="T314" s="154">
        <v>5.8</v>
      </c>
      <c r="U314" s="153" t="s">
        <v>2257</v>
      </c>
      <c r="V314" s="155">
        <v>6.0099999999999997E-3</v>
      </c>
      <c r="W314" s="155">
        <v>2.92E-2</v>
      </c>
      <c r="X314" s="153" t="s">
        <v>412</v>
      </c>
      <c r="Y314" s="153" t="s">
        <v>339</v>
      </c>
      <c r="Z314" s="154">
        <v>653290</v>
      </c>
      <c r="AA314" s="154">
        <v>1</v>
      </c>
      <c r="AB314" s="154">
        <v>111.74</v>
      </c>
      <c r="AD314" s="154">
        <v>729.98599999999999</v>
      </c>
      <c r="AG314" s="157" t="s">
        <v>15</v>
      </c>
      <c r="AH314" s="155">
        <v>1.7000000000000001E-4</v>
      </c>
      <c r="AI314" s="155">
        <f t="shared" si="4"/>
        <v>5.7298039356140709E-3</v>
      </c>
      <c r="AJ314" s="155">
        <v>9.1617000780834111E-4</v>
      </c>
    </row>
    <row r="315" spans="1:36" s="160" customFormat="1">
      <c r="A315" s="153" t="s">
        <v>1213</v>
      </c>
      <c r="B315" s="160">
        <v>13498</v>
      </c>
      <c r="C315" s="153" t="s">
        <v>2178</v>
      </c>
      <c r="D315" s="153" t="s">
        <v>2179</v>
      </c>
      <c r="E315" s="153" t="s">
        <v>309</v>
      </c>
      <c r="F315" s="153" t="s">
        <v>2258</v>
      </c>
      <c r="G315" s="153" t="s">
        <v>2259</v>
      </c>
      <c r="H315" s="153" t="s">
        <v>321</v>
      </c>
      <c r="I315" s="153" t="s">
        <v>951</v>
      </c>
      <c r="J315" s="153" t="s">
        <v>204</v>
      </c>
      <c r="K315" s="153" t="s">
        <v>204</v>
      </c>
      <c r="L315" s="153" t="s">
        <v>325</v>
      </c>
      <c r="M315" s="153" t="s">
        <v>340</v>
      </c>
      <c r="N315" s="153" t="s">
        <v>464</v>
      </c>
      <c r="O315" s="153" t="s">
        <v>339</v>
      </c>
      <c r="P315" s="153" t="s">
        <v>1566</v>
      </c>
      <c r="Q315" s="153" t="s">
        <v>413</v>
      </c>
      <c r="R315" s="153" t="s">
        <v>407</v>
      </c>
      <c r="S315" s="153" t="s">
        <v>1212</v>
      </c>
      <c r="T315" s="154">
        <v>4.33</v>
      </c>
      <c r="U315" s="153" t="s">
        <v>2260</v>
      </c>
      <c r="V315" s="155">
        <v>4.6109999999999998E-2</v>
      </c>
      <c r="W315" s="155">
        <v>6.3299999999999995E-2</v>
      </c>
      <c r="X315" s="153" t="s">
        <v>412</v>
      </c>
      <c r="Y315" s="153" t="s">
        <v>339</v>
      </c>
      <c r="Z315" s="154">
        <v>823641.78</v>
      </c>
      <c r="AA315" s="154">
        <v>1</v>
      </c>
      <c r="AB315" s="154">
        <v>86.08</v>
      </c>
      <c r="AD315" s="154">
        <v>708.99099999999999</v>
      </c>
      <c r="AG315" s="157" t="s">
        <v>15</v>
      </c>
      <c r="AH315" s="155">
        <v>4.0000000000000002E-4</v>
      </c>
      <c r="AI315" s="155">
        <f t="shared" si="4"/>
        <v>5.565010044185718E-3</v>
      </c>
      <c r="AJ315" s="155">
        <v>8.8982020203955093E-4</v>
      </c>
    </row>
    <row r="316" spans="1:36" s="160" customFormat="1">
      <c r="A316" s="153" t="s">
        <v>1213</v>
      </c>
      <c r="B316" s="160">
        <v>13498</v>
      </c>
      <c r="C316" s="153" t="s">
        <v>1807</v>
      </c>
      <c r="D316" s="153" t="s">
        <v>1808</v>
      </c>
      <c r="E316" s="153" t="s">
        <v>309</v>
      </c>
      <c r="F316" s="153" t="s">
        <v>1809</v>
      </c>
      <c r="G316" s="153" t="s">
        <v>1810</v>
      </c>
      <c r="H316" s="153" t="s">
        <v>321</v>
      </c>
      <c r="I316" s="153" t="s">
        <v>754</v>
      </c>
      <c r="J316" s="153" t="s">
        <v>204</v>
      </c>
      <c r="K316" s="153" t="s">
        <v>204</v>
      </c>
      <c r="L316" s="153" t="s">
        <v>325</v>
      </c>
      <c r="M316" s="153" t="s">
        <v>340</v>
      </c>
      <c r="N316" s="153" t="s">
        <v>464</v>
      </c>
      <c r="O316" s="153" t="s">
        <v>339</v>
      </c>
      <c r="P316" s="153" t="s">
        <v>1811</v>
      </c>
      <c r="Q316" s="153" t="s">
        <v>413</v>
      </c>
      <c r="R316" s="153" t="s">
        <v>407</v>
      </c>
      <c r="S316" s="153" t="s">
        <v>1212</v>
      </c>
      <c r="T316" s="154">
        <v>6.92</v>
      </c>
      <c r="U316" s="153" t="s">
        <v>1812</v>
      </c>
      <c r="V316" s="155">
        <v>2.6249999999999999E-2</v>
      </c>
      <c r="W316" s="155">
        <v>3.3399999999999999E-2</v>
      </c>
      <c r="X316" s="153" t="s">
        <v>412</v>
      </c>
      <c r="Y316" s="153" t="s">
        <v>339</v>
      </c>
      <c r="Z316" s="154">
        <v>714500</v>
      </c>
      <c r="AA316" s="154">
        <v>1</v>
      </c>
      <c r="AB316" s="154">
        <v>96.33</v>
      </c>
      <c r="AD316" s="154">
        <v>688.27800000000002</v>
      </c>
      <c r="AG316" s="157" t="s">
        <v>15</v>
      </c>
      <c r="AH316" s="155">
        <v>2.5999999999999998E-4</v>
      </c>
      <c r="AI316" s="155">
        <f t="shared" si="4"/>
        <v>5.4024296263169179E-3</v>
      </c>
      <c r="AJ316" s="155">
        <v>8.6382432078739796E-4</v>
      </c>
    </row>
    <row r="317" spans="1:36" s="160" customFormat="1">
      <c r="A317" s="153" t="s">
        <v>1213</v>
      </c>
      <c r="B317" s="160">
        <v>13498</v>
      </c>
      <c r="C317" s="153" t="s">
        <v>1591</v>
      </c>
      <c r="D317" s="153" t="s">
        <v>1592</v>
      </c>
      <c r="E317" s="153" t="s">
        <v>309</v>
      </c>
      <c r="F317" s="153" t="s">
        <v>2261</v>
      </c>
      <c r="G317" s="153" t="s">
        <v>2262</v>
      </c>
      <c r="H317" s="153" t="s">
        <v>321</v>
      </c>
      <c r="I317" s="153" t="s">
        <v>754</v>
      </c>
      <c r="J317" s="153" t="s">
        <v>204</v>
      </c>
      <c r="K317" s="153" t="s">
        <v>204</v>
      </c>
      <c r="L317" s="153" t="s">
        <v>325</v>
      </c>
      <c r="M317" s="153" t="s">
        <v>340</v>
      </c>
      <c r="N317" s="153" t="s">
        <v>464</v>
      </c>
      <c r="O317" s="153" t="s">
        <v>339</v>
      </c>
      <c r="P317" s="153" t="s">
        <v>1538</v>
      </c>
      <c r="Q317" s="153" t="s">
        <v>413</v>
      </c>
      <c r="R317" s="153" t="s">
        <v>407</v>
      </c>
      <c r="S317" s="153" t="s">
        <v>1212</v>
      </c>
      <c r="T317" s="154">
        <v>0.98</v>
      </c>
      <c r="U317" s="153" t="s">
        <v>1768</v>
      </c>
      <c r="V317" s="155">
        <v>7.6800000000000002E-3</v>
      </c>
      <c r="W317" s="155">
        <v>2.5600000000000001E-2</v>
      </c>
      <c r="X317" s="153" t="s">
        <v>412</v>
      </c>
      <c r="Y317" s="153" t="s">
        <v>339</v>
      </c>
      <c r="Z317" s="154">
        <v>478129.22</v>
      </c>
      <c r="AA317" s="154">
        <v>1</v>
      </c>
      <c r="AB317" s="154">
        <v>142.99</v>
      </c>
      <c r="AD317" s="154">
        <v>683.67700000000002</v>
      </c>
      <c r="AG317" s="157" t="s">
        <v>15</v>
      </c>
      <c r="AH317" s="155">
        <v>5.0000000000000001E-4</v>
      </c>
      <c r="AI317" s="155">
        <f t="shared" si="4"/>
        <v>5.366315470829333E-3</v>
      </c>
      <c r="AJ317" s="155">
        <v>8.5804982893971022E-4</v>
      </c>
    </row>
    <row r="318" spans="1:36" s="160" customFormat="1">
      <c r="A318" s="153" t="s">
        <v>1213</v>
      </c>
      <c r="B318" s="160">
        <v>13498</v>
      </c>
      <c r="C318" s="153" t="s">
        <v>1534</v>
      </c>
      <c r="D318" s="153" t="s">
        <v>1535</v>
      </c>
      <c r="E318" s="153" t="s">
        <v>309</v>
      </c>
      <c r="F318" s="153" t="s">
        <v>1536</v>
      </c>
      <c r="G318" s="153" t="s">
        <v>1537</v>
      </c>
      <c r="H318" s="153" t="s">
        <v>321</v>
      </c>
      <c r="I318" s="153" t="s">
        <v>754</v>
      </c>
      <c r="J318" s="153" t="s">
        <v>204</v>
      </c>
      <c r="K318" s="153" t="s">
        <v>204</v>
      </c>
      <c r="L318" s="153" t="s">
        <v>325</v>
      </c>
      <c r="M318" s="153" t="s">
        <v>340</v>
      </c>
      <c r="N318" s="153" t="s">
        <v>464</v>
      </c>
      <c r="O318" s="153" t="s">
        <v>339</v>
      </c>
      <c r="P318" s="153" t="s">
        <v>1538</v>
      </c>
      <c r="Q318" s="153" t="s">
        <v>413</v>
      </c>
      <c r="R318" s="153" t="s">
        <v>407</v>
      </c>
      <c r="S318" s="153" t="s">
        <v>1212</v>
      </c>
      <c r="T318" s="154">
        <v>3.33</v>
      </c>
      <c r="U318" s="153" t="s">
        <v>1539</v>
      </c>
      <c r="V318" s="155">
        <v>1.5769999999999999E-2</v>
      </c>
      <c r="W318" s="155">
        <v>2.92E-2</v>
      </c>
      <c r="X318" s="153" t="s">
        <v>412</v>
      </c>
      <c r="Y318" s="153" t="s">
        <v>339</v>
      </c>
      <c r="Z318" s="154">
        <v>630000</v>
      </c>
      <c r="AA318" s="154">
        <v>1</v>
      </c>
      <c r="AB318" s="154">
        <v>107.2</v>
      </c>
      <c r="AC318" s="154">
        <v>8.1609999999999996</v>
      </c>
      <c r="AD318" s="154">
        <v>683.52099999999996</v>
      </c>
      <c r="AG318" s="157" t="s">
        <v>15</v>
      </c>
      <c r="AH318" s="155">
        <v>2.7E-4</v>
      </c>
      <c r="AI318" s="155">
        <f t="shared" si="4"/>
        <v>5.3650909960942612E-3</v>
      </c>
      <c r="AJ318" s="155">
        <v>8.578540409092299E-4</v>
      </c>
    </row>
    <row r="319" spans="1:36" s="160" customFormat="1">
      <c r="A319" s="153" t="s">
        <v>1213</v>
      </c>
      <c r="B319" s="160">
        <v>13498</v>
      </c>
      <c r="C319" s="153" t="s">
        <v>2263</v>
      </c>
      <c r="D319" s="153" t="s">
        <v>2264</v>
      </c>
      <c r="E319" s="153" t="s">
        <v>309</v>
      </c>
      <c r="F319" s="153" t="s">
        <v>2265</v>
      </c>
      <c r="G319" s="153" t="s">
        <v>2266</v>
      </c>
      <c r="H319" s="153" t="s">
        <v>321</v>
      </c>
      <c r="I319" s="153" t="s">
        <v>754</v>
      </c>
      <c r="J319" s="153" t="s">
        <v>204</v>
      </c>
      <c r="K319" s="153" t="s">
        <v>204</v>
      </c>
      <c r="L319" s="153" t="s">
        <v>325</v>
      </c>
      <c r="M319" s="153" t="s">
        <v>340</v>
      </c>
      <c r="N319" s="153" t="s">
        <v>436</v>
      </c>
      <c r="O319" s="153" t="s">
        <v>339</v>
      </c>
      <c r="P319" s="153" t="s">
        <v>1215</v>
      </c>
      <c r="Q319" s="153" t="s">
        <v>413</v>
      </c>
      <c r="R319" s="153" t="s">
        <v>407</v>
      </c>
      <c r="S319" s="153" t="s">
        <v>1212</v>
      </c>
      <c r="T319" s="154">
        <v>3.27</v>
      </c>
      <c r="U319" s="153" t="s">
        <v>2267</v>
      </c>
      <c r="V319" s="155">
        <v>5.0000000000000001E-4</v>
      </c>
      <c r="W319" s="155">
        <v>2.3400000000000001E-2</v>
      </c>
      <c r="X319" s="153" t="s">
        <v>412</v>
      </c>
      <c r="Y319" s="153" t="s">
        <v>339</v>
      </c>
      <c r="Z319" s="154">
        <v>634550</v>
      </c>
      <c r="AA319" s="154">
        <v>1</v>
      </c>
      <c r="AB319" s="154">
        <v>106.4</v>
      </c>
      <c r="AD319" s="154">
        <v>675.16099999999994</v>
      </c>
      <c r="AG319" s="157" t="s">
        <v>15</v>
      </c>
      <c r="AH319" s="155">
        <v>6.0999999999999997E-4</v>
      </c>
      <c r="AI319" s="155">
        <f t="shared" si="4"/>
        <v>5.2994717090096679E-3</v>
      </c>
      <c r="AJ319" s="155">
        <v>8.4736181055785644E-4</v>
      </c>
    </row>
    <row r="320" spans="1:36" s="160" customFormat="1">
      <c r="A320" s="153" t="s">
        <v>1213</v>
      </c>
      <c r="B320" s="160">
        <v>13498</v>
      </c>
      <c r="C320" s="153" t="s">
        <v>1904</v>
      </c>
      <c r="D320" s="153" t="s">
        <v>1905</v>
      </c>
      <c r="E320" s="153" t="s">
        <v>309</v>
      </c>
      <c r="F320" s="153" t="s">
        <v>2268</v>
      </c>
      <c r="G320" s="153" t="s">
        <v>2269</v>
      </c>
      <c r="H320" s="153" t="s">
        <v>321</v>
      </c>
      <c r="I320" s="153" t="s">
        <v>951</v>
      </c>
      <c r="J320" s="153" t="s">
        <v>204</v>
      </c>
      <c r="K320" s="153" t="s">
        <v>204</v>
      </c>
      <c r="L320" s="153" t="s">
        <v>325</v>
      </c>
      <c r="M320" s="153" t="s">
        <v>340</v>
      </c>
      <c r="N320" s="153" t="s">
        <v>448</v>
      </c>
      <c r="O320" s="153" t="s">
        <v>339</v>
      </c>
      <c r="P320" s="153" t="s">
        <v>1215</v>
      </c>
      <c r="Q320" s="153" t="s">
        <v>413</v>
      </c>
      <c r="R320" s="153" t="s">
        <v>407</v>
      </c>
      <c r="S320" s="153" t="s">
        <v>1212</v>
      </c>
      <c r="T320" s="154">
        <v>2.89</v>
      </c>
      <c r="U320" s="153" t="s">
        <v>2270</v>
      </c>
      <c r="V320" s="155">
        <v>3.8039999999999997E-2</v>
      </c>
      <c r="W320" s="155">
        <v>5.11E-2</v>
      </c>
      <c r="X320" s="153" t="s">
        <v>412</v>
      </c>
      <c r="Y320" s="153" t="s">
        <v>339</v>
      </c>
      <c r="Z320" s="154">
        <v>681591.58</v>
      </c>
      <c r="AA320" s="154">
        <v>1</v>
      </c>
      <c r="AB320" s="154">
        <v>95.42</v>
      </c>
      <c r="AD320" s="154">
        <v>650.375</v>
      </c>
      <c r="AG320" s="157" t="s">
        <v>15</v>
      </c>
      <c r="AH320" s="155">
        <v>2.9999999999999997E-4</v>
      </c>
      <c r="AI320" s="155">
        <f t="shared" si="4"/>
        <v>5.1049215116796779E-3</v>
      </c>
      <c r="AJ320" s="155">
        <v>8.1625410463810253E-4</v>
      </c>
    </row>
    <row r="321" spans="1:36" s="160" customFormat="1">
      <c r="A321" s="153" t="s">
        <v>1213</v>
      </c>
      <c r="B321" s="160">
        <v>13498</v>
      </c>
      <c r="C321" s="153" t="s">
        <v>455</v>
      </c>
      <c r="D321" s="153" t="s">
        <v>2106</v>
      </c>
      <c r="E321" s="153" t="s">
        <v>309</v>
      </c>
      <c r="F321" s="153" t="s">
        <v>2271</v>
      </c>
      <c r="G321" s="153" t="s">
        <v>2272</v>
      </c>
      <c r="H321" s="153" t="s">
        <v>321</v>
      </c>
      <c r="I321" s="153" t="s">
        <v>754</v>
      </c>
      <c r="J321" s="153" t="s">
        <v>204</v>
      </c>
      <c r="K321" s="153" t="s">
        <v>204</v>
      </c>
      <c r="L321" s="153" t="s">
        <v>325</v>
      </c>
      <c r="M321" s="153" t="s">
        <v>340</v>
      </c>
      <c r="N321" s="153" t="s">
        <v>440</v>
      </c>
      <c r="O321" s="153" t="s">
        <v>339</v>
      </c>
      <c r="P321" s="153" t="s">
        <v>1923</v>
      </c>
      <c r="Q321" s="153" t="s">
        <v>415</v>
      </c>
      <c r="R321" s="153" t="s">
        <v>407</v>
      </c>
      <c r="S321" s="153" t="s">
        <v>1212</v>
      </c>
      <c r="T321" s="154">
        <v>10.76</v>
      </c>
      <c r="U321" s="153" t="s">
        <v>1367</v>
      </c>
      <c r="V321" s="155">
        <v>2.7050000000000001E-2</v>
      </c>
      <c r="W321" s="155">
        <v>3.49E-2</v>
      </c>
      <c r="X321" s="153" t="s">
        <v>412</v>
      </c>
      <c r="Y321" s="153" t="s">
        <v>339</v>
      </c>
      <c r="Z321" s="154">
        <v>720000</v>
      </c>
      <c r="AA321" s="154">
        <v>1</v>
      </c>
      <c r="AB321" s="154">
        <v>90</v>
      </c>
      <c r="AD321" s="154">
        <v>648</v>
      </c>
      <c r="AG321" s="157" t="s">
        <v>15</v>
      </c>
      <c r="AH321" s="155">
        <v>1.7000000000000001E-4</v>
      </c>
      <c r="AI321" s="155">
        <f t="shared" si="4"/>
        <v>5.0862796687579188E-3</v>
      </c>
      <c r="AJ321" s="155">
        <v>8.132733573791896E-4</v>
      </c>
    </row>
    <row r="322" spans="1:36" s="160" customFormat="1">
      <c r="A322" s="153" t="s">
        <v>1213</v>
      </c>
      <c r="B322" s="160">
        <v>13498</v>
      </c>
      <c r="C322" s="153" t="s">
        <v>2273</v>
      </c>
      <c r="D322" s="153" t="s">
        <v>2274</v>
      </c>
      <c r="E322" s="153" t="s">
        <v>309</v>
      </c>
      <c r="F322" s="153" t="s">
        <v>2275</v>
      </c>
      <c r="G322" s="153" t="s">
        <v>2276</v>
      </c>
      <c r="H322" s="153" t="s">
        <v>321</v>
      </c>
      <c r="I322" s="153" t="s">
        <v>754</v>
      </c>
      <c r="J322" s="153" t="s">
        <v>204</v>
      </c>
      <c r="K322" s="153" t="s">
        <v>204</v>
      </c>
      <c r="L322" s="153" t="s">
        <v>325</v>
      </c>
      <c r="M322" s="153" t="s">
        <v>340</v>
      </c>
      <c r="N322" s="153" t="s">
        <v>477</v>
      </c>
      <c r="O322" s="153" t="s">
        <v>339</v>
      </c>
      <c r="P322" s="153" t="s">
        <v>1215</v>
      </c>
      <c r="Q322" s="153" t="s">
        <v>413</v>
      </c>
      <c r="R322" s="153" t="s">
        <v>407</v>
      </c>
      <c r="S322" s="153" t="s">
        <v>1212</v>
      </c>
      <c r="T322" s="154">
        <v>1.72</v>
      </c>
      <c r="U322" s="153" t="s">
        <v>1528</v>
      </c>
      <c r="V322" s="155">
        <v>1.307E-2</v>
      </c>
      <c r="W322" s="155">
        <v>1.9699999999999999E-2</v>
      </c>
      <c r="X322" s="153" t="s">
        <v>412</v>
      </c>
      <c r="Y322" s="153" t="s">
        <v>339</v>
      </c>
      <c r="Z322" s="154">
        <v>575864</v>
      </c>
      <c r="AA322" s="154">
        <v>1</v>
      </c>
      <c r="AB322" s="154">
        <v>110.07</v>
      </c>
      <c r="AD322" s="154">
        <v>633.85400000000004</v>
      </c>
      <c r="AG322" s="157" t="s">
        <v>15</v>
      </c>
      <c r="AH322" s="155">
        <v>6.7000000000000002E-4</v>
      </c>
      <c r="AI322" s="155">
        <f t="shared" si="4"/>
        <v>4.9752449277174109E-3</v>
      </c>
      <c r="AJ322" s="155">
        <v>7.9551939917936552E-4</v>
      </c>
    </row>
    <row r="323" spans="1:36" s="160" customFormat="1">
      <c r="A323" s="153" t="s">
        <v>1213</v>
      </c>
      <c r="B323" s="160">
        <v>13498</v>
      </c>
      <c r="C323" s="153" t="s">
        <v>1573</v>
      </c>
      <c r="D323" s="153" t="s">
        <v>1574</v>
      </c>
      <c r="E323" s="153" t="s">
        <v>309</v>
      </c>
      <c r="F323" s="153" t="s">
        <v>2277</v>
      </c>
      <c r="G323" s="153" t="s">
        <v>2278</v>
      </c>
      <c r="H323" s="153" t="s">
        <v>321</v>
      </c>
      <c r="I323" s="153" t="s">
        <v>754</v>
      </c>
      <c r="J323" s="153" t="s">
        <v>204</v>
      </c>
      <c r="K323" s="153" t="s">
        <v>204</v>
      </c>
      <c r="L323" s="153" t="s">
        <v>325</v>
      </c>
      <c r="M323" s="153" t="s">
        <v>340</v>
      </c>
      <c r="N323" s="153" t="s">
        <v>448</v>
      </c>
      <c r="O323" s="153" t="s">
        <v>339</v>
      </c>
      <c r="P323" s="153" t="s">
        <v>1215</v>
      </c>
      <c r="Q323" s="153" t="s">
        <v>413</v>
      </c>
      <c r="R323" s="153" t="s">
        <v>407</v>
      </c>
      <c r="S323" s="153" t="s">
        <v>1212</v>
      </c>
      <c r="T323" s="154">
        <v>3.14</v>
      </c>
      <c r="U323" s="153" t="s">
        <v>2279</v>
      </c>
      <c r="V323" s="155">
        <v>2.2599999999999999E-2</v>
      </c>
      <c r="W323" s="155">
        <v>2.3099999999999999E-2</v>
      </c>
      <c r="X323" s="153" t="s">
        <v>412</v>
      </c>
      <c r="Y323" s="153" t="s">
        <v>339</v>
      </c>
      <c r="Z323" s="154">
        <v>600000</v>
      </c>
      <c r="AA323" s="154">
        <v>1</v>
      </c>
      <c r="AB323" s="154">
        <v>105.15</v>
      </c>
      <c r="AD323" s="154">
        <v>630.9</v>
      </c>
      <c r="AG323" s="157" t="s">
        <v>15</v>
      </c>
      <c r="AH323" s="155">
        <v>1.9000000000000001E-4</v>
      </c>
      <c r="AI323" s="155">
        <f t="shared" ref="AI323:AI386" si="5">AD323/SUMIF(B:B,B323,AD:AD)</f>
        <v>4.9520583997212514E-3</v>
      </c>
      <c r="AJ323" s="155">
        <v>7.9181197711501651E-4</v>
      </c>
    </row>
    <row r="324" spans="1:36" s="160" customFormat="1">
      <c r="A324" s="153" t="s">
        <v>1213</v>
      </c>
      <c r="B324" s="160">
        <v>13498</v>
      </c>
      <c r="C324" s="153" t="s">
        <v>2280</v>
      </c>
      <c r="D324" s="153" t="s">
        <v>2281</v>
      </c>
      <c r="E324" s="153" t="s">
        <v>311</v>
      </c>
      <c r="F324" s="153" t="s">
        <v>2282</v>
      </c>
      <c r="G324" s="153" t="s">
        <v>2283</v>
      </c>
      <c r="H324" s="153" t="s">
        <v>321</v>
      </c>
      <c r="I324" s="153" t="s">
        <v>951</v>
      </c>
      <c r="J324" s="153" t="s">
        <v>204</v>
      </c>
      <c r="K324" s="153" t="s">
        <v>224</v>
      </c>
      <c r="L324" s="153" t="s">
        <v>325</v>
      </c>
      <c r="M324" s="153" t="s">
        <v>340</v>
      </c>
      <c r="N324" s="153" t="s">
        <v>465</v>
      </c>
      <c r="O324" s="153" t="s">
        <v>339</v>
      </c>
      <c r="P324" s="153" t="s">
        <v>1538</v>
      </c>
      <c r="Q324" s="153" t="s">
        <v>413</v>
      </c>
      <c r="R324" s="153" t="s">
        <v>407</v>
      </c>
      <c r="S324" s="153" t="s">
        <v>1212</v>
      </c>
      <c r="T324" s="154">
        <v>2.13</v>
      </c>
      <c r="U324" s="153" t="s">
        <v>1528</v>
      </c>
      <c r="V324" s="155">
        <v>5.1429999999999997E-2</v>
      </c>
      <c r="W324" s="155">
        <v>6.4500000000000002E-2</v>
      </c>
      <c r="X324" s="153" t="s">
        <v>412</v>
      </c>
      <c r="Y324" s="153" t="s">
        <v>339</v>
      </c>
      <c r="Z324" s="154">
        <v>650000</v>
      </c>
      <c r="AA324" s="154">
        <v>1</v>
      </c>
      <c r="AB324" s="154">
        <v>95.01</v>
      </c>
      <c r="AD324" s="154">
        <v>617.56500000000005</v>
      </c>
      <c r="AG324" s="157" t="s">
        <v>15</v>
      </c>
      <c r="AH324" s="155">
        <v>6.8999999999999997E-4</v>
      </c>
      <c r="AI324" s="155">
        <f t="shared" si="5"/>
        <v>4.8473893574637102E-3</v>
      </c>
      <c r="AJ324" s="155">
        <v>7.750758656633939E-4</v>
      </c>
    </row>
    <row r="325" spans="1:36" s="160" customFormat="1">
      <c r="A325" s="153" t="s">
        <v>1213</v>
      </c>
      <c r="B325" s="160">
        <v>13498</v>
      </c>
      <c r="C325" s="153" t="s">
        <v>1807</v>
      </c>
      <c r="D325" s="153" t="s">
        <v>1808</v>
      </c>
      <c r="E325" s="153" t="s">
        <v>309</v>
      </c>
      <c r="F325" s="153" t="s">
        <v>2284</v>
      </c>
      <c r="G325" s="153" t="s">
        <v>2285</v>
      </c>
      <c r="H325" s="153" t="s">
        <v>321</v>
      </c>
      <c r="I325" s="153" t="s">
        <v>754</v>
      </c>
      <c r="J325" s="153" t="s">
        <v>204</v>
      </c>
      <c r="K325" s="153" t="s">
        <v>204</v>
      </c>
      <c r="L325" s="153" t="s">
        <v>325</v>
      </c>
      <c r="M325" s="153" t="s">
        <v>340</v>
      </c>
      <c r="N325" s="153" t="s">
        <v>464</v>
      </c>
      <c r="O325" s="153" t="s">
        <v>339</v>
      </c>
      <c r="P325" s="153" t="s">
        <v>1923</v>
      </c>
      <c r="Q325" s="153" t="s">
        <v>415</v>
      </c>
      <c r="R325" s="153" t="s">
        <v>407</v>
      </c>
      <c r="S325" s="153" t="s">
        <v>1212</v>
      </c>
      <c r="T325" s="154">
        <v>5.47</v>
      </c>
      <c r="U325" s="153" t="s">
        <v>1732</v>
      </c>
      <c r="V325" s="155">
        <v>2.1860000000000001E-2</v>
      </c>
      <c r="W325" s="155">
        <v>3.1800000000000002E-2</v>
      </c>
      <c r="X325" s="153" t="s">
        <v>412</v>
      </c>
      <c r="Y325" s="153" t="s">
        <v>339</v>
      </c>
      <c r="Z325" s="154">
        <v>550000</v>
      </c>
      <c r="AA325" s="154">
        <v>1</v>
      </c>
      <c r="AB325" s="154">
        <v>111.87</v>
      </c>
      <c r="AD325" s="154">
        <v>615.28499999999997</v>
      </c>
      <c r="AG325" s="157" t="s">
        <v>15</v>
      </c>
      <c r="AH325" s="155">
        <v>1.7000000000000001E-4</v>
      </c>
      <c r="AI325" s="155">
        <f t="shared" si="5"/>
        <v>4.8294931882588207E-3</v>
      </c>
      <c r="AJ325" s="155">
        <v>7.7221434829483743E-4</v>
      </c>
    </row>
    <row r="326" spans="1:36" s="160" customFormat="1">
      <c r="A326" s="153" t="s">
        <v>1213</v>
      </c>
      <c r="B326" s="160">
        <v>13498</v>
      </c>
      <c r="C326" s="153" t="s">
        <v>1534</v>
      </c>
      <c r="D326" s="153" t="s">
        <v>1535</v>
      </c>
      <c r="E326" s="153" t="s">
        <v>309</v>
      </c>
      <c r="F326" s="153" t="s">
        <v>2286</v>
      </c>
      <c r="G326" s="153" t="s">
        <v>2287</v>
      </c>
      <c r="H326" s="153" t="s">
        <v>321</v>
      </c>
      <c r="I326" s="153" t="s">
        <v>754</v>
      </c>
      <c r="J326" s="153" t="s">
        <v>204</v>
      </c>
      <c r="K326" s="153" t="s">
        <v>204</v>
      </c>
      <c r="L326" s="153" t="s">
        <v>325</v>
      </c>
      <c r="M326" s="153" t="s">
        <v>340</v>
      </c>
      <c r="N326" s="153" t="s">
        <v>464</v>
      </c>
      <c r="O326" s="153" t="s">
        <v>339</v>
      </c>
      <c r="P326" s="153" t="s">
        <v>2011</v>
      </c>
      <c r="Q326" s="153" t="s">
        <v>415</v>
      </c>
      <c r="R326" s="153" t="s">
        <v>407</v>
      </c>
      <c r="S326" s="153" t="s">
        <v>1212</v>
      </c>
      <c r="T326" s="154">
        <v>2.1800000000000002</v>
      </c>
      <c r="U326" s="153" t="s">
        <v>2288</v>
      </c>
      <c r="V326" s="155">
        <v>8.2100000000000003E-3</v>
      </c>
      <c r="W326" s="155">
        <v>2.6499999999999999E-2</v>
      </c>
      <c r="X326" s="153" t="s">
        <v>412</v>
      </c>
      <c r="Y326" s="153" t="s">
        <v>339</v>
      </c>
      <c r="Z326" s="154">
        <v>501334.5</v>
      </c>
      <c r="AA326" s="154">
        <v>1</v>
      </c>
      <c r="AB326" s="154">
        <v>117.37</v>
      </c>
      <c r="AD326" s="154">
        <v>588.41600000000005</v>
      </c>
      <c r="AG326" s="157" t="s">
        <v>15</v>
      </c>
      <c r="AH326" s="155">
        <v>4.8000000000000001E-4</v>
      </c>
      <c r="AI326" s="155">
        <f t="shared" si="5"/>
        <v>4.6185931135368204E-3</v>
      </c>
      <c r="AJ326" s="155">
        <v>7.3849237014758217E-4</v>
      </c>
    </row>
    <row r="327" spans="1:36" s="160" customFormat="1">
      <c r="A327" s="153" t="s">
        <v>1213</v>
      </c>
      <c r="B327" s="160">
        <v>13498</v>
      </c>
      <c r="C327" s="153" t="s">
        <v>455</v>
      </c>
      <c r="D327" s="153" t="s">
        <v>2106</v>
      </c>
      <c r="E327" s="153" t="s">
        <v>309</v>
      </c>
      <c r="F327" s="153" t="s">
        <v>2289</v>
      </c>
      <c r="G327" s="153" t="s">
        <v>2290</v>
      </c>
      <c r="H327" s="153" t="s">
        <v>321</v>
      </c>
      <c r="I327" s="153" t="s">
        <v>754</v>
      </c>
      <c r="J327" s="153" t="s">
        <v>204</v>
      </c>
      <c r="K327" s="153" t="s">
        <v>204</v>
      </c>
      <c r="L327" s="153" t="s">
        <v>325</v>
      </c>
      <c r="M327" s="153" t="s">
        <v>340</v>
      </c>
      <c r="N327" s="153" t="s">
        <v>440</v>
      </c>
      <c r="O327" s="153" t="s">
        <v>339</v>
      </c>
      <c r="P327" s="153" t="s">
        <v>1923</v>
      </c>
      <c r="Q327" s="153" t="s">
        <v>415</v>
      </c>
      <c r="R327" s="153" t="s">
        <v>407</v>
      </c>
      <c r="S327" s="153" t="s">
        <v>1212</v>
      </c>
      <c r="T327" s="154">
        <v>3.44</v>
      </c>
      <c r="U327" s="153" t="s">
        <v>2291</v>
      </c>
      <c r="V327" s="155">
        <v>1.5720000000000001E-2</v>
      </c>
      <c r="W327" s="155">
        <v>2.5700000000000001E-2</v>
      </c>
      <c r="X327" s="153" t="s">
        <v>412</v>
      </c>
      <c r="Y327" s="153" t="s">
        <v>339</v>
      </c>
      <c r="Z327" s="154">
        <v>474201.54</v>
      </c>
      <c r="AA327" s="154">
        <v>1</v>
      </c>
      <c r="AB327" s="154">
        <v>121.2</v>
      </c>
      <c r="AC327" s="154">
        <v>10.601000000000001</v>
      </c>
      <c r="AD327" s="154">
        <v>585.33299999999997</v>
      </c>
      <c r="AG327" s="157" t="s">
        <v>15</v>
      </c>
      <c r="AH327" s="155">
        <v>1.9000000000000001E-4</v>
      </c>
      <c r="AI327" s="155">
        <f t="shared" si="5"/>
        <v>4.5943940391251215E-3</v>
      </c>
      <c r="AJ327" s="155">
        <v>7.3462304644264379E-4</v>
      </c>
    </row>
    <row r="328" spans="1:36" s="160" customFormat="1">
      <c r="A328" s="153" t="s">
        <v>1213</v>
      </c>
      <c r="B328" s="160">
        <v>13498</v>
      </c>
      <c r="C328" s="153" t="s">
        <v>1807</v>
      </c>
      <c r="D328" s="153" t="s">
        <v>1808</v>
      </c>
      <c r="E328" s="153" t="s">
        <v>309</v>
      </c>
      <c r="F328" s="153" t="s">
        <v>1921</v>
      </c>
      <c r="G328" s="153" t="s">
        <v>1922</v>
      </c>
      <c r="H328" s="153" t="s">
        <v>321</v>
      </c>
      <c r="I328" s="153" t="s">
        <v>754</v>
      </c>
      <c r="J328" s="153" t="s">
        <v>204</v>
      </c>
      <c r="K328" s="153" t="s">
        <v>204</v>
      </c>
      <c r="L328" s="153" t="s">
        <v>325</v>
      </c>
      <c r="M328" s="153" t="s">
        <v>340</v>
      </c>
      <c r="N328" s="153" t="s">
        <v>464</v>
      </c>
      <c r="O328" s="153" t="s">
        <v>339</v>
      </c>
      <c r="P328" s="153" t="s">
        <v>1923</v>
      </c>
      <c r="Q328" s="153" t="s">
        <v>415</v>
      </c>
      <c r="R328" s="153" t="s">
        <v>407</v>
      </c>
      <c r="S328" s="153" t="s">
        <v>1212</v>
      </c>
      <c r="T328" s="154">
        <v>2.5499999999999998</v>
      </c>
      <c r="U328" s="153" t="s">
        <v>1744</v>
      </c>
      <c r="V328" s="155">
        <v>1.456E-2</v>
      </c>
      <c r="W328" s="155">
        <v>2.7099999999999999E-2</v>
      </c>
      <c r="X328" s="153" t="s">
        <v>412</v>
      </c>
      <c r="Y328" s="153" t="s">
        <v>339</v>
      </c>
      <c r="Z328" s="154">
        <v>500854.16</v>
      </c>
      <c r="AA328" s="154">
        <v>1</v>
      </c>
      <c r="AB328" s="154">
        <v>113.19</v>
      </c>
      <c r="AD328" s="154">
        <v>566.91700000000003</v>
      </c>
      <c r="AG328" s="157" t="s">
        <v>15</v>
      </c>
      <c r="AH328" s="155">
        <v>1.9000000000000001E-4</v>
      </c>
      <c r="AI328" s="155">
        <f t="shared" si="5"/>
        <v>4.4498432268105454E-3</v>
      </c>
      <c r="AJ328" s="155">
        <v>7.1151001843416364E-4</v>
      </c>
    </row>
    <row r="329" spans="1:36" s="160" customFormat="1">
      <c r="A329" s="153" t="s">
        <v>1213</v>
      </c>
      <c r="B329" s="160">
        <v>13498</v>
      </c>
      <c r="C329" s="153" t="s">
        <v>2123</v>
      </c>
      <c r="D329" s="153" t="s">
        <v>2124</v>
      </c>
      <c r="E329" s="153" t="s">
        <v>309</v>
      </c>
      <c r="F329" s="153" t="s">
        <v>2292</v>
      </c>
      <c r="G329" s="153" t="s">
        <v>2293</v>
      </c>
      <c r="H329" s="153" t="s">
        <v>321</v>
      </c>
      <c r="I329" s="153" t="s">
        <v>951</v>
      </c>
      <c r="J329" s="153" t="s">
        <v>204</v>
      </c>
      <c r="K329" s="153" t="s">
        <v>204</v>
      </c>
      <c r="L329" s="153" t="s">
        <v>325</v>
      </c>
      <c r="M329" s="153" t="s">
        <v>340</v>
      </c>
      <c r="N329" s="153" t="s">
        <v>445</v>
      </c>
      <c r="O329" s="153" t="s">
        <v>339</v>
      </c>
      <c r="P329" s="153" t="s">
        <v>1566</v>
      </c>
      <c r="Q329" s="153" t="s">
        <v>413</v>
      </c>
      <c r="R329" s="153" t="s">
        <v>407</v>
      </c>
      <c r="S329" s="153" t="s">
        <v>1212</v>
      </c>
      <c r="T329" s="154">
        <v>6.79</v>
      </c>
      <c r="U329" s="153" t="s">
        <v>2294</v>
      </c>
      <c r="V329" s="155">
        <v>4.684E-2</v>
      </c>
      <c r="W329" s="155">
        <v>6.0600000000000001E-2</v>
      </c>
      <c r="X329" s="153" t="s">
        <v>412</v>
      </c>
      <c r="Y329" s="153" t="s">
        <v>339</v>
      </c>
      <c r="Z329" s="154">
        <v>700000</v>
      </c>
      <c r="AA329" s="154">
        <v>1</v>
      </c>
      <c r="AB329" s="154">
        <v>79.27</v>
      </c>
      <c r="AD329" s="154">
        <v>554.89</v>
      </c>
      <c r="AG329" s="157" t="s">
        <v>15</v>
      </c>
      <c r="AH329" s="155">
        <v>5.1999999999999995E-4</v>
      </c>
      <c r="AI329" s="155">
        <f t="shared" si="5"/>
        <v>4.3554409342547555E-3</v>
      </c>
      <c r="AJ329" s="155">
        <v>6.9641551431502853E-4</v>
      </c>
    </row>
    <row r="330" spans="1:36" s="160" customFormat="1">
      <c r="A330" s="153" t="s">
        <v>1213</v>
      </c>
      <c r="B330" s="160">
        <v>13498</v>
      </c>
      <c r="C330" s="153" t="s">
        <v>1807</v>
      </c>
      <c r="D330" s="153" t="s">
        <v>1808</v>
      </c>
      <c r="E330" s="153" t="s">
        <v>309</v>
      </c>
      <c r="F330" s="153" t="s">
        <v>2295</v>
      </c>
      <c r="G330" s="153" t="s">
        <v>2296</v>
      </c>
      <c r="H330" s="153" t="s">
        <v>321</v>
      </c>
      <c r="I330" s="153" t="s">
        <v>754</v>
      </c>
      <c r="J330" s="153" t="s">
        <v>204</v>
      </c>
      <c r="K330" s="153" t="s">
        <v>204</v>
      </c>
      <c r="L330" s="153" t="s">
        <v>325</v>
      </c>
      <c r="M330" s="153" t="s">
        <v>340</v>
      </c>
      <c r="N330" s="153" t="s">
        <v>464</v>
      </c>
      <c r="O330" s="153" t="s">
        <v>339</v>
      </c>
      <c r="P330" s="153" t="s">
        <v>1923</v>
      </c>
      <c r="Q330" s="153" t="s">
        <v>415</v>
      </c>
      <c r="R330" s="153" t="s">
        <v>407</v>
      </c>
      <c r="S330" s="153" t="s">
        <v>1212</v>
      </c>
      <c r="T330" s="154">
        <v>2.89</v>
      </c>
      <c r="U330" s="153" t="s">
        <v>2297</v>
      </c>
      <c r="V330" s="155">
        <v>1.438E-2</v>
      </c>
      <c r="W330" s="155">
        <v>2.8199999999999999E-2</v>
      </c>
      <c r="X330" s="153" t="s">
        <v>412</v>
      </c>
      <c r="Y330" s="153" t="s">
        <v>339</v>
      </c>
      <c r="Z330" s="154">
        <v>484821.48</v>
      </c>
      <c r="AA330" s="154">
        <v>1</v>
      </c>
      <c r="AB330" s="154">
        <v>112.38</v>
      </c>
      <c r="AD330" s="154">
        <v>544.84199999999998</v>
      </c>
      <c r="AG330" s="157" t="s">
        <v>15</v>
      </c>
      <c r="AH330" s="155">
        <v>1.8000000000000001E-4</v>
      </c>
      <c r="AI330" s="155">
        <f t="shared" si="5"/>
        <v>4.2765722026009293E-3</v>
      </c>
      <c r="AJ330" s="155">
        <v>6.838047570697413E-4</v>
      </c>
    </row>
    <row r="331" spans="1:36" s="160" customFormat="1">
      <c r="A331" s="153" t="s">
        <v>1213</v>
      </c>
      <c r="B331" s="160">
        <v>13498</v>
      </c>
      <c r="C331" s="153" t="s">
        <v>2298</v>
      </c>
      <c r="D331" s="153" t="s">
        <v>2299</v>
      </c>
      <c r="E331" s="153" t="s">
        <v>309</v>
      </c>
      <c r="F331" s="153" t="s">
        <v>2300</v>
      </c>
      <c r="G331" s="153" t="s">
        <v>2301</v>
      </c>
      <c r="H331" s="153" t="s">
        <v>321</v>
      </c>
      <c r="I331" s="153" t="s">
        <v>951</v>
      </c>
      <c r="J331" s="153" t="s">
        <v>204</v>
      </c>
      <c r="K331" s="153" t="s">
        <v>204</v>
      </c>
      <c r="L331" s="153" t="s">
        <v>325</v>
      </c>
      <c r="M331" s="153" t="s">
        <v>340</v>
      </c>
      <c r="N331" s="153" t="s">
        <v>462</v>
      </c>
      <c r="O331" s="153" t="s">
        <v>339</v>
      </c>
      <c r="P331" s="153" t="s">
        <v>1566</v>
      </c>
      <c r="Q331" s="153" t="s">
        <v>413</v>
      </c>
      <c r="R331" s="153" t="s">
        <v>407</v>
      </c>
      <c r="S331" s="153" t="s">
        <v>1212</v>
      </c>
      <c r="T331" s="154">
        <v>1.99</v>
      </c>
      <c r="U331" s="153" t="s">
        <v>2302</v>
      </c>
      <c r="V331" s="155">
        <v>3.023E-2</v>
      </c>
      <c r="W331" s="155">
        <v>5.5800000000000002E-2</v>
      </c>
      <c r="X331" s="153" t="s">
        <v>412</v>
      </c>
      <c r="Y331" s="153" t="s">
        <v>339</v>
      </c>
      <c r="Z331" s="154">
        <v>539330.03</v>
      </c>
      <c r="AA331" s="154">
        <v>1</v>
      </c>
      <c r="AB331" s="154">
        <v>94.07</v>
      </c>
      <c r="AD331" s="154">
        <v>507.34800000000001</v>
      </c>
      <c r="AG331" s="157" t="s">
        <v>15</v>
      </c>
      <c r="AH331" s="155">
        <v>5.0000000000000001E-4</v>
      </c>
      <c r="AI331" s="155">
        <f t="shared" si="5"/>
        <v>3.9822744095447419E-3</v>
      </c>
      <c r="AJ331" s="155">
        <v>6.3674785697471776E-4</v>
      </c>
    </row>
    <row r="332" spans="1:36" s="160" customFormat="1">
      <c r="A332" s="153" t="s">
        <v>1213</v>
      </c>
      <c r="B332" s="160">
        <v>13498</v>
      </c>
      <c r="C332" s="153" t="s">
        <v>1904</v>
      </c>
      <c r="D332" s="153" t="s">
        <v>1905</v>
      </c>
      <c r="E332" s="153" t="s">
        <v>309</v>
      </c>
      <c r="F332" s="153" t="s">
        <v>1906</v>
      </c>
      <c r="G332" s="153" t="s">
        <v>1907</v>
      </c>
      <c r="H332" s="153" t="s">
        <v>321</v>
      </c>
      <c r="I332" s="153" t="s">
        <v>754</v>
      </c>
      <c r="J332" s="153" t="s">
        <v>204</v>
      </c>
      <c r="K332" s="153" t="s">
        <v>204</v>
      </c>
      <c r="L332" s="153" t="s">
        <v>325</v>
      </c>
      <c r="M332" s="153" t="s">
        <v>340</v>
      </c>
      <c r="N332" s="153" t="s">
        <v>448</v>
      </c>
      <c r="O332" s="153" t="s">
        <v>339</v>
      </c>
      <c r="P332" s="153" t="s">
        <v>1215</v>
      </c>
      <c r="Q332" s="153" t="s">
        <v>413</v>
      </c>
      <c r="R332" s="153" t="s">
        <v>407</v>
      </c>
      <c r="S332" s="153" t="s">
        <v>1212</v>
      </c>
      <c r="T332" s="154">
        <v>3.98</v>
      </c>
      <c r="U332" s="153" t="s">
        <v>1908</v>
      </c>
      <c r="V332" s="155">
        <v>2.0840000000000001E-2</v>
      </c>
      <c r="W332" s="155">
        <v>2.52E-2</v>
      </c>
      <c r="X332" s="153" t="s">
        <v>412</v>
      </c>
      <c r="Y332" s="153" t="s">
        <v>339</v>
      </c>
      <c r="Z332" s="154">
        <v>489562.66</v>
      </c>
      <c r="AA332" s="154">
        <v>1</v>
      </c>
      <c r="AB332" s="154">
        <v>102.6</v>
      </c>
      <c r="AD332" s="154">
        <v>502.291</v>
      </c>
      <c r="AG332" s="157" t="s">
        <v>15</v>
      </c>
      <c r="AH332" s="155">
        <v>1.2999999999999999E-4</v>
      </c>
      <c r="AI332" s="155">
        <f t="shared" si="5"/>
        <v>3.9425810202161782E-3</v>
      </c>
      <c r="AJ332" s="155">
        <v>6.3040106165331868E-4</v>
      </c>
    </row>
    <row r="333" spans="1:36" s="160" customFormat="1">
      <c r="A333" s="153" t="s">
        <v>1213</v>
      </c>
      <c r="B333" s="160">
        <v>13498</v>
      </c>
      <c r="C333" s="153" t="s">
        <v>2273</v>
      </c>
      <c r="D333" s="153" t="s">
        <v>2274</v>
      </c>
      <c r="E333" s="153" t="s">
        <v>309</v>
      </c>
      <c r="F333" s="153" t="s">
        <v>2303</v>
      </c>
      <c r="G333" s="153" t="s">
        <v>2304</v>
      </c>
      <c r="H333" s="153" t="s">
        <v>321</v>
      </c>
      <c r="I333" s="153" t="s">
        <v>754</v>
      </c>
      <c r="J333" s="153" t="s">
        <v>204</v>
      </c>
      <c r="K333" s="153" t="s">
        <v>204</v>
      </c>
      <c r="L333" s="153" t="s">
        <v>325</v>
      </c>
      <c r="M333" s="153" t="s">
        <v>340</v>
      </c>
      <c r="N333" s="153" t="s">
        <v>477</v>
      </c>
      <c r="O333" s="153" t="s">
        <v>339</v>
      </c>
      <c r="P333" s="153" t="s">
        <v>1215</v>
      </c>
      <c r="Q333" s="153" t="s">
        <v>413</v>
      </c>
      <c r="R333" s="153" t="s">
        <v>407</v>
      </c>
      <c r="S333" s="153" t="s">
        <v>1212</v>
      </c>
      <c r="T333" s="154">
        <v>11.44</v>
      </c>
      <c r="U333" s="153" t="s">
        <v>2305</v>
      </c>
      <c r="V333" s="155">
        <v>2.2159999999999999E-2</v>
      </c>
      <c r="W333" s="155">
        <v>3.2899999999999999E-2</v>
      </c>
      <c r="X333" s="153" t="s">
        <v>412</v>
      </c>
      <c r="Y333" s="153" t="s">
        <v>339</v>
      </c>
      <c r="Z333" s="154">
        <v>495463.18</v>
      </c>
      <c r="AA333" s="154">
        <v>1</v>
      </c>
      <c r="AB333" s="154">
        <v>99.37</v>
      </c>
      <c r="AD333" s="154">
        <v>492.34199999999998</v>
      </c>
      <c r="AG333" s="157" t="s">
        <v>15</v>
      </c>
      <c r="AH333" s="155">
        <v>1.1E-4</v>
      </c>
      <c r="AI333" s="155">
        <f t="shared" si="5"/>
        <v>3.8644893590673011E-3</v>
      </c>
      <c r="AJ333" s="155">
        <v>6.1791455450429774E-4</v>
      </c>
    </row>
    <row r="334" spans="1:36" s="160" customFormat="1">
      <c r="A334" s="153" t="s">
        <v>1213</v>
      </c>
      <c r="B334" s="160">
        <v>13498</v>
      </c>
      <c r="C334" s="153" t="s">
        <v>2306</v>
      </c>
      <c r="D334" s="153" t="s">
        <v>2307</v>
      </c>
      <c r="E334" s="153" t="s">
        <v>309</v>
      </c>
      <c r="F334" s="153" t="s">
        <v>2308</v>
      </c>
      <c r="G334" s="153" t="s">
        <v>2309</v>
      </c>
      <c r="H334" s="153" t="s">
        <v>321</v>
      </c>
      <c r="I334" s="153" t="s">
        <v>951</v>
      </c>
      <c r="J334" s="153" t="s">
        <v>204</v>
      </c>
      <c r="K334" s="153" t="s">
        <v>204</v>
      </c>
      <c r="L334" s="153" t="s">
        <v>325</v>
      </c>
      <c r="M334" s="153" t="s">
        <v>340</v>
      </c>
      <c r="N334" s="153" t="s">
        <v>445</v>
      </c>
      <c r="O334" s="153" t="s">
        <v>339</v>
      </c>
      <c r="P334" s="153" t="s">
        <v>1544</v>
      </c>
      <c r="Q334" s="153" t="s">
        <v>415</v>
      </c>
      <c r="R334" s="153" t="s">
        <v>407</v>
      </c>
      <c r="S334" s="153" t="s">
        <v>1212</v>
      </c>
      <c r="T334" s="154">
        <v>3.3</v>
      </c>
      <c r="U334" s="153" t="s">
        <v>1851</v>
      </c>
      <c r="V334" s="155">
        <v>4.3389999999999998E-2</v>
      </c>
      <c r="W334" s="155">
        <v>5.5599999999999997E-2</v>
      </c>
      <c r="X334" s="153" t="s">
        <v>412</v>
      </c>
      <c r="Y334" s="153" t="s">
        <v>339</v>
      </c>
      <c r="Z334" s="154">
        <v>476890</v>
      </c>
      <c r="AA334" s="154">
        <v>1</v>
      </c>
      <c r="AB334" s="154">
        <v>94.49</v>
      </c>
      <c r="AD334" s="154">
        <v>450.613</v>
      </c>
      <c r="AG334" s="157" t="s">
        <v>15</v>
      </c>
      <c r="AH334" s="155">
        <v>4.8000000000000001E-4</v>
      </c>
      <c r="AI334" s="155">
        <f t="shared" si="5"/>
        <v>3.5369502166327348E-3</v>
      </c>
      <c r="AJ334" s="155">
        <v>5.655425114023283E-4</v>
      </c>
    </row>
    <row r="335" spans="1:36" s="160" customFormat="1">
      <c r="A335" s="153" t="s">
        <v>1213</v>
      </c>
      <c r="B335" s="160">
        <v>13498</v>
      </c>
      <c r="C335" s="153" t="s">
        <v>1573</v>
      </c>
      <c r="D335" s="153" t="s">
        <v>1574</v>
      </c>
      <c r="E335" s="153" t="s">
        <v>309</v>
      </c>
      <c r="F335" s="153" t="s">
        <v>2310</v>
      </c>
      <c r="G335" s="153" t="s">
        <v>2311</v>
      </c>
      <c r="H335" s="153" t="s">
        <v>321</v>
      </c>
      <c r="I335" s="153" t="s">
        <v>754</v>
      </c>
      <c r="J335" s="153" t="s">
        <v>204</v>
      </c>
      <c r="K335" s="153" t="s">
        <v>204</v>
      </c>
      <c r="L335" s="153" t="s">
        <v>325</v>
      </c>
      <c r="M335" s="153" t="s">
        <v>340</v>
      </c>
      <c r="N335" s="153" t="s">
        <v>448</v>
      </c>
      <c r="O335" s="153" t="s">
        <v>339</v>
      </c>
      <c r="P335" s="153" t="s">
        <v>1215</v>
      </c>
      <c r="Q335" s="153" t="s">
        <v>413</v>
      </c>
      <c r="R335" s="153" t="s">
        <v>407</v>
      </c>
      <c r="S335" s="153" t="s">
        <v>1212</v>
      </c>
      <c r="T335" s="154">
        <v>1.74</v>
      </c>
      <c r="U335" s="153" t="s">
        <v>1833</v>
      </c>
      <c r="V335" s="155">
        <v>7.3800000000000003E-3</v>
      </c>
      <c r="W335" s="155">
        <v>2.0400000000000001E-2</v>
      </c>
      <c r="X335" s="153" t="s">
        <v>412</v>
      </c>
      <c r="Y335" s="153" t="s">
        <v>339</v>
      </c>
      <c r="Z335" s="154">
        <v>390636.5</v>
      </c>
      <c r="AA335" s="154">
        <v>1</v>
      </c>
      <c r="AB335" s="154">
        <v>113.2</v>
      </c>
      <c r="AD335" s="154">
        <v>442.20100000000002</v>
      </c>
      <c r="AG335" s="157" t="s">
        <v>15</v>
      </c>
      <c r="AH335" s="155">
        <v>2.5999999999999998E-4</v>
      </c>
      <c r="AI335" s="155">
        <f t="shared" si="5"/>
        <v>3.4709227713031181E-3</v>
      </c>
      <c r="AJ335" s="155">
        <v>5.5498501837412809E-4</v>
      </c>
    </row>
    <row r="336" spans="1:36" s="160" customFormat="1">
      <c r="A336" s="153" t="s">
        <v>1213</v>
      </c>
      <c r="B336" s="160">
        <v>13498</v>
      </c>
      <c r="C336" s="153" t="s">
        <v>1674</v>
      </c>
      <c r="D336" s="153" t="s">
        <v>1675</v>
      </c>
      <c r="E336" s="153" t="s">
        <v>309</v>
      </c>
      <c r="F336" s="153" t="s">
        <v>2312</v>
      </c>
      <c r="G336" s="153" t="s">
        <v>2313</v>
      </c>
      <c r="H336" s="153" t="s">
        <v>321</v>
      </c>
      <c r="I336" s="153" t="s">
        <v>754</v>
      </c>
      <c r="J336" s="153" t="s">
        <v>204</v>
      </c>
      <c r="K336" s="153" t="s">
        <v>204</v>
      </c>
      <c r="L336" s="153" t="s">
        <v>325</v>
      </c>
      <c r="M336" s="153" t="s">
        <v>340</v>
      </c>
      <c r="N336" s="153" t="s">
        <v>464</v>
      </c>
      <c r="O336" s="153" t="s">
        <v>339</v>
      </c>
      <c r="P336" s="153" t="s">
        <v>1538</v>
      </c>
      <c r="Q336" s="153" t="s">
        <v>413</v>
      </c>
      <c r="R336" s="153" t="s">
        <v>407</v>
      </c>
      <c r="S336" s="153" t="s">
        <v>1212</v>
      </c>
      <c r="T336" s="154">
        <v>2.89</v>
      </c>
      <c r="U336" s="153" t="s">
        <v>2314</v>
      </c>
      <c r="V336" s="155">
        <v>2.4930000000000001E-2</v>
      </c>
      <c r="W336" s="155">
        <v>2.5499999999999998E-2</v>
      </c>
      <c r="X336" s="153" t="s">
        <v>412</v>
      </c>
      <c r="Y336" s="153" t="s">
        <v>339</v>
      </c>
      <c r="Z336" s="154">
        <v>377656.06</v>
      </c>
      <c r="AA336" s="154">
        <v>1</v>
      </c>
      <c r="AB336" s="154">
        <v>113.8</v>
      </c>
      <c r="AD336" s="154">
        <v>429.77300000000002</v>
      </c>
      <c r="AG336" s="157" t="s">
        <v>15</v>
      </c>
      <c r="AH336" s="155">
        <v>7.5000000000000002E-4</v>
      </c>
      <c r="AI336" s="155">
        <f t="shared" si="5"/>
        <v>3.3733729507424339E-3</v>
      </c>
      <c r="AJ336" s="155">
        <v>5.3938723861254086E-4</v>
      </c>
    </row>
    <row r="337" spans="1:36" s="160" customFormat="1">
      <c r="A337" s="153" t="s">
        <v>1213</v>
      </c>
      <c r="B337" s="160">
        <v>13498</v>
      </c>
      <c r="C337" s="153" t="s">
        <v>2315</v>
      </c>
      <c r="D337" s="153" t="s">
        <v>2316</v>
      </c>
      <c r="E337" s="153" t="s">
        <v>309</v>
      </c>
      <c r="F337" s="153" t="s">
        <v>2317</v>
      </c>
      <c r="G337" s="153" t="s">
        <v>2318</v>
      </c>
      <c r="H337" s="153" t="s">
        <v>321</v>
      </c>
      <c r="I337" s="153" t="s">
        <v>951</v>
      </c>
      <c r="J337" s="153" t="s">
        <v>204</v>
      </c>
      <c r="K337" s="153" t="s">
        <v>204</v>
      </c>
      <c r="L337" s="153" t="s">
        <v>325</v>
      </c>
      <c r="M337" s="153" t="s">
        <v>340</v>
      </c>
      <c r="N337" s="153" t="s">
        <v>484</v>
      </c>
      <c r="O337" s="153" t="s">
        <v>339</v>
      </c>
      <c r="P337" s="153" t="s">
        <v>1527</v>
      </c>
      <c r="Q337" s="153" t="s">
        <v>415</v>
      </c>
      <c r="R337" s="153" t="s">
        <v>407</v>
      </c>
      <c r="S337" s="153" t="s">
        <v>1212</v>
      </c>
      <c r="T337" s="154">
        <v>4.55</v>
      </c>
      <c r="U337" s="153" t="s">
        <v>1599</v>
      </c>
      <c r="V337" s="155">
        <v>5.2859999999999997E-2</v>
      </c>
      <c r="W337" s="155">
        <v>6.1699999999999998E-2</v>
      </c>
      <c r="X337" s="153" t="s">
        <v>412</v>
      </c>
      <c r="Y337" s="153" t="s">
        <v>339</v>
      </c>
      <c r="Z337" s="154">
        <v>436831.06</v>
      </c>
      <c r="AA337" s="154">
        <v>1</v>
      </c>
      <c r="AB337" s="154">
        <v>97.66</v>
      </c>
      <c r="AD337" s="154">
        <v>426.60899999999998</v>
      </c>
      <c r="AG337" s="157" t="s">
        <v>15</v>
      </c>
      <c r="AH337" s="155">
        <v>4.2999999999999999E-4</v>
      </c>
      <c r="AI337" s="155">
        <f t="shared" si="5"/>
        <v>3.3485380913721402E-3</v>
      </c>
      <c r="AJ337" s="155">
        <v>5.3541625573793E-4</v>
      </c>
    </row>
    <row r="338" spans="1:36" s="160" customFormat="1">
      <c r="A338" s="153" t="s">
        <v>1213</v>
      </c>
      <c r="B338" s="160">
        <v>13498</v>
      </c>
      <c r="C338" s="153" t="s">
        <v>1674</v>
      </c>
      <c r="D338" s="153" t="s">
        <v>1675</v>
      </c>
      <c r="E338" s="153" t="s">
        <v>309</v>
      </c>
      <c r="F338" s="153" t="s">
        <v>1676</v>
      </c>
      <c r="G338" s="153" t="s">
        <v>1677</v>
      </c>
      <c r="H338" s="153" t="s">
        <v>321</v>
      </c>
      <c r="I338" s="153" t="s">
        <v>754</v>
      </c>
      <c r="J338" s="153" t="s">
        <v>204</v>
      </c>
      <c r="K338" s="153" t="s">
        <v>204</v>
      </c>
      <c r="L338" s="153" t="s">
        <v>325</v>
      </c>
      <c r="M338" s="153" t="s">
        <v>340</v>
      </c>
      <c r="N338" s="153" t="s">
        <v>464</v>
      </c>
      <c r="O338" s="153" t="s">
        <v>339</v>
      </c>
      <c r="P338" s="153" t="s">
        <v>1538</v>
      </c>
      <c r="Q338" s="153" t="s">
        <v>413</v>
      </c>
      <c r="R338" s="153" t="s">
        <v>407</v>
      </c>
      <c r="S338" s="153" t="s">
        <v>1212</v>
      </c>
      <c r="T338" s="154">
        <v>1.43</v>
      </c>
      <c r="U338" s="153" t="s">
        <v>1678</v>
      </c>
      <c r="V338" s="155">
        <v>1.2540000000000001E-2</v>
      </c>
      <c r="W338" s="155">
        <v>2.58E-2</v>
      </c>
      <c r="X338" s="153" t="s">
        <v>412</v>
      </c>
      <c r="Y338" s="153" t="s">
        <v>339</v>
      </c>
      <c r="Z338" s="154">
        <v>360102.86</v>
      </c>
      <c r="AA338" s="154">
        <v>1</v>
      </c>
      <c r="AB338" s="154">
        <v>115.21</v>
      </c>
      <c r="AD338" s="154">
        <v>414.875</v>
      </c>
      <c r="AG338" s="157" t="s">
        <v>15</v>
      </c>
      <c r="AH338" s="155">
        <v>7.2999999999999996E-4</v>
      </c>
      <c r="AI338" s="155">
        <f t="shared" si="5"/>
        <v>3.2564356135431198E-3</v>
      </c>
      <c r="AJ338" s="155">
        <v>5.2068948170168404E-4</v>
      </c>
    </row>
    <row r="339" spans="1:36" s="160" customFormat="1">
      <c r="A339" s="153" t="s">
        <v>1213</v>
      </c>
      <c r="B339" s="160">
        <v>13498</v>
      </c>
      <c r="C339" s="153" t="s">
        <v>1674</v>
      </c>
      <c r="D339" s="153" t="s">
        <v>1675</v>
      </c>
      <c r="E339" s="153" t="s">
        <v>309</v>
      </c>
      <c r="F339" s="153" t="s">
        <v>2319</v>
      </c>
      <c r="G339" s="153" t="s">
        <v>2320</v>
      </c>
      <c r="H339" s="153" t="s">
        <v>321</v>
      </c>
      <c r="I339" s="153" t="s">
        <v>754</v>
      </c>
      <c r="J339" s="153" t="s">
        <v>204</v>
      </c>
      <c r="K339" s="153" t="s">
        <v>204</v>
      </c>
      <c r="L339" s="153" t="s">
        <v>325</v>
      </c>
      <c r="M339" s="153" t="s">
        <v>340</v>
      </c>
      <c r="N339" s="153" t="s">
        <v>464</v>
      </c>
      <c r="O339" s="153" t="s">
        <v>339</v>
      </c>
      <c r="P339" s="153" t="s">
        <v>1982</v>
      </c>
      <c r="Q339" s="153" t="s">
        <v>415</v>
      </c>
      <c r="R339" s="153" t="s">
        <v>407</v>
      </c>
      <c r="S339" s="153" t="s">
        <v>1212</v>
      </c>
      <c r="T339" s="154">
        <v>4.25</v>
      </c>
      <c r="U339" s="153" t="s">
        <v>1819</v>
      </c>
      <c r="V339" s="155">
        <v>2.2179999999999998E-2</v>
      </c>
      <c r="W339" s="155">
        <v>3.15E-2</v>
      </c>
      <c r="X339" s="153" t="s">
        <v>412</v>
      </c>
      <c r="Y339" s="153" t="s">
        <v>339</v>
      </c>
      <c r="Z339" s="154">
        <v>380000</v>
      </c>
      <c r="AA339" s="154">
        <v>1</v>
      </c>
      <c r="AB339" s="154">
        <v>106.76</v>
      </c>
      <c r="AD339" s="154">
        <v>405.68799999999999</v>
      </c>
      <c r="AG339" s="157" t="s">
        <v>15</v>
      </c>
      <c r="AH339" s="155">
        <v>3.2000000000000003E-4</v>
      </c>
      <c r="AI339" s="155">
        <f t="shared" si="5"/>
        <v>3.1843250405232445E-3</v>
      </c>
      <c r="AJ339" s="155">
        <v>5.0915932377847009E-4</v>
      </c>
    </row>
    <row r="340" spans="1:36" s="160" customFormat="1">
      <c r="A340" s="153" t="s">
        <v>1213</v>
      </c>
      <c r="B340" s="160">
        <v>13498</v>
      </c>
      <c r="C340" s="153" t="s">
        <v>2032</v>
      </c>
      <c r="D340" s="153" t="s">
        <v>2033</v>
      </c>
      <c r="E340" s="153" t="s">
        <v>309</v>
      </c>
      <c r="F340" s="153" t="s">
        <v>2321</v>
      </c>
      <c r="G340" s="153" t="s">
        <v>2322</v>
      </c>
      <c r="H340" s="153" t="s">
        <v>321</v>
      </c>
      <c r="I340" s="153" t="s">
        <v>951</v>
      </c>
      <c r="J340" s="153" t="s">
        <v>204</v>
      </c>
      <c r="K340" s="153" t="s">
        <v>204</v>
      </c>
      <c r="L340" s="153" t="s">
        <v>325</v>
      </c>
      <c r="M340" s="153" t="s">
        <v>340</v>
      </c>
      <c r="N340" s="153" t="s">
        <v>445</v>
      </c>
      <c r="O340" s="153" t="s">
        <v>339</v>
      </c>
      <c r="P340" s="153" t="s">
        <v>2011</v>
      </c>
      <c r="Q340" s="153" t="s">
        <v>415</v>
      </c>
      <c r="R340" s="153" t="s">
        <v>407</v>
      </c>
      <c r="S340" s="153" t="s">
        <v>1212</v>
      </c>
      <c r="T340" s="154">
        <v>4.28</v>
      </c>
      <c r="U340" s="153" t="s">
        <v>1722</v>
      </c>
      <c r="V340" s="155">
        <v>4.3729999999999998E-2</v>
      </c>
      <c r="W340" s="155">
        <v>5.4300000000000001E-2</v>
      </c>
      <c r="X340" s="153" t="s">
        <v>412</v>
      </c>
      <c r="Y340" s="153" t="s">
        <v>339</v>
      </c>
      <c r="Z340" s="154">
        <v>450000</v>
      </c>
      <c r="AA340" s="154">
        <v>1</v>
      </c>
      <c r="AB340" s="154">
        <v>90.12</v>
      </c>
      <c r="AD340" s="154">
        <v>405.54</v>
      </c>
      <c r="AG340" s="157" t="s">
        <v>15</v>
      </c>
      <c r="AH340" s="155">
        <v>3.5E-4</v>
      </c>
      <c r="AI340" s="155">
        <f t="shared" si="5"/>
        <v>3.183163359364331E-3</v>
      </c>
      <c r="AJ340" s="155">
        <v>5.0897357615980944E-4</v>
      </c>
    </row>
    <row r="341" spans="1:36" s="160" customFormat="1">
      <c r="A341" s="153" t="s">
        <v>1213</v>
      </c>
      <c r="B341" s="160">
        <v>13498</v>
      </c>
      <c r="C341" s="153" t="s">
        <v>2323</v>
      </c>
      <c r="D341" s="153" t="s">
        <v>2324</v>
      </c>
      <c r="E341" s="153" t="s">
        <v>309</v>
      </c>
      <c r="F341" s="153" t="s">
        <v>2325</v>
      </c>
      <c r="G341" s="153" t="s">
        <v>2326</v>
      </c>
      <c r="H341" s="153" t="s">
        <v>321</v>
      </c>
      <c r="I341" s="153" t="s">
        <v>754</v>
      </c>
      <c r="J341" s="153" t="s">
        <v>204</v>
      </c>
      <c r="K341" s="153" t="s">
        <v>204</v>
      </c>
      <c r="L341" s="153" t="s">
        <v>325</v>
      </c>
      <c r="M341" s="153" t="s">
        <v>340</v>
      </c>
      <c r="N341" s="153" t="s">
        <v>448</v>
      </c>
      <c r="O341" s="153" t="s">
        <v>339</v>
      </c>
      <c r="P341" s="153" t="s">
        <v>1215</v>
      </c>
      <c r="Q341" s="153" t="s">
        <v>413</v>
      </c>
      <c r="R341" s="153" t="s">
        <v>407</v>
      </c>
      <c r="S341" s="153" t="s">
        <v>1212</v>
      </c>
      <c r="T341" s="154">
        <v>2.73</v>
      </c>
      <c r="U341" s="153" t="s">
        <v>2327</v>
      </c>
      <c r="V341" s="155">
        <v>9.6299999999999997E-3</v>
      </c>
      <c r="W341" s="155">
        <v>2.24E-2</v>
      </c>
      <c r="X341" s="153" t="s">
        <v>412</v>
      </c>
      <c r="Y341" s="153" t="s">
        <v>339</v>
      </c>
      <c r="Z341" s="154">
        <v>343753.62</v>
      </c>
      <c r="AA341" s="154">
        <v>1</v>
      </c>
      <c r="AB341" s="154">
        <v>114.19</v>
      </c>
      <c r="AD341" s="154">
        <v>392.53199999999998</v>
      </c>
      <c r="AG341" s="157" t="s">
        <v>15</v>
      </c>
      <c r="AH341" s="155">
        <v>1.23E-3</v>
      </c>
      <c r="AI341" s="155">
        <f t="shared" si="5"/>
        <v>3.0810610045322274E-3</v>
      </c>
      <c r="AJ341" s="155">
        <v>4.9264786654130868E-4</v>
      </c>
    </row>
    <row r="342" spans="1:36" s="160" customFormat="1">
      <c r="A342" s="153" t="s">
        <v>1213</v>
      </c>
      <c r="B342" s="160">
        <v>13498</v>
      </c>
      <c r="C342" s="153" t="s">
        <v>1512</v>
      </c>
      <c r="D342" s="153" t="s">
        <v>1513</v>
      </c>
      <c r="E342" s="153" t="s">
        <v>309</v>
      </c>
      <c r="F342" s="153" t="s">
        <v>1901</v>
      </c>
      <c r="G342" s="153" t="s">
        <v>1902</v>
      </c>
      <c r="H342" s="153" t="s">
        <v>321</v>
      </c>
      <c r="I342" s="153" t="s">
        <v>754</v>
      </c>
      <c r="J342" s="153" t="s">
        <v>204</v>
      </c>
      <c r="K342" s="153" t="s">
        <v>204</v>
      </c>
      <c r="L342" s="153" t="s">
        <v>325</v>
      </c>
      <c r="M342" s="153" t="s">
        <v>340</v>
      </c>
      <c r="N342" s="153" t="s">
        <v>448</v>
      </c>
      <c r="O342" s="153" t="s">
        <v>339</v>
      </c>
      <c r="P342" s="153" t="s">
        <v>1215</v>
      </c>
      <c r="Q342" s="153" t="s">
        <v>413</v>
      </c>
      <c r="R342" s="153" t="s">
        <v>407</v>
      </c>
      <c r="S342" s="153" t="s">
        <v>1212</v>
      </c>
      <c r="T342" s="154">
        <v>4.05</v>
      </c>
      <c r="U342" s="153" t="s">
        <v>1903</v>
      </c>
      <c r="V342" s="155">
        <v>1.8149999999999999E-2</v>
      </c>
      <c r="W342" s="155">
        <v>2.5000000000000001E-2</v>
      </c>
      <c r="X342" s="153" t="s">
        <v>412</v>
      </c>
      <c r="Y342" s="153" t="s">
        <v>339</v>
      </c>
      <c r="Z342" s="154">
        <v>369120</v>
      </c>
      <c r="AA342" s="154">
        <v>1</v>
      </c>
      <c r="AB342" s="154">
        <v>102.41</v>
      </c>
      <c r="AD342" s="154">
        <v>378.01600000000002</v>
      </c>
      <c r="AG342" s="157" t="s">
        <v>15</v>
      </c>
      <c r="AH342" s="155">
        <v>1.1E-4</v>
      </c>
      <c r="AI342" s="155">
        <f t="shared" si="5"/>
        <v>2.9671220605944344E-3</v>
      </c>
      <c r="AJ342" s="155">
        <v>4.7442953929483292E-4</v>
      </c>
    </row>
    <row r="343" spans="1:36" s="160" customFormat="1">
      <c r="A343" s="153" t="s">
        <v>1213</v>
      </c>
      <c r="B343" s="160">
        <v>13498</v>
      </c>
      <c r="C343" s="153" t="s">
        <v>2328</v>
      </c>
      <c r="D343" s="153" t="s">
        <v>2329</v>
      </c>
      <c r="E343" s="153" t="s">
        <v>309</v>
      </c>
      <c r="F343" s="153" t="s">
        <v>2330</v>
      </c>
      <c r="G343" s="153" t="s">
        <v>2331</v>
      </c>
      <c r="H343" s="153" t="s">
        <v>321</v>
      </c>
      <c r="I343" s="153" t="s">
        <v>951</v>
      </c>
      <c r="J343" s="153" t="s">
        <v>204</v>
      </c>
      <c r="K343" s="153" t="s">
        <v>204</v>
      </c>
      <c r="L343" s="153" t="s">
        <v>325</v>
      </c>
      <c r="M343" s="153" t="s">
        <v>340</v>
      </c>
      <c r="N343" s="153" t="s">
        <v>465</v>
      </c>
      <c r="O343" s="153" t="s">
        <v>339</v>
      </c>
      <c r="P343" s="153" t="s">
        <v>2011</v>
      </c>
      <c r="Q343" s="153" t="s">
        <v>415</v>
      </c>
      <c r="R343" s="153" t="s">
        <v>407</v>
      </c>
      <c r="S343" s="153" t="s">
        <v>1212</v>
      </c>
      <c r="T343" s="154">
        <v>5.9</v>
      </c>
      <c r="U343" s="153" t="s">
        <v>2332</v>
      </c>
      <c r="V343" s="155">
        <v>5.0099999999999999E-2</v>
      </c>
      <c r="W343" s="155">
        <v>6.1100000000000002E-2</v>
      </c>
      <c r="X343" s="153" t="s">
        <v>412</v>
      </c>
      <c r="Y343" s="153" t="s">
        <v>339</v>
      </c>
      <c r="Z343" s="154">
        <v>424631.6</v>
      </c>
      <c r="AA343" s="154">
        <v>1</v>
      </c>
      <c r="AB343" s="154">
        <v>82.89</v>
      </c>
      <c r="AC343" s="154">
        <v>15.106</v>
      </c>
      <c r="AD343" s="154">
        <v>367.08300000000003</v>
      </c>
      <c r="AG343" s="157" t="s">
        <v>15</v>
      </c>
      <c r="AH343" s="155">
        <v>7.7999999999999999E-4</v>
      </c>
      <c r="AI343" s="155">
        <f t="shared" si="5"/>
        <v>2.8813067895781842E-3</v>
      </c>
      <c r="AJ343" s="155">
        <v>4.60708061492014E-4</v>
      </c>
    </row>
    <row r="344" spans="1:36" s="160" customFormat="1">
      <c r="A344" s="153" t="s">
        <v>1213</v>
      </c>
      <c r="B344" s="160">
        <v>13498</v>
      </c>
      <c r="C344" s="153" t="s">
        <v>1600</v>
      </c>
      <c r="D344" s="153" t="s">
        <v>1601</v>
      </c>
      <c r="E344" s="153" t="s">
        <v>309</v>
      </c>
      <c r="F344" s="153" t="s">
        <v>2333</v>
      </c>
      <c r="G344" s="153" t="s">
        <v>2334</v>
      </c>
      <c r="H344" s="153" t="s">
        <v>321</v>
      </c>
      <c r="I344" s="153" t="s">
        <v>754</v>
      </c>
      <c r="J344" s="153" t="s">
        <v>204</v>
      </c>
      <c r="K344" s="153" t="s">
        <v>204</v>
      </c>
      <c r="L344" s="153" t="s">
        <v>325</v>
      </c>
      <c r="M344" s="153" t="s">
        <v>340</v>
      </c>
      <c r="N344" s="153" t="s">
        <v>448</v>
      </c>
      <c r="O344" s="153" t="s">
        <v>339</v>
      </c>
      <c r="P344" s="153" t="s">
        <v>1215</v>
      </c>
      <c r="Q344" s="153" t="s">
        <v>413</v>
      </c>
      <c r="R344" s="153" t="s">
        <v>407</v>
      </c>
      <c r="S344" s="153" t="s">
        <v>1212</v>
      </c>
      <c r="T344" s="154">
        <v>3.56</v>
      </c>
      <c r="U344" s="153" t="s">
        <v>2335</v>
      </c>
      <c r="V344" s="155">
        <v>1.619E-2</v>
      </c>
      <c r="W344" s="155">
        <v>2.4E-2</v>
      </c>
      <c r="X344" s="153" t="s">
        <v>412</v>
      </c>
      <c r="Y344" s="153" t="s">
        <v>339</v>
      </c>
      <c r="Z344" s="154">
        <v>353333.33</v>
      </c>
      <c r="AA344" s="154">
        <v>1</v>
      </c>
      <c r="AB344" s="154">
        <v>103.73</v>
      </c>
      <c r="AD344" s="154">
        <v>366.51299999999998</v>
      </c>
      <c r="AG344" s="157" t="s">
        <v>15</v>
      </c>
      <c r="AH344" s="155">
        <v>3.1E-4</v>
      </c>
      <c r="AI344" s="155">
        <f t="shared" si="5"/>
        <v>2.8768327472769614E-3</v>
      </c>
      <c r="AJ344" s="155">
        <v>4.5999268214987483E-4</v>
      </c>
    </row>
    <row r="345" spans="1:36" s="160" customFormat="1">
      <c r="A345" s="153" t="s">
        <v>1213</v>
      </c>
      <c r="B345" s="160">
        <v>13498</v>
      </c>
      <c r="C345" s="153" t="s">
        <v>2336</v>
      </c>
      <c r="D345" s="153" t="s">
        <v>2337</v>
      </c>
      <c r="E345" s="153" t="s">
        <v>309</v>
      </c>
      <c r="F345" s="153" t="s">
        <v>2338</v>
      </c>
      <c r="G345" s="153" t="s">
        <v>2339</v>
      </c>
      <c r="H345" s="153" t="s">
        <v>321</v>
      </c>
      <c r="I345" s="153" t="s">
        <v>754</v>
      </c>
      <c r="J345" s="153" t="s">
        <v>204</v>
      </c>
      <c r="K345" s="153" t="s">
        <v>204</v>
      </c>
      <c r="L345" s="153" t="s">
        <v>325</v>
      </c>
      <c r="M345" s="153" t="s">
        <v>340</v>
      </c>
      <c r="N345" s="153" t="s">
        <v>464</v>
      </c>
      <c r="O345" s="153" t="s">
        <v>339</v>
      </c>
      <c r="P345" s="153" t="s">
        <v>1982</v>
      </c>
      <c r="Q345" s="153" t="s">
        <v>415</v>
      </c>
      <c r="R345" s="153" t="s">
        <v>407</v>
      </c>
      <c r="S345" s="153" t="s">
        <v>1212</v>
      </c>
      <c r="T345" s="154">
        <v>5.84</v>
      </c>
      <c r="U345" s="153" t="s">
        <v>2340</v>
      </c>
      <c r="V345" s="155">
        <v>2.8150000000000001E-2</v>
      </c>
      <c r="W345" s="155">
        <v>3.39E-2</v>
      </c>
      <c r="X345" s="153" t="s">
        <v>412</v>
      </c>
      <c r="Y345" s="153" t="s">
        <v>339</v>
      </c>
      <c r="Z345" s="154">
        <v>335012</v>
      </c>
      <c r="AA345" s="154">
        <v>1</v>
      </c>
      <c r="AB345" s="154">
        <v>104.08</v>
      </c>
      <c r="AD345" s="154">
        <v>348.68</v>
      </c>
      <c r="AG345" s="157" t="s">
        <v>15</v>
      </c>
      <c r="AH345" s="155">
        <v>2.7E-4</v>
      </c>
      <c r="AI345" s="155">
        <f t="shared" si="5"/>
        <v>2.7368580168248631E-3</v>
      </c>
      <c r="AJ345" s="155">
        <v>4.3761134915274049E-4</v>
      </c>
    </row>
    <row r="346" spans="1:36" s="160" customFormat="1">
      <c r="A346" s="153" t="s">
        <v>1213</v>
      </c>
      <c r="B346" s="160">
        <v>13498</v>
      </c>
      <c r="C346" s="153" t="s">
        <v>1820</v>
      </c>
      <c r="D346" s="153" t="s">
        <v>1821</v>
      </c>
      <c r="E346" s="153" t="s">
        <v>309</v>
      </c>
      <c r="F346" s="153" t="s">
        <v>1952</v>
      </c>
      <c r="G346" s="153" t="s">
        <v>1953</v>
      </c>
      <c r="H346" s="153" t="s">
        <v>321</v>
      </c>
      <c r="I346" s="153" t="s">
        <v>754</v>
      </c>
      <c r="J346" s="153" t="s">
        <v>204</v>
      </c>
      <c r="K346" s="153" t="s">
        <v>204</v>
      </c>
      <c r="L346" s="153" t="s">
        <v>325</v>
      </c>
      <c r="M346" s="153" t="s">
        <v>340</v>
      </c>
      <c r="N346" s="153" t="s">
        <v>464</v>
      </c>
      <c r="O346" s="153" t="s">
        <v>339</v>
      </c>
      <c r="P346" s="153" t="s">
        <v>1538</v>
      </c>
      <c r="Q346" s="153" t="s">
        <v>413</v>
      </c>
      <c r="R346" s="153" t="s">
        <v>407</v>
      </c>
      <c r="S346" s="153" t="s">
        <v>1212</v>
      </c>
      <c r="T346" s="154">
        <v>2.19</v>
      </c>
      <c r="U346" s="153" t="s">
        <v>1308</v>
      </c>
      <c r="V346" s="155">
        <v>1.8530000000000001E-2</v>
      </c>
      <c r="W346" s="155">
        <v>2.6599999999999999E-2</v>
      </c>
      <c r="X346" s="153" t="s">
        <v>412</v>
      </c>
      <c r="Y346" s="153" t="s">
        <v>339</v>
      </c>
      <c r="Z346" s="154">
        <v>290413.59999999998</v>
      </c>
      <c r="AA346" s="154">
        <v>1</v>
      </c>
      <c r="AB346" s="154">
        <v>115.87</v>
      </c>
      <c r="AD346" s="154">
        <v>336.50200000000001</v>
      </c>
      <c r="AG346" s="157" t="s">
        <v>15</v>
      </c>
      <c r="AH346" s="155">
        <v>1.3999999999999999E-4</v>
      </c>
      <c r="AI346" s="155">
        <f t="shared" si="5"/>
        <v>2.6412704955191008E-3</v>
      </c>
      <c r="AJ346" s="155">
        <v>4.2232733226051241E-4</v>
      </c>
    </row>
    <row r="347" spans="1:36" s="160" customFormat="1">
      <c r="A347" s="153" t="s">
        <v>1213</v>
      </c>
      <c r="B347" s="160">
        <v>13498</v>
      </c>
      <c r="C347" s="153" t="s">
        <v>1852</v>
      </c>
      <c r="D347" s="153" t="s">
        <v>1853</v>
      </c>
      <c r="E347" s="153" t="s">
        <v>309</v>
      </c>
      <c r="F347" s="153" t="s">
        <v>2341</v>
      </c>
      <c r="G347" s="153" t="s">
        <v>2342</v>
      </c>
      <c r="H347" s="153" t="s">
        <v>321</v>
      </c>
      <c r="I347" s="153" t="s">
        <v>754</v>
      </c>
      <c r="J347" s="153" t="s">
        <v>204</v>
      </c>
      <c r="K347" s="153" t="s">
        <v>204</v>
      </c>
      <c r="L347" s="153" t="s">
        <v>325</v>
      </c>
      <c r="M347" s="153" t="s">
        <v>340</v>
      </c>
      <c r="N347" s="153" t="s">
        <v>448</v>
      </c>
      <c r="O347" s="153" t="s">
        <v>339</v>
      </c>
      <c r="P347" s="153" t="s">
        <v>1566</v>
      </c>
      <c r="Q347" s="153" t="s">
        <v>413</v>
      </c>
      <c r="R347" s="153" t="s">
        <v>407</v>
      </c>
      <c r="S347" s="153" t="s">
        <v>1212</v>
      </c>
      <c r="T347" s="154">
        <v>2.2200000000000002</v>
      </c>
      <c r="U347" s="153" t="s">
        <v>1744</v>
      </c>
      <c r="V347" s="155">
        <v>9.1199999999999996E-3</v>
      </c>
      <c r="W347" s="155">
        <v>2.29E-2</v>
      </c>
      <c r="X347" s="153" t="s">
        <v>412</v>
      </c>
      <c r="Y347" s="153" t="s">
        <v>339</v>
      </c>
      <c r="Z347" s="154">
        <v>300000</v>
      </c>
      <c r="AA347" s="154">
        <v>1</v>
      </c>
      <c r="AB347" s="154">
        <v>110.31</v>
      </c>
      <c r="AD347" s="154">
        <v>330.93</v>
      </c>
      <c r="AG347" s="157" t="s">
        <v>15</v>
      </c>
      <c r="AH347" s="155">
        <v>3.6000000000000002E-4</v>
      </c>
      <c r="AI347" s="155">
        <f t="shared" si="5"/>
        <v>2.5975347697253983E-3</v>
      </c>
      <c r="AJ347" s="155">
        <v>4.1533418542823337E-4</v>
      </c>
    </row>
    <row r="348" spans="1:36" s="160" customFormat="1">
      <c r="A348" s="153" t="s">
        <v>1213</v>
      </c>
      <c r="B348" s="160">
        <v>13498</v>
      </c>
      <c r="C348" s="153" t="s">
        <v>2343</v>
      </c>
      <c r="D348" s="153" t="s">
        <v>2344</v>
      </c>
      <c r="E348" s="153" t="s">
        <v>309</v>
      </c>
      <c r="F348" s="153" t="s">
        <v>2345</v>
      </c>
      <c r="G348" s="153" t="s">
        <v>2346</v>
      </c>
      <c r="H348" s="153" t="s">
        <v>321</v>
      </c>
      <c r="I348" s="153" t="s">
        <v>951</v>
      </c>
      <c r="J348" s="153" t="s">
        <v>204</v>
      </c>
      <c r="K348" s="153" t="s">
        <v>204</v>
      </c>
      <c r="L348" s="153" t="s">
        <v>325</v>
      </c>
      <c r="M348" s="153" t="s">
        <v>340</v>
      </c>
      <c r="N348" s="153" t="s">
        <v>476</v>
      </c>
      <c r="O348" s="153" t="s">
        <v>339</v>
      </c>
      <c r="P348" s="153" t="s">
        <v>1566</v>
      </c>
      <c r="Q348" s="153" t="s">
        <v>413</v>
      </c>
      <c r="R348" s="153" t="s">
        <v>407</v>
      </c>
      <c r="S348" s="153" t="s">
        <v>1212</v>
      </c>
      <c r="T348" s="154">
        <v>5.63</v>
      </c>
      <c r="U348" s="153" t="s">
        <v>2347</v>
      </c>
      <c r="V348" s="155">
        <v>5.552E-2</v>
      </c>
      <c r="W348" s="155">
        <v>5.6099999999999997E-2</v>
      </c>
      <c r="X348" s="153" t="s">
        <v>412</v>
      </c>
      <c r="Y348" s="153" t="s">
        <v>339</v>
      </c>
      <c r="Z348" s="154">
        <v>319000</v>
      </c>
      <c r="AA348" s="154">
        <v>1</v>
      </c>
      <c r="AB348" s="154">
        <v>100.98</v>
      </c>
      <c r="AD348" s="154">
        <v>322.12599999999998</v>
      </c>
      <c r="AG348" s="157" t="s">
        <v>15</v>
      </c>
      <c r="AH348" s="155">
        <v>2.1299999999999999E-3</v>
      </c>
      <c r="AI348" s="155">
        <f t="shared" si="5"/>
        <v>2.5284304391640635E-3</v>
      </c>
      <c r="AJ348" s="155">
        <v>4.0428471222087779E-4</v>
      </c>
    </row>
    <row r="349" spans="1:36" s="160" customFormat="1">
      <c r="A349" s="153" t="s">
        <v>1213</v>
      </c>
      <c r="B349" s="160">
        <v>13498</v>
      </c>
      <c r="C349" s="153" t="s">
        <v>2348</v>
      </c>
      <c r="D349" s="153" t="s">
        <v>2349</v>
      </c>
      <c r="E349" s="153" t="s">
        <v>309</v>
      </c>
      <c r="F349" s="153" t="s">
        <v>2350</v>
      </c>
      <c r="G349" s="153" t="s">
        <v>2351</v>
      </c>
      <c r="H349" s="153" t="s">
        <v>321</v>
      </c>
      <c r="I349" s="153" t="s">
        <v>951</v>
      </c>
      <c r="J349" s="153" t="s">
        <v>204</v>
      </c>
      <c r="K349" s="153" t="s">
        <v>204</v>
      </c>
      <c r="L349" s="153" t="s">
        <v>325</v>
      </c>
      <c r="M349" s="153" t="s">
        <v>340</v>
      </c>
      <c r="N349" s="153" t="s">
        <v>456</v>
      </c>
      <c r="O349" s="153" t="s">
        <v>339</v>
      </c>
      <c r="P349" s="153" t="s">
        <v>1538</v>
      </c>
      <c r="Q349" s="153" t="s">
        <v>413</v>
      </c>
      <c r="R349" s="153" t="s">
        <v>407</v>
      </c>
      <c r="S349" s="153" t="s">
        <v>1212</v>
      </c>
      <c r="T349" s="154">
        <v>7.58</v>
      </c>
      <c r="U349" s="153" t="s">
        <v>2352</v>
      </c>
      <c r="V349" s="155">
        <v>4.5990000000000003E-2</v>
      </c>
      <c r="W349" s="155">
        <v>5.6599999999999998E-2</v>
      </c>
      <c r="X349" s="153" t="s">
        <v>412</v>
      </c>
      <c r="Y349" s="153" t="s">
        <v>339</v>
      </c>
      <c r="Z349" s="154">
        <v>382830.37</v>
      </c>
      <c r="AA349" s="154">
        <v>1</v>
      </c>
      <c r="AB349" s="154">
        <v>79</v>
      </c>
      <c r="AD349" s="154">
        <v>302.43599999999998</v>
      </c>
      <c r="AG349" s="157" t="s">
        <v>15</v>
      </c>
      <c r="AH349" s="155">
        <v>5.1999999999999995E-4</v>
      </c>
      <c r="AI349" s="155">
        <f t="shared" si="5"/>
        <v>2.3738797498464039E-3</v>
      </c>
      <c r="AJ349" s="155">
        <v>3.7957274863014285E-4</v>
      </c>
    </row>
    <row r="350" spans="1:36" s="160" customFormat="1">
      <c r="A350" s="153" t="s">
        <v>1213</v>
      </c>
      <c r="B350" s="160">
        <v>13498</v>
      </c>
      <c r="C350" s="153" t="s">
        <v>1600</v>
      </c>
      <c r="D350" s="153" t="s">
        <v>1601</v>
      </c>
      <c r="E350" s="153" t="s">
        <v>309</v>
      </c>
      <c r="F350" s="153" t="s">
        <v>2353</v>
      </c>
      <c r="G350" s="153" t="s">
        <v>2354</v>
      </c>
      <c r="H350" s="153" t="s">
        <v>321</v>
      </c>
      <c r="I350" s="153" t="s">
        <v>754</v>
      </c>
      <c r="J350" s="153" t="s">
        <v>204</v>
      </c>
      <c r="K350" s="153" t="s">
        <v>204</v>
      </c>
      <c r="L350" s="153" t="s">
        <v>325</v>
      </c>
      <c r="M350" s="153" t="s">
        <v>340</v>
      </c>
      <c r="N350" s="153" t="s">
        <v>448</v>
      </c>
      <c r="O350" s="153" t="s">
        <v>339</v>
      </c>
      <c r="P350" s="153" t="s">
        <v>1215</v>
      </c>
      <c r="Q350" s="153" t="s">
        <v>413</v>
      </c>
      <c r="R350" s="153" t="s">
        <v>407</v>
      </c>
      <c r="S350" s="153" t="s">
        <v>1212</v>
      </c>
      <c r="T350" s="154">
        <v>2.04</v>
      </c>
      <c r="U350" s="153" t="s">
        <v>2355</v>
      </c>
      <c r="V350" s="155">
        <v>6.0000000000000001E-3</v>
      </c>
      <c r="W350" s="155">
        <v>2.07E-2</v>
      </c>
      <c r="X350" s="153" t="s">
        <v>412</v>
      </c>
      <c r="Y350" s="153" t="s">
        <v>339</v>
      </c>
      <c r="Z350" s="154">
        <v>257526.94</v>
      </c>
      <c r="AA350" s="154">
        <v>1</v>
      </c>
      <c r="AB350" s="154">
        <v>113.24</v>
      </c>
      <c r="AD350" s="154">
        <v>291.62400000000002</v>
      </c>
      <c r="AG350" s="157" t="s">
        <v>15</v>
      </c>
      <c r="AH350" s="155">
        <v>2.9E-4</v>
      </c>
      <c r="AI350" s="155">
        <f t="shared" si="5"/>
        <v>2.2890142316695362E-3</v>
      </c>
      <c r="AJ350" s="155">
        <v>3.6600313205609382E-4</v>
      </c>
    </row>
    <row r="351" spans="1:36" s="160" customFormat="1">
      <c r="A351" s="153" t="s">
        <v>1213</v>
      </c>
      <c r="B351" s="160">
        <v>13498</v>
      </c>
      <c r="C351" s="153" t="s">
        <v>2356</v>
      </c>
      <c r="D351" s="153" t="s">
        <v>2357</v>
      </c>
      <c r="E351" s="153" t="s">
        <v>309</v>
      </c>
      <c r="F351" s="153" t="s">
        <v>2358</v>
      </c>
      <c r="G351" s="153" t="s">
        <v>2359</v>
      </c>
      <c r="H351" s="153" t="s">
        <v>321</v>
      </c>
      <c r="I351" s="153" t="s">
        <v>754</v>
      </c>
      <c r="J351" s="153" t="s">
        <v>204</v>
      </c>
      <c r="K351" s="153" t="s">
        <v>204</v>
      </c>
      <c r="L351" s="153" t="s">
        <v>325</v>
      </c>
      <c r="M351" s="153" t="s">
        <v>340</v>
      </c>
      <c r="N351" s="153" t="s">
        <v>447</v>
      </c>
      <c r="O351" s="153" t="s">
        <v>339</v>
      </c>
      <c r="P351" s="153" t="s">
        <v>1560</v>
      </c>
      <c r="Q351" s="153" t="s">
        <v>413</v>
      </c>
      <c r="R351" s="153" t="s">
        <v>407</v>
      </c>
      <c r="S351" s="153" t="s">
        <v>1212</v>
      </c>
      <c r="T351" s="154">
        <v>2.79</v>
      </c>
      <c r="U351" s="153" t="s">
        <v>2360</v>
      </c>
      <c r="V351" s="155">
        <v>1.6639999999999999E-2</v>
      </c>
      <c r="W351" s="155">
        <v>3.95E-2</v>
      </c>
      <c r="X351" s="153" t="s">
        <v>412</v>
      </c>
      <c r="Y351" s="153" t="s">
        <v>339</v>
      </c>
      <c r="Z351" s="154">
        <v>234848.48</v>
      </c>
      <c r="AA351" s="154">
        <v>1</v>
      </c>
      <c r="AB351" s="154">
        <v>117.74</v>
      </c>
      <c r="AD351" s="154">
        <v>276.51100000000002</v>
      </c>
      <c r="AG351" s="157" t="s">
        <v>15</v>
      </c>
      <c r="AH351" s="155">
        <v>1.6000000000000001E-4</v>
      </c>
      <c r="AI351" s="155">
        <f t="shared" si="5"/>
        <v>2.1703893171109894E-3</v>
      </c>
      <c r="AJ351" s="155">
        <v>3.4703553907758811E-4</v>
      </c>
    </row>
    <row r="352" spans="1:36" s="160" customFormat="1">
      <c r="A352" s="153" t="s">
        <v>1213</v>
      </c>
      <c r="B352" s="160">
        <v>13498</v>
      </c>
      <c r="C352" s="153" t="s">
        <v>2361</v>
      </c>
      <c r="D352" s="153" t="s">
        <v>2362</v>
      </c>
      <c r="E352" s="153" t="s">
        <v>309</v>
      </c>
      <c r="F352" s="153" t="s">
        <v>2363</v>
      </c>
      <c r="G352" s="153" t="s">
        <v>2364</v>
      </c>
      <c r="H352" s="153" t="s">
        <v>321</v>
      </c>
      <c r="I352" s="153" t="s">
        <v>951</v>
      </c>
      <c r="J352" s="153" t="s">
        <v>204</v>
      </c>
      <c r="K352" s="153" t="s">
        <v>204</v>
      </c>
      <c r="L352" s="153" t="s">
        <v>325</v>
      </c>
      <c r="M352" s="153" t="s">
        <v>340</v>
      </c>
      <c r="N352" s="153" t="s">
        <v>446</v>
      </c>
      <c r="O352" s="153" t="s">
        <v>339</v>
      </c>
      <c r="P352" s="153" t="s">
        <v>1538</v>
      </c>
      <c r="Q352" s="153" t="s">
        <v>413</v>
      </c>
      <c r="R352" s="153" t="s">
        <v>407</v>
      </c>
      <c r="S352" s="153" t="s">
        <v>1212</v>
      </c>
      <c r="T352" s="154">
        <v>2.62</v>
      </c>
      <c r="U352" s="153" t="s">
        <v>1587</v>
      </c>
      <c r="V352" s="155">
        <v>4.1029999999999997E-2</v>
      </c>
      <c r="W352" s="155">
        <v>5.2200000000000003E-2</v>
      </c>
      <c r="X352" s="153" t="s">
        <v>412</v>
      </c>
      <c r="Y352" s="153" t="s">
        <v>339</v>
      </c>
      <c r="Z352" s="154">
        <v>305797.28999999998</v>
      </c>
      <c r="AA352" s="154">
        <v>1</v>
      </c>
      <c r="AB352" s="154">
        <v>90.15</v>
      </c>
      <c r="AD352" s="154">
        <v>275.67599999999999</v>
      </c>
      <c r="AG352" s="157" t="s">
        <v>15</v>
      </c>
      <c r="AH352" s="155">
        <v>3.3E-4</v>
      </c>
      <c r="AI352" s="155">
        <f t="shared" si="5"/>
        <v>2.1638352375995492E-3</v>
      </c>
      <c r="AJ352" s="155">
        <v>3.4598757109392819E-4</v>
      </c>
    </row>
    <row r="353" spans="1:36" s="160" customFormat="1">
      <c r="A353" s="153" t="s">
        <v>1213</v>
      </c>
      <c r="B353" s="160">
        <v>13498</v>
      </c>
      <c r="C353" s="153" t="s">
        <v>2365</v>
      </c>
      <c r="D353" s="153" t="s">
        <v>2366</v>
      </c>
      <c r="E353" s="153" t="s">
        <v>311</v>
      </c>
      <c r="F353" s="153" t="s">
        <v>2367</v>
      </c>
      <c r="G353" s="153" t="s">
        <v>2368</v>
      </c>
      <c r="H353" s="153" t="s">
        <v>321</v>
      </c>
      <c r="I353" s="153" t="s">
        <v>951</v>
      </c>
      <c r="J353" s="153" t="s">
        <v>204</v>
      </c>
      <c r="K353" s="153" t="s">
        <v>224</v>
      </c>
      <c r="L353" s="153" t="s">
        <v>325</v>
      </c>
      <c r="M353" s="153" t="s">
        <v>340</v>
      </c>
      <c r="N353" s="153" t="s">
        <v>465</v>
      </c>
      <c r="O353" s="153" t="s">
        <v>339</v>
      </c>
      <c r="P353" s="153" t="s">
        <v>1521</v>
      </c>
      <c r="Q353" s="153" t="s">
        <v>413</v>
      </c>
      <c r="R353" s="153" t="s">
        <v>407</v>
      </c>
      <c r="S353" s="153" t="s">
        <v>1212</v>
      </c>
      <c r="T353" s="154">
        <v>1.1399999999999999</v>
      </c>
      <c r="U353" s="153" t="s">
        <v>2369</v>
      </c>
      <c r="V353" s="155">
        <v>5.5530000000000003E-2</v>
      </c>
      <c r="W353" s="155">
        <v>6.13E-2</v>
      </c>
      <c r="X353" s="153" t="s">
        <v>412</v>
      </c>
      <c r="Y353" s="153" t="s">
        <v>339</v>
      </c>
      <c r="Z353" s="154">
        <v>276925</v>
      </c>
      <c r="AA353" s="154">
        <v>1</v>
      </c>
      <c r="AB353" s="154">
        <v>99</v>
      </c>
      <c r="AD353" s="154">
        <v>274.15600000000001</v>
      </c>
      <c r="AG353" s="157" t="s">
        <v>15</v>
      </c>
      <c r="AH353" s="155">
        <v>8.8000000000000003E-4</v>
      </c>
      <c r="AI353" s="155">
        <f t="shared" si="5"/>
        <v>2.1519044581296237E-3</v>
      </c>
      <c r="AJ353" s="155">
        <v>3.4407989284822391E-4</v>
      </c>
    </row>
    <row r="354" spans="1:36" s="160" customFormat="1">
      <c r="A354" s="153" t="s">
        <v>1213</v>
      </c>
      <c r="B354" s="160">
        <v>13498</v>
      </c>
      <c r="C354" s="153" t="s">
        <v>1986</v>
      </c>
      <c r="D354" s="153" t="s">
        <v>1987</v>
      </c>
      <c r="E354" s="153" t="s">
        <v>309</v>
      </c>
      <c r="F354" s="153" t="s">
        <v>2370</v>
      </c>
      <c r="G354" s="153" t="s">
        <v>2371</v>
      </c>
      <c r="H354" s="153" t="s">
        <v>321</v>
      </c>
      <c r="I354" s="153" t="s">
        <v>754</v>
      </c>
      <c r="J354" s="153" t="s">
        <v>204</v>
      </c>
      <c r="K354" s="153" t="s">
        <v>204</v>
      </c>
      <c r="L354" s="153" t="s">
        <v>325</v>
      </c>
      <c r="M354" s="153" t="s">
        <v>340</v>
      </c>
      <c r="N354" s="153" t="s">
        <v>484</v>
      </c>
      <c r="O354" s="153" t="s">
        <v>339</v>
      </c>
      <c r="P354" s="153" t="s">
        <v>1538</v>
      </c>
      <c r="Q354" s="153" t="s">
        <v>413</v>
      </c>
      <c r="R354" s="153" t="s">
        <v>407</v>
      </c>
      <c r="S354" s="153" t="s">
        <v>1212</v>
      </c>
      <c r="T354" s="154">
        <v>0.66</v>
      </c>
      <c r="U354" s="153" t="s">
        <v>2372</v>
      </c>
      <c r="V354" s="155">
        <v>3.7100000000000002E-3</v>
      </c>
      <c r="W354" s="155">
        <v>2.1100000000000001E-2</v>
      </c>
      <c r="X354" s="153" t="s">
        <v>412</v>
      </c>
      <c r="Y354" s="153" t="s">
        <v>339</v>
      </c>
      <c r="Z354" s="154">
        <v>226386.87</v>
      </c>
      <c r="AA354" s="154">
        <v>1</v>
      </c>
      <c r="AB354" s="154">
        <v>116.47</v>
      </c>
      <c r="AD354" s="154">
        <v>263.673</v>
      </c>
      <c r="AG354" s="157" t="s">
        <v>15</v>
      </c>
      <c r="AH354" s="155">
        <v>4.2999999999999999E-4</v>
      </c>
      <c r="AI354" s="155">
        <f t="shared" si="5"/>
        <v>2.0696213257722328E-3</v>
      </c>
      <c r="AJ354" s="155">
        <v>3.3092318821025164E-4</v>
      </c>
    </row>
    <row r="355" spans="1:36" s="160" customFormat="1">
      <c r="A355" s="153" t="s">
        <v>1213</v>
      </c>
      <c r="B355" s="160">
        <v>13498</v>
      </c>
      <c r="C355" s="153" t="s">
        <v>2373</v>
      </c>
      <c r="D355" s="153" t="s">
        <v>2374</v>
      </c>
      <c r="E355" s="153" t="s">
        <v>309</v>
      </c>
      <c r="F355" s="153" t="s">
        <v>2375</v>
      </c>
      <c r="G355" s="153" t="s">
        <v>2376</v>
      </c>
      <c r="H355" s="153" t="s">
        <v>321</v>
      </c>
      <c r="I355" s="153" t="s">
        <v>755</v>
      </c>
      <c r="J355" s="153" t="s">
        <v>204</v>
      </c>
      <c r="K355" s="153" t="s">
        <v>204</v>
      </c>
      <c r="L355" s="153" t="s">
        <v>325</v>
      </c>
      <c r="M355" s="153" t="s">
        <v>340</v>
      </c>
      <c r="N355" s="153" t="s">
        <v>454</v>
      </c>
      <c r="O355" s="153" t="s">
        <v>339</v>
      </c>
      <c r="P355" s="153" t="s">
        <v>1544</v>
      </c>
      <c r="Q355" s="153" t="s">
        <v>415</v>
      </c>
      <c r="R355" s="153" t="s">
        <v>407</v>
      </c>
      <c r="S355" s="153" t="s">
        <v>1212</v>
      </c>
      <c r="T355" s="154">
        <v>2.97</v>
      </c>
      <c r="U355" s="153" t="s">
        <v>2377</v>
      </c>
      <c r="V355" s="155">
        <v>7.0879999999999999E-2</v>
      </c>
      <c r="W355" s="155">
        <v>7.6100000000000001E-2</v>
      </c>
      <c r="X355" s="153" t="s">
        <v>412</v>
      </c>
      <c r="Y355" s="153" t="s">
        <v>339</v>
      </c>
      <c r="Z355" s="154">
        <v>266326.49</v>
      </c>
      <c r="AA355" s="154">
        <v>1</v>
      </c>
      <c r="AB355" s="154">
        <v>97.95</v>
      </c>
      <c r="AD355" s="154">
        <v>260.86700000000002</v>
      </c>
      <c r="AG355" s="157" t="s">
        <v>15</v>
      </c>
      <c r="AH355" s="155">
        <v>2.0000000000000001E-4</v>
      </c>
      <c r="AI355" s="155">
        <f t="shared" si="5"/>
        <v>2.0475964789349876E-3</v>
      </c>
      <c r="AJ355" s="155">
        <v>3.2740151376456334E-4</v>
      </c>
    </row>
    <row r="356" spans="1:36" s="160" customFormat="1">
      <c r="A356" s="153" t="s">
        <v>1213</v>
      </c>
      <c r="B356" s="160">
        <v>13498</v>
      </c>
      <c r="C356" s="153" t="s">
        <v>1534</v>
      </c>
      <c r="D356" s="153" t="s">
        <v>1535</v>
      </c>
      <c r="E356" s="153" t="s">
        <v>309</v>
      </c>
      <c r="F356" s="153" t="s">
        <v>2378</v>
      </c>
      <c r="G356" s="153" t="s">
        <v>2379</v>
      </c>
      <c r="H356" s="153" t="s">
        <v>321</v>
      </c>
      <c r="I356" s="153" t="s">
        <v>951</v>
      </c>
      <c r="J356" s="153" t="s">
        <v>204</v>
      </c>
      <c r="K356" s="153" t="s">
        <v>204</v>
      </c>
      <c r="L356" s="153" t="s">
        <v>325</v>
      </c>
      <c r="M356" s="153" t="s">
        <v>340</v>
      </c>
      <c r="N356" s="153" t="s">
        <v>464</v>
      </c>
      <c r="O356" s="153" t="s">
        <v>339</v>
      </c>
      <c r="P356" s="153" t="s">
        <v>2011</v>
      </c>
      <c r="Q356" s="153" t="s">
        <v>415</v>
      </c>
      <c r="R356" s="153" t="s">
        <v>407</v>
      </c>
      <c r="S356" s="153" t="s">
        <v>1212</v>
      </c>
      <c r="T356" s="154">
        <v>5.25</v>
      </c>
      <c r="U356" s="153" t="s">
        <v>2012</v>
      </c>
      <c r="V356" s="155">
        <v>4.5350000000000001E-2</v>
      </c>
      <c r="W356" s="155">
        <v>5.91E-2</v>
      </c>
      <c r="X356" s="153" t="s">
        <v>412</v>
      </c>
      <c r="Y356" s="153" t="s">
        <v>339</v>
      </c>
      <c r="Z356" s="154">
        <v>300000</v>
      </c>
      <c r="AA356" s="154">
        <v>1</v>
      </c>
      <c r="AB356" s="154">
        <v>85.33</v>
      </c>
      <c r="AD356" s="154">
        <v>255.99</v>
      </c>
      <c r="AG356" s="157" t="s">
        <v>15</v>
      </c>
      <c r="AH356" s="155">
        <v>2.5000000000000001E-4</v>
      </c>
      <c r="AI356" s="155">
        <f t="shared" si="5"/>
        <v>2.0093159450699687E-3</v>
      </c>
      <c r="AJ356" s="155">
        <v>3.2128062770910303E-4</v>
      </c>
    </row>
    <row r="357" spans="1:36" s="160" customFormat="1">
      <c r="A357" s="153" t="s">
        <v>1213</v>
      </c>
      <c r="B357" s="160">
        <v>13498</v>
      </c>
      <c r="C357" s="153" t="s">
        <v>1600</v>
      </c>
      <c r="D357" s="153" t="s">
        <v>1601</v>
      </c>
      <c r="E357" s="153" t="s">
        <v>309</v>
      </c>
      <c r="F357" s="153" t="s">
        <v>2380</v>
      </c>
      <c r="G357" s="153" t="s">
        <v>2381</v>
      </c>
      <c r="H357" s="153" t="s">
        <v>321</v>
      </c>
      <c r="I357" s="153" t="s">
        <v>951</v>
      </c>
      <c r="J357" s="153" t="s">
        <v>204</v>
      </c>
      <c r="K357" s="153" t="s">
        <v>204</v>
      </c>
      <c r="L357" s="153" t="s">
        <v>325</v>
      </c>
      <c r="M357" s="153" t="s">
        <v>340</v>
      </c>
      <c r="N357" s="153" t="s">
        <v>448</v>
      </c>
      <c r="O357" s="153" t="s">
        <v>339</v>
      </c>
      <c r="P357" s="153" t="s">
        <v>1215</v>
      </c>
      <c r="Q357" s="153" t="s">
        <v>413</v>
      </c>
      <c r="R357" s="153" t="s">
        <v>407</v>
      </c>
      <c r="S357" s="153" t="s">
        <v>1212</v>
      </c>
      <c r="T357" s="154">
        <v>0.65</v>
      </c>
      <c r="U357" s="153" t="s">
        <v>2382</v>
      </c>
      <c r="V357" s="155">
        <v>4.3529999999999999E-2</v>
      </c>
      <c r="W357" s="155">
        <v>4.4499999999999998E-2</v>
      </c>
      <c r="X357" s="153" t="s">
        <v>412</v>
      </c>
      <c r="Y357" s="153" t="s">
        <v>339</v>
      </c>
      <c r="Z357" s="154">
        <v>250000</v>
      </c>
      <c r="AA357" s="154">
        <v>1</v>
      </c>
      <c r="AB357" s="154">
        <v>100.87</v>
      </c>
      <c r="AD357" s="154">
        <v>252.17500000000001</v>
      </c>
      <c r="AG357" s="157" t="s">
        <v>15</v>
      </c>
      <c r="AH357" s="155">
        <v>2.1000000000000001E-4</v>
      </c>
      <c r="AI357" s="155">
        <f t="shared" si="5"/>
        <v>1.9793712584398582E-3</v>
      </c>
      <c r="AJ357" s="155">
        <v>3.1649260632268079E-4</v>
      </c>
    </row>
    <row r="358" spans="1:36" s="160" customFormat="1">
      <c r="A358" s="153" t="s">
        <v>1213</v>
      </c>
      <c r="B358" s="160">
        <v>13498</v>
      </c>
      <c r="C358" s="153" t="s">
        <v>1852</v>
      </c>
      <c r="D358" s="153" t="s">
        <v>1853</v>
      </c>
      <c r="E358" s="153" t="s">
        <v>309</v>
      </c>
      <c r="F358" s="153" t="s">
        <v>2383</v>
      </c>
      <c r="G358" s="153" t="s">
        <v>2384</v>
      </c>
      <c r="H358" s="153" t="s">
        <v>321</v>
      </c>
      <c r="I358" s="153" t="s">
        <v>754</v>
      </c>
      <c r="J358" s="153" t="s">
        <v>204</v>
      </c>
      <c r="K358" s="153" t="s">
        <v>204</v>
      </c>
      <c r="L358" s="153" t="s">
        <v>325</v>
      </c>
      <c r="M358" s="153" t="s">
        <v>340</v>
      </c>
      <c r="N358" s="153" t="s">
        <v>448</v>
      </c>
      <c r="O358" s="153" t="s">
        <v>339</v>
      </c>
      <c r="P358" s="153" t="s">
        <v>1566</v>
      </c>
      <c r="Q358" s="153" t="s">
        <v>413</v>
      </c>
      <c r="R358" s="153" t="s">
        <v>407</v>
      </c>
      <c r="S358" s="153" t="s">
        <v>1212</v>
      </c>
      <c r="T358" s="154">
        <v>1.23</v>
      </c>
      <c r="U358" s="153" t="s">
        <v>1659</v>
      </c>
      <c r="V358" s="155">
        <v>3.32E-3</v>
      </c>
      <c r="W358" s="155">
        <v>2.01E-2</v>
      </c>
      <c r="X358" s="153" t="s">
        <v>412</v>
      </c>
      <c r="Y358" s="153" t="s">
        <v>339</v>
      </c>
      <c r="Z358" s="154">
        <v>225000</v>
      </c>
      <c r="AA358" s="154">
        <v>1</v>
      </c>
      <c r="AB358" s="154">
        <v>111.85</v>
      </c>
      <c r="AD358" s="154">
        <v>251.66300000000001</v>
      </c>
      <c r="AG358" s="157" t="s">
        <v>15</v>
      </c>
      <c r="AH358" s="155">
        <v>5.4000000000000001E-4</v>
      </c>
      <c r="AI358" s="155">
        <f t="shared" si="5"/>
        <v>1.9753524695657779E-3</v>
      </c>
      <c r="AJ358" s="155">
        <v>3.1585001996623299E-4</v>
      </c>
    </row>
    <row r="359" spans="1:36" s="160" customFormat="1">
      <c r="A359" s="153" t="s">
        <v>1213</v>
      </c>
      <c r="B359" s="160">
        <v>13498</v>
      </c>
      <c r="C359" s="153" t="s">
        <v>2385</v>
      </c>
      <c r="D359" s="153" t="s">
        <v>2386</v>
      </c>
      <c r="E359" s="153" t="s">
        <v>309</v>
      </c>
      <c r="F359" s="153" t="s">
        <v>2387</v>
      </c>
      <c r="G359" s="153" t="s">
        <v>2388</v>
      </c>
      <c r="H359" s="153" t="s">
        <v>321</v>
      </c>
      <c r="I359" s="153" t="s">
        <v>754</v>
      </c>
      <c r="J359" s="153" t="s">
        <v>204</v>
      </c>
      <c r="K359" s="153" t="s">
        <v>204</v>
      </c>
      <c r="L359" s="153" t="s">
        <v>325</v>
      </c>
      <c r="M359" s="153" t="s">
        <v>340</v>
      </c>
      <c r="N359" s="153" t="s">
        <v>464</v>
      </c>
      <c r="O359" s="153" t="s">
        <v>339</v>
      </c>
      <c r="P359" s="153" t="s">
        <v>1211</v>
      </c>
      <c r="Q359" s="153" t="s">
        <v>415</v>
      </c>
      <c r="R359" s="153" t="s">
        <v>407</v>
      </c>
      <c r="S359" s="153" t="s">
        <v>1212</v>
      </c>
      <c r="T359" s="154">
        <v>1.46</v>
      </c>
      <c r="U359" s="153" t="s">
        <v>1659</v>
      </c>
      <c r="V359" s="155">
        <v>1.409E-2</v>
      </c>
      <c r="W359" s="155">
        <v>2.1899999999999999E-2</v>
      </c>
      <c r="X359" s="153" t="s">
        <v>412</v>
      </c>
      <c r="Y359" s="153" t="s">
        <v>339</v>
      </c>
      <c r="Z359" s="154">
        <v>216250</v>
      </c>
      <c r="AA359" s="154">
        <v>1</v>
      </c>
      <c r="AB359" s="154">
        <v>114.36</v>
      </c>
      <c r="AD359" s="154">
        <v>247.304</v>
      </c>
      <c r="AG359" s="157" t="s">
        <v>15</v>
      </c>
      <c r="AH359" s="155">
        <v>1.8000000000000001E-4</v>
      </c>
      <c r="AI359" s="155">
        <f t="shared" si="5"/>
        <v>1.9411378197569573E-3</v>
      </c>
      <c r="AJ359" s="155">
        <v>3.10379250576085E-4</v>
      </c>
    </row>
    <row r="360" spans="1:36" s="160" customFormat="1">
      <c r="A360" s="153" t="s">
        <v>1213</v>
      </c>
      <c r="B360" s="160">
        <v>13498</v>
      </c>
      <c r="C360" s="153" t="s">
        <v>2211</v>
      </c>
      <c r="D360" s="153" t="s">
        <v>2212</v>
      </c>
      <c r="E360" s="153" t="s">
        <v>309</v>
      </c>
      <c r="F360" s="153" t="s">
        <v>2389</v>
      </c>
      <c r="G360" s="153" t="s">
        <v>2390</v>
      </c>
      <c r="H360" s="153" t="s">
        <v>321</v>
      </c>
      <c r="I360" s="153" t="s">
        <v>951</v>
      </c>
      <c r="J360" s="153" t="s">
        <v>204</v>
      </c>
      <c r="K360" s="153" t="s">
        <v>204</v>
      </c>
      <c r="L360" s="153" t="s">
        <v>325</v>
      </c>
      <c r="M360" s="153" t="s">
        <v>340</v>
      </c>
      <c r="N360" s="153" t="s">
        <v>454</v>
      </c>
      <c r="O360" s="153" t="s">
        <v>339</v>
      </c>
      <c r="P360" s="153" t="s">
        <v>1527</v>
      </c>
      <c r="Q360" s="153" t="s">
        <v>415</v>
      </c>
      <c r="R360" s="153" t="s">
        <v>407</v>
      </c>
      <c r="S360" s="153" t="s">
        <v>1212</v>
      </c>
      <c r="T360" s="154">
        <v>2.72</v>
      </c>
      <c r="U360" s="153" t="s">
        <v>1628</v>
      </c>
      <c r="V360" s="155">
        <v>5.6090000000000001E-2</v>
      </c>
      <c r="W360" s="155">
        <v>6.4399999999999999E-2</v>
      </c>
      <c r="X360" s="153" t="s">
        <v>412</v>
      </c>
      <c r="Y360" s="153" t="s">
        <v>339</v>
      </c>
      <c r="Z360" s="154">
        <v>235480</v>
      </c>
      <c r="AA360" s="154">
        <v>1</v>
      </c>
      <c r="AB360" s="154">
        <v>102.2</v>
      </c>
      <c r="AD360" s="154">
        <v>240.661</v>
      </c>
      <c r="AG360" s="157" t="s">
        <v>15</v>
      </c>
      <c r="AH360" s="155">
        <v>1.2999999999999999E-4</v>
      </c>
      <c r="AI360" s="155">
        <f t="shared" si="5"/>
        <v>1.8889956039551689E-3</v>
      </c>
      <c r="AJ360" s="155">
        <v>3.0204194361147088E-4</v>
      </c>
    </row>
    <row r="361" spans="1:36" s="160" customFormat="1">
      <c r="A361" s="153" t="s">
        <v>1213</v>
      </c>
      <c r="B361" s="160">
        <v>13498</v>
      </c>
      <c r="C361" s="153" t="s">
        <v>1605</v>
      </c>
      <c r="D361" s="153" t="s">
        <v>1606</v>
      </c>
      <c r="E361" s="153" t="s">
        <v>311</v>
      </c>
      <c r="F361" s="153" t="s">
        <v>1655</v>
      </c>
      <c r="G361" s="153" t="s">
        <v>1656</v>
      </c>
      <c r="H361" s="153" t="s">
        <v>321</v>
      </c>
      <c r="I361" s="153" t="s">
        <v>951</v>
      </c>
      <c r="J361" s="153" t="s">
        <v>204</v>
      </c>
      <c r="K361" s="153" t="s">
        <v>224</v>
      </c>
      <c r="L361" s="153" t="s">
        <v>325</v>
      </c>
      <c r="M361" s="153" t="s">
        <v>340</v>
      </c>
      <c r="N361" s="153" t="s">
        <v>465</v>
      </c>
      <c r="O361" s="153" t="s">
        <v>339</v>
      </c>
      <c r="P361" s="153" t="s">
        <v>1538</v>
      </c>
      <c r="Q361" s="153" t="s">
        <v>413</v>
      </c>
      <c r="R361" s="153" t="s">
        <v>407</v>
      </c>
      <c r="S361" s="153" t="s">
        <v>1212</v>
      </c>
      <c r="T361" s="154">
        <v>2.4500000000000002</v>
      </c>
      <c r="U361" s="153" t="s">
        <v>1572</v>
      </c>
      <c r="V361" s="155">
        <v>6.6320000000000004E-2</v>
      </c>
      <c r="W361" s="155">
        <v>6.2E-2</v>
      </c>
      <c r="X361" s="153" t="s">
        <v>412</v>
      </c>
      <c r="Y361" s="153" t="s">
        <v>339</v>
      </c>
      <c r="Z361" s="154">
        <v>227817</v>
      </c>
      <c r="AA361" s="154">
        <v>1</v>
      </c>
      <c r="AB361" s="154">
        <v>102.2</v>
      </c>
      <c r="AD361" s="154">
        <v>232.82900000000001</v>
      </c>
      <c r="AG361" s="157" t="s">
        <v>15</v>
      </c>
      <c r="AH361" s="155">
        <v>5.5999999999999995E-4</v>
      </c>
      <c r="AI361" s="155">
        <f t="shared" si="5"/>
        <v>1.8275206928969716E-3</v>
      </c>
      <c r="AJ361" s="155">
        <v>2.9221238044018416E-4</v>
      </c>
    </row>
    <row r="362" spans="1:36" s="160" customFormat="1">
      <c r="A362" s="153" t="s">
        <v>1213</v>
      </c>
      <c r="B362" s="160">
        <v>13498</v>
      </c>
      <c r="C362" s="153" t="s">
        <v>2391</v>
      </c>
      <c r="D362" s="153" t="s">
        <v>2392</v>
      </c>
      <c r="E362" s="153" t="s">
        <v>309</v>
      </c>
      <c r="F362" s="153" t="s">
        <v>2393</v>
      </c>
      <c r="G362" s="153" t="s">
        <v>2394</v>
      </c>
      <c r="H362" s="153" t="s">
        <v>321</v>
      </c>
      <c r="I362" s="153" t="s">
        <v>754</v>
      </c>
      <c r="J362" s="153" t="s">
        <v>204</v>
      </c>
      <c r="K362" s="153" t="s">
        <v>204</v>
      </c>
      <c r="L362" s="153" t="s">
        <v>325</v>
      </c>
      <c r="M362" s="153" t="s">
        <v>340</v>
      </c>
      <c r="N362" s="153" t="s">
        <v>464</v>
      </c>
      <c r="O362" s="153" t="s">
        <v>339</v>
      </c>
      <c r="P362" s="153" t="s">
        <v>1538</v>
      </c>
      <c r="Q362" s="153" t="s">
        <v>413</v>
      </c>
      <c r="R362" s="153" t="s">
        <v>407</v>
      </c>
      <c r="S362" s="153" t="s">
        <v>1212</v>
      </c>
      <c r="T362" s="154">
        <v>2.23</v>
      </c>
      <c r="U362" s="153" t="s">
        <v>2395</v>
      </c>
      <c r="V362" s="155">
        <v>2.2689999999999998E-2</v>
      </c>
      <c r="W362" s="155">
        <v>2.6599999999999999E-2</v>
      </c>
      <c r="X362" s="153" t="s">
        <v>412</v>
      </c>
      <c r="Y362" s="153" t="s">
        <v>339</v>
      </c>
      <c r="Z362" s="154">
        <v>197735.61</v>
      </c>
      <c r="AA362" s="154">
        <v>1</v>
      </c>
      <c r="AB362" s="154">
        <v>112.91</v>
      </c>
      <c r="AD362" s="154">
        <v>223.26300000000001</v>
      </c>
      <c r="AG362" s="157" t="s">
        <v>15</v>
      </c>
      <c r="AH362" s="155">
        <v>1.6000000000000001E-4</v>
      </c>
      <c r="AI362" s="155">
        <f t="shared" si="5"/>
        <v>1.7524352742066347E-3</v>
      </c>
      <c r="AJ362" s="155">
        <v>2.8020655800702163E-4</v>
      </c>
    </row>
    <row r="363" spans="1:36" s="160" customFormat="1">
      <c r="A363" s="153" t="s">
        <v>1213</v>
      </c>
      <c r="B363" s="160">
        <v>13498</v>
      </c>
      <c r="C363" s="153" t="s">
        <v>2396</v>
      </c>
      <c r="D363" s="153" t="s">
        <v>2397</v>
      </c>
      <c r="E363" s="153" t="s">
        <v>309</v>
      </c>
      <c r="F363" s="153" t="s">
        <v>2398</v>
      </c>
      <c r="G363" s="153" t="s">
        <v>2399</v>
      </c>
      <c r="H363" s="153" t="s">
        <v>321</v>
      </c>
      <c r="I363" s="153" t="s">
        <v>754</v>
      </c>
      <c r="J363" s="153" t="s">
        <v>204</v>
      </c>
      <c r="K363" s="153" t="s">
        <v>204</v>
      </c>
      <c r="L363" s="153" t="s">
        <v>325</v>
      </c>
      <c r="M363" s="153" t="s">
        <v>340</v>
      </c>
      <c r="N363" s="153" t="s">
        <v>451</v>
      </c>
      <c r="O363" s="153" t="s">
        <v>339</v>
      </c>
      <c r="P363" s="153" t="s">
        <v>1521</v>
      </c>
      <c r="Q363" s="153" t="s">
        <v>413</v>
      </c>
      <c r="R363" s="153" t="s">
        <v>407</v>
      </c>
      <c r="S363" s="153" t="s">
        <v>1212</v>
      </c>
      <c r="T363" s="154">
        <v>4.7</v>
      </c>
      <c r="U363" s="153" t="s">
        <v>2174</v>
      </c>
      <c r="V363" s="155">
        <v>2.7640000000000001E-2</v>
      </c>
      <c r="W363" s="155">
        <v>3.6700000000000003E-2</v>
      </c>
      <c r="X363" s="153" t="s">
        <v>412</v>
      </c>
      <c r="Y363" s="153" t="s">
        <v>339</v>
      </c>
      <c r="Z363" s="154">
        <v>225000</v>
      </c>
      <c r="AA363" s="154">
        <v>1</v>
      </c>
      <c r="AB363" s="154">
        <v>97.72</v>
      </c>
      <c r="AD363" s="154">
        <v>219.87</v>
      </c>
      <c r="AG363" s="157" t="s">
        <v>15</v>
      </c>
      <c r="AH363" s="155">
        <v>2.4000000000000001E-4</v>
      </c>
      <c r="AI363" s="155">
        <f t="shared" si="5"/>
        <v>1.7258029487188327E-3</v>
      </c>
      <c r="AJ363" s="155">
        <v>2.7594816834407781E-4</v>
      </c>
    </row>
    <row r="364" spans="1:36" s="160" customFormat="1">
      <c r="A364" s="153" t="s">
        <v>1213</v>
      </c>
      <c r="B364" s="160">
        <v>13498</v>
      </c>
      <c r="C364" s="153" t="s">
        <v>2385</v>
      </c>
      <c r="D364" s="153" t="s">
        <v>2386</v>
      </c>
      <c r="E364" s="153" t="s">
        <v>309</v>
      </c>
      <c r="F364" s="153" t="s">
        <v>2400</v>
      </c>
      <c r="G364" s="153" t="s">
        <v>2401</v>
      </c>
      <c r="H364" s="153" t="s">
        <v>321</v>
      </c>
      <c r="I364" s="153" t="s">
        <v>754</v>
      </c>
      <c r="J364" s="153" t="s">
        <v>204</v>
      </c>
      <c r="K364" s="153" t="s">
        <v>204</v>
      </c>
      <c r="L364" s="153" t="s">
        <v>325</v>
      </c>
      <c r="M364" s="153" t="s">
        <v>340</v>
      </c>
      <c r="N364" s="153" t="s">
        <v>464</v>
      </c>
      <c r="O364" s="153" t="s">
        <v>339</v>
      </c>
      <c r="P364" s="153" t="s">
        <v>1211</v>
      </c>
      <c r="Q364" s="153" t="s">
        <v>415</v>
      </c>
      <c r="R364" s="153" t="s">
        <v>407</v>
      </c>
      <c r="S364" s="153" t="s">
        <v>1212</v>
      </c>
      <c r="T364" s="154">
        <v>4.99</v>
      </c>
      <c r="U364" s="153" t="s">
        <v>2227</v>
      </c>
      <c r="V364" s="155">
        <v>1.601E-2</v>
      </c>
      <c r="W364" s="155">
        <v>2.7E-2</v>
      </c>
      <c r="X364" s="153" t="s">
        <v>412</v>
      </c>
      <c r="Y364" s="153" t="s">
        <v>339</v>
      </c>
      <c r="Z364" s="154">
        <v>195364</v>
      </c>
      <c r="AA364" s="154">
        <v>1</v>
      </c>
      <c r="AB364" s="154">
        <v>111.02</v>
      </c>
      <c r="AD364" s="154">
        <v>216.893</v>
      </c>
      <c r="AG364" s="157" t="s">
        <v>15</v>
      </c>
      <c r="AH364" s="155">
        <v>9.0000000000000006E-5</v>
      </c>
      <c r="AI364" s="155">
        <f t="shared" si="5"/>
        <v>1.7024358891912211E-3</v>
      </c>
      <c r="AJ364" s="155">
        <v>2.7221188009574776E-4</v>
      </c>
    </row>
    <row r="365" spans="1:36" s="160" customFormat="1">
      <c r="A365" s="153" t="s">
        <v>1213</v>
      </c>
      <c r="B365" s="160">
        <v>13498</v>
      </c>
      <c r="C365" s="153" t="s">
        <v>1799</v>
      </c>
      <c r="D365" s="153" t="s">
        <v>1800</v>
      </c>
      <c r="E365" s="153" t="s">
        <v>309</v>
      </c>
      <c r="F365" s="153" t="s">
        <v>1801</v>
      </c>
      <c r="G365" s="153" t="s">
        <v>1802</v>
      </c>
      <c r="H365" s="153" t="s">
        <v>321</v>
      </c>
      <c r="I365" s="153" t="s">
        <v>754</v>
      </c>
      <c r="J365" s="153" t="s">
        <v>204</v>
      </c>
      <c r="K365" s="153" t="s">
        <v>204</v>
      </c>
      <c r="L365" s="153" t="s">
        <v>325</v>
      </c>
      <c r="M365" s="153" t="s">
        <v>340</v>
      </c>
      <c r="N365" s="153" t="s">
        <v>464</v>
      </c>
      <c r="O365" s="153" t="s">
        <v>339</v>
      </c>
      <c r="P365" s="153" t="s">
        <v>1538</v>
      </c>
      <c r="Q365" s="153" t="s">
        <v>413</v>
      </c>
      <c r="R365" s="153" t="s">
        <v>407</v>
      </c>
      <c r="S365" s="153" t="s">
        <v>1212</v>
      </c>
      <c r="T365" s="154">
        <v>4.75</v>
      </c>
      <c r="U365" s="153" t="s">
        <v>1803</v>
      </c>
      <c r="V365" s="155">
        <v>2.6120000000000001E-2</v>
      </c>
      <c r="W365" s="155">
        <v>2.92E-2</v>
      </c>
      <c r="X365" s="153" t="s">
        <v>412</v>
      </c>
      <c r="Y365" s="153" t="s">
        <v>339</v>
      </c>
      <c r="Z365" s="154">
        <v>201944.62</v>
      </c>
      <c r="AA365" s="154">
        <v>1</v>
      </c>
      <c r="AB365" s="154">
        <v>104.22</v>
      </c>
      <c r="AD365" s="154">
        <v>210.46700000000001</v>
      </c>
      <c r="AG365" s="157" t="s">
        <v>15</v>
      </c>
      <c r="AH365" s="155">
        <v>2.5000000000000001E-4</v>
      </c>
      <c r="AI365" s="155">
        <f t="shared" si="5"/>
        <v>1.6519969491427052E-3</v>
      </c>
      <c r="AJ365" s="155">
        <v>2.6414691930173748E-4</v>
      </c>
    </row>
    <row r="366" spans="1:36" s="160" customFormat="1">
      <c r="A366" s="153" t="s">
        <v>1213</v>
      </c>
      <c r="B366" s="160">
        <v>13498</v>
      </c>
      <c r="C366" s="153" t="s">
        <v>2136</v>
      </c>
      <c r="D366" s="153" t="s">
        <v>2137</v>
      </c>
      <c r="E366" s="153" t="s">
        <v>309</v>
      </c>
      <c r="F366" s="153" t="s">
        <v>2402</v>
      </c>
      <c r="G366" s="153" t="s">
        <v>2403</v>
      </c>
      <c r="H366" s="153" t="s">
        <v>321</v>
      </c>
      <c r="I366" s="153" t="s">
        <v>951</v>
      </c>
      <c r="J366" s="153" t="s">
        <v>204</v>
      </c>
      <c r="K366" s="153" t="s">
        <v>204</v>
      </c>
      <c r="L366" s="153" t="s">
        <v>325</v>
      </c>
      <c r="M366" s="153" t="s">
        <v>340</v>
      </c>
      <c r="N366" s="153" t="s">
        <v>440</v>
      </c>
      <c r="O366" s="153" t="s">
        <v>339</v>
      </c>
      <c r="P366" s="153" t="s">
        <v>1566</v>
      </c>
      <c r="Q366" s="153" t="s">
        <v>413</v>
      </c>
      <c r="R366" s="153" t="s">
        <v>407</v>
      </c>
      <c r="S366" s="153" t="s">
        <v>1212</v>
      </c>
      <c r="T366" s="154">
        <v>3.78</v>
      </c>
      <c r="U366" s="153" t="s">
        <v>1299</v>
      </c>
      <c r="V366" s="155">
        <v>4.3929999999999997E-2</v>
      </c>
      <c r="W366" s="155">
        <v>5.6099999999999997E-2</v>
      </c>
      <c r="X366" s="153" t="s">
        <v>412</v>
      </c>
      <c r="Y366" s="153" t="s">
        <v>339</v>
      </c>
      <c r="Z366" s="154">
        <v>225000</v>
      </c>
      <c r="AA366" s="154">
        <v>1</v>
      </c>
      <c r="AB366" s="154">
        <v>89.68</v>
      </c>
      <c r="AD366" s="154">
        <v>201.78</v>
      </c>
      <c r="AG366" s="157" t="s">
        <v>15</v>
      </c>
      <c r="AH366" s="155">
        <v>1.4999999999999999E-4</v>
      </c>
      <c r="AI366" s="155">
        <f t="shared" si="5"/>
        <v>1.5838109746326742E-3</v>
      </c>
      <c r="AJ366" s="155">
        <v>2.5324428711724211E-4</v>
      </c>
    </row>
    <row r="367" spans="1:36" s="160" customFormat="1">
      <c r="A367" s="153" t="s">
        <v>1213</v>
      </c>
      <c r="B367" s="160">
        <v>13498</v>
      </c>
      <c r="C367" s="153" t="s">
        <v>1605</v>
      </c>
      <c r="D367" s="153" t="s">
        <v>1606</v>
      </c>
      <c r="E367" s="153" t="s">
        <v>311</v>
      </c>
      <c r="F367" s="153" t="s">
        <v>1710</v>
      </c>
      <c r="G367" s="153" t="s">
        <v>1711</v>
      </c>
      <c r="H367" s="153" t="s">
        <v>321</v>
      </c>
      <c r="I367" s="153" t="s">
        <v>951</v>
      </c>
      <c r="J367" s="153" t="s">
        <v>204</v>
      </c>
      <c r="K367" s="153" t="s">
        <v>224</v>
      </c>
      <c r="L367" s="153" t="s">
        <v>325</v>
      </c>
      <c r="M367" s="153" t="s">
        <v>340</v>
      </c>
      <c r="N367" s="153" t="s">
        <v>465</v>
      </c>
      <c r="O367" s="153" t="s">
        <v>339</v>
      </c>
      <c r="P367" s="153" t="s">
        <v>1538</v>
      </c>
      <c r="Q367" s="153" t="s">
        <v>413</v>
      </c>
      <c r="R367" s="153" t="s">
        <v>407</v>
      </c>
      <c r="S367" s="153" t="s">
        <v>1212</v>
      </c>
      <c r="T367" s="154">
        <v>3.93</v>
      </c>
      <c r="U367" s="153" t="s">
        <v>1712</v>
      </c>
      <c r="V367" s="155">
        <v>5.2449999999999997E-2</v>
      </c>
      <c r="W367" s="155">
        <v>6.1699999999999998E-2</v>
      </c>
      <c r="X367" s="153" t="s">
        <v>412</v>
      </c>
      <c r="Y367" s="153" t="s">
        <v>339</v>
      </c>
      <c r="Z367" s="154">
        <v>191000</v>
      </c>
      <c r="AA367" s="154">
        <v>1</v>
      </c>
      <c r="AB367" s="154">
        <v>103.18</v>
      </c>
      <c r="AD367" s="154">
        <v>197.07400000000001</v>
      </c>
      <c r="AG367" s="157" t="s">
        <v>15</v>
      </c>
      <c r="AH367" s="155">
        <v>3.5E-4</v>
      </c>
      <c r="AI367" s="155">
        <f t="shared" si="5"/>
        <v>1.5468726534580218E-3</v>
      </c>
      <c r="AJ367" s="155">
        <v>2.4733801486442349E-4</v>
      </c>
    </row>
    <row r="368" spans="1:36" s="160" customFormat="1">
      <c r="A368" s="153" t="s">
        <v>1213</v>
      </c>
      <c r="B368" s="160">
        <v>13498</v>
      </c>
      <c r="C368" s="153" t="s">
        <v>2404</v>
      </c>
      <c r="D368" s="153" t="s">
        <v>2405</v>
      </c>
      <c r="E368" s="153" t="s">
        <v>309</v>
      </c>
      <c r="F368" s="153" t="s">
        <v>2406</v>
      </c>
      <c r="G368" s="153" t="s">
        <v>2407</v>
      </c>
      <c r="H368" s="153" t="s">
        <v>321</v>
      </c>
      <c r="I368" s="153" t="s">
        <v>754</v>
      </c>
      <c r="J368" s="153" t="s">
        <v>204</v>
      </c>
      <c r="K368" s="153" t="s">
        <v>204</v>
      </c>
      <c r="L368" s="153" t="s">
        <v>325</v>
      </c>
      <c r="M368" s="153" t="s">
        <v>340</v>
      </c>
      <c r="N368" s="153" t="s">
        <v>440</v>
      </c>
      <c r="O368" s="153" t="s">
        <v>339</v>
      </c>
      <c r="P368" s="153" t="s">
        <v>1554</v>
      </c>
      <c r="Q368" s="153" t="s">
        <v>413</v>
      </c>
      <c r="R368" s="153" t="s">
        <v>407</v>
      </c>
      <c r="S368" s="153" t="s">
        <v>1212</v>
      </c>
      <c r="T368" s="154">
        <v>3.02</v>
      </c>
      <c r="U368" s="153" t="s">
        <v>1654</v>
      </c>
      <c r="V368" s="155">
        <v>1.8380000000000001E-2</v>
      </c>
      <c r="W368" s="155">
        <v>3.1E-2</v>
      </c>
      <c r="X368" s="153" t="s">
        <v>412</v>
      </c>
      <c r="Y368" s="153" t="s">
        <v>339</v>
      </c>
      <c r="Z368" s="154">
        <v>171134.02</v>
      </c>
      <c r="AA368" s="154">
        <v>1</v>
      </c>
      <c r="AB368" s="154">
        <v>113.65</v>
      </c>
      <c r="AD368" s="154">
        <v>194.494</v>
      </c>
      <c r="AG368" s="157" t="s">
        <v>15</v>
      </c>
      <c r="AH368" s="155">
        <v>2.2000000000000001E-4</v>
      </c>
      <c r="AI368" s="155">
        <f t="shared" si="5"/>
        <v>1.5266217251472263E-3</v>
      </c>
      <c r="AJ368" s="155">
        <v>2.4409998205263594E-4</v>
      </c>
    </row>
    <row r="369" spans="1:36" s="160" customFormat="1">
      <c r="A369" s="153" t="s">
        <v>1213</v>
      </c>
      <c r="B369" s="160">
        <v>13498</v>
      </c>
      <c r="C369" s="153" t="s">
        <v>2408</v>
      </c>
      <c r="D369" s="153" t="s">
        <v>2409</v>
      </c>
      <c r="E369" s="153" t="s">
        <v>309</v>
      </c>
      <c r="F369" s="153" t="s">
        <v>2410</v>
      </c>
      <c r="G369" s="153" t="s">
        <v>2411</v>
      </c>
      <c r="H369" s="153" t="s">
        <v>321</v>
      </c>
      <c r="I369" s="153" t="s">
        <v>951</v>
      </c>
      <c r="J369" s="153" t="s">
        <v>204</v>
      </c>
      <c r="K369" s="153" t="s">
        <v>204</v>
      </c>
      <c r="L369" s="153" t="s">
        <v>325</v>
      </c>
      <c r="M369" s="153" t="s">
        <v>340</v>
      </c>
      <c r="N369" s="153" t="s">
        <v>451</v>
      </c>
      <c r="O369" s="153" t="s">
        <v>339</v>
      </c>
      <c r="P369" s="153" t="s">
        <v>1521</v>
      </c>
      <c r="Q369" s="153" t="s">
        <v>413</v>
      </c>
      <c r="R369" s="153" t="s">
        <v>407</v>
      </c>
      <c r="S369" s="153" t="s">
        <v>1212</v>
      </c>
      <c r="T369" s="154">
        <v>1.46</v>
      </c>
      <c r="U369" s="153" t="s">
        <v>1522</v>
      </c>
      <c r="V369" s="155">
        <v>3.9E-2</v>
      </c>
      <c r="W369" s="155">
        <v>5.8700000000000002E-2</v>
      </c>
      <c r="X369" s="153" t="s">
        <v>412</v>
      </c>
      <c r="Y369" s="153" t="s">
        <v>339</v>
      </c>
      <c r="Z369" s="154">
        <v>195000</v>
      </c>
      <c r="AA369" s="154">
        <v>1</v>
      </c>
      <c r="AB369" s="154">
        <v>97.35</v>
      </c>
      <c r="AD369" s="154">
        <v>189.833</v>
      </c>
      <c r="AG369" s="157" t="s">
        <v>15</v>
      </c>
      <c r="AH369" s="155">
        <v>3.4000000000000002E-4</v>
      </c>
      <c r="AI369" s="155">
        <f t="shared" si="5"/>
        <v>1.4900366178384598E-3</v>
      </c>
      <c r="AJ369" s="155">
        <v>2.3825018711630199E-4</v>
      </c>
    </row>
    <row r="370" spans="1:36" s="160" customFormat="1">
      <c r="A370" s="153" t="s">
        <v>1213</v>
      </c>
      <c r="B370" s="160">
        <v>13498</v>
      </c>
      <c r="C370" s="153" t="s">
        <v>1600</v>
      </c>
      <c r="D370" s="153" t="s">
        <v>1601</v>
      </c>
      <c r="E370" s="153" t="s">
        <v>309</v>
      </c>
      <c r="F370" s="153" t="s">
        <v>2412</v>
      </c>
      <c r="G370" s="153" t="s">
        <v>2413</v>
      </c>
      <c r="H370" s="153" t="s">
        <v>321</v>
      </c>
      <c r="I370" s="153" t="s">
        <v>951</v>
      </c>
      <c r="J370" s="153" t="s">
        <v>204</v>
      </c>
      <c r="K370" s="153" t="s">
        <v>204</v>
      </c>
      <c r="L370" s="153" t="s">
        <v>325</v>
      </c>
      <c r="M370" s="153" t="s">
        <v>340</v>
      </c>
      <c r="N370" s="153" t="s">
        <v>448</v>
      </c>
      <c r="O370" s="153" t="s">
        <v>339</v>
      </c>
      <c r="P370" s="153" t="s">
        <v>1215</v>
      </c>
      <c r="Q370" s="153" t="s">
        <v>413</v>
      </c>
      <c r="R370" s="153" t="s">
        <v>407</v>
      </c>
      <c r="S370" s="153" t="s">
        <v>1212</v>
      </c>
      <c r="T370" s="154">
        <v>3.31</v>
      </c>
      <c r="U370" s="153" t="s">
        <v>2335</v>
      </c>
      <c r="V370" s="155">
        <v>4.7449999999999999E-2</v>
      </c>
      <c r="W370" s="155">
        <v>5.1200000000000002E-2</v>
      </c>
      <c r="X370" s="153" t="s">
        <v>412</v>
      </c>
      <c r="Y370" s="153" t="s">
        <v>339</v>
      </c>
      <c r="Z370" s="154">
        <v>200000</v>
      </c>
      <c r="AA370" s="154">
        <v>1</v>
      </c>
      <c r="AB370" s="154">
        <v>93.69</v>
      </c>
      <c r="AD370" s="154">
        <v>187.38</v>
      </c>
      <c r="AG370" s="157" t="s">
        <v>15</v>
      </c>
      <c r="AH370" s="155">
        <v>9.0000000000000006E-5</v>
      </c>
      <c r="AI370" s="155">
        <f t="shared" si="5"/>
        <v>1.4707825375491648E-3</v>
      </c>
      <c r="AJ370" s="155">
        <v>2.3517154584214899E-4</v>
      </c>
    </row>
    <row r="371" spans="1:36" s="160" customFormat="1">
      <c r="A371" s="153" t="s">
        <v>1213</v>
      </c>
      <c r="B371" s="160">
        <v>13498</v>
      </c>
      <c r="C371" s="153" t="s">
        <v>1807</v>
      </c>
      <c r="D371" s="153" t="s">
        <v>1808</v>
      </c>
      <c r="E371" s="153" t="s">
        <v>309</v>
      </c>
      <c r="F371" s="153" t="s">
        <v>2414</v>
      </c>
      <c r="G371" s="153" t="s">
        <v>2415</v>
      </c>
      <c r="H371" s="153" t="s">
        <v>321</v>
      </c>
      <c r="I371" s="153" t="s">
        <v>754</v>
      </c>
      <c r="J371" s="153" t="s">
        <v>204</v>
      </c>
      <c r="K371" s="153" t="s">
        <v>204</v>
      </c>
      <c r="L371" s="153" t="s">
        <v>325</v>
      </c>
      <c r="M371" s="153" t="s">
        <v>340</v>
      </c>
      <c r="N371" s="153" t="s">
        <v>464</v>
      </c>
      <c r="O371" s="153" t="s">
        <v>339</v>
      </c>
      <c r="P371" s="153" t="s">
        <v>1923</v>
      </c>
      <c r="Q371" s="153" t="s">
        <v>415</v>
      </c>
      <c r="R371" s="153" t="s">
        <v>407</v>
      </c>
      <c r="S371" s="153" t="s">
        <v>1212</v>
      </c>
      <c r="T371" s="154">
        <v>12.14</v>
      </c>
      <c r="U371" s="153" t="s">
        <v>2416</v>
      </c>
      <c r="V371" s="155">
        <v>3.4389999999999997E-2</v>
      </c>
      <c r="W371" s="155">
        <v>3.6600000000000001E-2</v>
      </c>
      <c r="X371" s="153" t="s">
        <v>412</v>
      </c>
      <c r="Y371" s="153" t="s">
        <v>339</v>
      </c>
      <c r="Z371" s="154">
        <v>181621</v>
      </c>
      <c r="AA371" s="154">
        <v>1</v>
      </c>
      <c r="AB371" s="154">
        <v>102.68</v>
      </c>
      <c r="AD371" s="154">
        <v>186.488</v>
      </c>
      <c r="AG371" s="157" t="s">
        <v>15</v>
      </c>
      <c r="AH371" s="155">
        <v>1.8000000000000001E-4</v>
      </c>
      <c r="AI371" s="155">
        <f t="shared" si="5"/>
        <v>1.4637810538076031E-3</v>
      </c>
      <c r="AJ371" s="155">
        <v>2.3405203992427515E-4</v>
      </c>
    </row>
    <row r="372" spans="1:36" s="160" customFormat="1">
      <c r="A372" s="153" t="s">
        <v>1213</v>
      </c>
      <c r="B372" s="160">
        <v>13498</v>
      </c>
      <c r="C372" s="153" t="s">
        <v>2328</v>
      </c>
      <c r="D372" s="153" t="s">
        <v>2329</v>
      </c>
      <c r="E372" s="153" t="s">
        <v>309</v>
      </c>
      <c r="F372" s="153" t="s">
        <v>2417</v>
      </c>
      <c r="G372" s="153" t="s">
        <v>2418</v>
      </c>
      <c r="H372" s="153" t="s">
        <v>321</v>
      </c>
      <c r="I372" s="153" t="s">
        <v>951</v>
      </c>
      <c r="J372" s="153" t="s">
        <v>204</v>
      </c>
      <c r="K372" s="153" t="s">
        <v>204</v>
      </c>
      <c r="L372" s="153" t="s">
        <v>325</v>
      </c>
      <c r="M372" s="153" t="s">
        <v>340</v>
      </c>
      <c r="N372" s="153" t="s">
        <v>465</v>
      </c>
      <c r="O372" s="153" t="s">
        <v>339</v>
      </c>
      <c r="P372" s="153" t="s">
        <v>2011</v>
      </c>
      <c r="Q372" s="153" t="s">
        <v>415</v>
      </c>
      <c r="R372" s="153" t="s">
        <v>407</v>
      </c>
      <c r="S372" s="153" t="s">
        <v>1212</v>
      </c>
      <c r="T372" s="154">
        <v>0.82</v>
      </c>
      <c r="U372" s="153" t="s">
        <v>2419</v>
      </c>
      <c r="V372" s="155">
        <v>3.3119999999999997E-2</v>
      </c>
      <c r="W372" s="155">
        <v>4.7699999999999999E-2</v>
      </c>
      <c r="X372" s="153" t="s">
        <v>412</v>
      </c>
      <c r="Y372" s="153" t="s">
        <v>339</v>
      </c>
      <c r="Z372" s="154">
        <v>179391.9</v>
      </c>
      <c r="AA372" s="154">
        <v>1</v>
      </c>
      <c r="AB372" s="154">
        <v>101.17</v>
      </c>
      <c r="AD372" s="154">
        <v>181.49100000000001</v>
      </c>
      <c r="AG372" s="157" t="s">
        <v>15</v>
      </c>
      <c r="AH372" s="155">
        <v>9.5E-4</v>
      </c>
      <c r="AI372" s="155">
        <f t="shared" si="5"/>
        <v>1.4245586163002214E-3</v>
      </c>
      <c r="AJ372" s="155">
        <v>2.2778054769152239E-4</v>
      </c>
    </row>
    <row r="373" spans="1:36" s="160" customFormat="1">
      <c r="A373" s="153" t="s">
        <v>1213</v>
      </c>
      <c r="B373" s="160">
        <v>13498</v>
      </c>
      <c r="C373" s="153" t="s">
        <v>2420</v>
      </c>
      <c r="D373" s="153" t="s">
        <v>2421</v>
      </c>
      <c r="E373" s="153" t="s">
        <v>309</v>
      </c>
      <c r="F373" s="153" t="s">
        <v>2422</v>
      </c>
      <c r="G373" s="153" t="s">
        <v>2423</v>
      </c>
      <c r="H373" s="153" t="s">
        <v>321</v>
      </c>
      <c r="I373" s="153" t="s">
        <v>754</v>
      </c>
      <c r="J373" s="153" t="s">
        <v>204</v>
      </c>
      <c r="K373" s="153" t="s">
        <v>204</v>
      </c>
      <c r="L373" s="153" t="s">
        <v>325</v>
      </c>
      <c r="M373" s="153" t="s">
        <v>340</v>
      </c>
      <c r="N373" s="153" t="s">
        <v>445</v>
      </c>
      <c r="O373" s="153" t="s">
        <v>339</v>
      </c>
      <c r="P373" s="153" t="s">
        <v>1982</v>
      </c>
      <c r="Q373" s="153" t="s">
        <v>415</v>
      </c>
      <c r="R373" s="153" t="s">
        <v>407</v>
      </c>
      <c r="S373" s="153" t="s">
        <v>1212</v>
      </c>
      <c r="T373" s="154">
        <v>1.23</v>
      </c>
      <c r="U373" s="153" t="s">
        <v>1777</v>
      </c>
      <c r="V373" s="155">
        <v>1.321E-2</v>
      </c>
      <c r="W373" s="155">
        <v>2.29E-2</v>
      </c>
      <c r="X373" s="153" t="s">
        <v>412</v>
      </c>
      <c r="Y373" s="153" t="s">
        <v>339</v>
      </c>
      <c r="Z373" s="154">
        <v>154616</v>
      </c>
      <c r="AA373" s="154">
        <v>1</v>
      </c>
      <c r="AB373" s="154">
        <v>116.19</v>
      </c>
      <c r="AD373" s="154">
        <v>179.648</v>
      </c>
      <c r="AG373" s="157" t="s">
        <v>15</v>
      </c>
      <c r="AH373" s="155">
        <v>5.1999999999999995E-4</v>
      </c>
      <c r="AI373" s="155">
        <f t="shared" si="5"/>
        <v>1.4100925461929361E-3</v>
      </c>
      <c r="AJ373" s="155">
        <v>2.2546748781860593E-4</v>
      </c>
    </row>
    <row r="374" spans="1:36" s="160" customFormat="1">
      <c r="A374" s="153" t="s">
        <v>1213</v>
      </c>
      <c r="B374" s="160">
        <v>13498</v>
      </c>
      <c r="C374" s="153" t="s">
        <v>2424</v>
      </c>
      <c r="D374" s="153" t="s">
        <v>2425</v>
      </c>
      <c r="E374" s="153" t="s">
        <v>309</v>
      </c>
      <c r="F374" s="153" t="s">
        <v>2426</v>
      </c>
      <c r="G374" s="153" t="s">
        <v>2427</v>
      </c>
      <c r="H374" s="153" t="s">
        <v>321</v>
      </c>
      <c r="I374" s="153" t="s">
        <v>754</v>
      </c>
      <c r="J374" s="153" t="s">
        <v>204</v>
      </c>
      <c r="K374" s="153" t="s">
        <v>204</v>
      </c>
      <c r="L374" s="153" t="s">
        <v>325</v>
      </c>
      <c r="M374" s="153" t="s">
        <v>340</v>
      </c>
      <c r="N374" s="153" t="s">
        <v>477</v>
      </c>
      <c r="O374" s="153" t="s">
        <v>339</v>
      </c>
      <c r="P374" s="153" t="s">
        <v>1923</v>
      </c>
      <c r="Q374" s="153" t="s">
        <v>415</v>
      </c>
      <c r="R374" s="153" t="s">
        <v>407</v>
      </c>
      <c r="S374" s="153" t="s">
        <v>1212</v>
      </c>
      <c r="T374" s="154">
        <v>5.47</v>
      </c>
      <c r="U374" s="153" t="s">
        <v>2177</v>
      </c>
      <c r="V374" s="155">
        <v>2.2519999999999998E-2</v>
      </c>
      <c r="W374" s="155">
        <v>2.7400000000000001E-2</v>
      </c>
      <c r="X374" s="153" t="s">
        <v>412</v>
      </c>
      <c r="Y374" s="153" t="s">
        <v>339</v>
      </c>
      <c r="Z374" s="154">
        <v>153833.82</v>
      </c>
      <c r="AA374" s="154">
        <v>1</v>
      </c>
      <c r="AB374" s="154">
        <v>116.33</v>
      </c>
      <c r="AD374" s="154">
        <v>178.95500000000001</v>
      </c>
      <c r="AG374" s="157" t="s">
        <v>15</v>
      </c>
      <c r="AH374" s="155">
        <v>1E-4</v>
      </c>
      <c r="AI374" s="155">
        <f t="shared" si="5"/>
        <v>1.4046530526582923E-3</v>
      </c>
      <c r="AJ374" s="155">
        <v>2.245977371447421E-4</v>
      </c>
    </row>
    <row r="375" spans="1:36" s="160" customFormat="1">
      <c r="A375" s="153" t="s">
        <v>1213</v>
      </c>
      <c r="B375" s="160">
        <v>13498</v>
      </c>
      <c r="C375" s="153" t="s">
        <v>2428</v>
      </c>
      <c r="D375" s="153" t="s">
        <v>2429</v>
      </c>
      <c r="E375" s="153" t="s">
        <v>309</v>
      </c>
      <c r="F375" s="153" t="s">
        <v>2430</v>
      </c>
      <c r="G375" s="153" t="s">
        <v>2431</v>
      </c>
      <c r="H375" s="153" t="s">
        <v>321</v>
      </c>
      <c r="I375" s="153" t="s">
        <v>755</v>
      </c>
      <c r="J375" s="153" t="s">
        <v>204</v>
      </c>
      <c r="K375" s="153" t="s">
        <v>204</v>
      </c>
      <c r="L375" s="153" t="s">
        <v>325</v>
      </c>
      <c r="M375" s="153" t="s">
        <v>340</v>
      </c>
      <c r="N375" s="153" t="s">
        <v>454</v>
      </c>
      <c r="O375" s="153" t="s">
        <v>339</v>
      </c>
      <c r="P375" s="153" t="s">
        <v>1538</v>
      </c>
      <c r="Q375" s="153" t="s">
        <v>413</v>
      </c>
      <c r="R375" s="153" t="s">
        <v>407</v>
      </c>
      <c r="S375" s="153" t="s">
        <v>1212</v>
      </c>
      <c r="T375" s="154">
        <v>0.5</v>
      </c>
      <c r="U375" s="153" t="s">
        <v>2432</v>
      </c>
      <c r="V375" s="155">
        <v>5.6059999999999999E-2</v>
      </c>
      <c r="W375" s="155">
        <v>8.8599999999999998E-2</v>
      </c>
      <c r="X375" s="153" t="s">
        <v>412</v>
      </c>
      <c r="Y375" s="153" t="s">
        <v>339</v>
      </c>
      <c r="Z375" s="154">
        <v>174571.42</v>
      </c>
      <c r="AA375" s="154">
        <v>1</v>
      </c>
      <c r="AB375" s="154">
        <v>102.3</v>
      </c>
      <c r="AD375" s="154">
        <v>178.58699999999999</v>
      </c>
      <c r="AG375" s="157" t="s">
        <v>15</v>
      </c>
      <c r="AH375" s="155">
        <v>3.5E-4</v>
      </c>
      <c r="AI375" s="155">
        <f t="shared" si="5"/>
        <v>1.401764548155047E-3</v>
      </c>
      <c r="AJ375" s="155">
        <v>2.2413587820104523E-4</v>
      </c>
    </row>
    <row r="376" spans="1:36" s="160" customFormat="1">
      <c r="A376" s="153" t="s">
        <v>1213</v>
      </c>
      <c r="B376" s="160">
        <v>13498</v>
      </c>
      <c r="C376" s="153" t="s">
        <v>455</v>
      </c>
      <c r="D376" s="153" t="s">
        <v>2106</v>
      </c>
      <c r="E376" s="153" t="s">
        <v>309</v>
      </c>
      <c r="F376" s="153" t="s">
        <v>2433</v>
      </c>
      <c r="G376" s="153" t="s">
        <v>2434</v>
      </c>
      <c r="H376" s="153" t="s">
        <v>321</v>
      </c>
      <c r="I376" s="153" t="s">
        <v>754</v>
      </c>
      <c r="J376" s="153" t="s">
        <v>204</v>
      </c>
      <c r="K376" s="153" t="s">
        <v>204</v>
      </c>
      <c r="L376" s="153" t="s">
        <v>325</v>
      </c>
      <c r="M376" s="153" t="s">
        <v>340</v>
      </c>
      <c r="N376" s="153" t="s">
        <v>440</v>
      </c>
      <c r="O376" s="153" t="s">
        <v>339</v>
      </c>
      <c r="P376" s="153" t="s">
        <v>1923</v>
      </c>
      <c r="Q376" s="153" t="s">
        <v>415</v>
      </c>
      <c r="R376" s="153" t="s">
        <v>407</v>
      </c>
      <c r="S376" s="153" t="s">
        <v>1212</v>
      </c>
      <c r="T376" s="154">
        <v>7.64</v>
      </c>
      <c r="U376" s="153" t="s">
        <v>2435</v>
      </c>
      <c r="V376" s="155">
        <v>2.2939999999999999E-2</v>
      </c>
      <c r="W376" s="155">
        <v>3.2599999999999997E-2</v>
      </c>
      <c r="X376" s="153" t="s">
        <v>412</v>
      </c>
      <c r="Y376" s="153" t="s">
        <v>339</v>
      </c>
      <c r="Z376" s="154">
        <v>168744</v>
      </c>
      <c r="AA376" s="154">
        <v>1</v>
      </c>
      <c r="AB376" s="154">
        <v>103.71</v>
      </c>
      <c r="AD376" s="154">
        <v>175.00399999999999</v>
      </c>
      <c r="AG376" s="157" t="s">
        <v>15</v>
      </c>
      <c r="AH376" s="155">
        <v>4.0000000000000003E-5</v>
      </c>
      <c r="AI376" s="155">
        <f t="shared" si="5"/>
        <v>1.3736408752335044E-3</v>
      </c>
      <c r="AJ376" s="155">
        <v>2.1963902875738841E-4</v>
      </c>
    </row>
    <row r="377" spans="1:36" s="160" customFormat="1">
      <c r="A377" s="153" t="s">
        <v>1213</v>
      </c>
      <c r="B377" s="160">
        <v>13498</v>
      </c>
      <c r="C377" s="153" t="s">
        <v>2436</v>
      </c>
      <c r="D377" s="153" t="s">
        <v>2437</v>
      </c>
      <c r="E377" s="153" t="s">
        <v>309</v>
      </c>
      <c r="F377" s="153" t="s">
        <v>2438</v>
      </c>
      <c r="G377" s="153" t="s">
        <v>2439</v>
      </c>
      <c r="H377" s="153" t="s">
        <v>321</v>
      </c>
      <c r="I377" s="153" t="s">
        <v>754</v>
      </c>
      <c r="J377" s="153" t="s">
        <v>204</v>
      </c>
      <c r="K377" s="153" t="s">
        <v>204</v>
      </c>
      <c r="L377" s="153" t="s">
        <v>325</v>
      </c>
      <c r="M377" s="153" t="s">
        <v>340</v>
      </c>
      <c r="N377" s="153" t="s">
        <v>475</v>
      </c>
      <c r="O377" s="153" t="s">
        <v>339</v>
      </c>
      <c r="P377" s="153" t="s">
        <v>1538</v>
      </c>
      <c r="Q377" s="153" t="s">
        <v>413</v>
      </c>
      <c r="R377" s="153" t="s">
        <v>407</v>
      </c>
      <c r="S377" s="153" t="s">
        <v>1212</v>
      </c>
      <c r="T377" s="154">
        <v>2.44</v>
      </c>
      <c r="U377" s="153" t="s">
        <v>2440</v>
      </c>
      <c r="V377" s="155">
        <v>6.3800000000000003E-3</v>
      </c>
      <c r="W377" s="155">
        <v>2.3E-2</v>
      </c>
      <c r="X377" s="153" t="s">
        <v>412</v>
      </c>
      <c r="Y377" s="153" t="s">
        <v>339</v>
      </c>
      <c r="Z377" s="154">
        <v>111211.06</v>
      </c>
      <c r="AA377" s="154">
        <v>1</v>
      </c>
      <c r="AB377" s="154">
        <v>120.79</v>
      </c>
      <c r="AC377" s="154">
        <v>38.956000000000003</v>
      </c>
      <c r="AD377" s="154">
        <v>173.28800000000001</v>
      </c>
      <c r="AG377" s="157" t="s">
        <v>15</v>
      </c>
      <c r="AH377" s="155">
        <v>2.7E-4</v>
      </c>
      <c r="AI377" s="155">
        <f t="shared" si="5"/>
        <v>1.3601716531477196E-3</v>
      </c>
      <c r="AJ377" s="155">
        <v>2.174853604221065E-4</v>
      </c>
    </row>
    <row r="378" spans="1:36" s="160" customFormat="1">
      <c r="A378" s="153" t="s">
        <v>1213</v>
      </c>
      <c r="B378" s="160">
        <v>13498</v>
      </c>
      <c r="C378" s="153" t="s">
        <v>2441</v>
      </c>
      <c r="D378" s="153" t="s">
        <v>2442</v>
      </c>
      <c r="E378" s="153" t="s">
        <v>309</v>
      </c>
      <c r="F378" s="153" t="s">
        <v>2443</v>
      </c>
      <c r="G378" s="153" t="s">
        <v>2444</v>
      </c>
      <c r="H378" s="153" t="s">
        <v>321</v>
      </c>
      <c r="I378" s="153" t="s">
        <v>754</v>
      </c>
      <c r="J378" s="153" t="s">
        <v>204</v>
      </c>
      <c r="K378" s="153" t="s">
        <v>204</v>
      </c>
      <c r="L378" s="153" t="s">
        <v>325</v>
      </c>
      <c r="M378" s="153" t="s">
        <v>340</v>
      </c>
      <c r="N378" s="153" t="s">
        <v>462</v>
      </c>
      <c r="O378" s="153" t="s">
        <v>339</v>
      </c>
      <c r="P378" s="153" t="s">
        <v>1566</v>
      </c>
      <c r="Q378" s="153" t="s">
        <v>413</v>
      </c>
      <c r="R378" s="153" t="s">
        <v>407</v>
      </c>
      <c r="S378" s="153" t="s">
        <v>1212</v>
      </c>
      <c r="T378" s="154">
        <v>3.06</v>
      </c>
      <c r="U378" s="153" t="s">
        <v>2267</v>
      </c>
      <c r="V378" s="155">
        <v>2.2169999999999999E-2</v>
      </c>
      <c r="W378" s="155">
        <v>2.9000000000000001E-2</v>
      </c>
      <c r="X378" s="153" t="s">
        <v>412</v>
      </c>
      <c r="Y378" s="153" t="s">
        <v>339</v>
      </c>
      <c r="Z378" s="154">
        <v>164816.09</v>
      </c>
      <c r="AA378" s="154">
        <v>1</v>
      </c>
      <c r="AB378" s="154">
        <v>105.14</v>
      </c>
      <c r="AD378" s="154">
        <v>173.28800000000001</v>
      </c>
      <c r="AG378" s="157" t="s">
        <v>15</v>
      </c>
      <c r="AH378" s="155">
        <v>4.8999999999999998E-4</v>
      </c>
      <c r="AI378" s="155">
        <f t="shared" si="5"/>
        <v>1.3601716531477196E-3</v>
      </c>
      <c r="AJ378" s="155">
        <v>2.174853604221065E-4</v>
      </c>
    </row>
    <row r="379" spans="1:36" s="160" customFormat="1">
      <c r="A379" s="153" t="s">
        <v>1213</v>
      </c>
      <c r="B379" s="160">
        <v>13498</v>
      </c>
      <c r="C379" s="153" t="s">
        <v>2445</v>
      </c>
      <c r="D379" s="153" t="s">
        <v>2446</v>
      </c>
      <c r="E379" s="153" t="s">
        <v>309</v>
      </c>
      <c r="F379" s="153" t="s">
        <v>2447</v>
      </c>
      <c r="G379" s="153" t="s">
        <v>2448</v>
      </c>
      <c r="H379" s="153" t="s">
        <v>321</v>
      </c>
      <c r="I379" s="153" t="s">
        <v>951</v>
      </c>
      <c r="J379" s="153" t="s">
        <v>204</v>
      </c>
      <c r="K379" s="153" t="s">
        <v>204</v>
      </c>
      <c r="L379" s="153" t="s">
        <v>325</v>
      </c>
      <c r="M379" s="153" t="s">
        <v>340</v>
      </c>
      <c r="N379" s="153" t="s">
        <v>440</v>
      </c>
      <c r="O379" s="153" t="s">
        <v>339</v>
      </c>
      <c r="P379" s="153" t="s">
        <v>1614</v>
      </c>
      <c r="Q379" s="153" t="s">
        <v>415</v>
      </c>
      <c r="R379" s="153" t="s">
        <v>407</v>
      </c>
      <c r="S379" s="153" t="s">
        <v>1212</v>
      </c>
      <c r="T379" s="154">
        <v>1.92</v>
      </c>
      <c r="U379" s="153" t="s">
        <v>1370</v>
      </c>
      <c r="V379" s="155">
        <v>4.1959999999999997E-2</v>
      </c>
      <c r="W379" s="155">
        <v>5.7599999999999998E-2</v>
      </c>
      <c r="X379" s="153" t="s">
        <v>412</v>
      </c>
      <c r="Y379" s="153" t="s">
        <v>339</v>
      </c>
      <c r="Z379" s="154">
        <v>175000</v>
      </c>
      <c r="AA379" s="154">
        <v>1</v>
      </c>
      <c r="AB379" s="154">
        <v>95.6</v>
      </c>
      <c r="AD379" s="154">
        <v>167.3</v>
      </c>
      <c r="AG379" s="157" t="s">
        <v>15</v>
      </c>
      <c r="AH379" s="155">
        <v>2.4000000000000001E-4</v>
      </c>
      <c r="AI379" s="155">
        <f t="shared" si="5"/>
        <v>1.3131706613938269E-3</v>
      </c>
      <c r="AJ379" s="155">
        <v>2.0997011217521361E-4</v>
      </c>
    </row>
    <row r="380" spans="1:36" s="160" customFormat="1">
      <c r="A380" s="153" t="s">
        <v>1213</v>
      </c>
      <c r="B380" s="160">
        <v>13498</v>
      </c>
      <c r="C380" s="153" t="s">
        <v>2228</v>
      </c>
      <c r="D380" s="153" t="s">
        <v>2229</v>
      </c>
      <c r="E380" s="153" t="s">
        <v>309</v>
      </c>
      <c r="F380" s="153" t="s">
        <v>2449</v>
      </c>
      <c r="G380" s="153" t="s">
        <v>2450</v>
      </c>
      <c r="H380" s="153" t="s">
        <v>321</v>
      </c>
      <c r="I380" s="153" t="s">
        <v>952</v>
      </c>
      <c r="J380" s="153" t="s">
        <v>204</v>
      </c>
      <c r="K380" s="153" t="s">
        <v>204</v>
      </c>
      <c r="L380" s="153" t="s">
        <v>325</v>
      </c>
      <c r="M380" s="153" t="s">
        <v>340</v>
      </c>
      <c r="N380" s="153" t="s">
        <v>441</v>
      </c>
      <c r="O380" s="153" t="s">
        <v>339</v>
      </c>
      <c r="P380" s="153" t="s">
        <v>1614</v>
      </c>
      <c r="Q380" s="153" t="s">
        <v>415</v>
      </c>
      <c r="R380" s="153" t="s">
        <v>407</v>
      </c>
      <c r="S380" s="153" t="s">
        <v>1212</v>
      </c>
      <c r="T380" s="154">
        <v>3.86</v>
      </c>
      <c r="U380" s="153" t="s">
        <v>2451</v>
      </c>
      <c r="V380" s="155">
        <v>5.6989999999999999E-2</v>
      </c>
      <c r="W380" s="155">
        <v>5.9400000000000001E-2</v>
      </c>
      <c r="X380" s="153" t="s">
        <v>412</v>
      </c>
      <c r="Y380" s="153" t="s">
        <v>339</v>
      </c>
      <c r="Z380" s="154">
        <v>200000</v>
      </c>
      <c r="AA380" s="154">
        <v>1</v>
      </c>
      <c r="AB380" s="154">
        <v>82.4</v>
      </c>
      <c r="AD380" s="154">
        <v>164.8</v>
      </c>
      <c r="AG380" s="157" t="s">
        <v>15</v>
      </c>
      <c r="AH380" s="155">
        <v>3.8000000000000002E-4</v>
      </c>
      <c r="AI380" s="155">
        <f t="shared" si="5"/>
        <v>1.2935476688446066E-3</v>
      </c>
      <c r="AJ380" s="155">
        <v>2.0683248348162106E-4</v>
      </c>
    </row>
    <row r="381" spans="1:36" s="160" customFormat="1">
      <c r="A381" s="153" t="s">
        <v>1213</v>
      </c>
      <c r="B381" s="160">
        <v>13498</v>
      </c>
      <c r="C381" s="153" t="s">
        <v>1861</v>
      </c>
      <c r="D381" s="153" t="s">
        <v>1862</v>
      </c>
      <c r="E381" s="153" t="s">
        <v>309</v>
      </c>
      <c r="F381" s="153" t="s">
        <v>1936</v>
      </c>
      <c r="G381" s="153" t="s">
        <v>1937</v>
      </c>
      <c r="H381" s="153" t="s">
        <v>321</v>
      </c>
      <c r="I381" s="153" t="s">
        <v>754</v>
      </c>
      <c r="J381" s="153" t="s">
        <v>204</v>
      </c>
      <c r="K381" s="153" t="s">
        <v>204</v>
      </c>
      <c r="L381" s="153" t="s">
        <v>325</v>
      </c>
      <c r="M381" s="153" t="s">
        <v>340</v>
      </c>
      <c r="N381" s="153" t="s">
        <v>464</v>
      </c>
      <c r="O381" s="153" t="s">
        <v>339</v>
      </c>
      <c r="P381" s="153" t="s">
        <v>1538</v>
      </c>
      <c r="Q381" s="153" t="s">
        <v>413</v>
      </c>
      <c r="R381" s="153" t="s">
        <v>407</v>
      </c>
      <c r="S381" s="153" t="s">
        <v>1212</v>
      </c>
      <c r="T381" s="154">
        <v>4.34</v>
      </c>
      <c r="U381" s="153" t="s">
        <v>1587</v>
      </c>
      <c r="V381" s="155">
        <v>2.5049999999999999E-2</v>
      </c>
      <c r="W381" s="155">
        <v>2.9399999999999999E-2</v>
      </c>
      <c r="X381" s="153" t="s">
        <v>412</v>
      </c>
      <c r="Y381" s="153" t="s">
        <v>339</v>
      </c>
      <c r="Z381" s="154">
        <v>148387.1</v>
      </c>
      <c r="AA381" s="154">
        <v>1</v>
      </c>
      <c r="AB381" s="154">
        <v>108.57</v>
      </c>
      <c r="AD381" s="154">
        <v>161.10400000000001</v>
      </c>
      <c r="AG381" s="157" t="s">
        <v>15</v>
      </c>
      <c r="AH381" s="155">
        <v>1.2999999999999999E-4</v>
      </c>
      <c r="AI381" s="155">
        <f t="shared" si="5"/>
        <v>1.2645370366598393E-3</v>
      </c>
      <c r="AJ381" s="155">
        <v>2.0219381322101384E-4</v>
      </c>
    </row>
    <row r="382" spans="1:36" s="160" customFormat="1">
      <c r="A382" s="153" t="s">
        <v>1213</v>
      </c>
      <c r="B382" s="160">
        <v>13498</v>
      </c>
      <c r="C382" s="153" t="s">
        <v>2396</v>
      </c>
      <c r="D382" s="153" t="s">
        <v>2397</v>
      </c>
      <c r="E382" s="153" t="s">
        <v>309</v>
      </c>
      <c r="F382" s="153" t="s">
        <v>2452</v>
      </c>
      <c r="G382" s="153" t="s">
        <v>2453</v>
      </c>
      <c r="H382" s="153" t="s">
        <v>321</v>
      </c>
      <c r="I382" s="153" t="s">
        <v>754</v>
      </c>
      <c r="J382" s="153" t="s">
        <v>204</v>
      </c>
      <c r="K382" s="153" t="s">
        <v>204</v>
      </c>
      <c r="L382" s="153" t="s">
        <v>325</v>
      </c>
      <c r="M382" s="153" t="s">
        <v>340</v>
      </c>
      <c r="N382" s="153" t="s">
        <v>451</v>
      </c>
      <c r="O382" s="153" t="s">
        <v>339</v>
      </c>
      <c r="P382" s="153" t="s">
        <v>1521</v>
      </c>
      <c r="Q382" s="153" t="s">
        <v>413</v>
      </c>
      <c r="R382" s="153" t="s">
        <v>407</v>
      </c>
      <c r="S382" s="153" t="s">
        <v>1212</v>
      </c>
      <c r="T382" s="154">
        <v>3.82</v>
      </c>
      <c r="U382" s="153" t="s">
        <v>1555</v>
      </c>
      <c r="V382" s="155">
        <v>2.563E-2</v>
      </c>
      <c r="W382" s="155">
        <v>3.4799999999999998E-2</v>
      </c>
      <c r="X382" s="153" t="s">
        <v>412</v>
      </c>
      <c r="Y382" s="153" t="s">
        <v>339</v>
      </c>
      <c r="Z382" s="154">
        <v>150500</v>
      </c>
      <c r="AA382" s="154">
        <v>1</v>
      </c>
      <c r="AB382" s="154">
        <v>102.79</v>
      </c>
      <c r="AD382" s="154">
        <v>154.69900000000001</v>
      </c>
      <c r="AG382" s="157" t="s">
        <v>15</v>
      </c>
      <c r="AH382" s="155">
        <v>3.3E-4</v>
      </c>
      <c r="AI382" s="155">
        <f t="shared" si="5"/>
        <v>1.2142629297487366E-3</v>
      </c>
      <c r="AJ382" s="155">
        <v>1.9415520850802972E-4</v>
      </c>
    </row>
    <row r="383" spans="1:36" s="160" customFormat="1">
      <c r="A383" s="153" t="s">
        <v>1213</v>
      </c>
      <c r="B383" s="160">
        <v>13498</v>
      </c>
      <c r="C383" s="153" t="s">
        <v>2454</v>
      </c>
      <c r="D383" s="153" t="s">
        <v>2455</v>
      </c>
      <c r="E383" s="153" t="s">
        <v>309</v>
      </c>
      <c r="F383" s="153" t="s">
        <v>2456</v>
      </c>
      <c r="G383" s="153" t="s">
        <v>2457</v>
      </c>
      <c r="H383" s="153" t="s">
        <v>321</v>
      </c>
      <c r="I383" s="153" t="s">
        <v>951</v>
      </c>
      <c r="J383" s="153" t="s">
        <v>204</v>
      </c>
      <c r="K383" s="153" t="s">
        <v>204</v>
      </c>
      <c r="L383" s="153" t="s">
        <v>325</v>
      </c>
      <c r="M383" s="153" t="s">
        <v>340</v>
      </c>
      <c r="N383" s="153" t="s">
        <v>478</v>
      </c>
      <c r="O383" s="153" t="s">
        <v>339</v>
      </c>
      <c r="P383" s="153" t="s">
        <v>2011</v>
      </c>
      <c r="Q383" s="153" t="s">
        <v>415</v>
      </c>
      <c r="R383" s="153" t="s">
        <v>407</v>
      </c>
      <c r="S383" s="153" t="s">
        <v>1212</v>
      </c>
      <c r="T383" s="154">
        <v>2.5499999999999998</v>
      </c>
      <c r="U383" s="153" t="s">
        <v>1851</v>
      </c>
      <c r="V383" s="155">
        <v>3.8870000000000002E-2</v>
      </c>
      <c r="W383" s="155">
        <v>5.1299999999999998E-2</v>
      </c>
      <c r="X383" s="153" t="s">
        <v>412</v>
      </c>
      <c r="Y383" s="153" t="s">
        <v>339</v>
      </c>
      <c r="Z383" s="154">
        <v>150000</v>
      </c>
      <c r="AA383" s="154">
        <v>1</v>
      </c>
      <c r="AB383" s="154">
        <v>98.54</v>
      </c>
      <c r="AD383" s="154">
        <v>147.81</v>
      </c>
      <c r="AG383" s="157" t="s">
        <v>15</v>
      </c>
      <c r="AH383" s="155">
        <v>5.2999999999999998E-4</v>
      </c>
      <c r="AI383" s="155">
        <f t="shared" si="5"/>
        <v>1.160189811480105E-3</v>
      </c>
      <c r="AJ383" s="155">
        <v>1.8550915887996606E-4</v>
      </c>
    </row>
    <row r="384" spans="1:36" s="160" customFormat="1">
      <c r="A384" s="153" t="s">
        <v>1213</v>
      </c>
      <c r="B384" s="160">
        <v>13498</v>
      </c>
      <c r="C384" s="153" t="s">
        <v>1861</v>
      </c>
      <c r="D384" s="153" t="s">
        <v>1862</v>
      </c>
      <c r="E384" s="153" t="s">
        <v>309</v>
      </c>
      <c r="F384" s="153" t="s">
        <v>2458</v>
      </c>
      <c r="G384" s="153" t="s">
        <v>2459</v>
      </c>
      <c r="H384" s="153" t="s">
        <v>321</v>
      </c>
      <c r="I384" s="153" t="s">
        <v>754</v>
      </c>
      <c r="J384" s="153" t="s">
        <v>204</v>
      </c>
      <c r="K384" s="153" t="s">
        <v>204</v>
      </c>
      <c r="L384" s="153" t="s">
        <v>325</v>
      </c>
      <c r="M384" s="153" t="s">
        <v>340</v>
      </c>
      <c r="N384" s="153" t="s">
        <v>464</v>
      </c>
      <c r="O384" s="153" t="s">
        <v>339</v>
      </c>
      <c r="P384" s="153" t="s">
        <v>1538</v>
      </c>
      <c r="Q384" s="153" t="s">
        <v>413</v>
      </c>
      <c r="R384" s="153" t="s">
        <v>407</v>
      </c>
      <c r="S384" s="153" t="s">
        <v>1212</v>
      </c>
      <c r="T384" s="154">
        <v>0.76</v>
      </c>
      <c r="U384" s="153" t="s">
        <v>2460</v>
      </c>
      <c r="V384" s="155">
        <v>1.5440000000000001E-2</v>
      </c>
      <c r="W384" s="155">
        <v>2.52E-2</v>
      </c>
      <c r="X384" s="153" t="s">
        <v>412</v>
      </c>
      <c r="Y384" s="153" t="s">
        <v>339</v>
      </c>
      <c r="Z384" s="154">
        <v>123850.87</v>
      </c>
      <c r="AA384" s="154">
        <v>1</v>
      </c>
      <c r="AB384" s="154">
        <v>117</v>
      </c>
      <c r="AD384" s="154">
        <v>144.90600000000001</v>
      </c>
      <c r="AG384" s="157" t="s">
        <v>15</v>
      </c>
      <c r="AH384" s="155">
        <v>1.6000000000000001E-4</v>
      </c>
      <c r="AI384" s="155">
        <f t="shared" si="5"/>
        <v>1.1373957433349305E-3</v>
      </c>
      <c r="AJ384" s="155">
        <v>1.8186448938948895E-4</v>
      </c>
    </row>
    <row r="385" spans="1:36" s="160" customFormat="1">
      <c r="A385" s="153" t="s">
        <v>1213</v>
      </c>
      <c r="B385" s="160">
        <v>13498</v>
      </c>
      <c r="C385" s="153" t="s">
        <v>2136</v>
      </c>
      <c r="D385" s="153" t="s">
        <v>2137</v>
      </c>
      <c r="E385" s="153" t="s">
        <v>309</v>
      </c>
      <c r="F385" s="153" t="s">
        <v>2461</v>
      </c>
      <c r="G385" s="153" t="s">
        <v>2462</v>
      </c>
      <c r="H385" s="153" t="s">
        <v>321</v>
      </c>
      <c r="I385" s="153" t="s">
        <v>754</v>
      </c>
      <c r="J385" s="153" t="s">
        <v>204</v>
      </c>
      <c r="K385" s="153" t="s">
        <v>204</v>
      </c>
      <c r="L385" s="153" t="s">
        <v>325</v>
      </c>
      <c r="M385" s="153" t="s">
        <v>340</v>
      </c>
      <c r="N385" s="153" t="s">
        <v>440</v>
      </c>
      <c r="O385" s="153" t="s">
        <v>339</v>
      </c>
      <c r="P385" s="153" t="s">
        <v>1566</v>
      </c>
      <c r="Q385" s="153" t="s">
        <v>413</v>
      </c>
      <c r="R385" s="153" t="s">
        <v>407</v>
      </c>
      <c r="S385" s="153" t="s">
        <v>1212</v>
      </c>
      <c r="T385" s="154">
        <v>2.09</v>
      </c>
      <c r="U385" s="153" t="s">
        <v>2008</v>
      </c>
      <c r="V385" s="155">
        <v>1.553E-2</v>
      </c>
      <c r="W385" s="155">
        <v>2.4199999999999999E-2</v>
      </c>
      <c r="X385" s="153" t="s">
        <v>412</v>
      </c>
      <c r="Y385" s="153" t="s">
        <v>339</v>
      </c>
      <c r="Z385" s="154">
        <v>120243.3</v>
      </c>
      <c r="AA385" s="154">
        <v>1</v>
      </c>
      <c r="AB385" s="154">
        <v>115.88</v>
      </c>
      <c r="AD385" s="154">
        <v>139.33799999999999</v>
      </c>
      <c r="AG385" s="157" t="s">
        <v>15</v>
      </c>
      <c r="AH385" s="155">
        <v>4.0000000000000002E-4</v>
      </c>
      <c r="AI385" s="155">
        <f t="shared" si="5"/>
        <v>1.0936914143293069E-3</v>
      </c>
      <c r="AJ385" s="155">
        <v>1.7487636276311962E-4</v>
      </c>
    </row>
    <row r="386" spans="1:36" s="160" customFormat="1">
      <c r="A386" s="153" t="s">
        <v>1213</v>
      </c>
      <c r="B386" s="160">
        <v>13498</v>
      </c>
      <c r="C386" s="153" t="s">
        <v>2463</v>
      </c>
      <c r="D386" s="153" t="s">
        <v>2464</v>
      </c>
      <c r="E386" s="153" t="s">
        <v>309</v>
      </c>
      <c r="F386" s="153" t="s">
        <v>2465</v>
      </c>
      <c r="G386" s="153" t="s">
        <v>2466</v>
      </c>
      <c r="H386" s="153" t="s">
        <v>321</v>
      </c>
      <c r="I386" s="153" t="s">
        <v>754</v>
      </c>
      <c r="J386" s="153" t="s">
        <v>204</v>
      </c>
      <c r="K386" s="153" t="s">
        <v>204</v>
      </c>
      <c r="L386" s="153" t="s">
        <v>325</v>
      </c>
      <c r="M386" s="153" t="s">
        <v>340</v>
      </c>
      <c r="N386" s="153" t="s">
        <v>465</v>
      </c>
      <c r="O386" s="153" t="s">
        <v>339</v>
      </c>
      <c r="P386" s="153" t="s">
        <v>1554</v>
      </c>
      <c r="Q386" s="153" t="s">
        <v>413</v>
      </c>
      <c r="R386" s="153" t="s">
        <v>407</v>
      </c>
      <c r="S386" s="153" t="s">
        <v>1212</v>
      </c>
      <c r="T386" s="154">
        <v>3.56</v>
      </c>
      <c r="U386" s="153" t="s">
        <v>1669</v>
      </c>
      <c r="V386" s="155">
        <v>5.3740000000000003E-2</v>
      </c>
      <c r="W386" s="155">
        <v>5.1200000000000002E-2</v>
      </c>
      <c r="X386" s="153" t="s">
        <v>412</v>
      </c>
      <c r="Y386" s="153" t="s">
        <v>339</v>
      </c>
      <c r="Z386" s="154">
        <v>131250</v>
      </c>
      <c r="AA386" s="154">
        <v>1</v>
      </c>
      <c r="AB386" s="154">
        <v>100.76</v>
      </c>
      <c r="AD386" s="154">
        <v>132.24799999999999</v>
      </c>
      <c r="AG386" s="157" t="s">
        <v>15</v>
      </c>
      <c r="AH386" s="155">
        <v>1.2E-4</v>
      </c>
      <c r="AI386" s="155">
        <f t="shared" si="5"/>
        <v>1.038040607459718E-3</v>
      </c>
      <c r="AJ386" s="155">
        <v>1.6597804778809114E-4</v>
      </c>
    </row>
    <row r="387" spans="1:36" s="160" customFormat="1">
      <c r="A387" s="153" t="s">
        <v>1213</v>
      </c>
      <c r="B387" s="160">
        <v>13498</v>
      </c>
      <c r="C387" s="153" t="s">
        <v>2463</v>
      </c>
      <c r="D387" s="153" t="s">
        <v>2464</v>
      </c>
      <c r="E387" s="153" t="s">
        <v>309</v>
      </c>
      <c r="F387" s="153" t="s">
        <v>2467</v>
      </c>
      <c r="G387" s="153" t="s">
        <v>2468</v>
      </c>
      <c r="H387" s="153" t="s">
        <v>321</v>
      </c>
      <c r="I387" s="153" t="s">
        <v>754</v>
      </c>
      <c r="J387" s="153" t="s">
        <v>204</v>
      </c>
      <c r="K387" s="153" t="s">
        <v>204</v>
      </c>
      <c r="L387" s="153" t="s">
        <v>325</v>
      </c>
      <c r="M387" s="153" t="s">
        <v>340</v>
      </c>
      <c r="N387" s="153" t="s">
        <v>465</v>
      </c>
      <c r="O387" s="153" t="s">
        <v>339</v>
      </c>
      <c r="P387" s="153" t="s">
        <v>1554</v>
      </c>
      <c r="Q387" s="153" t="s">
        <v>413</v>
      </c>
      <c r="R387" s="153" t="s">
        <v>407</v>
      </c>
      <c r="S387" s="153" t="s">
        <v>1212</v>
      </c>
      <c r="T387" s="154">
        <v>1.86</v>
      </c>
      <c r="U387" s="153" t="s">
        <v>1572</v>
      </c>
      <c r="V387" s="155">
        <v>5.6509999999999998E-2</v>
      </c>
      <c r="W387" s="155">
        <v>4.07E-2</v>
      </c>
      <c r="X387" s="153" t="s">
        <v>412</v>
      </c>
      <c r="Y387" s="153" t="s">
        <v>339</v>
      </c>
      <c r="Z387" s="154">
        <v>112500</v>
      </c>
      <c r="AA387" s="154">
        <v>1</v>
      </c>
      <c r="AB387" s="154">
        <v>116.2</v>
      </c>
      <c r="AD387" s="154">
        <v>130.72499999999999</v>
      </c>
      <c r="AG387" s="157" t="s">
        <v>15</v>
      </c>
      <c r="AH387" s="155">
        <v>5.0000000000000002E-5</v>
      </c>
      <c r="AI387" s="155">
        <f t="shared" ref="AI387:AI450" si="6">AD387/SUMIF(B:B,B387,AD:AD)</f>
        <v>1.0260862803987329E-3</v>
      </c>
      <c r="AJ387" s="155">
        <v>1.6406660438795454E-4</v>
      </c>
    </row>
    <row r="388" spans="1:36" s="160" customFormat="1">
      <c r="A388" s="153" t="s">
        <v>1213</v>
      </c>
      <c r="B388" s="160">
        <v>13498</v>
      </c>
      <c r="C388" s="153" t="s">
        <v>2150</v>
      </c>
      <c r="D388" s="153" t="s">
        <v>2151</v>
      </c>
      <c r="E388" s="153" t="s">
        <v>309</v>
      </c>
      <c r="F388" s="153" t="s">
        <v>2469</v>
      </c>
      <c r="G388" s="153" t="s">
        <v>2470</v>
      </c>
      <c r="H388" s="153" t="s">
        <v>321</v>
      </c>
      <c r="I388" s="153" t="s">
        <v>754</v>
      </c>
      <c r="J388" s="153" t="s">
        <v>204</v>
      </c>
      <c r="K388" s="153" t="s">
        <v>204</v>
      </c>
      <c r="L388" s="153" t="s">
        <v>325</v>
      </c>
      <c r="M388" s="153" t="s">
        <v>340</v>
      </c>
      <c r="N388" s="153" t="s">
        <v>477</v>
      </c>
      <c r="O388" s="153" t="s">
        <v>339</v>
      </c>
      <c r="P388" s="153" t="s">
        <v>1538</v>
      </c>
      <c r="Q388" s="153" t="s">
        <v>413</v>
      </c>
      <c r="R388" s="153" t="s">
        <v>407</v>
      </c>
      <c r="S388" s="153" t="s">
        <v>1212</v>
      </c>
      <c r="T388" s="154">
        <v>0.96</v>
      </c>
      <c r="U388" s="153" t="s">
        <v>2471</v>
      </c>
      <c r="V388" s="155">
        <v>6.79E-3</v>
      </c>
      <c r="W388" s="155">
        <v>2.2800000000000001E-2</v>
      </c>
      <c r="X388" s="153" t="s">
        <v>412</v>
      </c>
      <c r="Y388" s="153" t="s">
        <v>339</v>
      </c>
      <c r="Z388" s="154">
        <v>105081.92</v>
      </c>
      <c r="AA388" s="154">
        <v>1</v>
      </c>
      <c r="AB388" s="154">
        <v>115.47</v>
      </c>
      <c r="AD388" s="154">
        <v>121.33799999999999</v>
      </c>
      <c r="AG388" s="157" t="s">
        <v>15</v>
      </c>
      <c r="AH388" s="155">
        <v>1.8000000000000001E-4</v>
      </c>
      <c r="AI388" s="155">
        <f t="shared" si="6"/>
        <v>9.5240586797492026E-4</v>
      </c>
      <c r="AJ388" s="155">
        <v>1.5228543616925325E-4</v>
      </c>
    </row>
    <row r="389" spans="1:36" s="160" customFormat="1">
      <c r="A389" s="153" t="s">
        <v>1213</v>
      </c>
      <c r="B389" s="160">
        <v>13498</v>
      </c>
      <c r="C389" s="153" t="s">
        <v>2463</v>
      </c>
      <c r="D389" s="153" t="s">
        <v>2464</v>
      </c>
      <c r="E389" s="153" t="s">
        <v>309</v>
      </c>
      <c r="F389" s="153" t="s">
        <v>2472</v>
      </c>
      <c r="G389" s="153" t="s">
        <v>2473</v>
      </c>
      <c r="H389" s="153" t="s">
        <v>321</v>
      </c>
      <c r="I389" s="153" t="s">
        <v>754</v>
      </c>
      <c r="J389" s="153" t="s">
        <v>204</v>
      </c>
      <c r="K389" s="153" t="s">
        <v>204</v>
      </c>
      <c r="L389" s="153" t="s">
        <v>325</v>
      </c>
      <c r="M389" s="153" t="s">
        <v>340</v>
      </c>
      <c r="N389" s="153" t="s">
        <v>465</v>
      </c>
      <c r="O389" s="153" t="s">
        <v>339</v>
      </c>
      <c r="P389" s="153" t="s">
        <v>1554</v>
      </c>
      <c r="Q389" s="153" t="s">
        <v>413</v>
      </c>
      <c r="R389" s="153" t="s">
        <v>407</v>
      </c>
      <c r="S389" s="153" t="s">
        <v>1212</v>
      </c>
      <c r="T389" s="154">
        <v>2.23</v>
      </c>
      <c r="U389" s="153" t="s">
        <v>1744</v>
      </c>
      <c r="V389" s="155">
        <v>5.1540000000000002E-2</v>
      </c>
      <c r="W389" s="155">
        <v>4.3999999999999997E-2</v>
      </c>
      <c r="X389" s="153" t="s">
        <v>412</v>
      </c>
      <c r="Y389" s="153" t="s">
        <v>339</v>
      </c>
      <c r="Z389" s="154">
        <v>103529.41</v>
      </c>
      <c r="AA389" s="154">
        <v>1</v>
      </c>
      <c r="AB389" s="154">
        <v>115.06</v>
      </c>
      <c r="AD389" s="154">
        <v>119.121</v>
      </c>
      <c r="AG389" s="157" t="s">
        <v>15</v>
      </c>
      <c r="AH389" s="155">
        <v>6.0000000000000002E-5</v>
      </c>
      <c r="AI389" s="155">
        <f t="shared" si="6"/>
        <v>9.3500419818227161E-4</v>
      </c>
      <c r="AJ389" s="155">
        <v>1.4950298704377536E-4</v>
      </c>
    </row>
    <row r="390" spans="1:36" s="160" customFormat="1">
      <c r="A390" s="153" t="s">
        <v>1213</v>
      </c>
      <c r="B390" s="160">
        <v>13498</v>
      </c>
      <c r="C390" s="153" t="s">
        <v>1807</v>
      </c>
      <c r="D390" s="153" t="s">
        <v>1808</v>
      </c>
      <c r="E390" s="153" t="s">
        <v>309</v>
      </c>
      <c r="F390" s="153" t="s">
        <v>2002</v>
      </c>
      <c r="G390" s="153" t="s">
        <v>2003</v>
      </c>
      <c r="H390" s="153" t="s">
        <v>321</v>
      </c>
      <c r="I390" s="153" t="s">
        <v>754</v>
      </c>
      <c r="J390" s="153" t="s">
        <v>204</v>
      </c>
      <c r="K390" s="153" t="s">
        <v>204</v>
      </c>
      <c r="L390" s="153" t="s">
        <v>325</v>
      </c>
      <c r="M390" s="153" t="s">
        <v>340</v>
      </c>
      <c r="N390" s="153" t="s">
        <v>464</v>
      </c>
      <c r="O390" s="153" t="s">
        <v>339</v>
      </c>
      <c r="P390" s="153" t="s">
        <v>1811</v>
      </c>
      <c r="Q390" s="153" t="s">
        <v>413</v>
      </c>
      <c r="R390" s="153" t="s">
        <v>407</v>
      </c>
      <c r="S390" s="153" t="s">
        <v>1212</v>
      </c>
      <c r="T390" s="154">
        <v>0.5</v>
      </c>
      <c r="U390" s="153" t="s">
        <v>1965</v>
      </c>
      <c r="V390" s="155">
        <v>1.7139999999999999E-2</v>
      </c>
      <c r="W390" s="155">
        <v>2.7900000000000001E-2</v>
      </c>
      <c r="X390" s="153" t="s">
        <v>412</v>
      </c>
      <c r="Y390" s="153" t="s">
        <v>339</v>
      </c>
      <c r="Z390" s="154">
        <v>100000</v>
      </c>
      <c r="AA390" s="154">
        <v>1</v>
      </c>
      <c r="AB390" s="154">
        <v>114.12</v>
      </c>
      <c r="AC390" s="154">
        <v>0.375</v>
      </c>
      <c r="AD390" s="154">
        <v>114.495</v>
      </c>
      <c r="AG390" s="157" t="s">
        <v>15</v>
      </c>
      <c r="AH390" s="155">
        <v>1.8000000000000001E-4</v>
      </c>
      <c r="AI390" s="155">
        <f t="shared" si="6"/>
        <v>8.9869381276919439E-4</v>
      </c>
      <c r="AJ390" s="155">
        <v>1.4369711890915171E-4</v>
      </c>
    </row>
    <row r="391" spans="1:36" s="160" customFormat="1">
      <c r="A391" s="153" t="s">
        <v>1213</v>
      </c>
      <c r="B391" s="160">
        <v>13498</v>
      </c>
      <c r="C391" s="153" t="s">
        <v>1512</v>
      </c>
      <c r="D391" s="153" t="s">
        <v>1513</v>
      </c>
      <c r="E391" s="153" t="s">
        <v>309</v>
      </c>
      <c r="F391" s="153" t="s">
        <v>2474</v>
      </c>
      <c r="G391" s="153" t="s">
        <v>2475</v>
      </c>
      <c r="H391" s="153" t="s">
        <v>321</v>
      </c>
      <c r="I391" s="153" t="s">
        <v>754</v>
      </c>
      <c r="J391" s="153" t="s">
        <v>204</v>
      </c>
      <c r="K391" s="153" t="s">
        <v>204</v>
      </c>
      <c r="L391" s="153" t="s">
        <v>325</v>
      </c>
      <c r="M391" s="153" t="s">
        <v>340</v>
      </c>
      <c r="N391" s="153" t="s">
        <v>448</v>
      </c>
      <c r="O391" s="153" t="s">
        <v>339</v>
      </c>
      <c r="P391" s="153" t="s">
        <v>1215</v>
      </c>
      <c r="Q391" s="153" t="s">
        <v>413</v>
      </c>
      <c r="R391" s="153" t="s">
        <v>407</v>
      </c>
      <c r="S391" s="153" t="s">
        <v>1212</v>
      </c>
      <c r="T391" s="154">
        <v>2.96</v>
      </c>
      <c r="U391" s="153" t="s">
        <v>2476</v>
      </c>
      <c r="V391" s="155">
        <v>2.044E-2</v>
      </c>
      <c r="W391" s="155">
        <v>2.2599999999999999E-2</v>
      </c>
      <c r="X391" s="153" t="s">
        <v>412</v>
      </c>
      <c r="Y391" s="153" t="s">
        <v>339</v>
      </c>
      <c r="Z391" s="154">
        <v>100000</v>
      </c>
      <c r="AA391" s="154">
        <v>1</v>
      </c>
      <c r="AB391" s="154">
        <v>113.04</v>
      </c>
      <c r="AD391" s="154">
        <v>113.04</v>
      </c>
      <c r="AG391" s="157" t="s">
        <v>15</v>
      </c>
      <c r="AH391" s="155">
        <v>3.0000000000000001E-5</v>
      </c>
      <c r="AI391" s="155">
        <f t="shared" si="6"/>
        <v>8.8727323110554806E-4</v>
      </c>
      <c r="AJ391" s="155">
        <v>1.4187101900948085E-4</v>
      </c>
    </row>
    <row r="392" spans="1:36" s="160" customFormat="1">
      <c r="A392" s="153" t="s">
        <v>1213</v>
      </c>
      <c r="B392" s="160">
        <v>13498</v>
      </c>
      <c r="C392" s="153" t="s">
        <v>1674</v>
      </c>
      <c r="D392" s="153" t="s">
        <v>1675</v>
      </c>
      <c r="E392" s="153" t="s">
        <v>309</v>
      </c>
      <c r="F392" s="153" t="s">
        <v>2477</v>
      </c>
      <c r="G392" s="153" t="s">
        <v>2478</v>
      </c>
      <c r="H392" s="153" t="s">
        <v>321</v>
      </c>
      <c r="I392" s="153" t="s">
        <v>754</v>
      </c>
      <c r="J392" s="153" t="s">
        <v>204</v>
      </c>
      <c r="K392" s="153" t="s">
        <v>204</v>
      </c>
      <c r="L392" s="153" t="s">
        <v>325</v>
      </c>
      <c r="M392" s="153" t="s">
        <v>340</v>
      </c>
      <c r="N392" s="153" t="s">
        <v>464</v>
      </c>
      <c r="O392" s="153" t="s">
        <v>339</v>
      </c>
      <c r="P392" s="153" t="s">
        <v>1538</v>
      </c>
      <c r="Q392" s="153" t="s">
        <v>413</v>
      </c>
      <c r="R392" s="153" t="s">
        <v>407</v>
      </c>
      <c r="S392" s="153" t="s">
        <v>1212</v>
      </c>
      <c r="T392" s="154">
        <v>1.1100000000000001</v>
      </c>
      <c r="U392" s="153" t="s">
        <v>2369</v>
      </c>
      <c r="V392" s="155">
        <v>2.1680000000000001E-2</v>
      </c>
      <c r="W392" s="155">
        <v>2.4199999999999999E-2</v>
      </c>
      <c r="X392" s="153" t="s">
        <v>412</v>
      </c>
      <c r="Y392" s="153" t="s">
        <v>339</v>
      </c>
      <c r="Z392" s="154">
        <v>100000</v>
      </c>
      <c r="AA392" s="154">
        <v>1</v>
      </c>
      <c r="AB392" s="154">
        <v>111.51</v>
      </c>
      <c r="AD392" s="154">
        <v>111.51</v>
      </c>
      <c r="AG392" s="157" t="s">
        <v>15</v>
      </c>
      <c r="AH392" s="155">
        <v>3.2000000000000003E-4</v>
      </c>
      <c r="AI392" s="155">
        <f t="shared" si="6"/>
        <v>8.7526395966542529E-4</v>
      </c>
      <c r="AJ392" s="155">
        <v>1.3995079024900221E-4</v>
      </c>
    </row>
    <row r="393" spans="1:36" s="160" customFormat="1">
      <c r="A393" s="153" t="s">
        <v>1213</v>
      </c>
      <c r="B393" s="160">
        <v>13498</v>
      </c>
      <c r="C393" s="153" t="s">
        <v>1591</v>
      </c>
      <c r="D393" s="153" t="s">
        <v>1592</v>
      </c>
      <c r="E393" s="153" t="s">
        <v>309</v>
      </c>
      <c r="F393" s="153" t="s">
        <v>2479</v>
      </c>
      <c r="G393" s="153" t="s">
        <v>2480</v>
      </c>
      <c r="H393" s="153" t="s">
        <v>321</v>
      </c>
      <c r="I393" s="153" t="s">
        <v>951</v>
      </c>
      <c r="J393" s="153" t="s">
        <v>204</v>
      </c>
      <c r="K393" s="153" t="s">
        <v>204</v>
      </c>
      <c r="L393" s="153" t="s">
        <v>325</v>
      </c>
      <c r="M393" s="153" t="s">
        <v>340</v>
      </c>
      <c r="N393" s="153" t="s">
        <v>464</v>
      </c>
      <c r="O393" s="153" t="s">
        <v>339</v>
      </c>
      <c r="P393" s="153" t="s">
        <v>1538</v>
      </c>
      <c r="Q393" s="153" t="s">
        <v>413</v>
      </c>
      <c r="R393" s="153" t="s">
        <v>407</v>
      </c>
      <c r="S393" s="153" t="s">
        <v>1212</v>
      </c>
      <c r="T393" s="154">
        <v>5.14</v>
      </c>
      <c r="U393" s="153" t="s">
        <v>2481</v>
      </c>
      <c r="V393" s="155">
        <v>4.4690000000000001E-2</v>
      </c>
      <c r="W393" s="155">
        <v>6.0100000000000001E-2</v>
      </c>
      <c r="X393" s="153" t="s">
        <v>412</v>
      </c>
      <c r="Y393" s="153" t="s">
        <v>339</v>
      </c>
      <c r="Z393" s="154">
        <v>126397.14</v>
      </c>
      <c r="AA393" s="154">
        <v>1</v>
      </c>
      <c r="AB393" s="154">
        <v>84.61</v>
      </c>
      <c r="AD393" s="154">
        <v>106.94499999999999</v>
      </c>
      <c r="AG393" s="157" t="s">
        <v>15</v>
      </c>
      <c r="AH393" s="155">
        <v>6.9999999999999994E-5</v>
      </c>
      <c r="AI393" s="155">
        <f t="shared" si="6"/>
        <v>8.3943237527054878E-4</v>
      </c>
      <c r="AJ393" s="155">
        <v>1.342214802545022E-4</v>
      </c>
    </row>
    <row r="394" spans="1:36" s="160" customFormat="1">
      <c r="A394" s="153" t="s">
        <v>1213</v>
      </c>
      <c r="B394" s="160">
        <v>13498</v>
      </c>
      <c r="C394" s="153" t="s">
        <v>1861</v>
      </c>
      <c r="D394" s="153" t="s">
        <v>1862</v>
      </c>
      <c r="E394" s="153" t="s">
        <v>309</v>
      </c>
      <c r="F394" s="153" t="s">
        <v>2482</v>
      </c>
      <c r="G394" s="153" t="s">
        <v>2483</v>
      </c>
      <c r="H394" s="153" t="s">
        <v>321</v>
      </c>
      <c r="I394" s="153" t="s">
        <v>951</v>
      </c>
      <c r="J394" s="153" t="s">
        <v>204</v>
      </c>
      <c r="K394" s="153" t="s">
        <v>204</v>
      </c>
      <c r="L394" s="153" t="s">
        <v>325</v>
      </c>
      <c r="M394" s="153" t="s">
        <v>340</v>
      </c>
      <c r="N394" s="153" t="s">
        <v>464</v>
      </c>
      <c r="O394" s="153" t="s">
        <v>339</v>
      </c>
      <c r="P394" s="153" t="s">
        <v>1538</v>
      </c>
      <c r="Q394" s="153" t="s">
        <v>413</v>
      </c>
      <c r="R394" s="153" t="s">
        <v>407</v>
      </c>
      <c r="S394" s="153" t="s">
        <v>1212</v>
      </c>
      <c r="T394" s="154">
        <v>0.25</v>
      </c>
      <c r="U394" s="153" t="s">
        <v>2484</v>
      </c>
      <c r="V394" s="155">
        <v>4.9590000000000002E-2</v>
      </c>
      <c r="W394" s="155">
        <v>4.7199999999999999E-2</v>
      </c>
      <c r="X394" s="153" t="s">
        <v>412</v>
      </c>
      <c r="Y394" s="153" t="s">
        <v>339</v>
      </c>
      <c r="Z394" s="154">
        <v>103328.03</v>
      </c>
      <c r="AA394" s="154">
        <v>1</v>
      </c>
      <c r="AB394" s="154">
        <v>100.6</v>
      </c>
      <c r="AD394" s="154">
        <v>103.94799999999999</v>
      </c>
      <c r="AG394" s="157" t="s">
        <v>15</v>
      </c>
      <c r="AH394" s="155">
        <v>1.4999999999999999E-4</v>
      </c>
      <c r="AI394" s="155">
        <f t="shared" si="6"/>
        <v>8.159083318025434E-4</v>
      </c>
      <c r="AJ394" s="155">
        <v>1.3046009097662345E-4</v>
      </c>
    </row>
    <row r="395" spans="1:36" s="160" customFormat="1">
      <c r="A395" s="153" t="s">
        <v>1213</v>
      </c>
      <c r="B395" s="160">
        <v>13498</v>
      </c>
      <c r="C395" s="153" t="s">
        <v>2128</v>
      </c>
      <c r="D395" s="153" t="s">
        <v>2129</v>
      </c>
      <c r="E395" s="153" t="s">
        <v>309</v>
      </c>
      <c r="F395" s="153" t="s">
        <v>2485</v>
      </c>
      <c r="G395" s="153" t="s">
        <v>2486</v>
      </c>
      <c r="H395" s="153" t="s">
        <v>321</v>
      </c>
      <c r="I395" s="153" t="s">
        <v>951</v>
      </c>
      <c r="J395" s="153" t="s">
        <v>204</v>
      </c>
      <c r="K395" s="153" t="s">
        <v>204</v>
      </c>
      <c r="L395" s="153" t="s">
        <v>325</v>
      </c>
      <c r="M395" s="153" t="s">
        <v>340</v>
      </c>
      <c r="N395" s="153" t="s">
        <v>445</v>
      </c>
      <c r="O395" s="153" t="s">
        <v>339</v>
      </c>
      <c r="P395" s="153" t="s">
        <v>1538</v>
      </c>
      <c r="Q395" s="153" t="s">
        <v>413</v>
      </c>
      <c r="R395" s="153" t="s">
        <v>407</v>
      </c>
      <c r="S395" s="153" t="s">
        <v>1212</v>
      </c>
      <c r="T395" s="154">
        <v>2.15</v>
      </c>
      <c r="U395" s="153" t="s">
        <v>1382</v>
      </c>
      <c r="V395" s="155">
        <v>6.4000000000000005E-4</v>
      </c>
      <c r="W395" s="155">
        <v>5.3100000000000001E-2</v>
      </c>
      <c r="X395" s="153" t="s">
        <v>412</v>
      </c>
      <c r="Y395" s="153" t="s">
        <v>339</v>
      </c>
      <c r="Z395" s="154">
        <v>100000</v>
      </c>
      <c r="AA395" s="154">
        <v>1</v>
      </c>
      <c r="AB395" s="154">
        <v>102.22</v>
      </c>
      <c r="AD395" s="154">
        <v>102.22</v>
      </c>
      <c r="AG395" s="157" t="s">
        <v>15</v>
      </c>
      <c r="AH395" s="155">
        <v>2.5000000000000001E-4</v>
      </c>
      <c r="AI395" s="155">
        <f t="shared" si="6"/>
        <v>8.0234491935252236E-4</v>
      </c>
      <c r="AJ395" s="155">
        <v>1.2829136202361228E-4</v>
      </c>
    </row>
    <row r="396" spans="1:36" s="160" customFormat="1">
      <c r="A396" s="153" t="s">
        <v>1213</v>
      </c>
      <c r="B396" s="160">
        <v>13498</v>
      </c>
      <c r="C396" s="153" t="s">
        <v>1546</v>
      </c>
      <c r="D396" s="153" t="s">
        <v>1547</v>
      </c>
      <c r="E396" s="153" t="s">
        <v>309</v>
      </c>
      <c r="F396" s="153" t="s">
        <v>2487</v>
      </c>
      <c r="G396" s="153" t="s">
        <v>2488</v>
      </c>
      <c r="H396" s="153" t="s">
        <v>321</v>
      </c>
      <c r="I396" s="153" t="s">
        <v>754</v>
      </c>
      <c r="J396" s="153" t="s">
        <v>204</v>
      </c>
      <c r="K396" s="153" t="s">
        <v>204</v>
      </c>
      <c r="L396" s="153" t="s">
        <v>325</v>
      </c>
      <c r="M396" s="153" t="s">
        <v>340</v>
      </c>
      <c r="N396" s="153" t="s">
        <v>443</v>
      </c>
      <c r="O396" s="153" t="s">
        <v>339</v>
      </c>
      <c r="P396" s="153" t="s">
        <v>1544</v>
      </c>
      <c r="Q396" s="153" t="s">
        <v>415</v>
      </c>
      <c r="R396" s="153" t="s">
        <v>407</v>
      </c>
      <c r="S396" s="153" t="s">
        <v>1212</v>
      </c>
      <c r="T396" s="154">
        <v>0.79</v>
      </c>
      <c r="U396" s="153" t="s">
        <v>1777</v>
      </c>
      <c r="V396" s="155">
        <v>1.512E-2</v>
      </c>
      <c r="W396" s="155">
        <v>2.7199999999999998E-2</v>
      </c>
      <c r="X396" s="153" t="s">
        <v>412</v>
      </c>
      <c r="Y396" s="153" t="s">
        <v>339</v>
      </c>
      <c r="Z396" s="154">
        <v>87972.62</v>
      </c>
      <c r="AA396" s="154">
        <v>1</v>
      </c>
      <c r="AB396" s="154">
        <v>115.1</v>
      </c>
      <c r="AD396" s="154">
        <v>101.256</v>
      </c>
      <c r="AG396" s="157" t="s">
        <v>15</v>
      </c>
      <c r="AH396" s="155">
        <v>2.4000000000000001E-4</v>
      </c>
      <c r="AI396" s="155">
        <f t="shared" si="6"/>
        <v>7.9477829342554298E-4</v>
      </c>
      <c r="AJ396" s="155">
        <v>1.2708149239936298E-4</v>
      </c>
    </row>
    <row r="397" spans="1:36" s="160" customFormat="1">
      <c r="A397" s="153" t="s">
        <v>1213</v>
      </c>
      <c r="B397" s="160">
        <v>13498</v>
      </c>
      <c r="C397" s="153" t="s">
        <v>1904</v>
      </c>
      <c r="D397" s="153" t="s">
        <v>1905</v>
      </c>
      <c r="E397" s="153" t="s">
        <v>309</v>
      </c>
      <c r="F397" s="153" t="s">
        <v>2489</v>
      </c>
      <c r="G397" s="153" t="s">
        <v>2490</v>
      </c>
      <c r="H397" s="153" t="s">
        <v>321</v>
      </c>
      <c r="I397" s="153" t="s">
        <v>951</v>
      </c>
      <c r="J397" s="153" t="s">
        <v>204</v>
      </c>
      <c r="K397" s="153" t="s">
        <v>204</v>
      </c>
      <c r="L397" s="153" t="s">
        <v>325</v>
      </c>
      <c r="M397" s="153" t="s">
        <v>340</v>
      </c>
      <c r="N397" s="153" t="s">
        <v>448</v>
      </c>
      <c r="O397" s="153" t="s">
        <v>339</v>
      </c>
      <c r="P397" s="153" t="s">
        <v>1215</v>
      </c>
      <c r="Q397" s="153" t="s">
        <v>413</v>
      </c>
      <c r="R397" s="153" t="s">
        <v>407</v>
      </c>
      <c r="S397" s="153" t="s">
        <v>1212</v>
      </c>
      <c r="T397" s="154">
        <v>0.18</v>
      </c>
      <c r="U397" s="153" t="s">
        <v>1461</v>
      </c>
      <c r="V397" s="155">
        <v>3.8739999999999997E-2</v>
      </c>
      <c r="W397" s="155">
        <v>4.58E-2</v>
      </c>
      <c r="X397" s="153" t="s">
        <v>412</v>
      </c>
      <c r="Y397" s="153" t="s">
        <v>339</v>
      </c>
      <c r="Z397" s="154">
        <v>99939.98</v>
      </c>
      <c r="AA397" s="154">
        <v>1</v>
      </c>
      <c r="AB397" s="154">
        <v>101.06</v>
      </c>
      <c r="AD397" s="154">
        <v>100.999</v>
      </c>
      <c r="AG397" s="157" t="s">
        <v>15</v>
      </c>
      <c r="AH397" s="155">
        <v>3.6000000000000002E-4</v>
      </c>
      <c r="AI397" s="155">
        <f t="shared" si="6"/>
        <v>7.9276104979148301E-4</v>
      </c>
      <c r="AJ397" s="155">
        <v>1.2675894416966168E-4</v>
      </c>
    </row>
    <row r="398" spans="1:36" s="160" customFormat="1">
      <c r="A398" s="153" t="s">
        <v>1213</v>
      </c>
      <c r="B398" s="160">
        <v>13498</v>
      </c>
      <c r="C398" s="153" t="s">
        <v>2491</v>
      </c>
      <c r="D398" s="153" t="s">
        <v>2492</v>
      </c>
      <c r="E398" s="153" t="s">
        <v>311</v>
      </c>
      <c r="F398" s="153" t="s">
        <v>2493</v>
      </c>
      <c r="G398" s="153" t="s">
        <v>2494</v>
      </c>
      <c r="H398" s="153" t="s">
        <v>321</v>
      </c>
      <c r="I398" s="153" t="s">
        <v>951</v>
      </c>
      <c r="J398" s="153" t="s">
        <v>204</v>
      </c>
      <c r="K398" s="153" t="s">
        <v>224</v>
      </c>
      <c r="L398" s="153" t="s">
        <v>325</v>
      </c>
      <c r="M398" s="153" t="s">
        <v>340</v>
      </c>
      <c r="N398" s="153" t="s">
        <v>465</v>
      </c>
      <c r="O398" s="153" t="s">
        <v>339</v>
      </c>
      <c r="P398" s="153" t="s">
        <v>1554</v>
      </c>
      <c r="Q398" s="153" t="s">
        <v>413</v>
      </c>
      <c r="R398" s="153" t="s">
        <v>407</v>
      </c>
      <c r="S398" s="153" t="s">
        <v>1212</v>
      </c>
      <c r="T398" s="154">
        <v>2.69</v>
      </c>
      <c r="U398" s="153" t="s">
        <v>2495</v>
      </c>
      <c r="V398" s="155">
        <v>0.08</v>
      </c>
      <c r="W398" s="155">
        <v>0.17280000000000001</v>
      </c>
      <c r="X398" s="153" t="s">
        <v>412</v>
      </c>
      <c r="Y398" s="153" t="s">
        <v>338</v>
      </c>
      <c r="Z398" s="154">
        <v>118029.28</v>
      </c>
      <c r="AA398" s="154">
        <v>1</v>
      </c>
      <c r="AB398" s="154">
        <v>82.33</v>
      </c>
      <c r="AD398" s="154">
        <v>97.174000000000007</v>
      </c>
      <c r="AG398" s="157" t="s">
        <v>15</v>
      </c>
      <c r="AH398" s="155">
        <v>1.2999999999999999E-4</v>
      </c>
      <c r="AI398" s="155">
        <f t="shared" si="6"/>
        <v>7.6273787119117593E-4</v>
      </c>
      <c r="AJ398" s="155">
        <v>1.2195837226846508E-4</v>
      </c>
    </row>
    <row r="399" spans="1:36" s="160" customFormat="1">
      <c r="A399" s="153" t="s">
        <v>1213</v>
      </c>
      <c r="B399" s="160">
        <v>13498</v>
      </c>
      <c r="C399" s="153" t="s">
        <v>2441</v>
      </c>
      <c r="D399" s="153" t="s">
        <v>2442</v>
      </c>
      <c r="E399" s="153" t="s">
        <v>309</v>
      </c>
      <c r="F399" s="153" t="s">
        <v>2496</v>
      </c>
      <c r="G399" s="153" t="s">
        <v>2497</v>
      </c>
      <c r="H399" s="153" t="s">
        <v>321</v>
      </c>
      <c r="I399" s="153" t="s">
        <v>754</v>
      </c>
      <c r="J399" s="153" t="s">
        <v>204</v>
      </c>
      <c r="K399" s="153" t="s">
        <v>204</v>
      </c>
      <c r="L399" s="153" t="s">
        <v>325</v>
      </c>
      <c r="M399" s="153" t="s">
        <v>340</v>
      </c>
      <c r="N399" s="153" t="s">
        <v>462</v>
      </c>
      <c r="O399" s="153" t="s">
        <v>339</v>
      </c>
      <c r="P399" s="153" t="s">
        <v>1566</v>
      </c>
      <c r="Q399" s="153" t="s">
        <v>413</v>
      </c>
      <c r="R399" s="153" t="s">
        <v>407</v>
      </c>
      <c r="S399" s="153" t="s">
        <v>1212</v>
      </c>
      <c r="T399" s="154">
        <v>1.46</v>
      </c>
      <c r="U399" s="153" t="s">
        <v>2498</v>
      </c>
      <c r="V399" s="155">
        <v>2.171E-2</v>
      </c>
      <c r="W399" s="155">
        <v>2.4400000000000002E-2</v>
      </c>
      <c r="X399" s="153" t="s">
        <v>412</v>
      </c>
      <c r="Y399" s="153" t="s">
        <v>339</v>
      </c>
      <c r="Z399" s="154">
        <v>85714.28</v>
      </c>
      <c r="AA399" s="154">
        <v>1</v>
      </c>
      <c r="AB399" s="154">
        <v>112.33</v>
      </c>
      <c r="AD399" s="154">
        <v>96.283000000000001</v>
      </c>
      <c r="AG399" s="157" t="s">
        <v>15</v>
      </c>
      <c r="AH399" s="155">
        <v>3.8999999999999999E-4</v>
      </c>
      <c r="AI399" s="155">
        <f t="shared" si="6"/>
        <v>7.5574423664663385E-4</v>
      </c>
      <c r="AJ399" s="155">
        <v>1.2084012140206868E-4</v>
      </c>
    </row>
    <row r="400" spans="1:36" s="160" customFormat="1">
      <c r="A400" s="153" t="s">
        <v>1213</v>
      </c>
      <c r="B400" s="160">
        <v>13498</v>
      </c>
      <c r="C400" s="153" t="s">
        <v>2420</v>
      </c>
      <c r="D400" s="153" t="s">
        <v>2421</v>
      </c>
      <c r="E400" s="153" t="s">
        <v>309</v>
      </c>
      <c r="F400" s="153" t="s">
        <v>2499</v>
      </c>
      <c r="G400" s="153" t="s">
        <v>2500</v>
      </c>
      <c r="H400" s="153" t="s">
        <v>321</v>
      </c>
      <c r="I400" s="153" t="s">
        <v>951</v>
      </c>
      <c r="J400" s="153" t="s">
        <v>204</v>
      </c>
      <c r="K400" s="153" t="s">
        <v>204</v>
      </c>
      <c r="L400" s="153" t="s">
        <v>325</v>
      </c>
      <c r="M400" s="153" t="s">
        <v>340</v>
      </c>
      <c r="N400" s="153" t="s">
        <v>445</v>
      </c>
      <c r="O400" s="153" t="s">
        <v>339</v>
      </c>
      <c r="P400" s="153" t="s">
        <v>1566</v>
      </c>
      <c r="Q400" s="153" t="s">
        <v>413</v>
      </c>
      <c r="R400" s="153" t="s">
        <v>407</v>
      </c>
      <c r="S400" s="153" t="s">
        <v>1212</v>
      </c>
      <c r="T400" s="154">
        <v>4.68</v>
      </c>
      <c r="U400" s="153" t="s">
        <v>1913</v>
      </c>
      <c r="V400" s="155">
        <v>4.3029999999999999E-2</v>
      </c>
      <c r="W400" s="155">
        <v>5.5300000000000002E-2</v>
      </c>
      <c r="X400" s="153" t="s">
        <v>412</v>
      </c>
      <c r="Y400" s="153" t="s">
        <v>339</v>
      </c>
      <c r="Z400" s="154">
        <v>100000</v>
      </c>
      <c r="AA400" s="154">
        <v>1</v>
      </c>
      <c r="AB400" s="154">
        <v>96.24</v>
      </c>
      <c r="AD400" s="154">
        <v>96.24</v>
      </c>
      <c r="AG400" s="157" t="s">
        <v>15</v>
      </c>
      <c r="AH400" s="155">
        <v>2.0000000000000001E-4</v>
      </c>
      <c r="AI400" s="155">
        <f t="shared" si="6"/>
        <v>7.5540672117478712E-4</v>
      </c>
      <c r="AJ400" s="155">
        <v>1.207861541885389E-4</v>
      </c>
    </row>
    <row r="401" spans="1:36" s="160" customFormat="1">
      <c r="A401" s="153" t="s">
        <v>1213</v>
      </c>
      <c r="B401" s="160">
        <v>13498</v>
      </c>
      <c r="C401" s="153" t="s">
        <v>1573</v>
      </c>
      <c r="D401" s="153" t="s">
        <v>1574</v>
      </c>
      <c r="E401" s="153" t="s">
        <v>309</v>
      </c>
      <c r="F401" s="153" t="s">
        <v>2501</v>
      </c>
      <c r="G401" s="153" t="s">
        <v>2502</v>
      </c>
      <c r="H401" s="153" t="s">
        <v>321</v>
      </c>
      <c r="I401" s="153" t="s">
        <v>951</v>
      </c>
      <c r="J401" s="153" t="s">
        <v>204</v>
      </c>
      <c r="K401" s="153" t="s">
        <v>204</v>
      </c>
      <c r="L401" s="153" t="s">
        <v>325</v>
      </c>
      <c r="M401" s="153" t="s">
        <v>340</v>
      </c>
      <c r="N401" s="153" t="s">
        <v>448</v>
      </c>
      <c r="O401" s="153" t="s">
        <v>339</v>
      </c>
      <c r="P401" s="153" t="s">
        <v>1215</v>
      </c>
      <c r="Q401" s="153" t="s">
        <v>413</v>
      </c>
      <c r="R401" s="153" t="s">
        <v>407</v>
      </c>
      <c r="S401" s="153" t="s">
        <v>1212</v>
      </c>
      <c r="T401" s="154">
        <v>3.11</v>
      </c>
      <c r="U401" s="153" t="s">
        <v>2503</v>
      </c>
      <c r="V401" s="155">
        <v>4.3589999999999997E-2</v>
      </c>
      <c r="W401" s="155">
        <v>5.0999999999999997E-2</v>
      </c>
      <c r="X401" s="153" t="s">
        <v>412</v>
      </c>
      <c r="Y401" s="153" t="s">
        <v>339</v>
      </c>
      <c r="Z401" s="154">
        <v>100000</v>
      </c>
      <c r="AA401" s="154">
        <v>1</v>
      </c>
      <c r="AB401" s="154">
        <v>94.29</v>
      </c>
      <c r="AD401" s="154">
        <v>94.29</v>
      </c>
      <c r="AG401" s="157" t="s">
        <v>15</v>
      </c>
      <c r="AH401" s="155">
        <v>6.9999999999999994E-5</v>
      </c>
      <c r="AI401" s="155">
        <f t="shared" si="6"/>
        <v>7.4010078698639537E-4</v>
      </c>
      <c r="AJ401" s="155">
        <v>1.1833880380753672E-4</v>
      </c>
    </row>
    <row r="402" spans="1:36" s="160" customFormat="1">
      <c r="A402" s="153" t="s">
        <v>1213</v>
      </c>
      <c r="B402" s="160">
        <v>13498</v>
      </c>
      <c r="C402" s="153" t="s">
        <v>1986</v>
      </c>
      <c r="D402" s="153" t="s">
        <v>1987</v>
      </c>
      <c r="E402" s="153" t="s">
        <v>309</v>
      </c>
      <c r="F402" s="153" t="s">
        <v>2504</v>
      </c>
      <c r="G402" s="153" t="s">
        <v>2505</v>
      </c>
      <c r="H402" s="153" t="s">
        <v>321</v>
      </c>
      <c r="I402" s="153" t="s">
        <v>951</v>
      </c>
      <c r="J402" s="153" t="s">
        <v>204</v>
      </c>
      <c r="K402" s="153" t="s">
        <v>204</v>
      </c>
      <c r="L402" s="153" t="s">
        <v>325</v>
      </c>
      <c r="M402" s="153" t="s">
        <v>340</v>
      </c>
      <c r="N402" s="153" t="s">
        <v>484</v>
      </c>
      <c r="O402" s="153" t="s">
        <v>339</v>
      </c>
      <c r="P402" s="153" t="s">
        <v>1538</v>
      </c>
      <c r="Q402" s="153" t="s">
        <v>413</v>
      </c>
      <c r="R402" s="153" t="s">
        <v>407</v>
      </c>
      <c r="S402" s="153" t="s">
        <v>1212</v>
      </c>
      <c r="T402" s="154">
        <v>0.65</v>
      </c>
      <c r="U402" s="153" t="s">
        <v>2372</v>
      </c>
      <c r="V402" s="155">
        <v>4.4850000000000001E-2</v>
      </c>
      <c r="W402" s="155">
        <v>5.0500000000000003E-2</v>
      </c>
      <c r="X402" s="153" t="s">
        <v>412</v>
      </c>
      <c r="Y402" s="153" t="s">
        <v>339</v>
      </c>
      <c r="Z402" s="154">
        <v>93333.33</v>
      </c>
      <c r="AA402" s="154">
        <v>1</v>
      </c>
      <c r="AB402" s="154">
        <v>100.35</v>
      </c>
      <c r="AD402" s="154">
        <v>93.66</v>
      </c>
      <c r="AG402" s="157" t="s">
        <v>15</v>
      </c>
      <c r="AH402" s="155">
        <v>9.0000000000000006E-5</v>
      </c>
      <c r="AI402" s="155">
        <f t="shared" si="6"/>
        <v>7.3515579286399172E-4</v>
      </c>
      <c r="AJ402" s="155">
        <v>1.1754812137675138E-4</v>
      </c>
    </row>
    <row r="403" spans="1:36" s="160" customFormat="1">
      <c r="A403" s="153" t="s">
        <v>1213</v>
      </c>
      <c r="B403" s="160">
        <v>13498</v>
      </c>
      <c r="C403" s="153" t="s">
        <v>1546</v>
      </c>
      <c r="D403" s="153" t="s">
        <v>1547</v>
      </c>
      <c r="E403" s="153" t="s">
        <v>309</v>
      </c>
      <c r="F403" s="153" t="s">
        <v>1639</v>
      </c>
      <c r="G403" s="153" t="s">
        <v>1640</v>
      </c>
      <c r="H403" s="153" t="s">
        <v>321</v>
      </c>
      <c r="I403" s="153" t="s">
        <v>754</v>
      </c>
      <c r="J403" s="153" t="s">
        <v>204</v>
      </c>
      <c r="K403" s="153" t="s">
        <v>204</v>
      </c>
      <c r="L403" s="153" t="s">
        <v>325</v>
      </c>
      <c r="M403" s="153" t="s">
        <v>340</v>
      </c>
      <c r="N403" s="153" t="s">
        <v>443</v>
      </c>
      <c r="O403" s="153" t="s">
        <v>339</v>
      </c>
      <c r="P403" s="153" t="s">
        <v>1544</v>
      </c>
      <c r="Q403" s="153" t="s">
        <v>415</v>
      </c>
      <c r="R403" s="153" t="s">
        <v>407</v>
      </c>
      <c r="S403" s="153" t="s">
        <v>1212</v>
      </c>
      <c r="T403" s="154">
        <v>3.25</v>
      </c>
      <c r="U403" s="153" t="s">
        <v>1641</v>
      </c>
      <c r="V403" s="155">
        <v>3.0360000000000002E-2</v>
      </c>
      <c r="W403" s="155">
        <v>3.3300000000000003E-2</v>
      </c>
      <c r="X403" s="153" t="s">
        <v>412</v>
      </c>
      <c r="Y403" s="153" t="s">
        <v>339</v>
      </c>
      <c r="Z403" s="154">
        <v>89159.1</v>
      </c>
      <c r="AA403" s="154">
        <v>1</v>
      </c>
      <c r="AB403" s="154">
        <v>104.54</v>
      </c>
      <c r="AD403" s="154">
        <v>93.206999999999994</v>
      </c>
      <c r="AG403" s="157" t="s">
        <v>15</v>
      </c>
      <c r="AH403" s="155">
        <v>6.0000000000000002E-5</v>
      </c>
      <c r="AI403" s="155">
        <f t="shared" si="6"/>
        <v>7.3160010661407304E-4</v>
      </c>
      <c r="AJ403" s="155">
        <v>1.169795830574724E-4</v>
      </c>
    </row>
    <row r="404" spans="1:36" s="160" customFormat="1">
      <c r="A404" s="153" t="s">
        <v>1213</v>
      </c>
      <c r="B404" s="160">
        <v>13498</v>
      </c>
      <c r="C404" s="153" t="s">
        <v>2491</v>
      </c>
      <c r="D404" s="153" t="s">
        <v>2492</v>
      </c>
      <c r="E404" s="153" t="s">
        <v>311</v>
      </c>
      <c r="F404" s="153" t="s">
        <v>2506</v>
      </c>
      <c r="G404" s="153" t="s">
        <v>2507</v>
      </c>
      <c r="H404" s="153" t="s">
        <v>321</v>
      </c>
      <c r="I404" s="153" t="s">
        <v>951</v>
      </c>
      <c r="J404" s="153" t="s">
        <v>204</v>
      </c>
      <c r="K404" s="153" t="s">
        <v>224</v>
      </c>
      <c r="L404" s="153" t="s">
        <v>325</v>
      </c>
      <c r="M404" s="153" t="s">
        <v>340</v>
      </c>
      <c r="N404" s="153" t="s">
        <v>465</v>
      </c>
      <c r="O404" s="153" t="s">
        <v>339</v>
      </c>
      <c r="P404" s="153" t="s">
        <v>1521</v>
      </c>
      <c r="Q404" s="153" t="s">
        <v>413</v>
      </c>
      <c r="R404" s="153" t="s">
        <v>407</v>
      </c>
      <c r="S404" s="153" t="s">
        <v>1212</v>
      </c>
      <c r="T404" s="154">
        <v>0.88</v>
      </c>
      <c r="U404" s="153" t="s">
        <v>1289</v>
      </c>
      <c r="V404" s="155">
        <v>5.552E-2</v>
      </c>
      <c r="W404" s="155">
        <v>8.5699999999999998E-2</v>
      </c>
      <c r="X404" s="153" t="s">
        <v>412</v>
      </c>
      <c r="Y404" s="153" t="s">
        <v>339</v>
      </c>
      <c r="Z404" s="154">
        <v>92931.94</v>
      </c>
      <c r="AA404" s="154">
        <v>1</v>
      </c>
      <c r="AB404" s="154">
        <v>98.47</v>
      </c>
      <c r="AD404" s="154">
        <v>91.51</v>
      </c>
      <c r="AG404" s="157" t="s">
        <v>15</v>
      </c>
      <c r="AH404" s="155">
        <v>3.3E-4</v>
      </c>
      <c r="AI404" s="155">
        <f t="shared" si="6"/>
        <v>7.1828001927166235E-4</v>
      </c>
      <c r="AJ404" s="155">
        <v>1.148497607002618E-4</v>
      </c>
    </row>
    <row r="405" spans="1:36" s="160" customFormat="1">
      <c r="A405" s="153" t="s">
        <v>1213</v>
      </c>
      <c r="B405" s="160">
        <v>13498</v>
      </c>
      <c r="C405" s="153" t="s">
        <v>1687</v>
      </c>
      <c r="D405" s="153" t="s">
        <v>1688</v>
      </c>
      <c r="E405" s="153" t="s">
        <v>309</v>
      </c>
      <c r="F405" s="153" t="s">
        <v>1837</v>
      </c>
      <c r="G405" s="153" t="s">
        <v>1838</v>
      </c>
      <c r="H405" s="153" t="s">
        <v>321</v>
      </c>
      <c r="I405" s="153" t="s">
        <v>754</v>
      </c>
      <c r="J405" s="153" t="s">
        <v>204</v>
      </c>
      <c r="K405" s="153" t="s">
        <v>204</v>
      </c>
      <c r="L405" s="153" t="s">
        <v>325</v>
      </c>
      <c r="M405" s="153" t="s">
        <v>340</v>
      </c>
      <c r="N405" s="153" t="s">
        <v>465</v>
      </c>
      <c r="O405" s="153" t="s">
        <v>339</v>
      </c>
      <c r="P405" s="153" t="s">
        <v>1614</v>
      </c>
      <c r="Q405" s="153" t="s">
        <v>415</v>
      </c>
      <c r="R405" s="153" t="s">
        <v>407</v>
      </c>
      <c r="S405" s="153" t="s">
        <v>1212</v>
      </c>
      <c r="T405" s="154">
        <v>1.46</v>
      </c>
      <c r="U405" s="153" t="s">
        <v>1839</v>
      </c>
      <c r="V405" s="155">
        <v>2.452E-2</v>
      </c>
      <c r="W405" s="155">
        <v>3.1099999999999999E-2</v>
      </c>
      <c r="X405" s="153" t="s">
        <v>412</v>
      </c>
      <c r="Y405" s="153" t="s">
        <v>339</v>
      </c>
      <c r="Z405" s="154">
        <v>75000</v>
      </c>
      <c r="AA405" s="154">
        <v>1</v>
      </c>
      <c r="AB405" s="154">
        <v>116.88</v>
      </c>
      <c r="AD405" s="154">
        <v>87.66</v>
      </c>
      <c r="AG405" s="157" t="s">
        <v>15</v>
      </c>
      <c r="AH405" s="155">
        <v>6.0000000000000002E-5</v>
      </c>
      <c r="AI405" s="155">
        <f t="shared" si="6"/>
        <v>6.8806061074586284E-4</v>
      </c>
      <c r="AJ405" s="155">
        <v>1.1001781251212925E-4</v>
      </c>
    </row>
    <row r="406" spans="1:36" s="160" customFormat="1">
      <c r="A406" s="153" t="s">
        <v>1213</v>
      </c>
      <c r="B406" s="160">
        <v>13498</v>
      </c>
      <c r="C406" s="153" t="s">
        <v>2306</v>
      </c>
      <c r="D406" s="153" t="s">
        <v>2307</v>
      </c>
      <c r="E406" s="153" t="s">
        <v>309</v>
      </c>
      <c r="F406" s="153" t="s">
        <v>2508</v>
      </c>
      <c r="G406" s="153" t="s">
        <v>2509</v>
      </c>
      <c r="H406" s="153" t="s">
        <v>321</v>
      </c>
      <c r="I406" s="153" t="s">
        <v>951</v>
      </c>
      <c r="J406" s="153" t="s">
        <v>204</v>
      </c>
      <c r="K406" s="153" t="s">
        <v>204</v>
      </c>
      <c r="L406" s="153" t="s">
        <v>325</v>
      </c>
      <c r="M406" s="153" t="s">
        <v>340</v>
      </c>
      <c r="N406" s="153" t="s">
        <v>445</v>
      </c>
      <c r="O406" s="153" t="s">
        <v>339</v>
      </c>
      <c r="P406" s="153" t="s">
        <v>1544</v>
      </c>
      <c r="Q406" s="153" t="s">
        <v>415</v>
      </c>
      <c r="R406" s="153" t="s">
        <v>407</v>
      </c>
      <c r="S406" s="153" t="s">
        <v>1212</v>
      </c>
      <c r="T406" s="154">
        <v>2.13</v>
      </c>
      <c r="U406" s="153" t="s">
        <v>1659</v>
      </c>
      <c r="V406" s="155">
        <v>4.3790000000000003E-2</v>
      </c>
      <c r="W406" s="155">
        <v>5.4199999999999998E-2</v>
      </c>
      <c r="X406" s="153" t="s">
        <v>412</v>
      </c>
      <c r="Y406" s="153" t="s">
        <v>339</v>
      </c>
      <c r="Z406" s="154">
        <v>75777</v>
      </c>
      <c r="AA406" s="154">
        <v>1</v>
      </c>
      <c r="AB406" s="154">
        <v>100.34</v>
      </c>
      <c r="AD406" s="154">
        <v>76.034999999999997</v>
      </c>
      <c r="AG406" s="157" t="s">
        <v>15</v>
      </c>
      <c r="AH406" s="155">
        <v>1.1E-4</v>
      </c>
      <c r="AI406" s="155">
        <f t="shared" si="6"/>
        <v>5.9681369539198821E-4</v>
      </c>
      <c r="AJ406" s="155">
        <v>9.5427839086923878E-5</v>
      </c>
    </row>
    <row r="407" spans="1:36" s="160" customFormat="1">
      <c r="A407" s="153" t="s">
        <v>1213</v>
      </c>
      <c r="B407" s="160">
        <v>13498</v>
      </c>
      <c r="C407" s="153" t="s">
        <v>1512</v>
      </c>
      <c r="D407" s="153" t="s">
        <v>1513</v>
      </c>
      <c r="E407" s="153" t="s">
        <v>309</v>
      </c>
      <c r="F407" s="153" t="s">
        <v>2510</v>
      </c>
      <c r="G407" s="153" t="s">
        <v>2511</v>
      </c>
      <c r="H407" s="153" t="s">
        <v>321</v>
      </c>
      <c r="I407" s="153" t="s">
        <v>754</v>
      </c>
      <c r="J407" s="153" t="s">
        <v>204</v>
      </c>
      <c r="K407" s="153" t="s">
        <v>204</v>
      </c>
      <c r="L407" s="153" t="s">
        <v>325</v>
      </c>
      <c r="M407" s="153" t="s">
        <v>340</v>
      </c>
      <c r="N407" s="153" t="s">
        <v>448</v>
      </c>
      <c r="O407" s="153" t="s">
        <v>339</v>
      </c>
      <c r="P407" s="153" t="s">
        <v>1215</v>
      </c>
      <c r="Q407" s="153" t="s">
        <v>413</v>
      </c>
      <c r="R407" s="153" t="s">
        <v>407</v>
      </c>
      <c r="S407" s="153" t="s">
        <v>1212</v>
      </c>
      <c r="T407" s="154">
        <v>5.72</v>
      </c>
      <c r="U407" s="153" t="s">
        <v>1865</v>
      </c>
      <c r="V407" s="155">
        <v>2.1270000000000001E-2</v>
      </c>
      <c r="W407" s="155">
        <v>2.6200000000000001E-2</v>
      </c>
      <c r="X407" s="153" t="s">
        <v>412</v>
      </c>
      <c r="Y407" s="153" t="s">
        <v>339</v>
      </c>
      <c r="Z407" s="154">
        <v>75000</v>
      </c>
      <c r="AA407" s="154">
        <v>1</v>
      </c>
      <c r="AB407" s="154">
        <v>100.79</v>
      </c>
      <c r="AD407" s="154">
        <v>75.593000000000004</v>
      </c>
      <c r="AG407" s="157" t="s">
        <v>15</v>
      </c>
      <c r="AH407" s="155">
        <v>8.0000000000000007E-5</v>
      </c>
      <c r="AI407" s="155">
        <f t="shared" si="6"/>
        <v>5.9334435030928613E-4</v>
      </c>
      <c r="AJ407" s="155">
        <v>9.4873106333896723E-5</v>
      </c>
    </row>
    <row r="408" spans="1:36" s="160" customFormat="1">
      <c r="A408" s="153" t="s">
        <v>1213</v>
      </c>
      <c r="B408" s="160">
        <v>13498</v>
      </c>
      <c r="C408" s="153" t="s">
        <v>1512</v>
      </c>
      <c r="D408" s="153" t="s">
        <v>1513</v>
      </c>
      <c r="E408" s="153" t="s">
        <v>309</v>
      </c>
      <c r="F408" s="153" t="s">
        <v>2512</v>
      </c>
      <c r="G408" s="153" t="s">
        <v>2513</v>
      </c>
      <c r="H408" s="153" t="s">
        <v>321</v>
      </c>
      <c r="I408" s="153" t="s">
        <v>951</v>
      </c>
      <c r="J408" s="153" t="s">
        <v>204</v>
      </c>
      <c r="K408" s="153" t="s">
        <v>204</v>
      </c>
      <c r="L408" s="153" t="s">
        <v>325</v>
      </c>
      <c r="M408" s="153" t="s">
        <v>340</v>
      </c>
      <c r="N408" s="153" t="s">
        <v>448</v>
      </c>
      <c r="O408" s="153" t="s">
        <v>339</v>
      </c>
      <c r="P408" s="153" t="s">
        <v>1215</v>
      </c>
      <c r="Q408" s="153" t="s">
        <v>413</v>
      </c>
      <c r="R408" s="153" t="s">
        <v>407</v>
      </c>
      <c r="S408" s="153" t="s">
        <v>1212</v>
      </c>
      <c r="T408" s="154">
        <v>3.23</v>
      </c>
      <c r="U408" s="153" t="s">
        <v>1900</v>
      </c>
      <c r="V408" s="155">
        <v>2.8320000000000001E-2</v>
      </c>
      <c r="W408" s="155">
        <v>5.1400000000000001E-2</v>
      </c>
      <c r="X408" s="153" t="s">
        <v>412</v>
      </c>
      <c r="Y408" s="153" t="s">
        <v>339</v>
      </c>
      <c r="Z408" s="154">
        <v>77780</v>
      </c>
      <c r="AA408" s="154">
        <v>1</v>
      </c>
      <c r="AB408" s="154">
        <v>93.89</v>
      </c>
      <c r="AD408" s="154">
        <v>73.028000000000006</v>
      </c>
      <c r="AG408" s="157" t="s">
        <v>15</v>
      </c>
      <c r="AH408" s="155">
        <v>5.0000000000000002E-5</v>
      </c>
      <c r="AI408" s="155">
        <f t="shared" si="6"/>
        <v>5.7321115995378601E-4</v>
      </c>
      <c r="AJ408" s="155">
        <v>9.1653899294270776E-5</v>
      </c>
    </row>
    <row r="409" spans="1:36" s="160" customFormat="1">
      <c r="A409" s="153" t="s">
        <v>1213</v>
      </c>
      <c r="B409" s="160">
        <v>13498</v>
      </c>
      <c r="C409" s="153" t="s">
        <v>1861</v>
      </c>
      <c r="D409" s="153" t="s">
        <v>1862</v>
      </c>
      <c r="E409" s="153" t="s">
        <v>309</v>
      </c>
      <c r="F409" s="153" t="s">
        <v>2514</v>
      </c>
      <c r="G409" s="153" t="s">
        <v>2515</v>
      </c>
      <c r="H409" s="153" t="s">
        <v>321</v>
      </c>
      <c r="I409" s="153" t="s">
        <v>754</v>
      </c>
      <c r="J409" s="153" t="s">
        <v>204</v>
      </c>
      <c r="K409" s="153" t="s">
        <v>204</v>
      </c>
      <c r="L409" s="153" t="s">
        <v>325</v>
      </c>
      <c r="M409" s="153" t="s">
        <v>340</v>
      </c>
      <c r="N409" s="153" t="s">
        <v>464</v>
      </c>
      <c r="O409" s="153" t="s">
        <v>339</v>
      </c>
      <c r="P409" s="153" t="s">
        <v>1538</v>
      </c>
      <c r="Q409" s="153" t="s">
        <v>413</v>
      </c>
      <c r="R409" s="153" t="s">
        <v>407</v>
      </c>
      <c r="S409" s="153" t="s">
        <v>1212</v>
      </c>
      <c r="T409" s="154">
        <v>3.55</v>
      </c>
      <c r="U409" s="153" t="s">
        <v>2516</v>
      </c>
      <c r="V409" s="155">
        <v>2.1499999999999998E-2</v>
      </c>
      <c r="W409" s="155">
        <v>2.6200000000000001E-2</v>
      </c>
      <c r="X409" s="153" t="s">
        <v>412</v>
      </c>
      <c r="Y409" s="153" t="s">
        <v>339</v>
      </c>
      <c r="Z409" s="154">
        <v>67293.42</v>
      </c>
      <c r="AA409" s="154">
        <v>1</v>
      </c>
      <c r="AB409" s="154">
        <v>107.63</v>
      </c>
      <c r="AD409" s="154">
        <v>72.427999999999997</v>
      </c>
      <c r="AG409" s="157" t="s">
        <v>15</v>
      </c>
      <c r="AH409" s="155">
        <v>1.3999999999999999E-4</v>
      </c>
      <c r="AI409" s="155">
        <f t="shared" si="6"/>
        <v>5.6850164174197305E-4</v>
      </c>
      <c r="AJ409" s="155">
        <v>9.0900868407808554E-5</v>
      </c>
    </row>
    <row r="410" spans="1:36" s="160" customFormat="1">
      <c r="A410" s="153" t="s">
        <v>1213</v>
      </c>
      <c r="B410" s="160">
        <v>13498</v>
      </c>
      <c r="C410" s="153" t="s">
        <v>1861</v>
      </c>
      <c r="D410" s="153" t="s">
        <v>1862</v>
      </c>
      <c r="E410" s="153" t="s">
        <v>309</v>
      </c>
      <c r="F410" s="153" t="s">
        <v>1863</v>
      </c>
      <c r="G410" s="153" t="s">
        <v>1864</v>
      </c>
      <c r="H410" s="153" t="s">
        <v>321</v>
      </c>
      <c r="I410" s="153" t="s">
        <v>754</v>
      </c>
      <c r="J410" s="153" t="s">
        <v>204</v>
      </c>
      <c r="K410" s="153" t="s">
        <v>204</v>
      </c>
      <c r="L410" s="153" t="s">
        <v>325</v>
      </c>
      <c r="M410" s="153" t="s">
        <v>340</v>
      </c>
      <c r="N410" s="153" t="s">
        <v>464</v>
      </c>
      <c r="O410" s="153" t="s">
        <v>339</v>
      </c>
      <c r="P410" s="153" t="s">
        <v>1538</v>
      </c>
      <c r="Q410" s="153" t="s">
        <v>413</v>
      </c>
      <c r="R410" s="153" t="s">
        <v>407</v>
      </c>
      <c r="S410" s="153" t="s">
        <v>1212</v>
      </c>
      <c r="T410" s="154">
        <v>5.3</v>
      </c>
      <c r="U410" s="153" t="s">
        <v>1865</v>
      </c>
      <c r="V410" s="155">
        <v>2.7439999999999999E-2</v>
      </c>
      <c r="W410" s="155">
        <v>3.0300000000000001E-2</v>
      </c>
      <c r="X410" s="153" t="s">
        <v>412</v>
      </c>
      <c r="Y410" s="153" t="s">
        <v>339</v>
      </c>
      <c r="Z410" s="154">
        <v>73534.52</v>
      </c>
      <c r="AA410" s="154">
        <v>1</v>
      </c>
      <c r="AB410" s="154">
        <v>97.92</v>
      </c>
      <c r="AD410" s="154">
        <v>72.004999999999995</v>
      </c>
      <c r="AG410" s="157" t="s">
        <v>15</v>
      </c>
      <c r="AH410" s="155">
        <v>6.0000000000000002E-5</v>
      </c>
      <c r="AI410" s="155">
        <f t="shared" si="6"/>
        <v>5.6518143140264494E-4</v>
      </c>
      <c r="AJ410" s="155">
        <v>9.0369981632852683E-5</v>
      </c>
    </row>
    <row r="411" spans="1:36" s="160" customFormat="1">
      <c r="A411" s="153" t="s">
        <v>1213</v>
      </c>
      <c r="B411" s="160">
        <v>13498</v>
      </c>
      <c r="C411" s="153" t="s">
        <v>2517</v>
      </c>
      <c r="D411" s="153" t="s">
        <v>2518</v>
      </c>
      <c r="E411" s="153" t="s">
        <v>309</v>
      </c>
      <c r="F411" s="153" t="s">
        <v>2519</v>
      </c>
      <c r="G411" s="153" t="s">
        <v>2520</v>
      </c>
      <c r="H411" s="153" t="s">
        <v>321</v>
      </c>
      <c r="I411" s="153" t="s">
        <v>951</v>
      </c>
      <c r="J411" s="153" t="s">
        <v>204</v>
      </c>
      <c r="K411" s="153" t="s">
        <v>204</v>
      </c>
      <c r="L411" s="153" t="s">
        <v>325</v>
      </c>
      <c r="M411" s="153" t="s">
        <v>340</v>
      </c>
      <c r="N411" s="153" t="s">
        <v>464</v>
      </c>
      <c r="O411" s="153" t="s">
        <v>339</v>
      </c>
      <c r="P411" s="153" t="s">
        <v>1211</v>
      </c>
      <c r="Q411" s="153" t="s">
        <v>415</v>
      </c>
      <c r="R411" s="153" t="s">
        <v>407</v>
      </c>
      <c r="S411" s="153" t="s">
        <v>1212</v>
      </c>
      <c r="T411" s="154">
        <v>1.94</v>
      </c>
      <c r="U411" s="153" t="s">
        <v>2521</v>
      </c>
      <c r="V411" s="155">
        <v>3.968E-2</v>
      </c>
      <c r="W411" s="155">
        <v>4.8599999999999997E-2</v>
      </c>
      <c r="X411" s="153" t="s">
        <v>412</v>
      </c>
      <c r="Y411" s="153" t="s">
        <v>339</v>
      </c>
      <c r="Z411" s="154">
        <v>63636.36</v>
      </c>
      <c r="AA411" s="154">
        <v>1</v>
      </c>
      <c r="AB411" s="154">
        <v>93.75</v>
      </c>
      <c r="AD411" s="154">
        <v>59.658999999999999</v>
      </c>
      <c r="AG411" s="157" t="s">
        <v>15</v>
      </c>
      <c r="AH411" s="155">
        <v>1.8000000000000001E-4</v>
      </c>
      <c r="AI411" s="155">
        <f t="shared" si="6"/>
        <v>4.6827524499757511E-4</v>
      </c>
      <c r="AJ411" s="155">
        <v>7.4875116092415226E-5</v>
      </c>
    </row>
    <row r="412" spans="1:36" s="160" customFormat="1">
      <c r="A412" s="153" t="s">
        <v>1213</v>
      </c>
      <c r="B412" s="160">
        <v>13498</v>
      </c>
      <c r="C412" s="153" t="s">
        <v>2361</v>
      </c>
      <c r="D412" s="153" t="s">
        <v>2362</v>
      </c>
      <c r="E412" s="153" t="s">
        <v>309</v>
      </c>
      <c r="F412" s="153" t="s">
        <v>2522</v>
      </c>
      <c r="G412" s="153" t="s">
        <v>2523</v>
      </c>
      <c r="H412" s="153" t="s">
        <v>321</v>
      </c>
      <c r="I412" s="153" t="s">
        <v>755</v>
      </c>
      <c r="J412" s="153" t="s">
        <v>204</v>
      </c>
      <c r="K412" s="153" t="s">
        <v>204</v>
      </c>
      <c r="L412" s="153" t="s">
        <v>325</v>
      </c>
      <c r="M412" s="153" t="s">
        <v>340</v>
      </c>
      <c r="N412" s="153" t="s">
        <v>446</v>
      </c>
      <c r="O412" s="153" t="s">
        <v>339</v>
      </c>
      <c r="P412" s="153" t="s">
        <v>1538</v>
      </c>
      <c r="Q412" s="153" t="s">
        <v>413</v>
      </c>
      <c r="R412" s="153" t="s">
        <v>407</v>
      </c>
      <c r="S412" s="153" t="s">
        <v>1212</v>
      </c>
      <c r="T412" s="154">
        <v>2.58</v>
      </c>
      <c r="U412" s="153" t="s">
        <v>1587</v>
      </c>
      <c r="V412" s="155">
        <v>5.3600000000000002E-2</v>
      </c>
      <c r="W412" s="155">
        <v>5.79E-2</v>
      </c>
      <c r="X412" s="153" t="s">
        <v>412</v>
      </c>
      <c r="Y412" s="153" t="s">
        <v>339</v>
      </c>
      <c r="Z412" s="154">
        <v>54695.72</v>
      </c>
      <c r="AA412" s="154">
        <v>1</v>
      </c>
      <c r="AB412" s="154">
        <v>104.36</v>
      </c>
      <c r="AD412" s="154">
        <v>57.08</v>
      </c>
      <c r="AG412" s="157" t="s">
        <v>15</v>
      </c>
      <c r="AH412" s="155">
        <v>4.4000000000000002E-4</v>
      </c>
      <c r="AI412" s="155">
        <f t="shared" si="6"/>
        <v>4.4803216588379938E-4</v>
      </c>
      <c r="AJ412" s="155">
        <v>7.1638338332105151E-5</v>
      </c>
    </row>
    <row r="413" spans="1:36" s="160" customFormat="1">
      <c r="A413" s="153" t="s">
        <v>1213</v>
      </c>
      <c r="B413" s="160">
        <v>13498</v>
      </c>
      <c r="C413" s="153" t="s">
        <v>1986</v>
      </c>
      <c r="D413" s="153" t="s">
        <v>1987</v>
      </c>
      <c r="E413" s="153" t="s">
        <v>309</v>
      </c>
      <c r="F413" s="153" t="s">
        <v>2524</v>
      </c>
      <c r="G413" s="153" t="s">
        <v>2525</v>
      </c>
      <c r="H413" s="153" t="s">
        <v>321</v>
      </c>
      <c r="I413" s="153" t="s">
        <v>754</v>
      </c>
      <c r="J413" s="153" t="s">
        <v>204</v>
      </c>
      <c r="K413" s="153" t="s">
        <v>204</v>
      </c>
      <c r="L413" s="153" t="s">
        <v>325</v>
      </c>
      <c r="M413" s="153" t="s">
        <v>340</v>
      </c>
      <c r="N413" s="153" t="s">
        <v>484</v>
      </c>
      <c r="O413" s="153" t="s">
        <v>339</v>
      </c>
      <c r="P413" s="153" t="s">
        <v>1538</v>
      </c>
      <c r="Q413" s="153" t="s">
        <v>413</v>
      </c>
      <c r="R413" s="153" t="s">
        <v>407</v>
      </c>
      <c r="S413" s="153" t="s">
        <v>1212</v>
      </c>
      <c r="T413" s="154">
        <v>3.52</v>
      </c>
      <c r="U413" s="153" t="s">
        <v>2102</v>
      </c>
      <c r="V413" s="155">
        <v>2.3980000000000001E-2</v>
      </c>
      <c r="W413" s="155">
        <v>2.64E-2</v>
      </c>
      <c r="X413" s="153" t="s">
        <v>412</v>
      </c>
      <c r="Y413" s="153" t="s">
        <v>339</v>
      </c>
      <c r="Z413" s="154">
        <v>50000</v>
      </c>
      <c r="AA413" s="154">
        <v>1</v>
      </c>
      <c r="AB413" s="154">
        <v>110.64</v>
      </c>
      <c r="AD413" s="154">
        <v>55.32</v>
      </c>
      <c r="AG413" s="157" t="s">
        <v>15</v>
      </c>
      <c r="AH413" s="155">
        <v>4.0000000000000003E-5</v>
      </c>
      <c r="AI413" s="155">
        <f t="shared" si="6"/>
        <v>4.3421757912914826E-4</v>
      </c>
      <c r="AJ413" s="155">
        <v>6.9429447731815994E-5</v>
      </c>
    </row>
    <row r="414" spans="1:36" s="160" customFormat="1">
      <c r="A414" s="153" t="s">
        <v>1213</v>
      </c>
      <c r="B414" s="160">
        <v>13498</v>
      </c>
      <c r="C414" s="153" t="s">
        <v>1973</v>
      </c>
      <c r="D414" s="153" t="s">
        <v>1974</v>
      </c>
      <c r="E414" s="153" t="s">
        <v>309</v>
      </c>
      <c r="F414" s="153" t="s">
        <v>2526</v>
      </c>
      <c r="G414" s="153" t="s">
        <v>2527</v>
      </c>
      <c r="H414" s="153" t="s">
        <v>321</v>
      </c>
      <c r="I414" s="153" t="s">
        <v>951</v>
      </c>
      <c r="J414" s="153" t="s">
        <v>204</v>
      </c>
      <c r="K414" s="153" t="s">
        <v>204</v>
      </c>
      <c r="L414" s="153" t="s">
        <v>325</v>
      </c>
      <c r="M414" s="153" t="s">
        <v>340</v>
      </c>
      <c r="N414" s="153" t="s">
        <v>464</v>
      </c>
      <c r="O414" s="153" t="s">
        <v>339</v>
      </c>
      <c r="P414" s="153" t="s">
        <v>1538</v>
      </c>
      <c r="Q414" s="153" t="s">
        <v>413</v>
      </c>
      <c r="R414" s="153" t="s">
        <v>407</v>
      </c>
      <c r="S414" s="153" t="s">
        <v>1212</v>
      </c>
      <c r="T414" s="154">
        <v>2.09</v>
      </c>
      <c r="U414" s="153" t="s">
        <v>1744</v>
      </c>
      <c r="V414" s="155">
        <v>3.2390000000000002E-2</v>
      </c>
      <c r="W414" s="155">
        <v>5.3400000000000003E-2</v>
      </c>
      <c r="X414" s="153" t="s">
        <v>412</v>
      </c>
      <c r="Y414" s="153" t="s">
        <v>339</v>
      </c>
      <c r="Z414" s="154">
        <v>53333.34</v>
      </c>
      <c r="AA414" s="154">
        <v>1</v>
      </c>
      <c r="AB414" s="154">
        <v>102.21</v>
      </c>
      <c r="AD414" s="154">
        <v>54.512</v>
      </c>
      <c r="AG414" s="157" t="s">
        <v>15</v>
      </c>
      <c r="AH414" s="155">
        <v>3.4000000000000002E-4</v>
      </c>
      <c r="AI414" s="155">
        <f t="shared" si="6"/>
        <v>4.2787542793724026E-4</v>
      </c>
      <c r="AJ414" s="155">
        <v>6.8415366138046884E-5</v>
      </c>
    </row>
    <row r="415" spans="1:36" s="160" customFormat="1">
      <c r="A415" s="153" t="s">
        <v>1213</v>
      </c>
      <c r="B415" s="160">
        <v>13498</v>
      </c>
      <c r="C415" s="153" t="s">
        <v>2391</v>
      </c>
      <c r="D415" s="153" t="s">
        <v>2392</v>
      </c>
      <c r="E415" s="153" t="s">
        <v>309</v>
      </c>
      <c r="F415" s="153" t="s">
        <v>2528</v>
      </c>
      <c r="G415" s="153" t="s">
        <v>2529</v>
      </c>
      <c r="H415" s="153" t="s">
        <v>321</v>
      </c>
      <c r="I415" s="153" t="s">
        <v>754</v>
      </c>
      <c r="J415" s="153" t="s">
        <v>204</v>
      </c>
      <c r="K415" s="153" t="s">
        <v>204</v>
      </c>
      <c r="L415" s="153" t="s">
        <v>325</v>
      </c>
      <c r="M415" s="153" t="s">
        <v>340</v>
      </c>
      <c r="N415" s="153" t="s">
        <v>464</v>
      </c>
      <c r="O415" s="153" t="s">
        <v>339</v>
      </c>
      <c r="P415" s="153" t="s">
        <v>1566</v>
      </c>
      <c r="Q415" s="153" t="s">
        <v>413</v>
      </c>
      <c r="R415" s="153" t="s">
        <v>407</v>
      </c>
      <c r="S415" s="153" t="s">
        <v>1212</v>
      </c>
      <c r="T415" s="154">
        <v>1.21</v>
      </c>
      <c r="U415" s="153" t="s">
        <v>2530</v>
      </c>
      <c r="V415" s="155">
        <v>2.436E-2</v>
      </c>
      <c r="W415" s="155">
        <v>2.6499999999999999E-2</v>
      </c>
      <c r="X415" s="153" t="s">
        <v>412</v>
      </c>
      <c r="Y415" s="153" t="s">
        <v>339</v>
      </c>
      <c r="Z415" s="154">
        <v>45680</v>
      </c>
      <c r="AA415" s="154">
        <v>1</v>
      </c>
      <c r="AB415" s="154">
        <v>117.11</v>
      </c>
      <c r="AD415" s="154">
        <v>53.496000000000002</v>
      </c>
      <c r="AG415" s="157" t="s">
        <v>15</v>
      </c>
      <c r="AH415" s="155">
        <v>2.0000000000000002E-5</v>
      </c>
      <c r="AI415" s="155">
        <f t="shared" si="6"/>
        <v>4.199006437652371E-4</v>
      </c>
      <c r="AJ415" s="155">
        <v>6.7140233836970875E-5</v>
      </c>
    </row>
    <row r="416" spans="1:36" s="160" customFormat="1">
      <c r="A416" s="153" t="s">
        <v>1213</v>
      </c>
      <c r="B416" s="160">
        <v>13498</v>
      </c>
      <c r="C416" s="153" t="s">
        <v>1512</v>
      </c>
      <c r="D416" s="153" t="s">
        <v>1513</v>
      </c>
      <c r="E416" s="153" t="s">
        <v>309</v>
      </c>
      <c r="F416" s="153" t="s">
        <v>2531</v>
      </c>
      <c r="G416" s="153" t="s">
        <v>2532</v>
      </c>
      <c r="H416" s="153" t="s">
        <v>321</v>
      </c>
      <c r="I416" s="153" t="s">
        <v>754</v>
      </c>
      <c r="J416" s="153" t="s">
        <v>204</v>
      </c>
      <c r="K416" s="153" t="s">
        <v>204</v>
      </c>
      <c r="L416" s="153" t="s">
        <v>325</v>
      </c>
      <c r="M416" s="153" t="s">
        <v>340</v>
      </c>
      <c r="N416" s="153" t="s">
        <v>448</v>
      </c>
      <c r="O416" s="153" t="s">
        <v>339</v>
      </c>
      <c r="P416" s="153" t="s">
        <v>1215</v>
      </c>
      <c r="Q416" s="153" t="s">
        <v>413</v>
      </c>
      <c r="R416" s="153" t="s">
        <v>407</v>
      </c>
      <c r="S416" s="153" t="s">
        <v>1212</v>
      </c>
      <c r="T416" s="154">
        <v>3.48</v>
      </c>
      <c r="U416" s="153" t="s">
        <v>2533</v>
      </c>
      <c r="V416" s="155">
        <v>1.847E-2</v>
      </c>
      <c r="W416" s="155">
        <v>2.4500000000000001E-2</v>
      </c>
      <c r="X416" s="153" t="s">
        <v>412</v>
      </c>
      <c r="Y416" s="153" t="s">
        <v>339</v>
      </c>
      <c r="Z416" s="154">
        <v>49385.51</v>
      </c>
      <c r="AA416" s="154">
        <v>1</v>
      </c>
      <c r="AB416" s="154">
        <v>105.53</v>
      </c>
      <c r="AD416" s="154">
        <v>52.116999999999997</v>
      </c>
      <c r="AG416" s="157" t="s">
        <v>15</v>
      </c>
      <c r="AH416" s="155">
        <v>5.0000000000000002E-5</v>
      </c>
      <c r="AI416" s="155">
        <f t="shared" si="6"/>
        <v>4.0907660107508708E-4</v>
      </c>
      <c r="AJ416" s="155">
        <v>6.5409517849585218E-5</v>
      </c>
    </row>
    <row r="417" spans="1:36" s="160" customFormat="1">
      <c r="A417" s="153" t="s">
        <v>1213</v>
      </c>
      <c r="B417" s="160">
        <v>13498</v>
      </c>
      <c r="C417" s="153" t="s">
        <v>1546</v>
      </c>
      <c r="D417" s="153" t="s">
        <v>1547</v>
      </c>
      <c r="E417" s="153" t="s">
        <v>309</v>
      </c>
      <c r="F417" s="153" t="s">
        <v>1548</v>
      </c>
      <c r="G417" s="153" t="s">
        <v>1549</v>
      </c>
      <c r="H417" s="153" t="s">
        <v>321</v>
      </c>
      <c r="I417" s="153" t="s">
        <v>754</v>
      </c>
      <c r="J417" s="153" t="s">
        <v>204</v>
      </c>
      <c r="K417" s="153" t="s">
        <v>204</v>
      </c>
      <c r="L417" s="153" t="s">
        <v>325</v>
      </c>
      <c r="M417" s="153" t="s">
        <v>340</v>
      </c>
      <c r="N417" s="153" t="s">
        <v>443</v>
      </c>
      <c r="O417" s="153" t="s">
        <v>339</v>
      </c>
      <c r="P417" s="153" t="s">
        <v>1544</v>
      </c>
      <c r="Q417" s="153" t="s">
        <v>415</v>
      </c>
      <c r="R417" s="153" t="s">
        <v>407</v>
      </c>
      <c r="S417" s="153" t="s">
        <v>1212</v>
      </c>
      <c r="T417" s="154">
        <v>1.66</v>
      </c>
      <c r="U417" s="153" t="s">
        <v>1343</v>
      </c>
      <c r="V417" s="155">
        <v>2.937E-2</v>
      </c>
      <c r="W417" s="155">
        <v>3.2199999999999999E-2</v>
      </c>
      <c r="X417" s="153" t="s">
        <v>412</v>
      </c>
      <c r="Y417" s="153" t="s">
        <v>339</v>
      </c>
      <c r="Z417" s="154">
        <v>46588</v>
      </c>
      <c r="AA417" s="154">
        <v>1</v>
      </c>
      <c r="AB417" s="154">
        <v>107.7</v>
      </c>
      <c r="AD417" s="154">
        <v>50.174999999999997</v>
      </c>
      <c r="AG417" s="157" t="s">
        <v>15</v>
      </c>
      <c r="AH417" s="155">
        <v>4.0000000000000003E-5</v>
      </c>
      <c r="AI417" s="155">
        <f t="shared" si="6"/>
        <v>3.938334604628527E-4</v>
      </c>
      <c r="AJ417" s="155">
        <v>6.2972207880402528E-5</v>
      </c>
    </row>
    <row r="418" spans="1:36" s="160" customFormat="1">
      <c r="A418" s="153" t="s">
        <v>1213</v>
      </c>
      <c r="B418" s="160">
        <v>13498</v>
      </c>
      <c r="C418" s="153" t="s">
        <v>1573</v>
      </c>
      <c r="D418" s="153" t="s">
        <v>1574</v>
      </c>
      <c r="E418" s="153" t="s">
        <v>309</v>
      </c>
      <c r="F418" s="153" t="s">
        <v>2534</v>
      </c>
      <c r="G418" s="153" t="s">
        <v>2535</v>
      </c>
      <c r="H418" s="153" t="s">
        <v>321</v>
      </c>
      <c r="I418" s="153" t="s">
        <v>951</v>
      </c>
      <c r="J418" s="153" t="s">
        <v>204</v>
      </c>
      <c r="K418" s="153" t="s">
        <v>204</v>
      </c>
      <c r="L418" s="153" t="s">
        <v>325</v>
      </c>
      <c r="M418" s="153" t="s">
        <v>340</v>
      </c>
      <c r="N418" s="153" t="s">
        <v>448</v>
      </c>
      <c r="O418" s="153" t="s">
        <v>339</v>
      </c>
      <c r="P418" s="153" t="s">
        <v>1215</v>
      </c>
      <c r="Q418" s="153" t="s">
        <v>413</v>
      </c>
      <c r="R418" s="153" t="s">
        <v>407</v>
      </c>
      <c r="S418" s="153" t="s">
        <v>1212</v>
      </c>
      <c r="T418" s="154">
        <v>0.41</v>
      </c>
      <c r="U418" s="153" t="s">
        <v>1392</v>
      </c>
      <c r="V418" s="155">
        <v>2.427E-2</v>
      </c>
      <c r="W418" s="155">
        <v>4.4299999999999999E-2</v>
      </c>
      <c r="X418" s="153" t="s">
        <v>412</v>
      </c>
      <c r="Y418" s="153" t="s">
        <v>339</v>
      </c>
      <c r="Z418" s="154">
        <v>50000</v>
      </c>
      <c r="AA418" s="154">
        <v>1</v>
      </c>
      <c r="AB418" s="154">
        <v>100.22</v>
      </c>
      <c r="AD418" s="154">
        <v>50.11</v>
      </c>
      <c r="AG418" s="157" t="s">
        <v>15</v>
      </c>
      <c r="AH418" s="155">
        <v>6.0000000000000002E-5</v>
      </c>
      <c r="AI418" s="155">
        <f t="shared" si="6"/>
        <v>3.9332326265657303E-4</v>
      </c>
      <c r="AJ418" s="155">
        <v>6.2890629534369122E-5</v>
      </c>
    </row>
    <row r="419" spans="1:36" s="160" customFormat="1">
      <c r="A419" s="153" t="s">
        <v>1213</v>
      </c>
      <c r="B419" s="160">
        <v>13498</v>
      </c>
      <c r="C419" s="153" t="s">
        <v>1573</v>
      </c>
      <c r="D419" s="153" t="s">
        <v>1574</v>
      </c>
      <c r="E419" s="153" t="s">
        <v>309</v>
      </c>
      <c r="F419" s="153" t="s">
        <v>2536</v>
      </c>
      <c r="G419" s="153" t="s">
        <v>2537</v>
      </c>
      <c r="H419" s="153" t="s">
        <v>321</v>
      </c>
      <c r="I419" s="153" t="s">
        <v>754</v>
      </c>
      <c r="J419" s="153" t="s">
        <v>204</v>
      </c>
      <c r="K419" s="153" t="s">
        <v>204</v>
      </c>
      <c r="L419" s="153" t="s">
        <v>325</v>
      </c>
      <c r="M419" s="153" t="s">
        <v>340</v>
      </c>
      <c r="N419" s="153" t="s">
        <v>448</v>
      </c>
      <c r="O419" s="153" t="s">
        <v>339</v>
      </c>
      <c r="P419" s="153" t="s">
        <v>1215</v>
      </c>
      <c r="Q419" s="153" t="s">
        <v>413</v>
      </c>
      <c r="R419" s="153" t="s">
        <v>407</v>
      </c>
      <c r="S419" s="153" t="s">
        <v>1212</v>
      </c>
      <c r="T419" s="154">
        <v>5.14</v>
      </c>
      <c r="U419" s="153" t="s">
        <v>2538</v>
      </c>
      <c r="V419" s="155">
        <v>2.521E-2</v>
      </c>
      <c r="W419" s="155">
        <v>2.6200000000000001E-2</v>
      </c>
      <c r="X419" s="153" t="s">
        <v>412</v>
      </c>
      <c r="Y419" s="153" t="s">
        <v>339</v>
      </c>
      <c r="Z419" s="154">
        <v>50000</v>
      </c>
      <c r="AA419" s="154">
        <v>1</v>
      </c>
      <c r="AB419" s="154">
        <v>99.1</v>
      </c>
      <c r="AD419" s="154">
        <v>49.55</v>
      </c>
      <c r="AG419" s="157" t="s">
        <v>15</v>
      </c>
      <c r="AH419" s="155">
        <v>2.0000000000000002E-5</v>
      </c>
      <c r="AI419" s="155">
        <f t="shared" si="6"/>
        <v>3.8892771232554763E-4</v>
      </c>
      <c r="AJ419" s="155">
        <v>6.2187800707004382E-5</v>
      </c>
    </row>
    <row r="420" spans="1:36" s="160" customFormat="1">
      <c r="A420" s="153" t="s">
        <v>1213</v>
      </c>
      <c r="B420" s="160">
        <v>13498</v>
      </c>
      <c r="C420" s="153" t="s">
        <v>2385</v>
      </c>
      <c r="D420" s="153" t="s">
        <v>2386</v>
      </c>
      <c r="E420" s="153" t="s">
        <v>309</v>
      </c>
      <c r="F420" s="153" t="s">
        <v>2539</v>
      </c>
      <c r="G420" s="153" t="s">
        <v>2540</v>
      </c>
      <c r="H420" s="153" t="s">
        <v>321</v>
      </c>
      <c r="I420" s="153" t="s">
        <v>951</v>
      </c>
      <c r="J420" s="153" t="s">
        <v>204</v>
      </c>
      <c r="K420" s="153" t="s">
        <v>204</v>
      </c>
      <c r="L420" s="153" t="s">
        <v>325</v>
      </c>
      <c r="M420" s="153" t="s">
        <v>340</v>
      </c>
      <c r="N420" s="153" t="s">
        <v>464</v>
      </c>
      <c r="O420" s="153" t="s">
        <v>339</v>
      </c>
      <c r="P420" s="153" t="s">
        <v>1211</v>
      </c>
      <c r="Q420" s="153" t="s">
        <v>415</v>
      </c>
      <c r="R420" s="153" t="s">
        <v>407</v>
      </c>
      <c r="S420" s="153" t="s">
        <v>1212</v>
      </c>
      <c r="T420" s="154">
        <v>0.25</v>
      </c>
      <c r="U420" s="153" t="s">
        <v>2541</v>
      </c>
      <c r="V420" s="155">
        <v>1.7000000000000001E-2</v>
      </c>
      <c r="W420" s="155">
        <v>4.5199999999999997E-2</v>
      </c>
      <c r="X420" s="153" t="s">
        <v>412</v>
      </c>
      <c r="Y420" s="153" t="s">
        <v>339</v>
      </c>
      <c r="Z420" s="154">
        <v>45000</v>
      </c>
      <c r="AA420" s="154">
        <v>1</v>
      </c>
      <c r="AB420" s="154">
        <v>99.71</v>
      </c>
      <c r="AD420" s="154">
        <v>44.87</v>
      </c>
      <c r="AG420" s="157" t="s">
        <v>15</v>
      </c>
      <c r="AH420" s="155">
        <v>4.2999999999999999E-4</v>
      </c>
      <c r="AI420" s="155">
        <f t="shared" si="6"/>
        <v>3.5219347027340712E-4</v>
      </c>
      <c r="AJ420" s="155">
        <v>5.6314159792599125E-5</v>
      </c>
    </row>
    <row r="421" spans="1:36" s="160" customFormat="1">
      <c r="A421" s="153" t="s">
        <v>1213</v>
      </c>
      <c r="B421" s="160">
        <v>13498</v>
      </c>
      <c r="C421" s="153" t="s">
        <v>2542</v>
      </c>
      <c r="D421" s="153" t="s">
        <v>2543</v>
      </c>
      <c r="E421" s="153" t="s">
        <v>309</v>
      </c>
      <c r="F421" s="153" t="s">
        <v>2544</v>
      </c>
      <c r="G421" s="153" t="s">
        <v>2545</v>
      </c>
      <c r="H421" s="153" t="s">
        <v>321</v>
      </c>
      <c r="I421" s="153" t="s">
        <v>951</v>
      </c>
      <c r="J421" s="153" t="s">
        <v>204</v>
      </c>
      <c r="K421" s="153" t="s">
        <v>204</v>
      </c>
      <c r="L421" s="153" t="s">
        <v>325</v>
      </c>
      <c r="M421" s="153" t="s">
        <v>340</v>
      </c>
      <c r="N421" s="153" t="s">
        <v>464</v>
      </c>
      <c r="O421" s="153" t="s">
        <v>339</v>
      </c>
      <c r="P421" s="153" t="s">
        <v>2546</v>
      </c>
      <c r="Q421" s="153" t="s">
        <v>413</v>
      </c>
      <c r="R421" s="153" t="s">
        <v>407</v>
      </c>
      <c r="S421" s="153" t="s">
        <v>1212</v>
      </c>
      <c r="T421" s="154">
        <v>1.18</v>
      </c>
      <c r="U421" s="153" t="s">
        <v>2547</v>
      </c>
      <c r="V421" s="155">
        <v>4.8000000000000001E-2</v>
      </c>
      <c r="W421" s="155">
        <v>7.5800000000000006E-2</v>
      </c>
      <c r="X421" s="153" t="s">
        <v>412</v>
      </c>
      <c r="Y421" s="153" t="s">
        <v>339</v>
      </c>
      <c r="Z421" s="154">
        <v>45014.400000000001</v>
      </c>
      <c r="AA421" s="154">
        <v>1</v>
      </c>
      <c r="AB421" s="154">
        <v>98.5</v>
      </c>
      <c r="AD421" s="154">
        <v>44.338999999999999</v>
      </c>
      <c r="AG421" s="157" t="s">
        <v>15</v>
      </c>
      <c r="AH421" s="155">
        <v>5.0000000000000002E-5</v>
      </c>
      <c r="AI421" s="155">
        <f t="shared" si="6"/>
        <v>3.4802554665595273E-4</v>
      </c>
      <c r="AJ421" s="155">
        <v>5.5647727458080073E-5</v>
      </c>
    </row>
    <row r="422" spans="1:36" s="160" customFormat="1">
      <c r="A422" s="153" t="s">
        <v>1213</v>
      </c>
      <c r="B422" s="160">
        <v>13498</v>
      </c>
      <c r="C422" s="153" t="s">
        <v>1674</v>
      </c>
      <c r="D422" s="153" t="s">
        <v>1675</v>
      </c>
      <c r="E422" s="153" t="s">
        <v>309</v>
      </c>
      <c r="F422" s="153" t="s">
        <v>2548</v>
      </c>
      <c r="G422" s="153" t="s">
        <v>2549</v>
      </c>
      <c r="H422" s="153" t="s">
        <v>321</v>
      </c>
      <c r="I422" s="153" t="s">
        <v>754</v>
      </c>
      <c r="J422" s="153" t="s">
        <v>204</v>
      </c>
      <c r="K422" s="153" t="s">
        <v>204</v>
      </c>
      <c r="L422" s="153" t="s">
        <v>325</v>
      </c>
      <c r="M422" s="153" t="s">
        <v>340</v>
      </c>
      <c r="N422" s="153" t="s">
        <v>464</v>
      </c>
      <c r="O422" s="153" t="s">
        <v>339</v>
      </c>
      <c r="P422" s="153" t="s">
        <v>1982</v>
      </c>
      <c r="Q422" s="153" t="s">
        <v>415</v>
      </c>
      <c r="R422" s="153" t="s">
        <v>407</v>
      </c>
      <c r="S422" s="153" t="s">
        <v>1212</v>
      </c>
      <c r="T422" s="154">
        <v>2.75</v>
      </c>
      <c r="U422" s="153" t="s">
        <v>2550</v>
      </c>
      <c r="V422" s="155">
        <v>2.554E-2</v>
      </c>
      <c r="W422" s="155">
        <v>2.7400000000000001E-2</v>
      </c>
      <c r="X422" s="153" t="s">
        <v>412</v>
      </c>
      <c r="Y422" s="153" t="s">
        <v>339</v>
      </c>
      <c r="Z422" s="154">
        <v>36363.64</v>
      </c>
      <c r="AA422" s="154">
        <v>1</v>
      </c>
      <c r="AB422" s="154">
        <v>117.34</v>
      </c>
      <c r="AD422" s="154">
        <v>42.668999999999997</v>
      </c>
      <c r="AG422" s="157" t="s">
        <v>15</v>
      </c>
      <c r="AH422" s="155">
        <v>6.0000000000000002E-5</v>
      </c>
      <c r="AI422" s="155">
        <f t="shared" si="6"/>
        <v>3.3491738763307349E-4</v>
      </c>
      <c r="AJ422" s="155">
        <v>5.3551791490760244E-5</v>
      </c>
    </row>
    <row r="423" spans="1:36" s="160" customFormat="1">
      <c r="A423" s="153" t="s">
        <v>1213</v>
      </c>
      <c r="B423" s="160">
        <v>13498</v>
      </c>
      <c r="C423" s="153" t="s">
        <v>2428</v>
      </c>
      <c r="D423" s="153" t="s">
        <v>2429</v>
      </c>
      <c r="E423" s="153" t="s">
        <v>309</v>
      </c>
      <c r="F423" s="153" t="s">
        <v>2551</v>
      </c>
      <c r="G423" s="153" t="s">
        <v>2552</v>
      </c>
      <c r="H423" s="153" t="s">
        <v>321</v>
      </c>
      <c r="I423" s="153" t="s">
        <v>951</v>
      </c>
      <c r="J423" s="153" t="s">
        <v>204</v>
      </c>
      <c r="K423" s="153" t="s">
        <v>204</v>
      </c>
      <c r="L423" s="153" t="s">
        <v>325</v>
      </c>
      <c r="M423" s="153" t="s">
        <v>340</v>
      </c>
      <c r="N423" s="153" t="s">
        <v>454</v>
      </c>
      <c r="O423" s="153" t="s">
        <v>339</v>
      </c>
      <c r="P423" s="153" t="s">
        <v>1538</v>
      </c>
      <c r="Q423" s="153" t="s">
        <v>413</v>
      </c>
      <c r="R423" s="153" t="s">
        <v>407</v>
      </c>
      <c r="S423" s="153" t="s">
        <v>1212</v>
      </c>
      <c r="T423" s="154">
        <v>3.24</v>
      </c>
      <c r="U423" s="153" t="s">
        <v>2553</v>
      </c>
      <c r="V423" s="155">
        <v>4.5629999999999997E-2</v>
      </c>
      <c r="W423" s="155">
        <v>5.6399999999999999E-2</v>
      </c>
      <c r="X423" s="153" t="s">
        <v>412</v>
      </c>
      <c r="Y423" s="153" t="s">
        <v>339</v>
      </c>
      <c r="Z423" s="154">
        <v>45757.58</v>
      </c>
      <c r="AA423" s="154">
        <v>1</v>
      </c>
      <c r="AB423" s="154">
        <v>90.78</v>
      </c>
      <c r="AD423" s="154">
        <v>41.539000000000001</v>
      </c>
      <c r="AG423" s="157" t="s">
        <v>15</v>
      </c>
      <c r="AH423" s="155">
        <v>8.0000000000000007E-5</v>
      </c>
      <c r="AI423" s="155">
        <f t="shared" si="6"/>
        <v>3.260477950008259E-4</v>
      </c>
      <c r="AJ423" s="155">
        <v>5.2133583321256414E-5</v>
      </c>
    </row>
    <row r="424" spans="1:36" s="160" customFormat="1">
      <c r="A424" s="153" t="s">
        <v>1213</v>
      </c>
      <c r="B424" s="160">
        <v>13498</v>
      </c>
      <c r="C424" s="153" t="s">
        <v>1546</v>
      </c>
      <c r="D424" s="153" t="s">
        <v>1547</v>
      </c>
      <c r="E424" s="153" t="s">
        <v>309</v>
      </c>
      <c r="F424" s="153" t="s">
        <v>1834</v>
      </c>
      <c r="G424" s="153" t="s">
        <v>1835</v>
      </c>
      <c r="H424" s="153" t="s">
        <v>321</v>
      </c>
      <c r="I424" s="153" t="s">
        <v>754</v>
      </c>
      <c r="J424" s="153" t="s">
        <v>204</v>
      </c>
      <c r="K424" s="153" t="s">
        <v>204</v>
      </c>
      <c r="L424" s="153" t="s">
        <v>325</v>
      </c>
      <c r="M424" s="153" t="s">
        <v>340</v>
      </c>
      <c r="N424" s="153" t="s">
        <v>443</v>
      </c>
      <c r="O424" s="153" t="s">
        <v>339</v>
      </c>
      <c r="P424" s="153" t="s">
        <v>1544</v>
      </c>
      <c r="Q424" s="153" t="s">
        <v>415</v>
      </c>
      <c r="R424" s="153" t="s">
        <v>407</v>
      </c>
      <c r="S424" s="153" t="s">
        <v>1212</v>
      </c>
      <c r="T424" s="154">
        <v>0.66</v>
      </c>
      <c r="U424" s="153" t="s">
        <v>1836</v>
      </c>
      <c r="V424" s="155">
        <v>1.223E-2</v>
      </c>
      <c r="W424" s="155">
        <v>2.7099999999999999E-2</v>
      </c>
      <c r="X424" s="153" t="s">
        <v>412</v>
      </c>
      <c r="Y424" s="153" t="s">
        <v>339</v>
      </c>
      <c r="Z424" s="154">
        <v>36000</v>
      </c>
      <c r="AA424" s="154">
        <v>1</v>
      </c>
      <c r="AB424" s="154">
        <v>113.12</v>
      </c>
      <c r="AD424" s="154">
        <v>40.722999999999999</v>
      </c>
      <c r="AG424" s="157" t="s">
        <v>15</v>
      </c>
      <c r="AH424" s="155">
        <v>1.2E-4</v>
      </c>
      <c r="AI424" s="155">
        <f t="shared" si="6"/>
        <v>3.1964285023276036E-4</v>
      </c>
      <c r="AJ424" s="155">
        <v>5.1109461315667803E-5</v>
      </c>
    </row>
    <row r="425" spans="1:36" s="160" customFormat="1">
      <c r="A425" s="153" t="s">
        <v>1213</v>
      </c>
      <c r="B425" s="160">
        <v>13498</v>
      </c>
      <c r="C425" s="153" t="s">
        <v>2306</v>
      </c>
      <c r="D425" s="153" t="s">
        <v>2307</v>
      </c>
      <c r="E425" s="153" t="s">
        <v>309</v>
      </c>
      <c r="F425" s="153" t="s">
        <v>2554</v>
      </c>
      <c r="G425" s="153" t="s">
        <v>2555</v>
      </c>
      <c r="H425" s="153" t="s">
        <v>321</v>
      </c>
      <c r="I425" s="153" t="s">
        <v>951</v>
      </c>
      <c r="J425" s="153" t="s">
        <v>204</v>
      </c>
      <c r="K425" s="153" t="s">
        <v>204</v>
      </c>
      <c r="L425" s="153" t="s">
        <v>325</v>
      </c>
      <c r="M425" s="153" t="s">
        <v>340</v>
      </c>
      <c r="N425" s="153" t="s">
        <v>445</v>
      </c>
      <c r="O425" s="153" t="s">
        <v>339</v>
      </c>
      <c r="P425" s="153" t="s">
        <v>1544</v>
      </c>
      <c r="Q425" s="153" t="s">
        <v>415</v>
      </c>
      <c r="R425" s="153" t="s">
        <v>407</v>
      </c>
      <c r="S425" s="153" t="s">
        <v>1212</v>
      </c>
      <c r="T425" s="154">
        <v>1.22</v>
      </c>
      <c r="U425" s="153" t="s">
        <v>1777</v>
      </c>
      <c r="V425" s="155">
        <v>5.8939999999999999E-2</v>
      </c>
      <c r="W425" s="155">
        <v>5.5399999999999998E-2</v>
      </c>
      <c r="X425" s="153" t="s">
        <v>412</v>
      </c>
      <c r="Y425" s="153" t="s">
        <v>339</v>
      </c>
      <c r="Z425" s="154">
        <v>40000</v>
      </c>
      <c r="AA425" s="154">
        <v>1</v>
      </c>
      <c r="AB425" s="154">
        <v>98.54</v>
      </c>
      <c r="AD425" s="154">
        <v>39.415999999999997</v>
      </c>
      <c r="AG425" s="157" t="s">
        <v>15</v>
      </c>
      <c r="AH425" s="155">
        <v>3.0000000000000001E-5</v>
      </c>
      <c r="AI425" s="155">
        <f t="shared" si="6"/>
        <v>3.0938394972802793E-4</v>
      </c>
      <c r="AJ425" s="155">
        <v>4.9469109034657615E-5</v>
      </c>
    </row>
    <row r="426" spans="1:36" s="160" customFormat="1">
      <c r="A426" s="153" t="s">
        <v>1213</v>
      </c>
      <c r="B426" s="160">
        <v>13498</v>
      </c>
      <c r="C426" s="153" t="s">
        <v>2542</v>
      </c>
      <c r="D426" s="153" t="s">
        <v>2543</v>
      </c>
      <c r="E426" s="153" t="s">
        <v>309</v>
      </c>
      <c r="F426" s="153" t="s">
        <v>2556</v>
      </c>
      <c r="G426" s="153" t="s">
        <v>2557</v>
      </c>
      <c r="H426" s="153" t="s">
        <v>321</v>
      </c>
      <c r="I426" s="153" t="s">
        <v>754</v>
      </c>
      <c r="J426" s="153" t="s">
        <v>204</v>
      </c>
      <c r="K426" s="153" t="s">
        <v>204</v>
      </c>
      <c r="L426" s="153" t="s">
        <v>325</v>
      </c>
      <c r="M426" s="153" t="s">
        <v>340</v>
      </c>
      <c r="N426" s="153" t="s">
        <v>464</v>
      </c>
      <c r="O426" s="153" t="s">
        <v>339</v>
      </c>
      <c r="P426" s="153" t="s">
        <v>2546</v>
      </c>
      <c r="Q426" s="153" t="s">
        <v>413</v>
      </c>
      <c r="R426" s="153" t="s">
        <v>407</v>
      </c>
      <c r="S426" s="153" t="s">
        <v>1212</v>
      </c>
      <c r="T426" s="154">
        <v>0.73</v>
      </c>
      <c r="U426" s="153" t="s">
        <v>1777</v>
      </c>
      <c r="V426" s="155">
        <v>7.2040000000000007E-2</v>
      </c>
      <c r="W426" s="155">
        <v>3.5900000000000001E-2</v>
      </c>
      <c r="X426" s="153" t="s">
        <v>412</v>
      </c>
      <c r="Y426" s="153" t="s">
        <v>339</v>
      </c>
      <c r="Z426" s="154">
        <v>26666.67</v>
      </c>
      <c r="AA426" s="154">
        <v>1</v>
      </c>
      <c r="AB426" s="154">
        <v>145.86000000000001</v>
      </c>
      <c r="AD426" s="154">
        <v>38.896000000000001</v>
      </c>
      <c r="AG426" s="157" t="s">
        <v>15</v>
      </c>
      <c r="AH426" s="155">
        <v>6.9999999999999994E-5</v>
      </c>
      <c r="AI426" s="155">
        <f t="shared" si="6"/>
        <v>3.0530236727779013E-4</v>
      </c>
      <c r="AJ426" s="155">
        <v>4.8816482266390364E-5</v>
      </c>
    </row>
    <row r="427" spans="1:36" s="160" customFormat="1">
      <c r="A427" s="153" t="s">
        <v>1213</v>
      </c>
      <c r="B427" s="160">
        <v>13498</v>
      </c>
      <c r="C427" s="153" t="s">
        <v>2558</v>
      </c>
      <c r="D427" s="153" t="s">
        <v>2559</v>
      </c>
      <c r="E427" s="153" t="s">
        <v>309</v>
      </c>
      <c r="F427" s="153" t="s">
        <v>2560</v>
      </c>
      <c r="G427" s="153" t="s">
        <v>2561</v>
      </c>
      <c r="H427" s="153" t="s">
        <v>321</v>
      </c>
      <c r="I427" s="153" t="s">
        <v>951</v>
      </c>
      <c r="J427" s="153" t="s">
        <v>204</v>
      </c>
      <c r="K427" s="153" t="s">
        <v>204</v>
      </c>
      <c r="L427" s="153" t="s">
        <v>325</v>
      </c>
      <c r="M427" s="153" t="s">
        <v>340</v>
      </c>
      <c r="N427" s="153" t="s">
        <v>464</v>
      </c>
      <c r="O427" s="153" t="s">
        <v>339</v>
      </c>
      <c r="P427" s="153" t="s">
        <v>1614</v>
      </c>
      <c r="Q427" s="153" t="s">
        <v>415</v>
      </c>
      <c r="R427" s="153" t="s">
        <v>407</v>
      </c>
      <c r="S427" s="153" t="s">
        <v>1212</v>
      </c>
      <c r="T427" s="154">
        <v>5.31</v>
      </c>
      <c r="U427" s="153" t="s">
        <v>2114</v>
      </c>
      <c r="V427" s="155">
        <v>5.5530000000000003E-2</v>
      </c>
      <c r="W427" s="155">
        <v>6.2E-2</v>
      </c>
      <c r="X427" s="153" t="s">
        <v>412</v>
      </c>
      <c r="Y427" s="153" t="s">
        <v>339</v>
      </c>
      <c r="Z427" s="154">
        <v>36115</v>
      </c>
      <c r="AA427" s="154">
        <v>1</v>
      </c>
      <c r="AB427" s="154">
        <v>98.13</v>
      </c>
      <c r="AD427" s="154">
        <v>35.44</v>
      </c>
      <c r="AG427" s="157" t="s">
        <v>15</v>
      </c>
      <c r="AH427" s="155">
        <v>1.2E-4</v>
      </c>
      <c r="AI427" s="155">
        <f t="shared" si="6"/>
        <v>2.7817554237774788E-4</v>
      </c>
      <c r="AJ427" s="155">
        <v>4.4479024360368017E-5</v>
      </c>
    </row>
    <row r="428" spans="1:36" s="160" customFormat="1">
      <c r="A428" s="153" t="s">
        <v>1213</v>
      </c>
      <c r="B428" s="160">
        <v>13498</v>
      </c>
      <c r="C428" s="153" t="s">
        <v>2298</v>
      </c>
      <c r="D428" s="153" t="s">
        <v>2299</v>
      </c>
      <c r="E428" s="153" t="s">
        <v>309</v>
      </c>
      <c r="F428" s="153" t="s">
        <v>2562</v>
      </c>
      <c r="G428" s="153" t="s">
        <v>2563</v>
      </c>
      <c r="H428" s="153" t="s">
        <v>321</v>
      </c>
      <c r="I428" s="153" t="s">
        <v>951</v>
      </c>
      <c r="J428" s="153" t="s">
        <v>204</v>
      </c>
      <c r="K428" s="153" t="s">
        <v>204</v>
      </c>
      <c r="L428" s="153" t="s">
        <v>325</v>
      </c>
      <c r="M428" s="153" t="s">
        <v>340</v>
      </c>
      <c r="N428" s="153" t="s">
        <v>462</v>
      </c>
      <c r="O428" s="153" t="s">
        <v>339</v>
      </c>
      <c r="P428" s="153" t="s">
        <v>1566</v>
      </c>
      <c r="Q428" s="153" t="s">
        <v>413</v>
      </c>
      <c r="R428" s="153" t="s">
        <v>407</v>
      </c>
      <c r="S428" s="153" t="s">
        <v>1212</v>
      </c>
      <c r="T428" s="154">
        <v>1.1499999999999999</v>
      </c>
      <c r="U428" s="153" t="s">
        <v>2232</v>
      </c>
      <c r="V428" s="155">
        <v>2.988E-2</v>
      </c>
      <c r="W428" s="155">
        <v>5.5399999999999998E-2</v>
      </c>
      <c r="X428" s="153" t="s">
        <v>412</v>
      </c>
      <c r="Y428" s="153" t="s">
        <v>339</v>
      </c>
      <c r="Z428" s="154">
        <v>34382.449999999997</v>
      </c>
      <c r="AA428" s="154">
        <v>1</v>
      </c>
      <c r="AB428" s="154">
        <v>97.21</v>
      </c>
      <c r="AD428" s="154">
        <v>33.423000000000002</v>
      </c>
      <c r="AG428" s="157" t="s">
        <v>15</v>
      </c>
      <c r="AH428" s="155">
        <v>1.9000000000000001E-4</v>
      </c>
      <c r="AI428" s="155">
        <f t="shared" si="6"/>
        <v>2.6234371198903691E-4</v>
      </c>
      <c r="AJ428" s="155">
        <v>4.1947585530377551E-5</v>
      </c>
    </row>
    <row r="429" spans="1:36" s="160" customFormat="1">
      <c r="A429" s="153" t="s">
        <v>1213</v>
      </c>
      <c r="B429" s="160">
        <v>13498</v>
      </c>
      <c r="C429" s="153" t="s">
        <v>1861</v>
      </c>
      <c r="D429" s="153" t="s">
        <v>1862</v>
      </c>
      <c r="E429" s="153" t="s">
        <v>309</v>
      </c>
      <c r="F429" s="153" t="s">
        <v>2564</v>
      </c>
      <c r="G429" s="153" t="s">
        <v>2565</v>
      </c>
      <c r="H429" s="153" t="s">
        <v>321</v>
      </c>
      <c r="I429" s="153" t="s">
        <v>754</v>
      </c>
      <c r="J429" s="153" t="s">
        <v>204</v>
      </c>
      <c r="K429" s="153" t="s">
        <v>204</v>
      </c>
      <c r="L429" s="153" t="s">
        <v>325</v>
      </c>
      <c r="M429" s="153" t="s">
        <v>340</v>
      </c>
      <c r="N429" s="153" t="s">
        <v>464</v>
      </c>
      <c r="O429" s="153" t="s">
        <v>339</v>
      </c>
      <c r="P429" s="153" t="s">
        <v>1538</v>
      </c>
      <c r="Q429" s="153" t="s">
        <v>413</v>
      </c>
      <c r="R429" s="153" t="s">
        <v>407</v>
      </c>
      <c r="S429" s="153" t="s">
        <v>1212</v>
      </c>
      <c r="T429" s="154">
        <v>0.76</v>
      </c>
      <c r="U429" s="153" t="s">
        <v>2460</v>
      </c>
      <c r="V429" s="155">
        <v>1.46E-2</v>
      </c>
      <c r="W429" s="155">
        <v>2.6800000000000001E-2</v>
      </c>
      <c r="X429" s="153" t="s">
        <v>412</v>
      </c>
      <c r="Y429" s="153" t="s">
        <v>339</v>
      </c>
      <c r="Z429" s="154">
        <v>27782.6</v>
      </c>
      <c r="AA429" s="154">
        <v>1</v>
      </c>
      <c r="AB429" s="154">
        <v>117.49</v>
      </c>
      <c r="AD429" s="154">
        <v>32.642000000000003</v>
      </c>
      <c r="AG429" s="157" t="s">
        <v>15</v>
      </c>
      <c r="AH429" s="155">
        <v>3.0000000000000001E-5</v>
      </c>
      <c r="AI429" s="155">
        <f t="shared" si="6"/>
        <v>2.5621348911666051E-4</v>
      </c>
      <c r="AJ429" s="155">
        <v>4.096739032649924E-5</v>
      </c>
    </row>
    <row r="430" spans="1:36" s="160" customFormat="1">
      <c r="A430" s="153" t="s">
        <v>1213</v>
      </c>
      <c r="B430" s="160">
        <v>13498</v>
      </c>
      <c r="C430" s="153" t="s">
        <v>1861</v>
      </c>
      <c r="D430" s="153" t="s">
        <v>1862</v>
      </c>
      <c r="E430" s="153" t="s">
        <v>309</v>
      </c>
      <c r="F430" s="153" t="s">
        <v>1995</v>
      </c>
      <c r="G430" s="153" t="s">
        <v>1996</v>
      </c>
      <c r="H430" s="153" t="s">
        <v>321</v>
      </c>
      <c r="I430" s="153" t="s">
        <v>754</v>
      </c>
      <c r="J430" s="153" t="s">
        <v>204</v>
      </c>
      <c r="K430" s="153" t="s">
        <v>204</v>
      </c>
      <c r="L430" s="153" t="s">
        <v>325</v>
      </c>
      <c r="M430" s="153" t="s">
        <v>340</v>
      </c>
      <c r="N430" s="153" t="s">
        <v>464</v>
      </c>
      <c r="O430" s="153" t="s">
        <v>339</v>
      </c>
      <c r="P430" s="153" t="s">
        <v>1538</v>
      </c>
      <c r="Q430" s="153" t="s">
        <v>413</v>
      </c>
      <c r="R430" s="153" t="s">
        <v>407</v>
      </c>
      <c r="S430" s="153" t="s">
        <v>1212</v>
      </c>
      <c r="T430" s="154">
        <v>1.5</v>
      </c>
      <c r="U430" s="153" t="s">
        <v>1997</v>
      </c>
      <c r="V430" s="155">
        <v>2.775E-2</v>
      </c>
      <c r="W430" s="155">
        <v>2.53E-2</v>
      </c>
      <c r="X430" s="153" t="s">
        <v>412</v>
      </c>
      <c r="Y430" s="153" t="s">
        <v>339</v>
      </c>
      <c r="Z430" s="154">
        <v>26385.88</v>
      </c>
      <c r="AA430" s="154">
        <v>1</v>
      </c>
      <c r="AB430" s="154">
        <v>117.88</v>
      </c>
      <c r="AD430" s="154">
        <v>31.103999999999999</v>
      </c>
      <c r="AG430" s="157" t="s">
        <v>15</v>
      </c>
      <c r="AH430" s="155">
        <v>2.0000000000000002E-5</v>
      </c>
      <c r="AI430" s="155">
        <f t="shared" si="6"/>
        <v>2.441414241003801E-4</v>
      </c>
      <c r="AJ430" s="155">
        <v>3.9037121154201098E-5</v>
      </c>
    </row>
    <row r="431" spans="1:36" s="160" customFormat="1">
      <c r="A431" s="153" t="s">
        <v>1213</v>
      </c>
      <c r="B431" s="160">
        <v>13498</v>
      </c>
      <c r="C431" s="153" t="s">
        <v>2566</v>
      </c>
      <c r="D431" s="153" t="s">
        <v>2567</v>
      </c>
      <c r="E431" s="153" t="s">
        <v>309</v>
      </c>
      <c r="F431" s="153" t="s">
        <v>2568</v>
      </c>
      <c r="G431" s="153" t="s">
        <v>2569</v>
      </c>
      <c r="H431" s="153" t="s">
        <v>321</v>
      </c>
      <c r="I431" s="153" t="s">
        <v>951</v>
      </c>
      <c r="J431" s="153" t="s">
        <v>204</v>
      </c>
      <c r="K431" s="153" t="s">
        <v>204</v>
      </c>
      <c r="L431" s="153" t="s">
        <v>325</v>
      </c>
      <c r="M431" s="153" t="s">
        <v>340</v>
      </c>
      <c r="N431" s="153" t="s">
        <v>476</v>
      </c>
      <c r="O431" s="153" t="s">
        <v>339</v>
      </c>
      <c r="P431" s="153" t="s">
        <v>1982</v>
      </c>
      <c r="Q431" s="153" t="s">
        <v>415</v>
      </c>
      <c r="R431" s="153" t="s">
        <v>407</v>
      </c>
      <c r="S431" s="153" t="s">
        <v>1212</v>
      </c>
      <c r="T431" s="154">
        <v>2.62</v>
      </c>
      <c r="U431" s="153" t="s">
        <v>2570</v>
      </c>
      <c r="V431" s="155">
        <v>3.9469999999999998E-2</v>
      </c>
      <c r="W431" s="155">
        <v>5.2900000000000003E-2</v>
      </c>
      <c r="X431" s="153" t="s">
        <v>412</v>
      </c>
      <c r="Y431" s="153" t="s">
        <v>339</v>
      </c>
      <c r="Z431" s="154">
        <v>31432</v>
      </c>
      <c r="AA431" s="154">
        <v>1</v>
      </c>
      <c r="AB431" s="154">
        <v>97.79</v>
      </c>
      <c r="AD431" s="154">
        <v>30.736999999999998</v>
      </c>
      <c r="AG431" s="157" t="s">
        <v>15</v>
      </c>
      <c r="AH431" s="155">
        <v>8.0000000000000007E-5</v>
      </c>
      <c r="AI431" s="155">
        <f t="shared" si="6"/>
        <v>2.4126076879415454E-4</v>
      </c>
      <c r="AJ431" s="155">
        <v>3.8576517261981713E-5</v>
      </c>
    </row>
    <row r="432" spans="1:36" s="160" customFormat="1">
      <c r="A432" s="153" t="s">
        <v>1213</v>
      </c>
      <c r="B432" s="160">
        <v>13498</v>
      </c>
      <c r="C432" s="153" t="s">
        <v>2404</v>
      </c>
      <c r="D432" s="153" t="s">
        <v>2405</v>
      </c>
      <c r="E432" s="153" t="s">
        <v>309</v>
      </c>
      <c r="F432" s="153" t="s">
        <v>2571</v>
      </c>
      <c r="G432" s="153" t="s">
        <v>2572</v>
      </c>
      <c r="H432" s="153" t="s">
        <v>321</v>
      </c>
      <c r="I432" s="153" t="s">
        <v>951</v>
      </c>
      <c r="J432" s="153" t="s">
        <v>204</v>
      </c>
      <c r="K432" s="153" t="s">
        <v>204</v>
      </c>
      <c r="L432" s="153" t="s">
        <v>325</v>
      </c>
      <c r="M432" s="153" t="s">
        <v>340</v>
      </c>
      <c r="N432" s="153" t="s">
        <v>440</v>
      </c>
      <c r="O432" s="153" t="s">
        <v>339</v>
      </c>
      <c r="P432" s="153" t="s">
        <v>1554</v>
      </c>
      <c r="Q432" s="153" t="s">
        <v>413</v>
      </c>
      <c r="R432" s="153" t="s">
        <v>407</v>
      </c>
      <c r="S432" s="153" t="s">
        <v>1212</v>
      </c>
      <c r="T432" s="154">
        <v>3.25</v>
      </c>
      <c r="U432" s="153" t="s">
        <v>2573</v>
      </c>
      <c r="V432" s="155">
        <v>3.8899999999999997E-2</v>
      </c>
      <c r="W432" s="155">
        <v>6.1100000000000002E-2</v>
      </c>
      <c r="X432" s="153" t="s">
        <v>412</v>
      </c>
      <c r="Y432" s="153" t="s">
        <v>339</v>
      </c>
      <c r="Z432" s="154">
        <v>22500</v>
      </c>
      <c r="AA432" s="154">
        <v>1</v>
      </c>
      <c r="AB432" s="154">
        <v>89.41</v>
      </c>
      <c r="AD432" s="154">
        <v>20.117000000000001</v>
      </c>
      <c r="AG432" s="157" t="s">
        <v>15</v>
      </c>
      <c r="AH432" s="155">
        <v>3.0000000000000001E-5</v>
      </c>
      <c r="AI432" s="155">
        <f t="shared" si="6"/>
        <v>1.5790229644506646E-4</v>
      </c>
      <c r="AJ432" s="155">
        <v>2.5247870571600551E-5</v>
      </c>
    </row>
    <row r="433" spans="1:36" s="160" customFormat="1">
      <c r="A433" s="153" t="s">
        <v>1213</v>
      </c>
      <c r="B433" s="160">
        <v>13498</v>
      </c>
      <c r="C433" s="153" t="s">
        <v>2420</v>
      </c>
      <c r="D433" s="153" t="s">
        <v>2421</v>
      </c>
      <c r="E433" s="153" t="s">
        <v>309</v>
      </c>
      <c r="F433" s="153" t="s">
        <v>2574</v>
      </c>
      <c r="G433" s="153" t="s">
        <v>2575</v>
      </c>
      <c r="H433" s="153" t="s">
        <v>321</v>
      </c>
      <c r="I433" s="153" t="s">
        <v>951</v>
      </c>
      <c r="J433" s="153" t="s">
        <v>204</v>
      </c>
      <c r="K433" s="153" t="s">
        <v>204</v>
      </c>
      <c r="L433" s="153" t="s">
        <v>325</v>
      </c>
      <c r="M433" s="153" t="s">
        <v>340</v>
      </c>
      <c r="N433" s="153" t="s">
        <v>445</v>
      </c>
      <c r="O433" s="153" t="s">
        <v>339</v>
      </c>
      <c r="P433" s="153" t="s">
        <v>1982</v>
      </c>
      <c r="Q433" s="153" t="s">
        <v>415</v>
      </c>
      <c r="R433" s="153" t="s">
        <v>407</v>
      </c>
      <c r="S433" s="153" t="s">
        <v>1212</v>
      </c>
      <c r="T433" s="154">
        <v>1.7</v>
      </c>
      <c r="U433" s="153" t="s">
        <v>1833</v>
      </c>
      <c r="V433" s="155">
        <v>5.5590000000000001E-2</v>
      </c>
      <c r="W433" s="155">
        <v>5.3499999999999999E-2</v>
      </c>
      <c r="X433" s="153" t="s">
        <v>412</v>
      </c>
      <c r="Y433" s="153" t="s">
        <v>339</v>
      </c>
      <c r="Z433" s="154">
        <v>20000</v>
      </c>
      <c r="AA433" s="154">
        <v>1</v>
      </c>
      <c r="AB433" s="154">
        <v>96.84</v>
      </c>
      <c r="AD433" s="154">
        <v>19.367999999999999</v>
      </c>
      <c r="AG433" s="157" t="s">
        <v>15</v>
      </c>
      <c r="AH433" s="155">
        <v>3.0000000000000001E-5</v>
      </c>
      <c r="AI433" s="155">
        <f t="shared" si="6"/>
        <v>1.5202324787732001E-4</v>
      </c>
      <c r="AJ433" s="155">
        <v>2.4307837015000221E-5</v>
      </c>
    </row>
    <row r="434" spans="1:36" s="160" customFormat="1">
      <c r="A434" s="153" t="s">
        <v>1213</v>
      </c>
      <c r="B434" s="160">
        <v>13498</v>
      </c>
      <c r="C434" s="153" t="s">
        <v>2576</v>
      </c>
      <c r="D434" s="153" t="s">
        <v>2577</v>
      </c>
      <c r="E434" s="153" t="s">
        <v>309</v>
      </c>
      <c r="F434" s="153" t="s">
        <v>2578</v>
      </c>
      <c r="G434" s="153" t="s">
        <v>2579</v>
      </c>
      <c r="H434" s="153" t="s">
        <v>321</v>
      </c>
      <c r="I434" s="153" t="s">
        <v>755</v>
      </c>
      <c r="J434" s="153" t="s">
        <v>204</v>
      </c>
      <c r="K434" s="153" t="s">
        <v>204</v>
      </c>
      <c r="L434" s="153" t="s">
        <v>325</v>
      </c>
      <c r="M434" s="153" t="s">
        <v>340</v>
      </c>
      <c r="N434" s="153" t="s">
        <v>451</v>
      </c>
      <c r="O434" s="153" t="s">
        <v>339</v>
      </c>
      <c r="P434" s="153" t="s">
        <v>1521</v>
      </c>
      <c r="Q434" s="153" t="s">
        <v>413</v>
      </c>
      <c r="R434" s="153" t="s">
        <v>407</v>
      </c>
      <c r="S434" s="153" t="s">
        <v>1212</v>
      </c>
      <c r="T434" s="154">
        <v>1.48</v>
      </c>
      <c r="U434" s="153" t="s">
        <v>1522</v>
      </c>
      <c r="V434" s="155">
        <v>4.6179999999999999E-2</v>
      </c>
      <c r="W434" s="155">
        <v>7.0099999999999996E-2</v>
      </c>
      <c r="X434" s="153" t="s">
        <v>412</v>
      </c>
      <c r="Y434" s="153" t="s">
        <v>339</v>
      </c>
      <c r="Z434" s="154">
        <v>17968.34</v>
      </c>
      <c r="AA434" s="154">
        <v>1</v>
      </c>
      <c r="AB434" s="154">
        <v>105.21</v>
      </c>
      <c r="AD434" s="154">
        <v>18.904</v>
      </c>
      <c r="AG434" s="157" t="s">
        <v>15</v>
      </c>
      <c r="AH434" s="155">
        <v>1.7000000000000001E-4</v>
      </c>
      <c r="AI434" s="155">
        <f t="shared" si="6"/>
        <v>1.4838122046018472E-4</v>
      </c>
      <c r="AJ434" s="155">
        <v>2.3725493129469443E-5</v>
      </c>
    </row>
    <row r="435" spans="1:36" s="160" customFormat="1">
      <c r="A435" s="153" t="s">
        <v>1213</v>
      </c>
      <c r="B435" s="160">
        <v>13498</v>
      </c>
      <c r="C435" s="153" t="s">
        <v>1893</v>
      </c>
      <c r="D435" s="153" t="s">
        <v>1894</v>
      </c>
      <c r="E435" s="153" t="s">
        <v>309</v>
      </c>
      <c r="F435" s="153" t="s">
        <v>2580</v>
      </c>
      <c r="G435" s="153" t="s">
        <v>2581</v>
      </c>
      <c r="H435" s="153" t="s">
        <v>321</v>
      </c>
      <c r="I435" s="153" t="s">
        <v>754</v>
      </c>
      <c r="J435" s="153" t="s">
        <v>204</v>
      </c>
      <c r="K435" s="153" t="s">
        <v>204</v>
      </c>
      <c r="L435" s="153" t="s">
        <v>325</v>
      </c>
      <c r="M435" s="153" t="s">
        <v>340</v>
      </c>
      <c r="N435" s="153" t="s">
        <v>464</v>
      </c>
      <c r="O435" s="153" t="s">
        <v>339</v>
      </c>
      <c r="P435" s="153" t="s">
        <v>2582</v>
      </c>
      <c r="Q435" s="153" t="s">
        <v>433</v>
      </c>
      <c r="R435" s="153" t="s">
        <v>407</v>
      </c>
      <c r="S435" s="153" t="s">
        <v>1212</v>
      </c>
      <c r="T435" s="154">
        <v>1.87</v>
      </c>
      <c r="U435" s="153" t="s">
        <v>2583</v>
      </c>
      <c r="V435" s="155">
        <v>6.4900000000000001E-3</v>
      </c>
      <c r="W435" s="155">
        <v>2.7E-2</v>
      </c>
      <c r="X435" s="153" t="s">
        <v>412</v>
      </c>
      <c r="Y435" s="153" t="s">
        <v>339</v>
      </c>
      <c r="Z435" s="154">
        <v>16020.67</v>
      </c>
      <c r="AA435" s="154">
        <v>1</v>
      </c>
      <c r="AB435" s="154">
        <v>115.69</v>
      </c>
      <c r="AD435" s="154">
        <v>18.533999999999999</v>
      </c>
      <c r="AG435" s="157" t="s">
        <v>15</v>
      </c>
      <c r="AH435" s="155">
        <v>2.0000000000000002E-5</v>
      </c>
      <c r="AI435" s="155">
        <f t="shared" si="6"/>
        <v>1.4547701756290008E-4</v>
      </c>
      <c r="AJ435" s="155">
        <v>2.3261124082817744E-5</v>
      </c>
    </row>
    <row r="436" spans="1:36" s="160" customFormat="1">
      <c r="A436" s="153" t="s">
        <v>1213</v>
      </c>
      <c r="B436" s="160">
        <v>13498</v>
      </c>
      <c r="C436" s="153" t="s">
        <v>2576</v>
      </c>
      <c r="D436" s="153" t="s">
        <v>2577</v>
      </c>
      <c r="E436" s="153" t="s">
        <v>309</v>
      </c>
      <c r="F436" s="153" t="s">
        <v>2584</v>
      </c>
      <c r="G436" s="153" t="s">
        <v>2585</v>
      </c>
      <c r="H436" s="153" t="s">
        <v>321</v>
      </c>
      <c r="I436" s="153" t="s">
        <v>951</v>
      </c>
      <c r="J436" s="153" t="s">
        <v>204</v>
      </c>
      <c r="K436" s="153" t="s">
        <v>204</v>
      </c>
      <c r="L436" s="153" t="s">
        <v>325</v>
      </c>
      <c r="M436" s="153" t="s">
        <v>340</v>
      </c>
      <c r="N436" s="153" t="s">
        <v>451</v>
      </c>
      <c r="O436" s="153" t="s">
        <v>339</v>
      </c>
      <c r="P436" s="153" t="s">
        <v>1521</v>
      </c>
      <c r="Q436" s="153" t="s">
        <v>413</v>
      </c>
      <c r="R436" s="153" t="s">
        <v>407</v>
      </c>
      <c r="S436" s="153" t="s">
        <v>1212</v>
      </c>
      <c r="T436" s="154">
        <v>1.49</v>
      </c>
      <c r="U436" s="153" t="s">
        <v>1522</v>
      </c>
      <c r="V436" s="155">
        <v>2.7380000000000002E-2</v>
      </c>
      <c r="W436" s="155">
        <v>5.4399999999999997E-2</v>
      </c>
      <c r="X436" s="153" t="s">
        <v>412</v>
      </c>
      <c r="Y436" s="153" t="s">
        <v>339</v>
      </c>
      <c r="Z436" s="154">
        <v>16666.66</v>
      </c>
      <c r="AA436" s="154">
        <v>1</v>
      </c>
      <c r="AB436" s="154">
        <v>97.46</v>
      </c>
      <c r="AD436" s="154">
        <v>16.242999999999999</v>
      </c>
      <c r="AG436" s="157" t="s">
        <v>15</v>
      </c>
      <c r="AH436" s="155">
        <v>8.0000000000000007E-5</v>
      </c>
      <c r="AI436" s="155">
        <f t="shared" si="6"/>
        <v>1.2749450719079454E-4</v>
      </c>
      <c r="AJ436" s="155">
        <v>2.0385801148009531E-5</v>
      </c>
    </row>
    <row r="437" spans="1:36" s="160" customFormat="1">
      <c r="A437" s="153" t="s">
        <v>1213</v>
      </c>
      <c r="B437" s="160">
        <v>13498</v>
      </c>
      <c r="C437" s="153" t="s">
        <v>2586</v>
      </c>
      <c r="D437" s="153" t="s">
        <v>2587</v>
      </c>
      <c r="E437" s="153" t="s">
        <v>309</v>
      </c>
      <c r="F437" s="153" t="s">
        <v>2588</v>
      </c>
      <c r="G437" s="153" t="s">
        <v>2589</v>
      </c>
      <c r="H437" s="153" t="s">
        <v>321</v>
      </c>
      <c r="I437" s="153" t="s">
        <v>951</v>
      </c>
      <c r="J437" s="153" t="s">
        <v>204</v>
      </c>
      <c r="K437" s="153" t="s">
        <v>204</v>
      </c>
      <c r="L437" s="153" t="s">
        <v>325</v>
      </c>
      <c r="M437" s="153" t="s">
        <v>340</v>
      </c>
      <c r="N437" s="153" t="s">
        <v>445</v>
      </c>
      <c r="O437" s="153" t="s">
        <v>339</v>
      </c>
      <c r="P437" s="153" t="s">
        <v>1982</v>
      </c>
      <c r="Q437" s="153" t="s">
        <v>415</v>
      </c>
      <c r="R437" s="153" t="s">
        <v>407</v>
      </c>
      <c r="S437" s="153" t="s">
        <v>1212</v>
      </c>
      <c r="T437" s="154">
        <v>1.97</v>
      </c>
      <c r="U437" s="153" t="s">
        <v>1522</v>
      </c>
      <c r="V437" s="155">
        <v>3.7949999999999998E-2</v>
      </c>
      <c r="W437" s="155">
        <v>5.2999999999999999E-2</v>
      </c>
      <c r="X437" s="153" t="s">
        <v>412</v>
      </c>
      <c r="Y437" s="153" t="s">
        <v>339</v>
      </c>
      <c r="Z437" s="154">
        <v>14115</v>
      </c>
      <c r="AA437" s="154">
        <v>1</v>
      </c>
      <c r="AB437" s="154">
        <v>93.66</v>
      </c>
      <c r="AD437" s="154">
        <v>13.22</v>
      </c>
      <c r="AG437" s="157" t="s">
        <v>15</v>
      </c>
      <c r="AH437" s="155">
        <v>5.0000000000000002E-5</v>
      </c>
      <c r="AI437" s="155">
        <f t="shared" si="6"/>
        <v>1.0376638460027729E-4</v>
      </c>
      <c r="AJ437" s="155">
        <v>1.6591780531717419E-5</v>
      </c>
    </row>
    <row r="438" spans="1:36" s="160" customFormat="1">
      <c r="A438" s="153" t="s">
        <v>1213</v>
      </c>
      <c r="B438" s="160">
        <v>13498</v>
      </c>
      <c r="C438" s="153" t="s">
        <v>2436</v>
      </c>
      <c r="D438" s="153" t="s">
        <v>2437</v>
      </c>
      <c r="E438" s="153" t="s">
        <v>309</v>
      </c>
      <c r="F438" s="153" t="s">
        <v>2590</v>
      </c>
      <c r="G438" s="153" t="s">
        <v>2591</v>
      </c>
      <c r="H438" s="153" t="s">
        <v>321</v>
      </c>
      <c r="I438" s="153" t="s">
        <v>951</v>
      </c>
      <c r="J438" s="153" t="s">
        <v>204</v>
      </c>
      <c r="K438" s="153" t="s">
        <v>204</v>
      </c>
      <c r="L438" s="153" t="s">
        <v>325</v>
      </c>
      <c r="M438" s="153" t="s">
        <v>340</v>
      </c>
      <c r="N438" s="153" t="s">
        <v>475</v>
      </c>
      <c r="O438" s="153" t="s">
        <v>339</v>
      </c>
      <c r="P438" s="153" t="s">
        <v>1538</v>
      </c>
      <c r="Q438" s="153" t="s">
        <v>413</v>
      </c>
      <c r="R438" s="153" t="s">
        <v>407</v>
      </c>
      <c r="S438" s="153" t="s">
        <v>1212</v>
      </c>
      <c r="T438" s="154">
        <v>2.83</v>
      </c>
      <c r="U438" s="153" t="s">
        <v>2592</v>
      </c>
      <c r="V438" s="155">
        <v>1.932E-2</v>
      </c>
      <c r="W438" s="155">
        <v>5.2699999999999997E-2</v>
      </c>
      <c r="X438" s="153" t="s">
        <v>412</v>
      </c>
      <c r="Y438" s="153" t="s">
        <v>339</v>
      </c>
      <c r="Z438" s="154">
        <v>9375</v>
      </c>
      <c r="AA438" s="154">
        <v>1</v>
      </c>
      <c r="AB438" s="154">
        <v>99.41</v>
      </c>
      <c r="AC438" s="154">
        <v>2.448</v>
      </c>
      <c r="AD438" s="154">
        <v>11.766999999999999</v>
      </c>
      <c r="AG438" s="157" t="s">
        <v>15</v>
      </c>
      <c r="AH438" s="155">
        <v>2.0000000000000002E-5</v>
      </c>
      <c r="AI438" s="155">
        <f t="shared" si="6"/>
        <v>9.236150133067041E-5</v>
      </c>
      <c r="AJ438" s="155">
        <v>1.4768190735001425E-5</v>
      </c>
    </row>
    <row r="439" spans="1:36" s="160" customFormat="1">
      <c r="A439" s="153" t="s">
        <v>1213</v>
      </c>
      <c r="B439" s="160">
        <v>13498</v>
      </c>
      <c r="C439" s="153" t="s">
        <v>2155</v>
      </c>
      <c r="D439" s="153" t="s">
        <v>2156</v>
      </c>
      <c r="E439" s="153" t="s">
        <v>309</v>
      </c>
      <c r="F439" s="153" t="s">
        <v>2593</v>
      </c>
      <c r="G439" s="153" t="s">
        <v>2594</v>
      </c>
      <c r="H439" s="153" t="s">
        <v>321</v>
      </c>
      <c r="I439" s="153" t="s">
        <v>951</v>
      </c>
      <c r="J439" s="153" t="s">
        <v>204</v>
      </c>
      <c r="K439" s="153" t="s">
        <v>204</v>
      </c>
      <c r="L439" s="153" t="s">
        <v>325</v>
      </c>
      <c r="M439" s="153" t="s">
        <v>340</v>
      </c>
      <c r="N439" s="153" t="s">
        <v>451</v>
      </c>
      <c r="O439" s="153" t="s">
        <v>339</v>
      </c>
      <c r="P439" s="153" t="s">
        <v>1521</v>
      </c>
      <c r="Q439" s="153" t="s">
        <v>413</v>
      </c>
      <c r="R439" s="153" t="s">
        <v>407</v>
      </c>
      <c r="S439" s="153" t="s">
        <v>1212</v>
      </c>
      <c r="T439" s="154">
        <v>1.21</v>
      </c>
      <c r="U439" s="153" t="s">
        <v>1833</v>
      </c>
      <c r="V439" s="155">
        <v>2.214E-2</v>
      </c>
      <c r="W439" s="155">
        <v>5.4800000000000001E-2</v>
      </c>
      <c r="X439" s="153" t="s">
        <v>412</v>
      </c>
      <c r="Y439" s="153" t="s">
        <v>339</v>
      </c>
      <c r="Z439" s="154">
        <v>8000.01</v>
      </c>
      <c r="AA439" s="154">
        <v>1</v>
      </c>
      <c r="AB439" s="154">
        <v>99.35</v>
      </c>
      <c r="AD439" s="154">
        <v>7.9480000000000004</v>
      </c>
      <c r="AG439" s="157" t="s">
        <v>15</v>
      </c>
      <c r="AH439" s="155">
        <v>6.0000000000000002E-5</v>
      </c>
      <c r="AI439" s="155">
        <f t="shared" si="6"/>
        <v>6.2385417912481388E-5</v>
      </c>
      <c r="AJ439" s="155">
        <v>9.9751491426694434E-6</v>
      </c>
    </row>
    <row r="440" spans="1:36" s="160" customFormat="1">
      <c r="A440" s="153" t="s">
        <v>1213</v>
      </c>
      <c r="B440" s="160">
        <v>13498</v>
      </c>
      <c r="C440" s="153" t="s">
        <v>2595</v>
      </c>
      <c r="D440" s="153" t="s">
        <v>2596</v>
      </c>
      <c r="E440" s="153" t="s">
        <v>309</v>
      </c>
      <c r="F440" s="153" t="s">
        <v>2597</v>
      </c>
      <c r="G440" s="153" t="s">
        <v>2598</v>
      </c>
      <c r="H440" s="153" t="s">
        <v>321</v>
      </c>
      <c r="I440" s="153" t="s">
        <v>951</v>
      </c>
      <c r="J440" s="153" t="s">
        <v>204</v>
      </c>
      <c r="K440" s="153" t="s">
        <v>204</v>
      </c>
      <c r="L440" s="153" t="s">
        <v>325</v>
      </c>
      <c r="M440" s="153" t="s">
        <v>340</v>
      </c>
      <c r="N440" s="153" t="s">
        <v>484</v>
      </c>
      <c r="O440" s="153" t="s">
        <v>339</v>
      </c>
      <c r="P440" s="153" t="s">
        <v>1566</v>
      </c>
      <c r="Q440" s="153" t="s">
        <v>413</v>
      </c>
      <c r="R440" s="153" t="s">
        <v>407</v>
      </c>
      <c r="S440" s="153" t="s">
        <v>1212</v>
      </c>
      <c r="T440" s="154">
        <v>2.08</v>
      </c>
      <c r="U440" s="153" t="s">
        <v>2599</v>
      </c>
      <c r="V440" s="155">
        <v>2.4989999999999998E-2</v>
      </c>
      <c r="W440" s="155">
        <v>5.2400000000000002E-2</v>
      </c>
      <c r="X440" s="153" t="s">
        <v>412</v>
      </c>
      <c r="Y440" s="153" t="s">
        <v>339</v>
      </c>
      <c r="Z440" s="154">
        <v>6650</v>
      </c>
      <c r="AA440" s="154">
        <v>1</v>
      </c>
      <c r="AB440" s="154">
        <v>98.59</v>
      </c>
      <c r="AD440" s="154">
        <v>6.556</v>
      </c>
      <c r="AG440" s="157" t="s">
        <v>15</v>
      </c>
      <c r="AH440" s="155">
        <v>1.0000000000000001E-5</v>
      </c>
      <c r="AI440" s="155">
        <f t="shared" si="6"/>
        <v>5.1459335661075489E-5</v>
      </c>
      <c r="AJ440" s="155">
        <v>8.228117486077109E-6</v>
      </c>
    </row>
    <row r="441" spans="1:36" s="160" customFormat="1">
      <c r="A441" s="153" t="s">
        <v>1213</v>
      </c>
      <c r="B441" s="160">
        <v>13498</v>
      </c>
      <c r="C441" s="153" t="s">
        <v>2123</v>
      </c>
      <c r="D441" s="153" t="s">
        <v>2124</v>
      </c>
      <c r="E441" s="153" t="s">
        <v>309</v>
      </c>
      <c r="F441" s="153" t="s">
        <v>2600</v>
      </c>
      <c r="G441" s="153" t="s">
        <v>2601</v>
      </c>
      <c r="H441" s="153" t="s">
        <v>321</v>
      </c>
      <c r="I441" s="153" t="s">
        <v>754</v>
      </c>
      <c r="J441" s="153" t="s">
        <v>204</v>
      </c>
      <c r="K441" s="153" t="s">
        <v>204</v>
      </c>
      <c r="L441" s="153" t="s">
        <v>325</v>
      </c>
      <c r="M441" s="153" t="s">
        <v>340</v>
      </c>
      <c r="N441" s="153" t="s">
        <v>445</v>
      </c>
      <c r="O441" s="153" t="s">
        <v>339</v>
      </c>
      <c r="P441" s="153" t="s">
        <v>1982</v>
      </c>
      <c r="Q441" s="153" t="s">
        <v>415</v>
      </c>
      <c r="R441" s="153" t="s">
        <v>407</v>
      </c>
      <c r="S441" s="153" t="s">
        <v>1212</v>
      </c>
      <c r="T441" s="154">
        <v>0.82</v>
      </c>
      <c r="U441" s="153" t="s">
        <v>2419</v>
      </c>
      <c r="V441" s="155">
        <v>4.79E-3</v>
      </c>
      <c r="W441" s="155">
        <v>2.5999999999999999E-2</v>
      </c>
      <c r="X441" s="153" t="s">
        <v>412</v>
      </c>
      <c r="Y441" s="153" t="s">
        <v>339</v>
      </c>
      <c r="Z441" s="154">
        <v>2691</v>
      </c>
      <c r="AA441" s="154">
        <v>1</v>
      </c>
      <c r="AB441" s="154">
        <v>115.94</v>
      </c>
      <c r="AD441" s="154">
        <v>3.12</v>
      </c>
      <c r="AG441" s="157" t="s">
        <v>15</v>
      </c>
      <c r="AH441" s="155">
        <v>1.0000000000000001E-5</v>
      </c>
      <c r="AI441" s="155">
        <f t="shared" si="6"/>
        <v>2.4489494701427018E-5</v>
      </c>
      <c r="AJ441" s="155">
        <v>3.9157606096035055E-6</v>
      </c>
    </row>
    <row r="442" spans="1:36" s="160" customFormat="1">
      <c r="A442" s="153" t="s">
        <v>1213</v>
      </c>
      <c r="B442" s="160">
        <v>13498</v>
      </c>
      <c r="C442" s="153" t="s">
        <v>2602</v>
      </c>
      <c r="D442" s="153" t="s">
        <v>2603</v>
      </c>
      <c r="E442" s="153" t="s">
        <v>80</v>
      </c>
      <c r="F442" s="153" t="s">
        <v>2604</v>
      </c>
      <c r="G442" s="153" t="s">
        <v>2605</v>
      </c>
      <c r="H442" s="153" t="s">
        <v>321</v>
      </c>
      <c r="I442" s="153" t="s">
        <v>755</v>
      </c>
      <c r="J442" s="153" t="s">
        <v>205</v>
      </c>
      <c r="K442" s="153" t="s">
        <v>224</v>
      </c>
      <c r="L442" s="153" t="s">
        <v>325</v>
      </c>
      <c r="M442" s="153" t="s">
        <v>314</v>
      </c>
      <c r="N442" s="153" t="s">
        <v>521</v>
      </c>
      <c r="O442" s="153" t="s">
        <v>339</v>
      </c>
      <c r="P442" s="153" t="s">
        <v>2606</v>
      </c>
      <c r="Q442" s="153" t="s">
        <v>433</v>
      </c>
      <c r="R442" s="153" t="s">
        <v>407</v>
      </c>
      <c r="S442" s="153" t="s">
        <v>1216</v>
      </c>
      <c r="T442" s="154">
        <v>5.1710000000000003</v>
      </c>
      <c r="U442" s="153" t="s">
        <v>2607</v>
      </c>
      <c r="V442" s="155">
        <v>4.02E-2</v>
      </c>
      <c r="W442" s="155">
        <v>3.9329999999999997E-2</v>
      </c>
      <c r="X442" s="153" t="s">
        <v>412</v>
      </c>
      <c r="Y442" s="153" t="s">
        <v>339</v>
      </c>
      <c r="Z442" s="154">
        <v>290000</v>
      </c>
      <c r="AA442" s="154">
        <v>3.71</v>
      </c>
      <c r="AB442" s="154">
        <v>88.929000000000002</v>
      </c>
      <c r="AD442" s="154">
        <v>956.78800000000001</v>
      </c>
      <c r="AG442" s="157" t="s">
        <v>15</v>
      </c>
      <c r="AH442" s="155">
        <v>1.7000000000000001E-4</v>
      </c>
      <c r="AI442" s="155">
        <f t="shared" si="6"/>
        <v>7.5100175180733818E-3</v>
      </c>
      <c r="AJ442" s="155">
        <v>1.2008181929940125E-3</v>
      </c>
    </row>
    <row r="443" spans="1:36" s="160" customFormat="1">
      <c r="A443" s="153" t="s">
        <v>1213</v>
      </c>
      <c r="B443" s="160">
        <v>13498</v>
      </c>
      <c r="C443" s="153" t="s">
        <v>2608</v>
      </c>
      <c r="D443" s="153" t="s">
        <v>2609</v>
      </c>
      <c r="E443" s="153" t="s">
        <v>80</v>
      </c>
      <c r="F443" s="153" t="s">
        <v>2610</v>
      </c>
      <c r="G443" s="153" t="s">
        <v>2611</v>
      </c>
      <c r="H443" s="153" t="s">
        <v>321</v>
      </c>
      <c r="I443" s="153" t="s">
        <v>755</v>
      </c>
      <c r="J443" s="153" t="s">
        <v>205</v>
      </c>
      <c r="K443" s="153" t="s">
        <v>224</v>
      </c>
      <c r="L443" s="153" t="s">
        <v>325</v>
      </c>
      <c r="M443" s="153" t="s">
        <v>314</v>
      </c>
      <c r="N443" s="153" t="s">
        <v>537</v>
      </c>
      <c r="O443" s="153" t="s">
        <v>339</v>
      </c>
      <c r="P443" s="153" t="s">
        <v>2612</v>
      </c>
      <c r="Q443" s="153" t="s">
        <v>433</v>
      </c>
      <c r="R443" s="153" t="s">
        <v>407</v>
      </c>
      <c r="S443" s="153" t="s">
        <v>1216</v>
      </c>
      <c r="T443" s="154">
        <v>2.7989999999999999</v>
      </c>
      <c r="U443" s="153" t="s">
        <v>2613</v>
      </c>
      <c r="V443" s="155">
        <v>3.8780000000000002E-2</v>
      </c>
      <c r="W443" s="155">
        <v>3.7199999999999997E-2</v>
      </c>
      <c r="X443" s="153" t="s">
        <v>412</v>
      </c>
      <c r="Y443" s="153" t="s">
        <v>339</v>
      </c>
      <c r="Z443" s="154">
        <v>260000</v>
      </c>
      <c r="AA443" s="154">
        <v>3.71</v>
      </c>
      <c r="AB443" s="154">
        <v>97.295000000000002</v>
      </c>
      <c r="AD443" s="154">
        <v>938.50400000000002</v>
      </c>
      <c r="AG443" s="157" t="s">
        <v>15</v>
      </c>
      <c r="AH443" s="155">
        <v>3.5E-4</v>
      </c>
      <c r="AI443" s="155">
        <f t="shared" si="6"/>
        <v>7.3665027997654045E-3</v>
      </c>
      <c r="AJ443" s="155">
        <v>1.1778708317805539E-3</v>
      </c>
    </row>
    <row r="444" spans="1:36" s="160" customFormat="1">
      <c r="A444" s="153" t="s">
        <v>1213</v>
      </c>
      <c r="B444" s="160">
        <v>13498</v>
      </c>
      <c r="C444" s="153" t="s">
        <v>2614</v>
      </c>
      <c r="D444" s="153" t="s">
        <v>2615</v>
      </c>
      <c r="E444" s="153" t="s">
        <v>80</v>
      </c>
      <c r="F444" s="153" t="s">
        <v>2616</v>
      </c>
      <c r="G444" s="153" t="s">
        <v>2617</v>
      </c>
      <c r="H444" s="153" t="s">
        <v>321</v>
      </c>
      <c r="I444" s="153" t="s">
        <v>755</v>
      </c>
      <c r="J444" s="153" t="s">
        <v>205</v>
      </c>
      <c r="K444" s="153" t="s">
        <v>224</v>
      </c>
      <c r="L444" s="153" t="s">
        <v>325</v>
      </c>
      <c r="M444" s="153" t="s">
        <v>314</v>
      </c>
      <c r="N444" s="153" t="s">
        <v>534</v>
      </c>
      <c r="O444" s="153" t="s">
        <v>339</v>
      </c>
      <c r="P444" s="153" t="s">
        <v>2582</v>
      </c>
      <c r="Q444" s="153" t="s">
        <v>433</v>
      </c>
      <c r="R444" s="153" t="s">
        <v>407</v>
      </c>
      <c r="S444" s="153" t="s">
        <v>1216</v>
      </c>
      <c r="T444" s="154">
        <v>4.0750000000000002</v>
      </c>
      <c r="U444" s="153" t="s">
        <v>2618</v>
      </c>
      <c r="V444" s="155">
        <v>4.0059999999999998E-2</v>
      </c>
      <c r="W444" s="155">
        <v>3.9230000000000001E-2</v>
      </c>
      <c r="X444" s="153" t="s">
        <v>412</v>
      </c>
      <c r="Y444" s="153" t="s">
        <v>339</v>
      </c>
      <c r="Z444" s="154">
        <v>255000</v>
      </c>
      <c r="AA444" s="154">
        <v>3.71</v>
      </c>
      <c r="AB444" s="154">
        <v>98.072000000000003</v>
      </c>
      <c r="AD444" s="154">
        <v>927.80799999999999</v>
      </c>
      <c r="AG444" s="157" t="s">
        <v>15</v>
      </c>
      <c r="AH444" s="155">
        <v>1.4999999999999999E-4</v>
      </c>
      <c r="AI444" s="155">
        <f t="shared" si="6"/>
        <v>7.28254778844282E-3</v>
      </c>
      <c r="AJ444" s="155">
        <v>1.1644468011778875E-3</v>
      </c>
    </row>
    <row r="445" spans="1:36" s="160" customFormat="1">
      <c r="A445" s="153" t="s">
        <v>1213</v>
      </c>
      <c r="B445" s="160">
        <v>13499</v>
      </c>
      <c r="C445" s="153" t="s">
        <v>1573</v>
      </c>
      <c r="D445" s="153" t="s">
        <v>1574</v>
      </c>
      <c r="E445" s="153" t="s">
        <v>309</v>
      </c>
      <c r="F445" s="153" t="s">
        <v>2094</v>
      </c>
      <c r="G445" s="153" t="s">
        <v>2095</v>
      </c>
      <c r="H445" s="153" t="s">
        <v>321</v>
      </c>
      <c r="I445" s="153" t="s">
        <v>754</v>
      </c>
      <c r="J445" s="153" t="s">
        <v>204</v>
      </c>
      <c r="K445" s="153" t="s">
        <v>204</v>
      </c>
      <c r="L445" s="153" t="s">
        <v>325</v>
      </c>
      <c r="M445" s="153" t="s">
        <v>340</v>
      </c>
      <c r="N445" s="153" t="s">
        <v>448</v>
      </c>
      <c r="O445" s="153" t="s">
        <v>339</v>
      </c>
      <c r="P445" s="153" t="s">
        <v>1215</v>
      </c>
      <c r="Q445" s="153" t="s">
        <v>413</v>
      </c>
      <c r="R445" s="153" t="s">
        <v>407</v>
      </c>
      <c r="S445" s="153" t="s">
        <v>1212</v>
      </c>
      <c r="T445" s="154">
        <v>5.04</v>
      </c>
      <c r="U445" s="153" t="s">
        <v>2096</v>
      </c>
      <c r="V445" s="155">
        <v>2.0959999999999999E-2</v>
      </c>
      <c r="W445" s="155">
        <v>2.5899999999999999E-2</v>
      </c>
      <c r="X445" s="153" t="s">
        <v>412</v>
      </c>
      <c r="Y445" s="153" t="s">
        <v>339</v>
      </c>
      <c r="Z445" s="154">
        <v>250000</v>
      </c>
      <c r="AA445" s="154">
        <v>1</v>
      </c>
      <c r="AB445" s="154">
        <v>101.35</v>
      </c>
      <c r="AD445" s="154">
        <v>253.375</v>
      </c>
      <c r="AG445" s="157" t="s">
        <v>15</v>
      </c>
      <c r="AH445" s="155">
        <v>6.9999999999999994E-5</v>
      </c>
      <c r="AI445" s="155">
        <f t="shared" si="6"/>
        <v>6.3042830807846451E-2</v>
      </c>
      <c r="AJ445" s="155">
        <v>8.0376486675411418E-3</v>
      </c>
    </row>
    <row r="446" spans="1:36" s="160" customFormat="1">
      <c r="A446" s="153" t="s">
        <v>1213</v>
      </c>
      <c r="B446" s="160">
        <v>13499</v>
      </c>
      <c r="C446" s="153" t="s">
        <v>2298</v>
      </c>
      <c r="D446" s="153" t="s">
        <v>2299</v>
      </c>
      <c r="E446" s="153" t="s">
        <v>309</v>
      </c>
      <c r="F446" s="153" t="s">
        <v>2300</v>
      </c>
      <c r="G446" s="153" t="s">
        <v>2301</v>
      </c>
      <c r="H446" s="153" t="s">
        <v>321</v>
      </c>
      <c r="I446" s="153" t="s">
        <v>951</v>
      </c>
      <c r="J446" s="153" t="s">
        <v>204</v>
      </c>
      <c r="K446" s="153" t="s">
        <v>204</v>
      </c>
      <c r="L446" s="153" t="s">
        <v>325</v>
      </c>
      <c r="M446" s="153" t="s">
        <v>340</v>
      </c>
      <c r="N446" s="153" t="s">
        <v>462</v>
      </c>
      <c r="O446" s="153" t="s">
        <v>339</v>
      </c>
      <c r="P446" s="153" t="s">
        <v>1566</v>
      </c>
      <c r="Q446" s="153" t="s">
        <v>413</v>
      </c>
      <c r="R446" s="153" t="s">
        <v>407</v>
      </c>
      <c r="S446" s="153" t="s">
        <v>1212</v>
      </c>
      <c r="T446" s="154">
        <v>1.99</v>
      </c>
      <c r="U446" s="153" t="s">
        <v>2302</v>
      </c>
      <c r="V446" s="155">
        <v>3.0470000000000001E-2</v>
      </c>
      <c r="W446" s="155">
        <v>5.5800000000000002E-2</v>
      </c>
      <c r="X446" s="153" t="s">
        <v>412</v>
      </c>
      <c r="Y446" s="153" t="s">
        <v>339</v>
      </c>
      <c r="Z446" s="154">
        <v>197884.62</v>
      </c>
      <c r="AA446" s="154">
        <v>1</v>
      </c>
      <c r="AB446" s="154">
        <v>94.07</v>
      </c>
      <c r="AD446" s="154">
        <v>186.15</v>
      </c>
      <c r="AG446" s="157" t="s">
        <v>15</v>
      </c>
      <c r="AH446" s="155">
        <v>1.8000000000000001E-4</v>
      </c>
      <c r="AI446" s="155">
        <f t="shared" si="6"/>
        <v>4.6316420147530804E-2</v>
      </c>
      <c r="AJ446" s="155">
        <v>5.9051141567352085E-3</v>
      </c>
    </row>
    <row r="447" spans="1:36" s="160" customFormat="1">
      <c r="A447" s="153" t="s">
        <v>1213</v>
      </c>
      <c r="B447" s="160">
        <v>13499</v>
      </c>
      <c r="C447" s="153" t="s">
        <v>1512</v>
      </c>
      <c r="D447" s="153" t="s">
        <v>1513</v>
      </c>
      <c r="E447" s="153" t="s">
        <v>309</v>
      </c>
      <c r="F447" s="153" t="s">
        <v>2103</v>
      </c>
      <c r="G447" s="153" t="s">
        <v>2104</v>
      </c>
      <c r="H447" s="153" t="s">
        <v>321</v>
      </c>
      <c r="I447" s="153" t="s">
        <v>754</v>
      </c>
      <c r="J447" s="153" t="s">
        <v>204</v>
      </c>
      <c r="K447" s="153" t="s">
        <v>204</v>
      </c>
      <c r="L447" s="153" t="s">
        <v>325</v>
      </c>
      <c r="M447" s="153" t="s">
        <v>340</v>
      </c>
      <c r="N447" s="153" t="s">
        <v>448</v>
      </c>
      <c r="O447" s="153" t="s">
        <v>339</v>
      </c>
      <c r="P447" s="153" t="s">
        <v>1215</v>
      </c>
      <c r="Q447" s="153" t="s">
        <v>413</v>
      </c>
      <c r="R447" s="153" t="s">
        <v>407</v>
      </c>
      <c r="S447" s="153" t="s">
        <v>1212</v>
      </c>
      <c r="T447" s="154">
        <v>4.38</v>
      </c>
      <c r="U447" s="153" t="s">
        <v>2105</v>
      </c>
      <c r="V447" s="155">
        <v>1.7569999999999999E-2</v>
      </c>
      <c r="W447" s="155">
        <v>2.5700000000000001E-2</v>
      </c>
      <c r="X447" s="153" t="s">
        <v>412</v>
      </c>
      <c r="Y447" s="153" t="s">
        <v>339</v>
      </c>
      <c r="Z447" s="154">
        <v>180000</v>
      </c>
      <c r="AA447" s="154">
        <v>1</v>
      </c>
      <c r="AB447" s="154">
        <v>102.5</v>
      </c>
      <c r="AD447" s="154">
        <v>184.5</v>
      </c>
      <c r="AG447" s="157" t="s">
        <v>15</v>
      </c>
      <c r="AH447" s="155">
        <v>6.9999999999999994E-5</v>
      </c>
      <c r="AI447" s="155">
        <f t="shared" si="6"/>
        <v>4.5905879759438266E-2</v>
      </c>
      <c r="AJ447" s="155">
        <v>5.8527722907206333E-3</v>
      </c>
    </row>
    <row r="448" spans="1:36" s="160" customFormat="1">
      <c r="A448" s="153" t="s">
        <v>1213</v>
      </c>
      <c r="B448" s="160">
        <v>13499</v>
      </c>
      <c r="C448" s="153" t="s">
        <v>2136</v>
      </c>
      <c r="D448" s="153" t="s">
        <v>2137</v>
      </c>
      <c r="E448" s="153" t="s">
        <v>309</v>
      </c>
      <c r="F448" s="153" t="s">
        <v>2138</v>
      </c>
      <c r="G448" s="153" t="s">
        <v>2139</v>
      </c>
      <c r="H448" s="153" t="s">
        <v>321</v>
      </c>
      <c r="I448" s="153" t="s">
        <v>951</v>
      </c>
      <c r="J448" s="153" t="s">
        <v>204</v>
      </c>
      <c r="K448" s="153" t="s">
        <v>204</v>
      </c>
      <c r="L448" s="153" t="s">
        <v>325</v>
      </c>
      <c r="M448" s="153" t="s">
        <v>340</v>
      </c>
      <c r="N448" s="153" t="s">
        <v>440</v>
      </c>
      <c r="O448" s="153" t="s">
        <v>339</v>
      </c>
      <c r="P448" s="153" t="s">
        <v>1566</v>
      </c>
      <c r="Q448" s="153" t="s">
        <v>413</v>
      </c>
      <c r="R448" s="153" t="s">
        <v>407</v>
      </c>
      <c r="S448" s="153" t="s">
        <v>1212</v>
      </c>
      <c r="T448" s="154">
        <v>6.57</v>
      </c>
      <c r="U448" s="153" t="s">
        <v>2140</v>
      </c>
      <c r="V448" s="155">
        <v>4.9689999999999998E-2</v>
      </c>
      <c r="W448" s="155">
        <v>5.91E-2</v>
      </c>
      <c r="X448" s="153" t="s">
        <v>412</v>
      </c>
      <c r="Y448" s="153" t="s">
        <v>339</v>
      </c>
      <c r="Z448" s="154">
        <v>150000</v>
      </c>
      <c r="AA448" s="154">
        <v>1</v>
      </c>
      <c r="AB448" s="154">
        <v>102.78</v>
      </c>
      <c r="AD448" s="154">
        <v>154.16999999999999</v>
      </c>
      <c r="AG448" s="157" t="s">
        <v>15</v>
      </c>
      <c r="AH448" s="155">
        <v>7.5000000000000002E-4</v>
      </c>
      <c r="AI448" s="155">
        <f t="shared" si="6"/>
        <v>3.8359400989228166E-2</v>
      </c>
      <c r="AJ448" s="155">
        <v>4.8906336263436316E-3</v>
      </c>
    </row>
    <row r="449" spans="1:36" s="160" customFormat="1">
      <c r="A449" s="153" t="s">
        <v>1213</v>
      </c>
      <c r="B449" s="160">
        <v>13499</v>
      </c>
      <c r="C449" s="153" t="s">
        <v>2223</v>
      </c>
      <c r="D449" s="153" t="s">
        <v>2224</v>
      </c>
      <c r="E449" s="153" t="s">
        <v>309</v>
      </c>
      <c r="F449" s="153" t="s">
        <v>2225</v>
      </c>
      <c r="G449" s="153" t="s">
        <v>2226</v>
      </c>
      <c r="H449" s="153" t="s">
        <v>321</v>
      </c>
      <c r="I449" s="153" t="s">
        <v>951</v>
      </c>
      <c r="J449" s="153" t="s">
        <v>204</v>
      </c>
      <c r="K449" s="153" t="s">
        <v>204</v>
      </c>
      <c r="L449" s="153" t="s">
        <v>325</v>
      </c>
      <c r="M449" s="153" t="s">
        <v>340</v>
      </c>
      <c r="N449" s="153" t="s">
        <v>464</v>
      </c>
      <c r="O449" s="153" t="s">
        <v>339</v>
      </c>
      <c r="P449" s="153" t="s">
        <v>1538</v>
      </c>
      <c r="Q449" s="153" t="s">
        <v>413</v>
      </c>
      <c r="R449" s="153" t="s">
        <v>407</v>
      </c>
      <c r="S449" s="153" t="s">
        <v>1212</v>
      </c>
      <c r="T449" s="154">
        <v>4.58</v>
      </c>
      <c r="U449" s="153" t="s">
        <v>2227</v>
      </c>
      <c r="V449" s="155">
        <v>4.5839999999999999E-2</v>
      </c>
      <c r="W449" s="155">
        <v>5.6599999999999998E-2</v>
      </c>
      <c r="X449" s="153" t="s">
        <v>412</v>
      </c>
      <c r="Y449" s="153" t="s">
        <v>339</v>
      </c>
      <c r="Z449" s="154">
        <v>150000</v>
      </c>
      <c r="AA449" s="154">
        <v>1</v>
      </c>
      <c r="AB449" s="154">
        <v>98.12</v>
      </c>
      <c r="AD449" s="154">
        <v>147.18</v>
      </c>
      <c r="AG449" s="157" t="s">
        <v>15</v>
      </c>
      <c r="AH449" s="155">
        <v>5.0000000000000001E-4</v>
      </c>
      <c r="AI449" s="155">
        <f t="shared" si="6"/>
        <v>3.6620202617854335E-2</v>
      </c>
      <c r="AJ449" s="155">
        <v>4.6688944485000694E-3</v>
      </c>
    </row>
    <row r="450" spans="1:36" s="160" customFormat="1">
      <c r="A450" s="153" t="s">
        <v>1213</v>
      </c>
      <c r="B450" s="160">
        <v>13499</v>
      </c>
      <c r="C450" s="153" t="s">
        <v>2032</v>
      </c>
      <c r="D450" s="153" t="s">
        <v>2033</v>
      </c>
      <c r="E450" s="153" t="s">
        <v>309</v>
      </c>
      <c r="F450" s="153" t="s">
        <v>2193</v>
      </c>
      <c r="G450" s="153" t="s">
        <v>2194</v>
      </c>
      <c r="H450" s="153" t="s">
        <v>321</v>
      </c>
      <c r="I450" s="153" t="s">
        <v>951</v>
      </c>
      <c r="J450" s="153" t="s">
        <v>204</v>
      </c>
      <c r="K450" s="153" t="s">
        <v>204</v>
      </c>
      <c r="L450" s="153" t="s">
        <v>325</v>
      </c>
      <c r="M450" s="153" t="s">
        <v>340</v>
      </c>
      <c r="N450" s="153" t="s">
        <v>445</v>
      </c>
      <c r="O450" s="153" t="s">
        <v>339</v>
      </c>
      <c r="P450" s="153" t="s">
        <v>1538</v>
      </c>
      <c r="Q450" s="153" t="s">
        <v>413</v>
      </c>
      <c r="R450" s="153" t="s">
        <v>407</v>
      </c>
      <c r="S450" s="153" t="s">
        <v>1212</v>
      </c>
      <c r="T450" s="154">
        <v>5.05</v>
      </c>
      <c r="U450" s="153" t="s">
        <v>1717</v>
      </c>
      <c r="V450" s="155">
        <v>4.1590000000000002E-2</v>
      </c>
      <c r="W450" s="155">
        <v>5.6500000000000002E-2</v>
      </c>
      <c r="X450" s="153" t="s">
        <v>412</v>
      </c>
      <c r="Y450" s="153" t="s">
        <v>339</v>
      </c>
      <c r="Z450" s="154">
        <v>150000</v>
      </c>
      <c r="AA450" s="154">
        <v>1</v>
      </c>
      <c r="AB450" s="154">
        <v>95.86</v>
      </c>
      <c r="AD450" s="154">
        <v>143.79</v>
      </c>
      <c r="AG450" s="157" t="s">
        <v>15</v>
      </c>
      <c r="AH450" s="155">
        <v>2.9999999999999997E-4</v>
      </c>
      <c r="AI450" s="155">
        <f t="shared" si="6"/>
        <v>3.5776728729591478E-2</v>
      </c>
      <c r="AJ450" s="155">
        <v>4.5613557055973978E-3</v>
      </c>
    </row>
    <row r="451" spans="1:36" s="160" customFormat="1">
      <c r="A451" s="153" t="s">
        <v>1213</v>
      </c>
      <c r="B451" s="160">
        <v>13499</v>
      </c>
      <c r="C451" s="153" t="s">
        <v>1893</v>
      </c>
      <c r="D451" s="153" t="s">
        <v>1894</v>
      </c>
      <c r="E451" s="153" t="s">
        <v>309</v>
      </c>
      <c r="F451" s="153" t="s">
        <v>2619</v>
      </c>
      <c r="G451" s="153" t="s">
        <v>2620</v>
      </c>
      <c r="H451" s="153" t="s">
        <v>321</v>
      </c>
      <c r="I451" s="153" t="s">
        <v>754</v>
      </c>
      <c r="J451" s="153" t="s">
        <v>204</v>
      </c>
      <c r="K451" s="153" t="s">
        <v>204</v>
      </c>
      <c r="L451" s="153" t="s">
        <v>325</v>
      </c>
      <c r="M451" s="153" t="s">
        <v>340</v>
      </c>
      <c r="N451" s="153" t="s">
        <v>464</v>
      </c>
      <c r="O451" s="153" t="s">
        <v>339</v>
      </c>
      <c r="P451" s="153" t="s">
        <v>1566</v>
      </c>
      <c r="Q451" s="153" t="s">
        <v>413</v>
      </c>
      <c r="R451" s="153" t="s">
        <v>407</v>
      </c>
      <c r="S451" s="153" t="s">
        <v>1212</v>
      </c>
      <c r="T451" s="154">
        <v>1.72</v>
      </c>
      <c r="U451" s="153" t="s">
        <v>1343</v>
      </c>
      <c r="V451" s="155">
        <v>2.46E-2</v>
      </c>
      <c r="W451" s="155">
        <v>2.4199999999999999E-2</v>
      </c>
      <c r="X451" s="153" t="s">
        <v>412</v>
      </c>
      <c r="Y451" s="153" t="s">
        <v>339</v>
      </c>
      <c r="Z451" s="154">
        <v>125167</v>
      </c>
      <c r="AA451" s="154">
        <v>1</v>
      </c>
      <c r="AB451" s="154">
        <v>113.95</v>
      </c>
      <c r="AD451" s="154">
        <v>142.62799999999999</v>
      </c>
      <c r="AG451" s="157" t="s">
        <v>15</v>
      </c>
      <c r="AH451" s="155">
        <v>1.6000000000000001E-4</v>
      </c>
      <c r="AI451" s="155">
        <f t="shared" ref="AI451:AI514" si="7">AD451/SUMIF(B:B,B451,AD:AD)</f>
        <v>3.5487608771431763E-2</v>
      </c>
      <c r="AJ451" s="155">
        <v>4.5244943429859213E-3</v>
      </c>
    </row>
    <row r="452" spans="1:36" s="160" customFormat="1">
      <c r="A452" s="153" t="s">
        <v>1213</v>
      </c>
      <c r="B452" s="160">
        <v>13499</v>
      </c>
      <c r="C452" s="153" t="s">
        <v>2228</v>
      </c>
      <c r="D452" s="153" t="s">
        <v>2229</v>
      </c>
      <c r="E452" s="153" t="s">
        <v>309</v>
      </c>
      <c r="F452" s="153" t="s">
        <v>2230</v>
      </c>
      <c r="G452" s="153" t="s">
        <v>2231</v>
      </c>
      <c r="H452" s="153" t="s">
        <v>321</v>
      </c>
      <c r="I452" s="153" t="s">
        <v>951</v>
      </c>
      <c r="J452" s="153" t="s">
        <v>204</v>
      </c>
      <c r="K452" s="153" t="s">
        <v>204</v>
      </c>
      <c r="L452" s="153" t="s">
        <v>325</v>
      </c>
      <c r="M452" s="153" t="s">
        <v>340</v>
      </c>
      <c r="N452" s="153" t="s">
        <v>441</v>
      </c>
      <c r="O452" s="153" t="s">
        <v>339</v>
      </c>
      <c r="P452" s="153" t="s">
        <v>1614</v>
      </c>
      <c r="Q452" s="153" t="s">
        <v>415</v>
      </c>
      <c r="R452" s="153" t="s">
        <v>407</v>
      </c>
      <c r="S452" s="153" t="s">
        <v>1212</v>
      </c>
      <c r="T452" s="154">
        <v>1.74</v>
      </c>
      <c r="U452" s="153" t="s">
        <v>2232</v>
      </c>
      <c r="V452" s="155">
        <v>4.0090000000000001E-2</v>
      </c>
      <c r="W452" s="155">
        <v>5.7200000000000001E-2</v>
      </c>
      <c r="X452" s="153" t="s">
        <v>412</v>
      </c>
      <c r="Y452" s="153" t="s">
        <v>339</v>
      </c>
      <c r="Z452" s="154">
        <v>138529.41</v>
      </c>
      <c r="AA452" s="154">
        <v>1</v>
      </c>
      <c r="AB452" s="154">
        <v>96.61</v>
      </c>
      <c r="AD452" s="154">
        <v>133.833</v>
      </c>
      <c r="AG452" s="157" t="s">
        <v>15</v>
      </c>
      <c r="AH452" s="155">
        <v>2.2000000000000001E-4</v>
      </c>
      <c r="AI452" s="155">
        <f t="shared" si="7"/>
        <v>3.3299304096720335E-2</v>
      </c>
      <c r="AJ452" s="155">
        <v>4.2454963359567187E-3</v>
      </c>
    </row>
    <row r="453" spans="1:36" s="160" customFormat="1">
      <c r="A453" s="153" t="s">
        <v>1213</v>
      </c>
      <c r="B453" s="160">
        <v>13499</v>
      </c>
      <c r="C453" s="153" t="s">
        <v>2178</v>
      </c>
      <c r="D453" s="153" t="s">
        <v>2179</v>
      </c>
      <c r="E453" s="153" t="s">
        <v>309</v>
      </c>
      <c r="F453" s="153" t="s">
        <v>2189</v>
      </c>
      <c r="G453" s="153" t="s">
        <v>2190</v>
      </c>
      <c r="H453" s="153" t="s">
        <v>321</v>
      </c>
      <c r="I453" s="153" t="s">
        <v>951</v>
      </c>
      <c r="J453" s="153" t="s">
        <v>204</v>
      </c>
      <c r="K453" s="153" t="s">
        <v>204</v>
      </c>
      <c r="L453" s="153" t="s">
        <v>325</v>
      </c>
      <c r="M453" s="153" t="s">
        <v>340</v>
      </c>
      <c r="N453" s="153" t="s">
        <v>464</v>
      </c>
      <c r="O453" s="153" t="s">
        <v>339</v>
      </c>
      <c r="P453" s="153" t="s">
        <v>1566</v>
      </c>
      <c r="Q453" s="153" t="s">
        <v>413</v>
      </c>
      <c r="R453" s="153" t="s">
        <v>407</v>
      </c>
      <c r="S453" s="153" t="s">
        <v>1212</v>
      </c>
      <c r="T453" s="154">
        <v>6.24</v>
      </c>
      <c r="U453" s="153" t="s">
        <v>2182</v>
      </c>
      <c r="V453" s="155">
        <v>5.7070000000000003E-2</v>
      </c>
      <c r="W453" s="155">
        <v>6.6799999999999998E-2</v>
      </c>
      <c r="X453" s="153" t="s">
        <v>412</v>
      </c>
      <c r="Y453" s="153" t="s">
        <v>339</v>
      </c>
      <c r="Z453" s="154">
        <v>142019</v>
      </c>
      <c r="AA453" s="154">
        <v>1</v>
      </c>
      <c r="AB453" s="154">
        <v>92.67</v>
      </c>
      <c r="AD453" s="154">
        <v>131.60900000000001</v>
      </c>
      <c r="AG453" s="157" t="s">
        <v>15</v>
      </c>
      <c r="AH453" s="155">
        <v>1.6000000000000001E-4</v>
      </c>
      <c r="AI453" s="155">
        <f t="shared" si="7"/>
        <v>3.2745945416042879E-2</v>
      </c>
      <c r="AJ453" s="155">
        <v>4.1749458450376798E-3</v>
      </c>
    </row>
    <row r="454" spans="1:36" s="160" customFormat="1">
      <c r="A454" s="153" t="s">
        <v>1213</v>
      </c>
      <c r="B454" s="160">
        <v>13499</v>
      </c>
      <c r="C454" s="153" t="s">
        <v>2145</v>
      </c>
      <c r="D454" s="153" t="s">
        <v>2146</v>
      </c>
      <c r="E454" s="153" t="s">
        <v>309</v>
      </c>
      <c r="F454" s="153" t="s">
        <v>2147</v>
      </c>
      <c r="G454" s="153" t="s">
        <v>2148</v>
      </c>
      <c r="H454" s="153" t="s">
        <v>321</v>
      </c>
      <c r="I454" s="153" t="s">
        <v>951</v>
      </c>
      <c r="J454" s="153" t="s">
        <v>204</v>
      </c>
      <c r="K454" s="153" t="s">
        <v>204</v>
      </c>
      <c r="L454" s="153" t="s">
        <v>325</v>
      </c>
      <c r="M454" s="153" t="s">
        <v>340</v>
      </c>
      <c r="N454" s="153" t="s">
        <v>445</v>
      </c>
      <c r="O454" s="153" t="s">
        <v>339</v>
      </c>
      <c r="P454" s="153" t="s">
        <v>1566</v>
      </c>
      <c r="Q454" s="153" t="s">
        <v>413</v>
      </c>
      <c r="R454" s="153" t="s">
        <v>407</v>
      </c>
      <c r="S454" s="153" t="s">
        <v>1212</v>
      </c>
      <c r="T454" s="154">
        <v>3.15</v>
      </c>
      <c r="U454" s="153" t="s">
        <v>2149</v>
      </c>
      <c r="V454" s="155">
        <v>0.03</v>
      </c>
      <c r="W454" s="155">
        <v>5.4800000000000001E-2</v>
      </c>
      <c r="X454" s="153" t="s">
        <v>412</v>
      </c>
      <c r="Y454" s="153" t="s">
        <v>339</v>
      </c>
      <c r="Z454" s="154">
        <v>120000</v>
      </c>
      <c r="AA454" s="154">
        <v>1</v>
      </c>
      <c r="AB454" s="154">
        <v>100.38</v>
      </c>
      <c r="AD454" s="154">
        <v>120.456</v>
      </c>
      <c r="AG454" s="157" t="s">
        <v>15</v>
      </c>
      <c r="AH454" s="155">
        <v>1.2999999999999999E-4</v>
      </c>
      <c r="AI454" s="155">
        <f t="shared" si="7"/>
        <v>2.9970941204893745E-2</v>
      </c>
      <c r="AJ454" s="155">
        <v>3.8211465531221931E-3</v>
      </c>
    </row>
    <row r="455" spans="1:36" s="160" customFormat="1">
      <c r="A455" s="153" t="s">
        <v>1213</v>
      </c>
      <c r="B455" s="160">
        <v>13499</v>
      </c>
      <c r="C455" s="153" t="s">
        <v>1861</v>
      </c>
      <c r="D455" s="153" t="s">
        <v>1862</v>
      </c>
      <c r="E455" s="153" t="s">
        <v>309</v>
      </c>
      <c r="F455" s="153" t="s">
        <v>2117</v>
      </c>
      <c r="G455" s="153" t="s">
        <v>2118</v>
      </c>
      <c r="H455" s="153" t="s">
        <v>321</v>
      </c>
      <c r="I455" s="153" t="s">
        <v>754</v>
      </c>
      <c r="J455" s="153" t="s">
        <v>204</v>
      </c>
      <c r="K455" s="153" t="s">
        <v>204</v>
      </c>
      <c r="L455" s="153" t="s">
        <v>325</v>
      </c>
      <c r="M455" s="153" t="s">
        <v>340</v>
      </c>
      <c r="N455" s="153" t="s">
        <v>464</v>
      </c>
      <c r="O455" s="153" t="s">
        <v>339</v>
      </c>
      <c r="P455" s="153" t="s">
        <v>1538</v>
      </c>
      <c r="Q455" s="153" t="s">
        <v>413</v>
      </c>
      <c r="R455" s="153" t="s">
        <v>407</v>
      </c>
      <c r="S455" s="153" t="s">
        <v>1212</v>
      </c>
      <c r="T455" s="154">
        <v>3.89</v>
      </c>
      <c r="U455" s="153" t="s">
        <v>2119</v>
      </c>
      <c r="V455" s="155">
        <v>2.5729999999999999E-2</v>
      </c>
      <c r="W455" s="155">
        <v>2.9600000000000001E-2</v>
      </c>
      <c r="X455" s="153" t="s">
        <v>412</v>
      </c>
      <c r="Y455" s="153" t="s">
        <v>339</v>
      </c>
      <c r="Z455" s="154">
        <v>100806.27</v>
      </c>
      <c r="AA455" s="154">
        <v>1</v>
      </c>
      <c r="AB455" s="154">
        <v>114.42</v>
      </c>
      <c r="AD455" s="154">
        <v>115.343</v>
      </c>
      <c r="AG455" s="157" t="s">
        <v>15</v>
      </c>
      <c r="AH455" s="155">
        <v>9.0000000000000006E-5</v>
      </c>
      <c r="AI455" s="155">
        <f t="shared" si="7"/>
        <v>2.869876362651972E-2</v>
      </c>
      <c r="AJ455" s="155">
        <v>3.6589502131630898E-3</v>
      </c>
    </row>
    <row r="456" spans="1:36" s="160" customFormat="1">
      <c r="A456" s="153" t="s">
        <v>1213</v>
      </c>
      <c r="B456" s="160">
        <v>13499</v>
      </c>
      <c r="C456" s="153" t="s">
        <v>1512</v>
      </c>
      <c r="D456" s="153" t="s">
        <v>1513</v>
      </c>
      <c r="E456" s="153" t="s">
        <v>309</v>
      </c>
      <c r="F456" s="153" t="s">
        <v>1898</v>
      </c>
      <c r="G456" s="153" t="s">
        <v>1899</v>
      </c>
      <c r="H456" s="153" t="s">
        <v>321</v>
      </c>
      <c r="I456" s="153" t="s">
        <v>754</v>
      </c>
      <c r="J456" s="153" t="s">
        <v>204</v>
      </c>
      <c r="K456" s="153" t="s">
        <v>204</v>
      </c>
      <c r="L456" s="153" t="s">
        <v>325</v>
      </c>
      <c r="M456" s="153" t="s">
        <v>340</v>
      </c>
      <c r="N456" s="153" t="s">
        <v>448</v>
      </c>
      <c r="O456" s="153" t="s">
        <v>339</v>
      </c>
      <c r="P456" s="153" t="s">
        <v>1215</v>
      </c>
      <c r="Q456" s="153" t="s">
        <v>413</v>
      </c>
      <c r="R456" s="153" t="s">
        <v>407</v>
      </c>
      <c r="S456" s="153" t="s">
        <v>1212</v>
      </c>
      <c r="T456" s="154">
        <v>3.43</v>
      </c>
      <c r="U456" s="153" t="s">
        <v>1900</v>
      </c>
      <c r="V456" s="155">
        <v>2.4049999999999998E-2</v>
      </c>
      <c r="W456" s="155">
        <v>2.4799999999999999E-2</v>
      </c>
      <c r="X456" s="153" t="s">
        <v>412</v>
      </c>
      <c r="Y456" s="153" t="s">
        <v>339</v>
      </c>
      <c r="Z456" s="154">
        <v>100000</v>
      </c>
      <c r="AA456" s="154">
        <v>1</v>
      </c>
      <c r="AB456" s="154">
        <v>102.63</v>
      </c>
      <c r="AD456" s="154">
        <v>102.63</v>
      </c>
      <c r="AG456" s="157" t="s">
        <v>15</v>
      </c>
      <c r="AH456" s="155">
        <v>4.0000000000000003E-5</v>
      </c>
      <c r="AI456" s="155">
        <f t="shared" si="7"/>
        <v>2.5535612139355821E-2</v>
      </c>
      <c r="AJ456" s="155">
        <v>3.2556640661065505E-3</v>
      </c>
    </row>
    <row r="457" spans="1:36" s="160" customFormat="1">
      <c r="A457" s="153" t="s">
        <v>1213</v>
      </c>
      <c r="B457" s="160">
        <v>13499</v>
      </c>
      <c r="C457" s="153" t="s">
        <v>2141</v>
      </c>
      <c r="D457" s="153" t="s">
        <v>2142</v>
      </c>
      <c r="E457" s="153" t="s">
        <v>309</v>
      </c>
      <c r="F457" s="153" t="s">
        <v>2143</v>
      </c>
      <c r="G457" s="153" t="s">
        <v>2144</v>
      </c>
      <c r="H457" s="153" t="s">
        <v>321</v>
      </c>
      <c r="I457" s="153" t="s">
        <v>951</v>
      </c>
      <c r="J457" s="153" t="s">
        <v>204</v>
      </c>
      <c r="K457" s="153" t="s">
        <v>204</v>
      </c>
      <c r="L457" s="153" t="s">
        <v>325</v>
      </c>
      <c r="M457" s="153" t="s">
        <v>340</v>
      </c>
      <c r="N457" s="153" t="s">
        <v>475</v>
      </c>
      <c r="O457" s="153" t="s">
        <v>339</v>
      </c>
      <c r="P457" s="153" t="s">
        <v>1566</v>
      </c>
      <c r="Q457" s="153" t="s">
        <v>413</v>
      </c>
      <c r="R457" s="153" t="s">
        <v>407</v>
      </c>
      <c r="S457" s="153" t="s">
        <v>1212</v>
      </c>
      <c r="T457" s="154">
        <v>2.79</v>
      </c>
      <c r="U457" s="153" t="s">
        <v>1913</v>
      </c>
      <c r="V457" s="155">
        <v>5.2449999999999997E-2</v>
      </c>
      <c r="W457" s="155">
        <v>5.8400000000000001E-2</v>
      </c>
      <c r="X457" s="153" t="s">
        <v>412</v>
      </c>
      <c r="Y457" s="153" t="s">
        <v>339</v>
      </c>
      <c r="Z457" s="154">
        <v>111000</v>
      </c>
      <c r="AA457" s="154">
        <v>1</v>
      </c>
      <c r="AB457" s="154">
        <v>90.77</v>
      </c>
      <c r="AD457" s="154">
        <v>100.755</v>
      </c>
      <c r="AG457" s="157" t="s">
        <v>15</v>
      </c>
      <c r="AH457" s="155">
        <v>1.9000000000000001E-4</v>
      </c>
      <c r="AI457" s="155">
        <f t="shared" si="7"/>
        <v>2.5069088971068847E-2</v>
      </c>
      <c r="AJ457" s="155">
        <v>3.1961846729081701E-3</v>
      </c>
    </row>
    <row r="458" spans="1:36" s="160" customFormat="1">
      <c r="A458" s="153" t="s">
        <v>1213</v>
      </c>
      <c r="B458" s="160">
        <v>13499</v>
      </c>
      <c r="C458" s="153" t="s">
        <v>2110</v>
      </c>
      <c r="D458" s="153" t="s">
        <v>2111</v>
      </c>
      <c r="E458" s="153" t="s">
        <v>309</v>
      </c>
      <c r="F458" s="153" t="s">
        <v>2115</v>
      </c>
      <c r="G458" s="153" t="s">
        <v>2116</v>
      </c>
      <c r="H458" s="153" t="s">
        <v>321</v>
      </c>
      <c r="I458" s="153" t="s">
        <v>754</v>
      </c>
      <c r="J458" s="153" t="s">
        <v>204</v>
      </c>
      <c r="K458" s="153" t="s">
        <v>204</v>
      </c>
      <c r="L458" s="153" t="s">
        <v>325</v>
      </c>
      <c r="M458" s="153" t="s">
        <v>340</v>
      </c>
      <c r="N458" s="153" t="s">
        <v>465</v>
      </c>
      <c r="O458" s="153" t="s">
        <v>339</v>
      </c>
      <c r="P458" s="153" t="s">
        <v>1538</v>
      </c>
      <c r="Q458" s="153" t="s">
        <v>413</v>
      </c>
      <c r="R458" s="153" t="s">
        <v>407</v>
      </c>
      <c r="S458" s="153" t="s">
        <v>1212</v>
      </c>
      <c r="T458" s="154">
        <v>2.95</v>
      </c>
      <c r="U458" s="153" t="s">
        <v>1951</v>
      </c>
      <c r="V458" s="155">
        <v>2.8299999999999999E-2</v>
      </c>
      <c r="W458" s="155">
        <v>2.63E-2</v>
      </c>
      <c r="X458" s="153" t="s">
        <v>412</v>
      </c>
      <c r="Y458" s="153" t="s">
        <v>339</v>
      </c>
      <c r="Z458" s="154">
        <v>93642.12</v>
      </c>
      <c r="AA458" s="154">
        <v>1</v>
      </c>
      <c r="AB458" s="154">
        <v>105.76</v>
      </c>
      <c r="AC458" s="154">
        <v>1.33</v>
      </c>
      <c r="AD458" s="154">
        <v>100.366</v>
      </c>
      <c r="AG458" s="157" t="s">
        <v>15</v>
      </c>
      <c r="AH458" s="155">
        <v>1.3999999999999999E-4</v>
      </c>
      <c r="AI458" s="155">
        <f t="shared" si="7"/>
        <v>2.4972300964421577E-2</v>
      </c>
      <c r="AJ458" s="155">
        <v>3.1838446814659465E-3</v>
      </c>
    </row>
    <row r="459" spans="1:36" s="160" customFormat="1">
      <c r="A459" s="153" t="s">
        <v>1213</v>
      </c>
      <c r="B459" s="160">
        <v>13499</v>
      </c>
      <c r="C459" s="153" t="s">
        <v>2361</v>
      </c>
      <c r="D459" s="153" t="s">
        <v>2362</v>
      </c>
      <c r="E459" s="153" t="s">
        <v>309</v>
      </c>
      <c r="F459" s="153" t="s">
        <v>2522</v>
      </c>
      <c r="G459" s="153" t="s">
        <v>2523</v>
      </c>
      <c r="H459" s="153" t="s">
        <v>321</v>
      </c>
      <c r="I459" s="153" t="s">
        <v>755</v>
      </c>
      <c r="J459" s="153" t="s">
        <v>204</v>
      </c>
      <c r="K459" s="153" t="s">
        <v>204</v>
      </c>
      <c r="L459" s="153" t="s">
        <v>325</v>
      </c>
      <c r="M459" s="153" t="s">
        <v>340</v>
      </c>
      <c r="N459" s="153" t="s">
        <v>446</v>
      </c>
      <c r="O459" s="153" t="s">
        <v>339</v>
      </c>
      <c r="P459" s="153" t="s">
        <v>1538</v>
      </c>
      <c r="Q459" s="153" t="s">
        <v>413</v>
      </c>
      <c r="R459" s="153" t="s">
        <v>407</v>
      </c>
      <c r="S459" s="153" t="s">
        <v>1212</v>
      </c>
      <c r="T459" s="154">
        <v>2.58</v>
      </c>
      <c r="U459" s="153" t="s">
        <v>1587</v>
      </c>
      <c r="V459" s="155">
        <v>5.4800000000000001E-2</v>
      </c>
      <c r="W459" s="155">
        <v>5.79E-2</v>
      </c>
      <c r="X459" s="153" t="s">
        <v>412</v>
      </c>
      <c r="Y459" s="153" t="s">
        <v>339</v>
      </c>
      <c r="Z459" s="154">
        <v>93195.72</v>
      </c>
      <c r="AA459" s="154">
        <v>1</v>
      </c>
      <c r="AB459" s="154">
        <v>104.36</v>
      </c>
      <c r="AD459" s="154">
        <v>97.259</v>
      </c>
      <c r="AG459" s="157" t="s">
        <v>15</v>
      </c>
      <c r="AH459" s="155">
        <v>7.5000000000000002E-4</v>
      </c>
      <c r="AI459" s="155">
        <f t="shared" si="7"/>
        <v>2.4199240973025511E-2</v>
      </c>
      <c r="AJ459" s="155">
        <v>3.0852833616433501E-3</v>
      </c>
    </row>
    <row r="460" spans="1:36" s="160" customFormat="1">
      <c r="A460" s="153" t="s">
        <v>1213</v>
      </c>
      <c r="B460" s="160">
        <v>13499</v>
      </c>
      <c r="C460" s="153" t="s">
        <v>2428</v>
      </c>
      <c r="D460" s="153" t="s">
        <v>2429</v>
      </c>
      <c r="E460" s="153" t="s">
        <v>309</v>
      </c>
      <c r="F460" s="153" t="s">
        <v>2430</v>
      </c>
      <c r="G460" s="153" t="s">
        <v>2431</v>
      </c>
      <c r="H460" s="153" t="s">
        <v>321</v>
      </c>
      <c r="I460" s="153" t="s">
        <v>755</v>
      </c>
      <c r="J460" s="153" t="s">
        <v>204</v>
      </c>
      <c r="K460" s="153" t="s">
        <v>204</v>
      </c>
      <c r="L460" s="153" t="s">
        <v>325</v>
      </c>
      <c r="M460" s="153" t="s">
        <v>340</v>
      </c>
      <c r="N460" s="153" t="s">
        <v>454</v>
      </c>
      <c r="O460" s="153" t="s">
        <v>339</v>
      </c>
      <c r="P460" s="153" t="s">
        <v>1538</v>
      </c>
      <c r="Q460" s="153" t="s">
        <v>413</v>
      </c>
      <c r="R460" s="153" t="s">
        <v>407</v>
      </c>
      <c r="S460" s="153" t="s">
        <v>1212</v>
      </c>
      <c r="T460" s="154">
        <v>0.5</v>
      </c>
      <c r="U460" s="153" t="s">
        <v>2432</v>
      </c>
      <c r="V460" s="155">
        <v>6.2689999999999996E-2</v>
      </c>
      <c r="W460" s="155">
        <v>8.8599999999999998E-2</v>
      </c>
      <c r="X460" s="153" t="s">
        <v>412</v>
      </c>
      <c r="Y460" s="153" t="s">
        <v>339</v>
      </c>
      <c r="Z460" s="154">
        <v>86188.42</v>
      </c>
      <c r="AA460" s="154">
        <v>1</v>
      </c>
      <c r="AB460" s="154">
        <v>102.3</v>
      </c>
      <c r="AD460" s="154">
        <v>88.171000000000006</v>
      </c>
      <c r="AG460" s="157" t="s">
        <v>15</v>
      </c>
      <c r="AH460" s="155">
        <v>1.7000000000000001E-4</v>
      </c>
      <c r="AI460" s="155">
        <f t="shared" si="7"/>
        <v>2.1938034277883101E-2</v>
      </c>
      <c r="AJ460" s="155">
        <v>2.7969907081036804E-3</v>
      </c>
    </row>
    <row r="461" spans="1:36" s="160" customFormat="1">
      <c r="A461" s="153" t="s">
        <v>1213</v>
      </c>
      <c r="B461" s="160">
        <v>13499</v>
      </c>
      <c r="C461" s="153" t="s">
        <v>2178</v>
      </c>
      <c r="D461" s="153" t="s">
        <v>2179</v>
      </c>
      <c r="E461" s="153" t="s">
        <v>309</v>
      </c>
      <c r="F461" s="153" t="s">
        <v>2180</v>
      </c>
      <c r="G461" s="153" t="s">
        <v>2181</v>
      </c>
      <c r="H461" s="153" t="s">
        <v>321</v>
      </c>
      <c r="I461" s="153" t="s">
        <v>754</v>
      </c>
      <c r="J461" s="153" t="s">
        <v>204</v>
      </c>
      <c r="K461" s="153" t="s">
        <v>204</v>
      </c>
      <c r="L461" s="153" t="s">
        <v>325</v>
      </c>
      <c r="M461" s="153" t="s">
        <v>340</v>
      </c>
      <c r="N461" s="153" t="s">
        <v>464</v>
      </c>
      <c r="O461" s="153" t="s">
        <v>339</v>
      </c>
      <c r="P461" s="153" t="s">
        <v>1566</v>
      </c>
      <c r="Q461" s="153" t="s">
        <v>413</v>
      </c>
      <c r="R461" s="153" t="s">
        <v>407</v>
      </c>
      <c r="S461" s="153" t="s">
        <v>1212</v>
      </c>
      <c r="T461" s="154">
        <v>6.91</v>
      </c>
      <c r="U461" s="153" t="s">
        <v>2182</v>
      </c>
      <c r="V461" s="155">
        <v>2.307E-2</v>
      </c>
      <c r="W461" s="155">
        <v>4.2299999999999997E-2</v>
      </c>
      <c r="X461" s="153" t="s">
        <v>412</v>
      </c>
      <c r="Y461" s="153" t="s">
        <v>339</v>
      </c>
      <c r="Z461" s="154">
        <v>90000</v>
      </c>
      <c r="AA461" s="154">
        <v>1</v>
      </c>
      <c r="AB461" s="154">
        <v>97.49</v>
      </c>
      <c r="AD461" s="154">
        <v>87.741</v>
      </c>
      <c r="AG461" s="157" t="s">
        <v>15</v>
      </c>
      <c r="AH461" s="155">
        <v>9.0000000000000006E-5</v>
      </c>
      <c r="AI461" s="155">
        <f t="shared" si="7"/>
        <v>2.1831044964622619E-2</v>
      </c>
      <c r="AJ461" s="155">
        <v>2.7833501005968516E-3</v>
      </c>
    </row>
    <row r="462" spans="1:36" s="160" customFormat="1">
      <c r="A462" s="153" t="s">
        <v>1213</v>
      </c>
      <c r="B462" s="160">
        <v>13499</v>
      </c>
      <c r="C462" s="153" t="s">
        <v>2150</v>
      </c>
      <c r="D462" s="153" t="s">
        <v>2151</v>
      </c>
      <c r="E462" s="153" t="s">
        <v>309</v>
      </c>
      <c r="F462" s="153" t="s">
        <v>2191</v>
      </c>
      <c r="G462" s="153" t="s">
        <v>2192</v>
      </c>
      <c r="H462" s="153" t="s">
        <v>321</v>
      </c>
      <c r="I462" s="153" t="s">
        <v>951</v>
      </c>
      <c r="J462" s="153" t="s">
        <v>204</v>
      </c>
      <c r="K462" s="153" t="s">
        <v>204</v>
      </c>
      <c r="L462" s="153" t="s">
        <v>325</v>
      </c>
      <c r="M462" s="153" t="s">
        <v>340</v>
      </c>
      <c r="N462" s="153" t="s">
        <v>477</v>
      </c>
      <c r="O462" s="153" t="s">
        <v>339</v>
      </c>
      <c r="P462" s="153" t="s">
        <v>1538</v>
      </c>
      <c r="Q462" s="153" t="s">
        <v>413</v>
      </c>
      <c r="R462" s="153" t="s">
        <v>407</v>
      </c>
      <c r="S462" s="153" t="s">
        <v>1212</v>
      </c>
      <c r="T462" s="154">
        <v>3.31</v>
      </c>
      <c r="U462" s="153" t="s">
        <v>2154</v>
      </c>
      <c r="V462" s="155">
        <v>4.7690000000000003E-2</v>
      </c>
      <c r="W462" s="155">
        <v>5.8299999999999998E-2</v>
      </c>
      <c r="X462" s="153" t="s">
        <v>412</v>
      </c>
      <c r="Y462" s="153" t="s">
        <v>339</v>
      </c>
      <c r="Z462" s="154">
        <v>88757.6</v>
      </c>
      <c r="AA462" s="154">
        <v>1</v>
      </c>
      <c r="AB462" s="154">
        <v>96.43</v>
      </c>
      <c r="AD462" s="154">
        <v>85.588999999999999</v>
      </c>
      <c r="AG462" s="157" t="s">
        <v>15</v>
      </c>
      <c r="AH462" s="155">
        <v>1.2999999999999999E-4</v>
      </c>
      <c r="AI462" s="155">
        <f t="shared" si="7"/>
        <v>2.1295600773607381E-2</v>
      </c>
      <c r="AJ462" s="155">
        <v>2.7150836183766304E-3</v>
      </c>
    </row>
    <row r="463" spans="1:36" s="160" customFormat="1">
      <c r="A463" s="153" t="s">
        <v>1213</v>
      </c>
      <c r="B463" s="160">
        <v>13499</v>
      </c>
      <c r="C463" s="153" t="s">
        <v>1573</v>
      </c>
      <c r="D463" s="153" t="s">
        <v>1574</v>
      </c>
      <c r="E463" s="153" t="s">
        <v>309</v>
      </c>
      <c r="F463" s="153" t="s">
        <v>2277</v>
      </c>
      <c r="G463" s="153" t="s">
        <v>2278</v>
      </c>
      <c r="H463" s="153" t="s">
        <v>321</v>
      </c>
      <c r="I463" s="153" t="s">
        <v>754</v>
      </c>
      <c r="J463" s="153" t="s">
        <v>204</v>
      </c>
      <c r="K463" s="153" t="s">
        <v>204</v>
      </c>
      <c r="L463" s="153" t="s">
        <v>325</v>
      </c>
      <c r="M463" s="153" t="s">
        <v>340</v>
      </c>
      <c r="N463" s="153" t="s">
        <v>448</v>
      </c>
      <c r="O463" s="153" t="s">
        <v>339</v>
      </c>
      <c r="P463" s="153" t="s">
        <v>1215</v>
      </c>
      <c r="Q463" s="153" t="s">
        <v>413</v>
      </c>
      <c r="R463" s="153" t="s">
        <v>407</v>
      </c>
      <c r="S463" s="153" t="s">
        <v>1212</v>
      </c>
      <c r="T463" s="154">
        <v>3.14</v>
      </c>
      <c r="U463" s="153" t="s">
        <v>2279</v>
      </c>
      <c r="V463" s="155">
        <v>2.2630000000000001E-2</v>
      </c>
      <c r="W463" s="155">
        <v>2.3099999999999999E-2</v>
      </c>
      <c r="X463" s="153" t="s">
        <v>412</v>
      </c>
      <c r="Y463" s="153" t="s">
        <v>339</v>
      </c>
      <c r="Z463" s="154">
        <v>80000</v>
      </c>
      <c r="AA463" s="154">
        <v>1</v>
      </c>
      <c r="AB463" s="154">
        <v>105.15</v>
      </c>
      <c r="AD463" s="154">
        <v>84.12</v>
      </c>
      <c r="AG463" s="157" t="s">
        <v>15</v>
      </c>
      <c r="AH463" s="155">
        <v>3.0000000000000001E-5</v>
      </c>
      <c r="AI463" s="155">
        <f t="shared" si="7"/>
        <v>2.0930095422026816E-2</v>
      </c>
      <c r="AJ463" s="155">
        <v>2.6684834964521395E-3</v>
      </c>
    </row>
    <row r="464" spans="1:36" s="160" customFormat="1">
      <c r="A464" s="153" t="s">
        <v>1213</v>
      </c>
      <c r="B464" s="160">
        <v>13499</v>
      </c>
      <c r="C464" s="153" t="s">
        <v>2203</v>
      </c>
      <c r="D464" s="153" t="s">
        <v>2204</v>
      </c>
      <c r="E464" s="153" t="s">
        <v>309</v>
      </c>
      <c r="F464" s="153" t="s">
        <v>2205</v>
      </c>
      <c r="G464" s="153" t="s">
        <v>2206</v>
      </c>
      <c r="H464" s="153" t="s">
        <v>321</v>
      </c>
      <c r="I464" s="153" t="s">
        <v>951</v>
      </c>
      <c r="J464" s="153" t="s">
        <v>204</v>
      </c>
      <c r="K464" s="153" t="s">
        <v>204</v>
      </c>
      <c r="L464" s="153" t="s">
        <v>325</v>
      </c>
      <c r="M464" s="153" t="s">
        <v>340</v>
      </c>
      <c r="N464" s="153" t="s">
        <v>459</v>
      </c>
      <c r="O464" s="153" t="s">
        <v>339</v>
      </c>
      <c r="P464" s="153" t="s">
        <v>1811</v>
      </c>
      <c r="Q464" s="153" t="s">
        <v>413</v>
      </c>
      <c r="R464" s="153" t="s">
        <v>407</v>
      </c>
      <c r="S464" s="153" t="s">
        <v>1212</v>
      </c>
      <c r="T464" s="154">
        <v>6.19</v>
      </c>
      <c r="U464" s="153" t="s">
        <v>2207</v>
      </c>
      <c r="V464" s="155">
        <v>4.0480000000000002E-2</v>
      </c>
      <c r="W464" s="155">
        <v>5.5800000000000002E-2</v>
      </c>
      <c r="X464" s="153" t="s">
        <v>412</v>
      </c>
      <c r="Y464" s="153" t="s">
        <v>339</v>
      </c>
      <c r="Z464" s="154">
        <v>104500</v>
      </c>
      <c r="AA464" s="154">
        <v>1</v>
      </c>
      <c r="AB464" s="154">
        <v>80.06</v>
      </c>
      <c r="AD464" s="154">
        <v>83.662999999999997</v>
      </c>
      <c r="AG464" s="157" t="s">
        <v>15</v>
      </c>
      <c r="AH464" s="155">
        <v>1E-4</v>
      </c>
      <c r="AI464" s="155">
        <f t="shared" si="7"/>
        <v>2.0816388175143002E-2</v>
      </c>
      <c r="AJ464" s="155">
        <v>2.6539863856832537E-3</v>
      </c>
    </row>
    <row r="465" spans="1:36" s="160" customFormat="1">
      <c r="A465" s="153" t="s">
        <v>1213</v>
      </c>
      <c r="B465" s="160">
        <v>13499</v>
      </c>
      <c r="C465" s="153" t="s">
        <v>1973</v>
      </c>
      <c r="D465" s="153" t="s">
        <v>1974</v>
      </c>
      <c r="E465" s="153" t="s">
        <v>309</v>
      </c>
      <c r="F465" s="153" t="s">
        <v>2172</v>
      </c>
      <c r="G465" s="153" t="s">
        <v>2173</v>
      </c>
      <c r="H465" s="153" t="s">
        <v>321</v>
      </c>
      <c r="I465" s="153" t="s">
        <v>754</v>
      </c>
      <c r="J465" s="153" t="s">
        <v>204</v>
      </c>
      <c r="K465" s="153" t="s">
        <v>204</v>
      </c>
      <c r="L465" s="153" t="s">
        <v>325</v>
      </c>
      <c r="M465" s="153" t="s">
        <v>340</v>
      </c>
      <c r="N465" s="153" t="s">
        <v>464</v>
      </c>
      <c r="O465" s="153" t="s">
        <v>339</v>
      </c>
      <c r="P465" s="153" t="s">
        <v>1538</v>
      </c>
      <c r="Q465" s="153" t="s">
        <v>413</v>
      </c>
      <c r="R465" s="153" t="s">
        <v>407</v>
      </c>
      <c r="S465" s="153" t="s">
        <v>1212</v>
      </c>
      <c r="T465" s="154">
        <v>5.83</v>
      </c>
      <c r="U465" s="153" t="s">
        <v>2174</v>
      </c>
      <c r="V465" s="155">
        <v>2.6540000000000001E-2</v>
      </c>
      <c r="W465" s="155">
        <v>3.4099999999999998E-2</v>
      </c>
      <c r="X465" s="153" t="s">
        <v>412</v>
      </c>
      <c r="Y465" s="153" t="s">
        <v>339</v>
      </c>
      <c r="Z465" s="154">
        <v>80000.899999999994</v>
      </c>
      <c r="AA465" s="154">
        <v>1</v>
      </c>
      <c r="AB465" s="154">
        <v>94.3</v>
      </c>
      <c r="AD465" s="154">
        <v>75.441000000000003</v>
      </c>
      <c r="AG465" s="157" t="s">
        <v>15</v>
      </c>
      <c r="AH465" s="155">
        <v>2.0000000000000002E-5</v>
      </c>
      <c r="AI465" s="155">
        <f t="shared" si="7"/>
        <v>1.8770652980660069E-2</v>
      </c>
      <c r="AJ465" s="155">
        <v>2.3931652812154759E-3</v>
      </c>
    </row>
    <row r="466" spans="1:36" s="160" customFormat="1">
      <c r="A466" s="153" t="s">
        <v>1213</v>
      </c>
      <c r="B466" s="160">
        <v>13499</v>
      </c>
      <c r="C466" s="153" t="s">
        <v>1605</v>
      </c>
      <c r="D466" s="153" t="s">
        <v>1606</v>
      </c>
      <c r="E466" s="153" t="s">
        <v>311</v>
      </c>
      <c r="F466" s="153" t="s">
        <v>1655</v>
      </c>
      <c r="G466" s="153" t="s">
        <v>1656</v>
      </c>
      <c r="H466" s="153" t="s">
        <v>321</v>
      </c>
      <c r="I466" s="153" t="s">
        <v>951</v>
      </c>
      <c r="J466" s="153" t="s">
        <v>204</v>
      </c>
      <c r="K466" s="153" t="s">
        <v>224</v>
      </c>
      <c r="L466" s="153" t="s">
        <v>325</v>
      </c>
      <c r="M466" s="153" t="s">
        <v>340</v>
      </c>
      <c r="N466" s="153" t="s">
        <v>465</v>
      </c>
      <c r="O466" s="153" t="s">
        <v>339</v>
      </c>
      <c r="P466" s="153" t="s">
        <v>1538</v>
      </c>
      <c r="Q466" s="153" t="s">
        <v>413</v>
      </c>
      <c r="R466" s="153" t="s">
        <v>407</v>
      </c>
      <c r="S466" s="153" t="s">
        <v>1212</v>
      </c>
      <c r="T466" s="154">
        <v>2.4500000000000002</v>
      </c>
      <c r="U466" s="153" t="s">
        <v>1572</v>
      </c>
      <c r="V466" s="155">
        <v>6.6470000000000001E-2</v>
      </c>
      <c r="W466" s="155">
        <v>6.2E-2</v>
      </c>
      <c r="X466" s="153" t="s">
        <v>412</v>
      </c>
      <c r="Y466" s="153" t="s">
        <v>339</v>
      </c>
      <c r="Z466" s="154">
        <v>72840</v>
      </c>
      <c r="AA466" s="154">
        <v>1</v>
      </c>
      <c r="AB466" s="154">
        <v>102.2</v>
      </c>
      <c r="AD466" s="154">
        <v>74.441999999999993</v>
      </c>
      <c r="AG466" s="157" t="s">
        <v>15</v>
      </c>
      <c r="AH466" s="155">
        <v>1.8000000000000001E-4</v>
      </c>
      <c r="AI466" s="155">
        <f t="shared" si="7"/>
        <v>1.8522089436596764E-2</v>
      </c>
      <c r="AJ466" s="155">
        <v>2.3614746605193785E-3</v>
      </c>
    </row>
    <row r="467" spans="1:36" s="160" customFormat="1">
      <c r="A467" s="153" t="s">
        <v>1213</v>
      </c>
      <c r="B467" s="160">
        <v>13499</v>
      </c>
      <c r="C467" s="153" t="s">
        <v>2428</v>
      </c>
      <c r="D467" s="153" t="s">
        <v>2429</v>
      </c>
      <c r="E467" s="153" t="s">
        <v>309</v>
      </c>
      <c r="F467" s="153" t="s">
        <v>2551</v>
      </c>
      <c r="G467" s="153" t="s">
        <v>2552</v>
      </c>
      <c r="H467" s="153" t="s">
        <v>321</v>
      </c>
      <c r="I467" s="153" t="s">
        <v>951</v>
      </c>
      <c r="J467" s="153" t="s">
        <v>204</v>
      </c>
      <c r="K467" s="153" t="s">
        <v>204</v>
      </c>
      <c r="L467" s="153" t="s">
        <v>325</v>
      </c>
      <c r="M467" s="153" t="s">
        <v>340</v>
      </c>
      <c r="N467" s="153" t="s">
        <v>454</v>
      </c>
      <c r="O467" s="153" t="s">
        <v>339</v>
      </c>
      <c r="P467" s="153" t="s">
        <v>1538</v>
      </c>
      <c r="Q467" s="153" t="s">
        <v>413</v>
      </c>
      <c r="R467" s="153" t="s">
        <v>407</v>
      </c>
      <c r="S467" s="153" t="s">
        <v>1212</v>
      </c>
      <c r="T467" s="154">
        <v>3.24</v>
      </c>
      <c r="U467" s="153" t="s">
        <v>2553</v>
      </c>
      <c r="V467" s="155">
        <v>4.5569999999999999E-2</v>
      </c>
      <c r="W467" s="155">
        <v>5.6399999999999999E-2</v>
      </c>
      <c r="X467" s="153" t="s">
        <v>412</v>
      </c>
      <c r="Y467" s="153" t="s">
        <v>339</v>
      </c>
      <c r="Z467" s="154">
        <v>81537.259999999995</v>
      </c>
      <c r="AA467" s="154">
        <v>1</v>
      </c>
      <c r="AB467" s="154">
        <v>90.78</v>
      </c>
      <c r="AD467" s="154">
        <v>74.02</v>
      </c>
      <c r="AG467" s="157" t="s">
        <v>15</v>
      </c>
      <c r="AH467" s="155">
        <v>1.3999999999999999E-4</v>
      </c>
      <c r="AI467" s="155">
        <f t="shared" si="7"/>
        <v>1.8417090622187646E-2</v>
      </c>
      <c r="AJ467" s="155">
        <v>2.348087831756863E-3</v>
      </c>
    </row>
    <row r="468" spans="1:36" s="160" customFormat="1">
      <c r="A468" s="153" t="s">
        <v>1213</v>
      </c>
      <c r="B468" s="160">
        <v>13499</v>
      </c>
      <c r="C468" s="153" t="s">
        <v>2263</v>
      </c>
      <c r="D468" s="153" t="s">
        <v>2264</v>
      </c>
      <c r="E468" s="153" t="s">
        <v>309</v>
      </c>
      <c r="F468" s="153" t="s">
        <v>2265</v>
      </c>
      <c r="G468" s="153" t="s">
        <v>2266</v>
      </c>
      <c r="H468" s="153" t="s">
        <v>321</v>
      </c>
      <c r="I468" s="153" t="s">
        <v>754</v>
      </c>
      <c r="J468" s="153" t="s">
        <v>204</v>
      </c>
      <c r="K468" s="153" t="s">
        <v>204</v>
      </c>
      <c r="L468" s="153" t="s">
        <v>325</v>
      </c>
      <c r="M468" s="153" t="s">
        <v>340</v>
      </c>
      <c r="N468" s="153" t="s">
        <v>436</v>
      </c>
      <c r="O468" s="153" t="s">
        <v>339</v>
      </c>
      <c r="P468" s="153" t="s">
        <v>1215</v>
      </c>
      <c r="Q468" s="153" t="s">
        <v>413</v>
      </c>
      <c r="R468" s="153" t="s">
        <v>407</v>
      </c>
      <c r="S468" s="153" t="s">
        <v>1212</v>
      </c>
      <c r="T468" s="154">
        <v>3.27</v>
      </c>
      <c r="U468" s="153" t="s">
        <v>2267</v>
      </c>
      <c r="V468" s="155">
        <v>5.0000000000000001E-4</v>
      </c>
      <c r="W468" s="155">
        <v>2.3400000000000001E-2</v>
      </c>
      <c r="X468" s="153" t="s">
        <v>412</v>
      </c>
      <c r="Y468" s="153" t="s">
        <v>339</v>
      </c>
      <c r="Z468" s="154">
        <v>63455</v>
      </c>
      <c r="AA468" s="154">
        <v>1</v>
      </c>
      <c r="AB468" s="154">
        <v>106.4</v>
      </c>
      <c r="AD468" s="154">
        <v>67.516000000000005</v>
      </c>
      <c r="AG468" s="157" t="s">
        <v>15</v>
      </c>
      <c r="AH468" s="155">
        <v>6.0000000000000002E-5</v>
      </c>
      <c r="AI468" s="155">
        <f t="shared" si="7"/>
        <v>1.679881505603379E-2</v>
      </c>
      <c r="AJ468" s="155">
        <v>2.1417657126303214E-3</v>
      </c>
    </row>
    <row r="469" spans="1:36" s="160" customFormat="1">
      <c r="A469" s="153" t="s">
        <v>1213</v>
      </c>
      <c r="B469" s="160">
        <v>13499</v>
      </c>
      <c r="C469" s="153" t="s">
        <v>2280</v>
      </c>
      <c r="D469" s="153" t="s">
        <v>2281</v>
      </c>
      <c r="E469" s="153" t="s">
        <v>311</v>
      </c>
      <c r="F469" s="153" t="s">
        <v>2282</v>
      </c>
      <c r="G469" s="153" t="s">
        <v>2283</v>
      </c>
      <c r="H469" s="153" t="s">
        <v>321</v>
      </c>
      <c r="I469" s="153" t="s">
        <v>951</v>
      </c>
      <c r="J469" s="153" t="s">
        <v>204</v>
      </c>
      <c r="K469" s="153" t="s">
        <v>224</v>
      </c>
      <c r="L469" s="153" t="s">
        <v>325</v>
      </c>
      <c r="M469" s="153" t="s">
        <v>340</v>
      </c>
      <c r="N469" s="153" t="s">
        <v>465</v>
      </c>
      <c r="O469" s="153" t="s">
        <v>339</v>
      </c>
      <c r="P469" s="153" t="s">
        <v>1538</v>
      </c>
      <c r="Q469" s="153" t="s">
        <v>413</v>
      </c>
      <c r="R469" s="153" t="s">
        <v>407</v>
      </c>
      <c r="S469" s="153" t="s">
        <v>1212</v>
      </c>
      <c r="T469" s="154">
        <v>2.13</v>
      </c>
      <c r="U469" s="153" t="s">
        <v>1528</v>
      </c>
      <c r="V469" s="155">
        <v>5.0700000000000002E-2</v>
      </c>
      <c r="W469" s="155">
        <v>6.4500000000000002E-2</v>
      </c>
      <c r="X469" s="153" t="s">
        <v>412</v>
      </c>
      <c r="Y469" s="153" t="s">
        <v>339</v>
      </c>
      <c r="Z469" s="154">
        <v>70000</v>
      </c>
      <c r="AA469" s="154">
        <v>1</v>
      </c>
      <c r="AB469" s="154">
        <v>95.01</v>
      </c>
      <c r="AD469" s="154">
        <v>66.507000000000005</v>
      </c>
      <c r="AG469" s="157" t="s">
        <v>15</v>
      </c>
      <c r="AH469" s="155">
        <v>6.9999999999999994E-5</v>
      </c>
      <c r="AI469" s="155">
        <f t="shared" si="7"/>
        <v>1.6547763388406293E-2</v>
      </c>
      <c r="AJ469" s="155">
        <v>2.109757868503833E-3</v>
      </c>
    </row>
    <row r="470" spans="1:36" s="160" customFormat="1">
      <c r="A470" s="153" t="s">
        <v>1213</v>
      </c>
      <c r="B470" s="160">
        <v>13499</v>
      </c>
      <c r="C470" s="153" t="s">
        <v>2463</v>
      </c>
      <c r="D470" s="153" t="s">
        <v>2464</v>
      </c>
      <c r="E470" s="153" t="s">
        <v>309</v>
      </c>
      <c r="F470" s="153" t="s">
        <v>2472</v>
      </c>
      <c r="G470" s="153" t="s">
        <v>2473</v>
      </c>
      <c r="H470" s="153" t="s">
        <v>321</v>
      </c>
      <c r="I470" s="153" t="s">
        <v>754</v>
      </c>
      <c r="J470" s="153" t="s">
        <v>204</v>
      </c>
      <c r="K470" s="153" t="s">
        <v>204</v>
      </c>
      <c r="L470" s="153" t="s">
        <v>325</v>
      </c>
      <c r="M470" s="153" t="s">
        <v>340</v>
      </c>
      <c r="N470" s="153" t="s">
        <v>465</v>
      </c>
      <c r="O470" s="153" t="s">
        <v>339</v>
      </c>
      <c r="P470" s="153" t="s">
        <v>1554</v>
      </c>
      <c r="Q470" s="153" t="s">
        <v>413</v>
      </c>
      <c r="R470" s="153" t="s">
        <v>407</v>
      </c>
      <c r="S470" s="153" t="s">
        <v>1212</v>
      </c>
      <c r="T470" s="154">
        <v>2.23</v>
      </c>
      <c r="U470" s="153" t="s">
        <v>1744</v>
      </c>
      <c r="V470" s="155">
        <v>5.1540000000000002E-2</v>
      </c>
      <c r="W470" s="155">
        <v>4.3999999999999997E-2</v>
      </c>
      <c r="X470" s="153" t="s">
        <v>412</v>
      </c>
      <c r="Y470" s="153" t="s">
        <v>339</v>
      </c>
      <c r="Z470" s="154">
        <v>57350</v>
      </c>
      <c r="AA470" s="154">
        <v>1</v>
      </c>
      <c r="AB470" s="154">
        <v>115.06</v>
      </c>
      <c r="AD470" s="154">
        <v>65.986999999999995</v>
      </c>
      <c r="AG470" s="157" t="s">
        <v>15</v>
      </c>
      <c r="AH470" s="155">
        <v>4.0000000000000003E-5</v>
      </c>
      <c r="AI470" s="155">
        <f t="shared" si="7"/>
        <v>1.6418380963068038E-2</v>
      </c>
      <c r="AJ470" s="155">
        <v>2.0932622501234821E-3</v>
      </c>
    </row>
    <row r="471" spans="1:36" s="160" customFormat="1">
      <c r="A471" s="153" t="s">
        <v>1213</v>
      </c>
      <c r="B471" s="160">
        <v>13499</v>
      </c>
      <c r="C471" s="153" t="s">
        <v>2128</v>
      </c>
      <c r="D471" s="153" t="s">
        <v>2129</v>
      </c>
      <c r="E471" s="153" t="s">
        <v>309</v>
      </c>
      <c r="F471" s="153" t="s">
        <v>2218</v>
      </c>
      <c r="G471" s="153" t="s">
        <v>2219</v>
      </c>
      <c r="H471" s="153" t="s">
        <v>321</v>
      </c>
      <c r="I471" s="153" t="s">
        <v>951</v>
      </c>
      <c r="J471" s="153" t="s">
        <v>204</v>
      </c>
      <c r="K471" s="153" t="s">
        <v>204</v>
      </c>
      <c r="L471" s="153" t="s">
        <v>325</v>
      </c>
      <c r="M471" s="153" t="s">
        <v>340</v>
      </c>
      <c r="N471" s="153" t="s">
        <v>445</v>
      </c>
      <c r="O471" s="153" t="s">
        <v>339</v>
      </c>
      <c r="P471" s="153" t="s">
        <v>1538</v>
      </c>
      <c r="Q471" s="153" t="s">
        <v>413</v>
      </c>
      <c r="R471" s="153" t="s">
        <v>407</v>
      </c>
      <c r="S471" s="153" t="s">
        <v>1212</v>
      </c>
      <c r="T471" s="154">
        <v>4.24</v>
      </c>
      <c r="U471" s="153" t="s">
        <v>1732</v>
      </c>
      <c r="V471" s="155">
        <v>4.3430000000000003E-2</v>
      </c>
      <c r="W471" s="155">
        <v>5.5100000000000003E-2</v>
      </c>
      <c r="X471" s="153" t="s">
        <v>412</v>
      </c>
      <c r="Y471" s="153" t="s">
        <v>339</v>
      </c>
      <c r="Z471" s="154">
        <v>62068</v>
      </c>
      <c r="AA471" s="154">
        <v>1</v>
      </c>
      <c r="AB471" s="154">
        <v>86.54</v>
      </c>
      <c r="AD471" s="154">
        <v>53.713999999999999</v>
      </c>
      <c r="AG471" s="157" t="s">
        <v>15</v>
      </c>
      <c r="AH471" s="155">
        <v>1E-4</v>
      </c>
      <c r="AI471" s="155">
        <f t="shared" si="7"/>
        <v>1.3364706912728818E-2</v>
      </c>
      <c r="AJ471" s="155">
        <v>1.7039339340041632E-3</v>
      </c>
    </row>
    <row r="472" spans="1:36" s="160" customFormat="1">
      <c r="A472" s="153" t="s">
        <v>1213</v>
      </c>
      <c r="B472" s="160">
        <v>13499</v>
      </c>
      <c r="C472" s="153" t="s">
        <v>2136</v>
      </c>
      <c r="D472" s="153" t="s">
        <v>2137</v>
      </c>
      <c r="E472" s="153" t="s">
        <v>309</v>
      </c>
      <c r="F472" s="153" t="s">
        <v>2402</v>
      </c>
      <c r="G472" s="153" t="s">
        <v>2403</v>
      </c>
      <c r="H472" s="153" t="s">
        <v>321</v>
      </c>
      <c r="I472" s="153" t="s">
        <v>951</v>
      </c>
      <c r="J472" s="153" t="s">
        <v>204</v>
      </c>
      <c r="K472" s="153" t="s">
        <v>204</v>
      </c>
      <c r="L472" s="153" t="s">
        <v>325</v>
      </c>
      <c r="M472" s="153" t="s">
        <v>340</v>
      </c>
      <c r="N472" s="153" t="s">
        <v>440</v>
      </c>
      <c r="O472" s="153" t="s">
        <v>339</v>
      </c>
      <c r="P472" s="153" t="s">
        <v>1566</v>
      </c>
      <c r="Q472" s="153" t="s">
        <v>413</v>
      </c>
      <c r="R472" s="153" t="s">
        <v>407</v>
      </c>
      <c r="S472" s="153" t="s">
        <v>1212</v>
      </c>
      <c r="T472" s="154">
        <v>3.78</v>
      </c>
      <c r="U472" s="153" t="s">
        <v>1299</v>
      </c>
      <c r="V472" s="155">
        <v>4.2840000000000003E-2</v>
      </c>
      <c r="W472" s="155">
        <v>5.6099999999999997E-2</v>
      </c>
      <c r="X472" s="153" t="s">
        <v>412</v>
      </c>
      <c r="Y472" s="153" t="s">
        <v>339</v>
      </c>
      <c r="Z472" s="154">
        <v>58000</v>
      </c>
      <c r="AA472" s="154">
        <v>1</v>
      </c>
      <c r="AB472" s="154">
        <v>89.68</v>
      </c>
      <c r="AD472" s="154">
        <v>52.014000000000003</v>
      </c>
      <c r="AG472" s="157" t="s">
        <v>15</v>
      </c>
      <c r="AH472" s="155">
        <v>4.0000000000000003E-5</v>
      </c>
      <c r="AI472" s="155">
        <f t="shared" si="7"/>
        <v>1.2941725906815296E-2</v>
      </c>
      <c r="AJ472" s="155">
        <v>1.6500059508376317E-3</v>
      </c>
    </row>
    <row r="473" spans="1:36" s="160" customFormat="1">
      <c r="A473" s="153" t="s">
        <v>1213</v>
      </c>
      <c r="B473" s="160">
        <v>13499</v>
      </c>
      <c r="C473" s="153" t="s">
        <v>1577</v>
      </c>
      <c r="D473" s="153" t="s">
        <v>1578</v>
      </c>
      <c r="E473" s="153" t="s">
        <v>309</v>
      </c>
      <c r="F473" s="153" t="s">
        <v>1579</v>
      </c>
      <c r="G473" s="153" t="s">
        <v>1580</v>
      </c>
      <c r="H473" s="153" t="s">
        <v>321</v>
      </c>
      <c r="I473" s="153" t="s">
        <v>754</v>
      </c>
      <c r="J473" s="153" t="s">
        <v>204</v>
      </c>
      <c r="K473" s="153" t="s">
        <v>204</v>
      </c>
      <c r="L473" s="153" t="s">
        <v>325</v>
      </c>
      <c r="M473" s="153" t="s">
        <v>340</v>
      </c>
      <c r="N473" s="153" t="s">
        <v>456</v>
      </c>
      <c r="O473" s="153" t="s">
        <v>339</v>
      </c>
      <c r="P473" s="153" t="s">
        <v>1566</v>
      </c>
      <c r="Q473" s="153" t="s">
        <v>413</v>
      </c>
      <c r="R473" s="153" t="s">
        <v>407</v>
      </c>
      <c r="S473" s="153" t="s">
        <v>1212</v>
      </c>
      <c r="T473" s="154">
        <v>5.0199999999999996</v>
      </c>
      <c r="U473" s="153" t="s">
        <v>1581</v>
      </c>
      <c r="V473" s="155">
        <v>3.9530000000000003E-2</v>
      </c>
      <c r="W473" s="155">
        <v>5.1499999999999997E-2</v>
      </c>
      <c r="X473" s="153" t="s">
        <v>412</v>
      </c>
      <c r="Y473" s="153" t="s">
        <v>339</v>
      </c>
      <c r="Z473" s="154">
        <v>36500</v>
      </c>
      <c r="AA473" s="154">
        <v>1</v>
      </c>
      <c r="AB473" s="154">
        <v>141.9</v>
      </c>
      <c r="AD473" s="154">
        <v>51.793999999999997</v>
      </c>
      <c r="AG473" s="157" t="s">
        <v>15</v>
      </c>
      <c r="AH473" s="155">
        <v>1.0000000000000001E-5</v>
      </c>
      <c r="AI473" s="155">
        <f t="shared" si="7"/>
        <v>1.2886987188402957E-2</v>
      </c>
      <c r="AJ473" s="155">
        <v>1.6430270353690215E-3</v>
      </c>
    </row>
    <row r="474" spans="1:36" s="160" customFormat="1">
      <c r="A474" s="153" t="s">
        <v>1213</v>
      </c>
      <c r="B474" s="160">
        <v>13499</v>
      </c>
      <c r="C474" s="153" t="s">
        <v>1512</v>
      </c>
      <c r="D474" s="153" t="s">
        <v>1513</v>
      </c>
      <c r="E474" s="153" t="s">
        <v>309</v>
      </c>
      <c r="F474" s="153" t="s">
        <v>2220</v>
      </c>
      <c r="G474" s="153" t="s">
        <v>2221</v>
      </c>
      <c r="H474" s="153" t="s">
        <v>321</v>
      </c>
      <c r="I474" s="153" t="s">
        <v>951</v>
      </c>
      <c r="J474" s="153" t="s">
        <v>204</v>
      </c>
      <c r="K474" s="153" t="s">
        <v>204</v>
      </c>
      <c r="L474" s="153" t="s">
        <v>325</v>
      </c>
      <c r="M474" s="153" t="s">
        <v>340</v>
      </c>
      <c r="N474" s="153" t="s">
        <v>448</v>
      </c>
      <c r="O474" s="153" t="s">
        <v>339</v>
      </c>
      <c r="P474" s="153" t="s">
        <v>1215</v>
      </c>
      <c r="Q474" s="153" t="s">
        <v>413</v>
      </c>
      <c r="R474" s="153" t="s">
        <v>407</v>
      </c>
      <c r="S474" s="153" t="s">
        <v>1212</v>
      </c>
      <c r="T474" s="154">
        <v>0.68</v>
      </c>
      <c r="U474" s="153" t="s">
        <v>2222</v>
      </c>
      <c r="V474" s="155">
        <v>1.83E-2</v>
      </c>
      <c r="W474" s="155">
        <v>4.4600000000000001E-2</v>
      </c>
      <c r="X474" s="153" t="s">
        <v>412</v>
      </c>
      <c r="Y474" s="153" t="s">
        <v>339</v>
      </c>
      <c r="Z474" s="154">
        <v>50000</v>
      </c>
      <c r="AA474" s="154">
        <v>1</v>
      </c>
      <c r="AB474" s="154">
        <v>99.95</v>
      </c>
      <c r="AD474" s="154">
        <v>49.975000000000001</v>
      </c>
      <c r="AG474" s="157" t="s">
        <v>15</v>
      </c>
      <c r="AH474" s="155">
        <v>2.0000000000000002E-5</v>
      </c>
      <c r="AI474" s="155">
        <f t="shared" si="7"/>
        <v>1.2434397512075488E-2</v>
      </c>
      <c r="AJ474" s="155">
        <v>1.5853240933808329E-3</v>
      </c>
    </row>
    <row r="475" spans="1:36" s="160" customFormat="1">
      <c r="A475" s="153" t="s">
        <v>1213</v>
      </c>
      <c r="B475" s="160">
        <v>13499</v>
      </c>
      <c r="C475" s="153" t="s">
        <v>1904</v>
      </c>
      <c r="D475" s="153" t="s">
        <v>1905</v>
      </c>
      <c r="E475" s="153" t="s">
        <v>309</v>
      </c>
      <c r="F475" s="153" t="s">
        <v>2268</v>
      </c>
      <c r="G475" s="153" t="s">
        <v>2269</v>
      </c>
      <c r="H475" s="153" t="s">
        <v>321</v>
      </c>
      <c r="I475" s="153" t="s">
        <v>951</v>
      </c>
      <c r="J475" s="153" t="s">
        <v>204</v>
      </c>
      <c r="K475" s="153" t="s">
        <v>204</v>
      </c>
      <c r="L475" s="153" t="s">
        <v>325</v>
      </c>
      <c r="M475" s="153" t="s">
        <v>340</v>
      </c>
      <c r="N475" s="153" t="s">
        <v>448</v>
      </c>
      <c r="O475" s="153" t="s">
        <v>339</v>
      </c>
      <c r="P475" s="153" t="s">
        <v>1215</v>
      </c>
      <c r="Q475" s="153" t="s">
        <v>413</v>
      </c>
      <c r="R475" s="153" t="s">
        <v>407</v>
      </c>
      <c r="S475" s="153" t="s">
        <v>1212</v>
      </c>
      <c r="T475" s="154">
        <v>2.89</v>
      </c>
      <c r="U475" s="153" t="s">
        <v>2270</v>
      </c>
      <c r="V475" s="155">
        <v>3.7350000000000001E-2</v>
      </c>
      <c r="W475" s="155">
        <v>5.11E-2</v>
      </c>
      <c r="X475" s="153" t="s">
        <v>412</v>
      </c>
      <c r="Y475" s="153" t="s">
        <v>339</v>
      </c>
      <c r="Z475" s="154">
        <v>50563.26</v>
      </c>
      <c r="AA475" s="154">
        <v>1</v>
      </c>
      <c r="AB475" s="154">
        <v>95.42</v>
      </c>
      <c r="AD475" s="154">
        <v>48.247</v>
      </c>
      <c r="AG475" s="157" t="s">
        <v>15</v>
      </c>
      <c r="AH475" s="155">
        <v>2.0000000000000002E-5</v>
      </c>
      <c r="AI475" s="155">
        <f t="shared" si="7"/>
        <v>1.2004449760182213E-2</v>
      </c>
      <c r="AJ475" s="155">
        <v>1.5305078846092055E-3</v>
      </c>
    </row>
    <row r="476" spans="1:36" s="160" customFormat="1">
      <c r="A476" s="153" t="s">
        <v>1213</v>
      </c>
      <c r="B476" s="160">
        <v>13499</v>
      </c>
      <c r="C476" s="153" t="s">
        <v>1534</v>
      </c>
      <c r="D476" s="153" t="s">
        <v>1535</v>
      </c>
      <c r="E476" s="153" t="s">
        <v>309</v>
      </c>
      <c r="F476" s="153" t="s">
        <v>1536</v>
      </c>
      <c r="G476" s="153" t="s">
        <v>1537</v>
      </c>
      <c r="H476" s="153" t="s">
        <v>321</v>
      </c>
      <c r="I476" s="153" t="s">
        <v>754</v>
      </c>
      <c r="J476" s="153" t="s">
        <v>204</v>
      </c>
      <c r="K476" s="153" t="s">
        <v>204</v>
      </c>
      <c r="L476" s="153" t="s">
        <v>325</v>
      </c>
      <c r="M476" s="153" t="s">
        <v>340</v>
      </c>
      <c r="N476" s="153" t="s">
        <v>464</v>
      </c>
      <c r="O476" s="153" t="s">
        <v>339</v>
      </c>
      <c r="P476" s="153" t="s">
        <v>1538</v>
      </c>
      <c r="Q476" s="153" t="s">
        <v>413</v>
      </c>
      <c r="R476" s="153" t="s">
        <v>407</v>
      </c>
      <c r="S476" s="153" t="s">
        <v>1212</v>
      </c>
      <c r="T476" s="154">
        <v>3.33</v>
      </c>
      <c r="U476" s="153" t="s">
        <v>1539</v>
      </c>
      <c r="V476" s="155">
        <v>1.3509999999999999E-2</v>
      </c>
      <c r="W476" s="155">
        <v>2.92E-2</v>
      </c>
      <c r="X476" s="153" t="s">
        <v>412</v>
      </c>
      <c r="Y476" s="153" t="s">
        <v>339</v>
      </c>
      <c r="Z476" s="154">
        <v>40000</v>
      </c>
      <c r="AA476" s="154">
        <v>1</v>
      </c>
      <c r="AB476" s="154">
        <v>107.2</v>
      </c>
      <c r="AC476" s="154">
        <v>0.51800000000000002</v>
      </c>
      <c r="AD476" s="154">
        <v>43.398000000000003</v>
      </c>
      <c r="AG476" s="157" t="s">
        <v>15</v>
      </c>
      <c r="AH476" s="155">
        <v>2.0000000000000002E-5</v>
      </c>
      <c r="AI476" s="155">
        <f t="shared" si="7"/>
        <v>1.0797958643902993E-2</v>
      </c>
      <c r="AJ476" s="155">
        <v>1.3766862432124339E-3</v>
      </c>
    </row>
    <row r="477" spans="1:36" s="160" customFormat="1">
      <c r="A477" s="153" t="s">
        <v>1213</v>
      </c>
      <c r="B477" s="160">
        <v>13499</v>
      </c>
      <c r="C477" s="153" t="s">
        <v>1674</v>
      </c>
      <c r="D477" s="153" t="s">
        <v>1675</v>
      </c>
      <c r="E477" s="153" t="s">
        <v>309</v>
      </c>
      <c r="F477" s="153" t="s">
        <v>1676</v>
      </c>
      <c r="G477" s="153" t="s">
        <v>1677</v>
      </c>
      <c r="H477" s="153" t="s">
        <v>321</v>
      </c>
      <c r="I477" s="153" t="s">
        <v>754</v>
      </c>
      <c r="J477" s="153" t="s">
        <v>204</v>
      </c>
      <c r="K477" s="153" t="s">
        <v>204</v>
      </c>
      <c r="L477" s="153" t="s">
        <v>325</v>
      </c>
      <c r="M477" s="153" t="s">
        <v>340</v>
      </c>
      <c r="N477" s="153" t="s">
        <v>464</v>
      </c>
      <c r="O477" s="153" t="s">
        <v>339</v>
      </c>
      <c r="P477" s="153" t="s">
        <v>1538</v>
      </c>
      <c r="Q477" s="153" t="s">
        <v>413</v>
      </c>
      <c r="R477" s="153" t="s">
        <v>407</v>
      </c>
      <c r="S477" s="153" t="s">
        <v>1212</v>
      </c>
      <c r="T477" s="154">
        <v>1.43</v>
      </c>
      <c r="U477" s="153" t="s">
        <v>1678</v>
      </c>
      <c r="V477" s="155">
        <v>1.208E-2</v>
      </c>
      <c r="W477" s="155">
        <v>2.58E-2</v>
      </c>
      <c r="X477" s="153" t="s">
        <v>412</v>
      </c>
      <c r="Y477" s="153" t="s">
        <v>339</v>
      </c>
      <c r="Z477" s="154">
        <v>36923.47</v>
      </c>
      <c r="AA477" s="154">
        <v>1</v>
      </c>
      <c r="AB477" s="154">
        <v>115.21</v>
      </c>
      <c r="AD477" s="154">
        <v>42.54</v>
      </c>
      <c r="AG477" s="157" t="s">
        <v>15</v>
      </c>
      <c r="AH477" s="155">
        <v>8.0000000000000007E-5</v>
      </c>
      <c r="AI477" s="155">
        <f t="shared" si="7"/>
        <v>1.0584477642094872E-2</v>
      </c>
      <c r="AJ477" s="155">
        <v>1.3494684728848549E-3</v>
      </c>
    </row>
    <row r="478" spans="1:36" s="160" customFormat="1">
      <c r="A478" s="153" t="s">
        <v>1213</v>
      </c>
      <c r="B478" s="160">
        <v>13499</v>
      </c>
      <c r="C478" s="153" t="s">
        <v>1861</v>
      </c>
      <c r="D478" s="153" t="s">
        <v>1862</v>
      </c>
      <c r="E478" s="153" t="s">
        <v>309</v>
      </c>
      <c r="F478" s="153" t="s">
        <v>2458</v>
      </c>
      <c r="G478" s="153" t="s">
        <v>2459</v>
      </c>
      <c r="H478" s="153" t="s">
        <v>321</v>
      </c>
      <c r="I478" s="153" t="s">
        <v>754</v>
      </c>
      <c r="J478" s="153" t="s">
        <v>204</v>
      </c>
      <c r="K478" s="153" t="s">
        <v>204</v>
      </c>
      <c r="L478" s="153" t="s">
        <v>325</v>
      </c>
      <c r="M478" s="153" t="s">
        <v>340</v>
      </c>
      <c r="N478" s="153" t="s">
        <v>464</v>
      </c>
      <c r="O478" s="153" t="s">
        <v>339</v>
      </c>
      <c r="P478" s="153" t="s">
        <v>1538</v>
      </c>
      <c r="Q478" s="153" t="s">
        <v>413</v>
      </c>
      <c r="R478" s="153" t="s">
        <v>407</v>
      </c>
      <c r="S478" s="153" t="s">
        <v>1212</v>
      </c>
      <c r="T478" s="154">
        <v>0.76</v>
      </c>
      <c r="U478" s="153" t="s">
        <v>2460</v>
      </c>
      <c r="V478" s="155">
        <v>1.371E-2</v>
      </c>
      <c r="W478" s="155">
        <v>2.52E-2</v>
      </c>
      <c r="X478" s="153" t="s">
        <v>412</v>
      </c>
      <c r="Y478" s="153" t="s">
        <v>339</v>
      </c>
      <c r="Z478" s="154">
        <v>34920.69</v>
      </c>
      <c r="AA478" s="154">
        <v>1</v>
      </c>
      <c r="AB478" s="154">
        <v>117</v>
      </c>
      <c r="AD478" s="154">
        <v>40.856999999999999</v>
      </c>
      <c r="AG478" s="157" t="s">
        <v>15</v>
      </c>
      <c r="AH478" s="155">
        <v>5.0000000000000002E-5</v>
      </c>
      <c r="AI478" s="155">
        <f t="shared" si="7"/>
        <v>1.0165726446240484E-2</v>
      </c>
      <c r="AJ478" s="155">
        <v>1.2960797695499887E-3</v>
      </c>
    </row>
    <row r="479" spans="1:36" s="160" customFormat="1">
      <c r="A479" s="153" t="s">
        <v>1213</v>
      </c>
      <c r="B479" s="160">
        <v>13499</v>
      </c>
      <c r="C479" s="153" t="s">
        <v>2032</v>
      </c>
      <c r="D479" s="153" t="s">
        <v>2033</v>
      </c>
      <c r="E479" s="153" t="s">
        <v>309</v>
      </c>
      <c r="F479" s="153" t="s">
        <v>2321</v>
      </c>
      <c r="G479" s="153" t="s">
        <v>2322</v>
      </c>
      <c r="H479" s="153" t="s">
        <v>321</v>
      </c>
      <c r="I479" s="153" t="s">
        <v>951</v>
      </c>
      <c r="J479" s="153" t="s">
        <v>204</v>
      </c>
      <c r="K479" s="153" t="s">
        <v>204</v>
      </c>
      <c r="L479" s="153" t="s">
        <v>325</v>
      </c>
      <c r="M479" s="153" t="s">
        <v>340</v>
      </c>
      <c r="N479" s="153" t="s">
        <v>445</v>
      </c>
      <c r="O479" s="153" t="s">
        <v>339</v>
      </c>
      <c r="P479" s="153" t="s">
        <v>2011</v>
      </c>
      <c r="Q479" s="153" t="s">
        <v>415</v>
      </c>
      <c r="R479" s="153" t="s">
        <v>407</v>
      </c>
      <c r="S479" s="153" t="s">
        <v>1212</v>
      </c>
      <c r="T479" s="154">
        <v>4.28</v>
      </c>
      <c r="U479" s="153" t="s">
        <v>1722</v>
      </c>
      <c r="V479" s="155">
        <v>4.317E-2</v>
      </c>
      <c r="W479" s="155">
        <v>5.4300000000000001E-2</v>
      </c>
      <c r="X479" s="153" t="s">
        <v>412</v>
      </c>
      <c r="Y479" s="153" t="s">
        <v>339</v>
      </c>
      <c r="Z479" s="154">
        <v>45000</v>
      </c>
      <c r="AA479" s="154">
        <v>1</v>
      </c>
      <c r="AB479" s="154">
        <v>90.12</v>
      </c>
      <c r="AD479" s="154">
        <v>40.554000000000002</v>
      </c>
      <c r="AG479" s="157" t="s">
        <v>15</v>
      </c>
      <c r="AH479" s="155">
        <v>3.0000000000000001E-5</v>
      </c>
      <c r="AI479" s="155">
        <f t="shared" si="7"/>
        <v>1.009033630224531E-2</v>
      </c>
      <c r="AJ479" s="155">
        <v>1.2864678996091306E-3</v>
      </c>
    </row>
    <row r="480" spans="1:36" s="160" customFormat="1">
      <c r="A480" s="153" t="s">
        <v>1213</v>
      </c>
      <c r="B480" s="160">
        <v>13499</v>
      </c>
      <c r="C480" s="153" t="s">
        <v>1591</v>
      </c>
      <c r="D480" s="153" t="s">
        <v>1592</v>
      </c>
      <c r="E480" s="153" t="s">
        <v>309</v>
      </c>
      <c r="F480" s="153" t="s">
        <v>2175</v>
      </c>
      <c r="G480" s="153" t="s">
        <v>2176</v>
      </c>
      <c r="H480" s="153" t="s">
        <v>321</v>
      </c>
      <c r="I480" s="153" t="s">
        <v>754</v>
      </c>
      <c r="J480" s="153" t="s">
        <v>204</v>
      </c>
      <c r="K480" s="153" t="s">
        <v>204</v>
      </c>
      <c r="L480" s="153" t="s">
        <v>325</v>
      </c>
      <c r="M480" s="153" t="s">
        <v>340</v>
      </c>
      <c r="N480" s="153" t="s">
        <v>464</v>
      </c>
      <c r="O480" s="153" t="s">
        <v>339</v>
      </c>
      <c r="P480" s="153" t="s">
        <v>1538</v>
      </c>
      <c r="Q480" s="153" t="s">
        <v>413</v>
      </c>
      <c r="R480" s="153" t="s">
        <v>407</v>
      </c>
      <c r="S480" s="153" t="s">
        <v>1212</v>
      </c>
      <c r="T480" s="154">
        <v>3.97</v>
      </c>
      <c r="U480" s="153" t="s">
        <v>2177</v>
      </c>
      <c r="V480" s="155">
        <v>1.393E-2</v>
      </c>
      <c r="W480" s="155">
        <v>3.1899999999999998E-2</v>
      </c>
      <c r="X480" s="153" t="s">
        <v>412</v>
      </c>
      <c r="Y480" s="153" t="s">
        <v>339</v>
      </c>
      <c r="Z480" s="154">
        <v>37323.94</v>
      </c>
      <c r="AA480" s="154">
        <v>1</v>
      </c>
      <c r="AB480" s="154">
        <v>103.53</v>
      </c>
      <c r="AD480" s="154">
        <v>38.640999999999998</v>
      </c>
      <c r="AG480" s="157" t="s">
        <v>15</v>
      </c>
      <c r="AH480" s="155">
        <v>2.0000000000000002E-5</v>
      </c>
      <c r="AI480" s="155">
        <f t="shared" si="7"/>
        <v>9.6143582644143844E-3</v>
      </c>
      <c r="AJ480" s="155">
        <v>1.2257830573752628E-3</v>
      </c>
    </row>
    <row r="481" spans="1:36" s="160" customFormat="1">
      <c r="A481" s="153" t="s">
        <v>1213</v>
      </c>
      <c r="B481" s="160">
        <v>13499</v>
      </c>
      <c r="C481" s="153" t="s">
        <v>2178</v>
      </c>
      <c r="D481" s="153" t="s">
        <v>2179</v>
      </c>
      <c r="E481" s="153" t="s">
        <v>309</v>
      </c>
      <c r="F481" s="153" t="s">
        <v>2258</v>
      </c>
      <c r="G481" s="153" t="s">
        <v>2259</v>
      </c>
      <c r="H481" s="153" t="s">
        <v>321</v>
      </c>
      <c r="I481" s="153" t="s">
        <v>951</v>
      </c>
      <c r="J481" s="153" t="s">
        <v>204</v>
      </c>
      <c r="K481" s="153" t="s">
        <v>204</v>
      </c>
      <c r="L481" s="153" t="s">
        <v>325</v>
      </c>
      <c r="M481" s="153" t="s">
        <v>340</v>
      </c>
      <c r="N481" s="153" t="s">
        <v>464</v>
      </c>
      <c r="O481" s="153" t="s">
        <v>339</v>
      </c>
      <c r="P481" s="153" t="s">
        <v>1566</v>
      </c>
      <c r="Q481" s="153" t="s">
        <v>413</v>
      </c>
      <c r="R481" s="153" t="s">
        <v>407</v>
      </c>
      <c r="S481" s="153" t="s">
        <v>1212</v>
      </c>
      <c r="T481" s="154">
        <v>4.33</v>
      </c>
      <c r="U481" s="153" t="s">
        <v>2260</v>
      </c>
      <c r="V481" s="155">
        <v>4.3249999999999997E-2</v>
      </c>
      <c r="W481" s="155">
        <v>6.3299999999999995E-2</v>
      </c>
      <c r="X481" s="153" t="s">
        <v>412</v>
      </c>
      <c r="Y481" s="153" t="s">
        <v>339</v>
      </c>
      <c r="Z481" s="154">
        <v>44444.44</v>
      </c>
      <c r="AA481" s="154">
        <v>1</v>
      </c>
      <c r="AB481" s="154">
        <v>86.08</v>
      </c>
      <c r="AD481" s="154">
        <v>38.258000000000003</v>
      </c>
      <c r="AG481" s="157" t="s">
        <v>15</v>
      </c>
      <c r="AH481" s="155">
        <v>2.0000000000000002E-5</v>
      </c>
      <c r="AI481" s="155">
        <f t="shared" si="7"/>
        <v>9.5190631319056335E-3</v>
      </c>
      <c r="AJ481" s="155">
        <v>1.2136333999912738E-3</v>
      </c>
    </row>
    <row r="482" spans="1:36" s="160" customFormat="1">
      <c r="A482" s="153" t="s">
        <v>1213</v>
      </c>
      <c r="B482" s="160">
        <v>13499</v>
      </c>
      <c r="C482" s="153" t="s">
        <v>1591</v>
      </c>
      <c r="D482" s="153" t="s">
        <v>1592</v>
      </c>
      <c r="E482" s="153" t="s">
        <v>309</v>
      </c>
      <c r="F482" s="153" t="s">
        <v>2261</v>
      </c>
      <c r="G482" s="153" t="s">
        <v>2262</v>
      </c>
      <c r="H482" s="153" t="s">
        <v>321</v>
      </c>
      <c r="I482" s="153" t="s">
        <v>754</v>
      </c>
      <c r="J482" s="153" t="s">
        <v>204</v>
      </c>
      <c r="K482" s="153" t="s">
        <v>204</v>
      </c>
      <c r="L482" s="153" t="s">
        <v>325</v>
      </c>
      <c r="M482" s="153" t="s">
        <v>340</v>
      </c>
      <c r="N482" s="153" t="s">
        <v>464</v>
      </c>
      <c r="O482" s="153" t="s">
        <v>339</v>
      </c>
      <c r="P482" s="153" t="s">
        <v>1538</v>
      </c>
      <c r="Q482" s="153" t="s">
        <v>413</v>
      </c>
      <c r="R482" s="153" t="s">
        <v>407</v>
      </c>
      <c r="S482" s="153" t="s">
        <v>1212</v>
      </c>
      <c r="T482" s="154">
        <v>0.98</v>
      </c>
      <c r="U482" s="153" t="s">
        <v>1768</v>
      </c>
      <c r="V482" s="155">
        <v>1.1679999999999999E-2</v>
      </c>
      <c r="W482" s="155">
        <v>2.5600000000000001E-2</v>
      </c>
      <c r="X482" s="153" t="s">
        <v>412</v>
      </c>
      <c r="Y482" s="153" t="s">
        <v>339</v>
      </c>
      <c r="Z482" s="154">
        <v>26666.69</v>
      </c>
      <c r="AA482" s="154">
        <v>1</v>
      </c>
      <c r="AB482" s="154">
        <v>142.99</v>
      </c>
      <c r="AD482" s="154">
        <v>38.131</v>
      </c>
      <c r="AG482" s="157" t="s">
        <v>15</v>
      </c>
      <c r="AH482" s="155">
        <v>3.0000000000000001E-5</v>
      </c>
      <c r="AI482" s="155">
        <f t="shared" si="7"/>
        <v>9.4874639626403284E-3</v>
      </c>
      <c r="AJ482" s="155">
        <v>1.2096046624253034E-3</v>
      </c>
    </row>
    <row r="483" spans="1:36" s="160" customFormat="1">
      <c r="A483" s="153" t="s">
        <v>1213</v>
      </c>
      <c r="B483" s="160">
        <v>13499</v>
      </c>
      <c r="C483" s="153" t="s">
        <v>2315</v>
      </c>
      <c r="D483" s="153" t="s">
        <v>2316</v>
      </c>
      <c r="E483" s="153" t="s">
        <v>309</v>
      </c>
      <c r="F483" s="153" t="s">
        <v>2317</v>
      </c>
      <c r="G483" s="153" t="s">
        <v>2318</v>
      </c>
      <c r="H483" s="153" t="s">
        <v>321</v>
      </c>
      <c r="I483" s="153" t="s">
        <v>951</v>
      </c>
      <c r="J483" s="153" t="s">
        <v>204</v>
      </c>
      <c r="K483" s="153" t="s">
        <v>204</v>
      </c>
      <c r="L483" s="153" t="s">
        <v>325</v>
      </c>
      <c r="M483" s="153" t="s">
        <v>340</v>
      </c>
      <c r="N483" s="153" t="s">
        <v>484</v>
      </c>
      <c r="O483" s="153" t="s">
        <v>339</v>
      </c>
      <c r="P483" s="153" t="s">
        <v>1527</v>
      </c>
      <c r="Q483" s="153" t="s">
        <v>415</v>
      </c>
      <c r="R483" s="153" t="s">
        <v>407</v>
      </c>
      <c r="S483" s="153" t="s">
        <v>1212</v>
      </c>
      <c r="T483" s="154">
        <v>4.55</v>
      </c>
      <c r="U483" s="153" t="s">
        <v>1599</v>
      </c>
      <c r="V483" s="155">
        <v>5.2859999999999997E-2</v>
      </c>
      <c r="W483" s="155">
        <v>6.1699999999999998E-2</v>
      </c>
      <c r="X483" s="153" t="s">
        <v>412</v>
      </c>
      <c r="Y483" s="153" t="s">
        <v>339</v>
      </c>
      <c r="Z483" s="154">
        <v>37370</v>
      </c>
      <c r="AA483" s="154">
        <v>1</v>
      </c>
      <c r="AB483" s="154">
        <v>97.66</v>
      </c>
      <c r="AD483" s="154">
        <v>36.496000000000002</v>
      </c>
      <c r="AG483" s="157" t="s">
        <v>15</v>
      </c>
      <c r="AH483" s="155">
        <v>4.0000000000000003E-5</v>
      </c>
      <c r="AI483" s="155">
        <f t="shared" si="7"/>
        <v>9.0806557598940869E-3</v>
      </c>
      <c r="AJ483" s="155">
        <v>1.1577386315563157E-3</v>
      </c>
    </row>
    <row r="484" spans="1:36" s="160" customFormat="1">
      <c r="A484" s="153" t="s">
        <v>1213</v>
      </c>
      <c r="B484" s="160">
        <v>13499</v>
      </c>
      <c r="C484" s="153" t="s">
        <v>1807</v>
      </c>
      <c r="D484" s="153" t="s">
        <v>1808</v>
      </c>
      <c r="E484" s="153" t="s">
        <v>309</v>
      </c>
      <c r="F484" s="153" t="s">
        <v>2002</v>
      </c>
      <c r="G484" s="153" t="s">
        <v>2003</v>
      </c>
      <c r="H484" s="153" t="s">
        <v>321</v>
      </c>
      <c r="I484" s="153" t="s">
        <v>754</v>
      </c>
      <c r="J484" s="153" t="s">
        <v>204</v>
      </c>
      <c r="K484" s="153" t="s">
        <v>204</v>
      </c>
      <c r="L484" s="153" t="s">
        <v>325</v>
      </c>
      <c r="M484" s="153" t="s">
        <v>340</v>
      </c>
      <c r="N484" s="153" t="s">
        <v>464</v>
      </c>
      <c r="O484" s="153" t="s">
        <v>339</v>
      </c>
      <c r="P484" s="153" t="s">
        <v>1811</v>
      </c>
      <c r="Q484" s="153" t="s">
        <v>413</v>
      </c>
      <c r="R484" s="153" t="s">
        <v>407</v>
      </c>
      <c r="S484" s="153" t="s">
        <v>1212</v>
      </c>
      <c r="T484" s="154">
        <v>0.5</v>
      </c>
      <c r="U484" s="153" t="s">
        <v>1965</v>
      </c>
      <c r="V484" s="155">
        <v>2.4799999999999999E-2</v>
      </c>
      <c r="W484" s="155">
        <v>2.7900000000000001E-2</v>
      </c>
      <c r="X484" s="153" t="s">
        <v>412</v>
      </c>
      <c r="Y484" s="153" t="s">
        <v>339</v>
      </c>
      <c r="Z484" s="154">
        <v>30000</v>
      </c>
      <c r="AA484" s="154">
        <v>1</v>
      </c>
      <c r="AB484" s="154">
        <v>114.12</v>
      </c>
      <c r="AC484" s="154">
        <v>0.112</v>
      </c>
      <c r="AD484" s="154">
        <v>34.347999999999999</v>
      </c>
      <c r="AG484" s="157" t="s">
        <v>15</v>
      </c>
      <c r="AH484" s="155">
        <v>5.0000000000000002E-5</v>
      </c>
      <c r="AI484" s="155">
        <f t="shared" si="7"/>
        <v>8.5462068183045289E-3</v>
      </c>
      <c r="AJ484" s="155">
        <v>1.0895990387082509E-3</v>
      </c>
    </row>
    <row r="485" spans="1:36" s="160" customFormat="1">
      <c r="A485" s="153" t="s">
        <v>1213</v>
      </c>
      <c r="B485" s="160">
        <v>13499</v>
      </c>
      <c r="C485" s="153" t="s">
        <v>1807</v>
      </c>
      <c r="D485" s="153" t="s">
        <v>1808</v>
      </c>
      <c r="E485" s="153" t="s">
        <v>309</v>
      </c>
      <c r="F485" s="153" t="s">
        <v>2284</v>
      </c>
      <c r="G485" s="153" t="s">
        <v>2285</v>
      </c>
      <c r="H485" s="153" t="s">
        <v>321</v>
      </c>
      <c r="I485" s="153" t="s">
        <v>754</v>
      </c>
      <c r="J485" s="153" t="s">
        <v>204</v>
      </c>
      <c r="K485" s="153" t="s">
        <v>204</v>
      </c>
      <c r="L485" s="153" t="s">
        <v>325</v>
      </c>
      <c r="M485" s="153" t="s">
        <v>340</v>
      </c>
      <c r="N485" s="153" t="s">
        <v>464</v>
      </c>
      <c r="O485" s="153" t="s">
        <v>339</v>
      </c>
      <c r="P485" s="153" t="s">
        <v>1923</v>
      </c>
      <c r="Q485" s="153" t="s">
        <v>415</v>
      </c>
      <c r="R485" s="153" t="s">
        <v>407</v>
      </c>
      <c r="S485" s="153" t="s">
        <v>1212</v>
      </c>
      <c r="T485" s="154">
        <v>5.47</v>
      </c>
      <c r="U485" s="153" t="s">
        <v>1732</v>
      </c>
      <c r="V485" s="155">
        <v>1.7569999999999999E-2</v>
      </c>
      <c r="W485" s="155">
        <v>3.1800000000000002E-2</v>
      </c>
      <c r="X485" s="153" t="s">
        <v>412</v>
      </c>
      <c r="Y485" s="153" t="s">
        <v>339</v>
      </c>
      <c r="Z485" s="154">
        <v>30000</v>
      </c>
      <c r="AA485" s="154">
        <v>1</v>
      </c>
      <c r="AB485" s="154">
        <v>111.87</v>
      </c>
      <c r="AD485" s="154">
        <v>33.561</v>
      </c>
      <c r="AG485" s="157" t="s">
        <v>15</v>
      </c>
      <c r="AH485" s="155">
        <v>1.0000000000000001E-5</v>
      </c>
      <c r="AI485" s="155">
        <f t="shared" si="7"/>
        <v>8.3503914938022096E-3</v>
      </c>
      <c r="AJ485" s="155">
        <v>1.0646335547364509E-3</v>
      </c>
    </row>
    <row r="486" spans="1:36" s="160" customFormat="1">
      <c r="A486" s="153" t="s">
        <v>1213</v>
      </c>
      <c r="B486" s="160">
        <v>13499</v>
      </c>
      <c r="C486" s="153" t="s">
        <v>2373</v>
      </c>
      <c r="D486" s="153" t="s">
        <v>2374</v>
      </c>
      <c r="E486" s="153" t="s">
        <v>309</v>
      </c>
      <c r="F486" s="153" t="s">
        <v>2621</v>
      </c>
      <c r="G486" s="153" t="s">
        <v>2622</v>
      </c>
      <c r="H486" s="153" t="s">
        <v>321</v>
      </c>
      <c r="I486" s="153" t="s">
        <v>755</v>
      </c>
      <c r="J486" s="153" t="s">
        <v>204</v>
      </c>
      <c r="K486" s="153" t="s">
        <v>204</v>
      </c>
      <c r="L486" s="153" t="s">
        <v>325</v>
      </c>
      <c r="M486" s="153" t="s">
        <v>340</v>
      </c>
      <c r="N486" s="153" t="s">
        <v>454</v>
      </c>
      <c r="O486" s="153" t="s">
        <v>339</v>
      </c>
      <c r="P486" s="153" t="s">
        <v>1544</v>
      </c>
      <c r="Q486" s="153" t="s">
        <v>415</v>
      </c>
      <c r="R486" s="153" t="s">
        <v>407</v>
      </c>
      <c r="S486" s="153" t="s">
        <v>1212</v>
      </c>
      <c r="T486" s="154">
        <v>3.13</v>
      </c>
      <c r="U486" s="153" t="s">
        <v>2377</v>
      </c>
      <c r="V486" s="155">
        <v>6.7599999999999993E-2</v>
      </c>
      <c r="W486" s="155">
        <v>7.5300000000000006E-2</v>
      </c>
      <c r="X486" s="153" t="s">
        <v>412</v>
      </c>
      <c r="Y486" s="153" t="s">
        <v>339</v>
      </c>
      <c r="Z486" s="154">
        <v>27848.11</v>
      </c>
      <c r="AA486" s="154">
        <v>1</v>
      </c>
      <c r="AB486" s="154">
        <v>99.56</v>
      </c>
      <c r="AD486" s="154">
        <v>27.725999999999999</v>
      </c>
      <c r="AG486" s="157" t="s">
        <v>15</v>
      </c>
      <c r="AH486" s="155">
        <v>2.0000000000000002E-5</v>
      </c>
      <c r="AI486" s="155">
        <f t="shared" si="7"/>
        <v>6.8985713940931453E-3</v>
      </c>
      <c r="AJ486" s="155">
        <v>8.7953368310309096E-4</v>
      </c>
    </row>
    <row r="487" spans="1:36" s="160" customFormat="1">
      <c r="A487" s="153" t="s">
        <v>1213</v>
      </c>
      <c r="B487" s="160">
        <v>13499</v>
      </c>
      <c r="C487" s="153" t="s">
        <v>1852</v>
      </c>
      <c r="D487" s="153" t="s">
        <v>1853</v>
      </c>
      <c r="E487" s="153" t="s">
        <v>309</v>
      </c>
      <c r="F487" s="153" t="s">
        <v>2341</v>
      </c>
      <c r="G487" s="153" t="s">
        <v>2342</v>
      </c>
      <c r="H487" s="153" t="s">
        <v>321</v>
      </c>
      <c r="I487" s="153" t="s">
        <v>754</v>
      </c>
      <c r="J487" s="153" t="s">
        <v>204</v>
      </c>
      <c r="K487" s="153" t="s">
        <v>204</v>
      </c>
      <c r="L487" s="153" t="s">
        <v>325</v>
      </c>
      <c r="M487" s="153" t="s">
        <v>340</v>
      </c>
      <c r="N487" s="153" t="s">
        <v>448</v>
      </c>
      <c r="O487" s="153" t="s">
        <v>339</v>
      </c>
      <c r="P487" s="153" t="s">
        <v>1566</v>
      </c>
      <c r="Q487" s="153" t="s">
        <v>413</v>
      </c>
      <c r="R487" s="153" t="s">
        <v>407</v>
      </c>
      <c r="S487" s="153" t="s">
        <v>1212</v>
      </c>
      <c r="T487" s="154">
        <v>2.2200000000000002</v>
      </c>
      <c r="U487" s="153" t="s">
        <v>1744</v>
      </c>
      <c r="V487" s="155">
        <v>9.1699999999999993E-3</v>
      </c>
      <c r="W487" s="155">
        <v>2.29E-2</v>
      </c>
      <c r="X487" s="153" t="s">
        <v>412</v>
      </c>
      <c r="Y487" s="153" t="s">
        <v>339</v>
      </c>
      <c r="Z487" s="154">
        <v>25000</v>
      </c>
      <c r="AA487" s="154">
        <v>1</v>
      </c>
      <c r="AB487" s="154">
        <v>110.31</v>
      </c>
      <c r="AD487" s="154">
        <v>27.577999999999999</v>
      </c>
      <c r="AG487" s="157" t="s">
        <v>15</v>
      </c>
      <c r="AH487" s="155">
        <v>3.0000000000000001E-5</v>
      </c>
      <c r="AI487" s="155">
        <f t="shared" si="7"/>
        <v>6.8617471653430271E-3</v>
      </c>
      <c r="AJ487" s="155">
        <v>8.7483877633329882E-4</v>
      </c>
    </row>
    <row r="488" spans="1:36" s="160" customFormat="1">
      <c r="A488" s="153" t="s">
        <v>1213</v>
      </c>
      <c r="B488" s="160">
        <v>13499</v>
      </c>
      <c r="C488" s="153" t="s">
        <v>2436</v>
      </c>
      <c r="D488" s="153" t="s">
        <v>2437</v>
      </c>
      <c r="E488" s="153" t="s">
        <v>309</v>
      </c>
      <c r="F488" s="153" t="s">
        <v>2438</v>
      </c>
      <c r="G488" s="153" t="s">
        <v>2439</v>
      </c>
      <c r="H488" s="153" t="s">
        <v>321</v>
      </c>
      <c r="I488" s="153" t="s">
        <v>754</v>
      </c>
      <c r="J488" s="153" t="s">
        <v>204</v>
      </c>
      <c r="K488" s="153" t="s">
        <v>204</v>
      </c>
      <c r="L488" s="153" t="s">
        <v>325</v>
      </c>
      <c r="M488" s="153" t="s">
        <v>340</v>
      </c>
      <c r="N488" s="153" t="s">
        <v>475</v>
      </c>
      <c r="O488" s="153" t="s">
        <v>339</v>
      </c>
      <c r="P488" s="153" t="s">
        <v>1538</v>
      </c>
      <c r="Q488" s="153" t="s">
        <v>413</v>
      </c>
      <c r="R488" s="153" t="s">
        <v>407</v>
      </c>
      <c r="S488" s="153" t="s">
        <v>1212</v>
      </c>
      <c r="T488" s="154">
        <v>2.44</v>
      </c>
      <c r="U488" s="153" t="s">
        <v>2440</v>
      </c>
      <c r="V488" s="155">
        <v>6.4200000000000004E-3</v>
      </c>
      <c r="W488" s="155">
        <v>2.3E-2</v>
      </c>
      <c r="X488" s="153" t="s">
        <v>412</v>
      </c>
      <c r="Y488" s="153" t="s">
        <v>339</v>
      </c>
      <c r="Z488" s="154">
        <v>16857.14</v>
      </c>
      <c r="AA488" s="154">
        <v>1</v>
      </c>
      <c r="AB488" s="154">
        <v>120.79</v>
      </c>
      <c r="AC488" s="154">
        <v>5.9050000000000002</v>
      </c>
      <c r="AD488" s="154">
        <v>26.266999999999999</v>
      </c>
      <c r="AG488" s="157" t="s">
        <v>15</v>
      </c>
      <c r="AH488" s="155">
        <v>4.0000000000000003E-5</v>
      </c>
      <c r="AI488" s="155">
        <f t="shared" si="7"/>
        <v>6.5355541660767746E-3</v>
      </c>
      <c r="AJ488" s="155">
        <v>8.3325078460899117E-4</v>
      </c>
    </row>
    <row r="489" spans="1:36" s="160" customFormat="1">
      <c r="A489" s="153" t="s">
        <v>1213</v>
      </c>
      <c r="B489" s="160">
        <v>13499</v>
      </c>
      <c r="C489" s="153" t="s">
        <v>1534</v>
      </c>
      <c r="D489" s="153" t="s">
        <v>1535</v>
      </c>
      <c r="E489" s="153" t="s">
        <v>309</v>
      </c>
      <c r="F489" s="153" t="s">
        <v>2378</v>
      </c>
      <c r="G489" s="153" t="s">
        <v>2379</v>
      </c>
      <c r="H489" s="153" t="s">
        <v>321</v>
      </c>
      <c r="I489" s="153" t="s">
        <v>951</v>
      </c>
      <c r="J489" s="153" t="s">
        <v>204</v>
      </c>
      <c r="K489" s="153" t="s">
        <v>204</v>
      </c>
      <c r="L489" s="153" t="s">
        <v>325</v>
      </c>
      <c r="M489" s="153" t="s">
        <v>340</v>
      </c>
      <c r="N489" s="153" t="s">
        <v>464</v>
      </c>
      <c r="O489" s="153" t="s">
        <v>339</v>
      </c>
      <c r="P489" s="153" t="s">
        <v>2011</v>
      </c>
      <c r="Q489" s="153" t="s">
        <v>415</v>
      </c>
      <c r="R489" s="153" t="s">
        <v>407</v>
      </c>
      <c r="S489" s="153" t="s">
        <v>1212</v>
      </c>
      <c r="T489" s="154">
        <v>5.25</v>
      </c>
      <c r="U489" s="153" t="s">
        <v>2012</v>
      </c>
      <c r="V489" s="155">
        <v>4.5080000000000002E-2</v>
      </c>
      <c r="W489" s="155">
        <v>5.91E-2</v>
      </c>
      <c r="X489" s="153" t="s">
        <v>412</v>
      </c>
      <c r="Y489" s="153" t="s">
        <v>339</v>
      </c>
      <c r="Z489" s="154">
        <v>30000</v>
      </c>
      <c r="AA489" s="154">
        <v>1</v>
      </c>
      <c r="AB489" s="154">
        <v>85.33</v>
      </c>
      <c r="AD489" s="154">
        <v>25.599</v>
      </c>
      <c r="AG489" s="157" t="s">
        <v>15</v>
      </c>
      <c r="AH489" s="155">
        <v>2.0000000000000002E-5</v>
      </c>
      <c r="AI489" s="155">
        <f t="shared" si="7"/>
        <v>6.3693475119884022E-3</v>
      </c>
      <c r="AJ489" s="155">
        <v>8.1206025945884826E-4</v>
      </c>
    </row>
    <row r="490" spans="1:36" s="160" customFormat="1">
      <c r="A490" s="153" t="s">
        <v>1213</v>
      </c>
      <c r="B490" s="160">
        <v>13499</v>
      </c>
      <c r="C490" s="153" t="s">
        <v>2155</v>
      </c>
      <c r="D490" s="153" t="s">
        <v>2156</v>
      </c>
      <c r="E490" s="153" t="s">
        <v>309</v>
      </c>
      <c r="F490" s="153" t="s">
        <v>2623</v>
      </c>
      <c r="G490" s="153" t="s">
        <v>2624</v>
      </c>
      <c r="H490" s="153" t="s">
        <v>321</v>
      </c>
      <c r="I490" s="153" t="s">
        <v>951</v>
      </c>
      <c r="J490" s="153" t="s">
        <v>204</v>
      </c>
      <c r="K490" s="153" t="s">
        <v>204</v>
      </c>
      <c r="L490" s="153" t="s">
        <v>325</v>
      </c>
      <c r="M490" s="153" t="s">
        <v>340</v>
      </c>
      <c r="N490" s="153" t="s">
        <v>451</v>
      </c>
      <c r="O490" s="153" t="s">
        <v>339</v>
      </c>
      <c r="P490" s="153" t="s">
        <v>1521</v>
      </c>
      <c r="Q490" s="153" t="s">
        <v>413</v>
      </c>
      <c r="R490" s="153" t="s">
        <v>407</v>
      </c>
      <c r="S490" s="153" t="s">
        <v>1212</v>
      </c>
      <c r="T490" s="154">
        <v>2.94</v>
      </c>
      <c r="U490" s="153" t="s">
        <v>2625</v>
      </c>
      <c r="V490" s="155">
        <v>4.5190000000000001E-2</v>
      </c>
      <c r="W490" s="155">
        <v>5.7700000000000001E-2</v>
      </c>
      <c r="X490" s="153" t="s">
        <v>412</v>
      </c>
      <c r="Y490" s="153" t="s">
        <v>339</v>
      </c>
      <c r="Z490" s="154">
        <v>26250</v>
      </c>
      <c r="AA490" s="154">
        <v>1</v>
      </c>
      <c r="AB490" s="154">
        <v>96.04</v>
      </c>
      <c r="AD490" s="154">
        <v>25.210999999999999</v>
      </c>
      <c r="AG490" s="157" t="s">
        <v>15</v>
      </c>
      <c r="AH490" s="155">
        <v>4.0000000000000003E-5</v>
      </c>
      <c r="AI490" s="155">
        <f t="shared" si="7"/>
        <v>6.2728083176975509E-3</v>
      </c>
      <c r="AJ490" s="155">
        <v>7.9975199035966333E-4</v>
      </c>
    </row>
    <row r="491" spans="1:36" s="160" customFormat="1">
      <c r="A491" s="153" t="s">
        <v>1213</v>
      </c>
      <c r="B491" s="160">
        <v>13499</v>
      </c>
      <c r="C491" s="153" t="s">
        <v>1986</v>
      </c>
      <c r="D491" s="153" t="s">
        <v>1987</v>
      </c>
      <c r="E491" s="153" t="s">
        <v>309</v>
      </c>
      <c r="F491" s="153" t="s">
        <v>2626</v>
      </c>
      <c r="G491" s="153" t="s">
        <v>2627</v>
      </c>
      <c r="H491" s="153" t="s">
        <v>321</v>
      </c>
      <c r="I491" s="153" t="s">
        <v>951</v>
      </c>
      <c r="J491" s="153" t="s">
        <v>204</v>
      </c>
      <c r="K491" s="153" t="s">
        <v>204</v>
      </c>
      <c r="L491" s="153" t="s">
        <v>325</v>
      </c>
      <c r="M491" s="153" t="s">
        <v>340</v>
      </c>
      <c r="N491" s="153" t="s">
        <v>484</v>
      </c>
      <c r="O491" s="153" t="s">
        <v>339</v>
      </c>
      <c r="P491" s="153" t="s">
        <v>1538</v>
      </c>
      <c r="Q491" s="153" t="s">
        <v>413</v>
      </c>
      <c r="R491" s="153" t="s">
        <v>407</v>
      </c>
      <c r="S491" s="153" t="s">
        <v>1212</v>
      </c>
      <c r="T491" s="154">
        <v>7.85</v>
      </c>
      <c r="U491" s="153" t="s">
        <v>2628</v>
      </c>
      <c r="V491" s="155">
        <v>5.2479999999999999E-2</v>
      </c>
      <c r="W491" s="155">
        <v>5.7099999999999998E-2</v>
      </c>
      <c r="X491" s="153" t="s">
        <v>412</v>
      </c>
      <c r="Y491" s="153" t="s">
        <v>339</v>
      </c>
      <c r="Z491" s="154">
        <v>30000</v>
      </c>
      <c r="AA491" s="154">
        <v>1</v>
      </c>
      <c r="AB491" s="154">
        <v>80.900000000000006</v>
      </c>
      <c r="AD491" s="154">
        <v>24.27</v>
      </c>
      <c r="AG491" s="157" t="s">
        <v>15</v>
      </c>
      <c r="AH491" s="155">
        <v>3.0000000000000001E-5</v>
      </c>
      <c r="AI491" s="155">
        <f t="shared" si="7"/>
        <v>6.0386758903065952E-3</v>
      </c>
      <c r="AJ491" s="155">
        <v>7.6990126555983619E-4</v>
      </c>
    </row>
    <row r="492" spans="1:36" s="160" customFormat="1">
      <c r="A492" s="153" t="s">
        <v>1213</v>
      </c>
      <c r="B492" s="160">
        <v>13499</v>
      </c>
      <c r="C492" s="153" t="s">
        <v>2586</v>
      </c>
      <c r="D492" s="153" t="s">
        <v>2587</v>
      </c>
      <c r="E492" s="153" t="s">
        <v>309</v>
      </c>
      <c r="F492" s="153" t="s">
        <v>2588</v>
      </c>
      <c r="G492" s="153" t="s">
        <v>2589</v>
      </c>
      <c r="H492" s="153" t="s">
        <v>321</v>
      </c>
      <c r="I492" s="153" t="s">
        <v>951</v>
      </c>
      <c r="J492" s="153" t="s">
        <v>204</v>
      </c>
      <c r="K492" s="153" t="s">
        <v>204</v>
      </c>
      <c r="L492" s="153" t="s">
        <v>325</v>
      </c>
      <c r="M492" s="153" t="s">
        <v>340</v>
      </c>
      <c r="N492" s="153" t="s">
        <v>445</v>
      </c>
      <c r="O492" s="153" t="s">
        <v>339</v>
      </c>
      <c r="P492" s="153" t="s">
        <v>1982</v>
      </c>
      <c r="Q492" s="153" t="s">
        <v>415</v>
      </c>
      <c r="R492" s="153" t="s">
        <v>407</v>
      </c>
      <c r="S492" s="153" t="s">
        <v>1212</v>
      </c>
      <c r="T492" s="154">
        <v>1.97</v>
      </c>
      <c r="U492" s="153" t="s">
        <v>1522</v>
      </c>
      <c r="V492" s="155">
        <v>3.789E-2</v>
      </c>
      <c r="W492" s="155">
        <v>5.2999999999999999E-2</v>
      </c>
      <c r="X492" s="153" t="s">
        <v>412</v>
      </c>
      <c r="Y492" s="153" t="s">
        <v>339</v>
      </c>
      <c r="Z492" s="154">
        <v>25000</v>
      </c>
      <c r="AA492" s="154">
        <v>1</v>
      </c>
      <c r="AB492" s="154">
        <v>93.66</v>
      </c>
      <c r="AD492" s="154">
        <v>23.414999999999999</v>
      </c>
      <c r="AG492" s="157" t="s">
        <v>15</v>
      </c>
      <c r="AH492" s="155">
        <v>8.0000000000000007E-5</v>
      </c>
      <c r="AI492" s="155">
        <f t="shared" si="7"/>
        <v>5.8259413255677345E-3</v>
      </c>
      <c r="AJ492" s="155">
        <v>7.4277866226137468E-4</v>
      </c>
    </row>
    <row r="493" spans="1:36" s="160" customFormat="1">
      <c r="A493" s="153" t="s">
        <v>1213</v>
      </c>
      <c r="B493" s="160">
        <v>13499</v>
      </c>
      <c r="C493" s="153" t="s">
        <v>2365</v>
      </c>
      <c r="D493" s="153" t="s">
        <v>2366</v>
      </c>
      <c r="E493" s="153" t="s">
        <v>311</v>
      </c>
      <c r="F493" s="153" t="s">
        <v>2367</v>
      </c>
      <c r="G493" s="153" t="s">
        <v>2368</v>
      </c>
      <c r="H493" s="153" t="s">
        <v>321</v>
      </c>
      <c r="I493" s="153" t="s">
        <v>951</v>
      </c>
      <c r="J493" s="153" t="s">
        <v>204</v>
      </c>
      <c r="K493" s="153" t="s">
        <v>224</v>
      </c>
      <c r="L493" s="153" t="s">
        <v>325</v>
      </c>
      <c r="M493" s="153" t="s">
        <v>340</v>
      </c>
      <c r="N493" s="153" t="s">
        <v>465</v>
      </c>
      <c r="O493" s="153" t="s">
        <v>339</v>
      </c>
      <c r="P493" s="153" t="s">
        <v>1521</v>
      </c>
      <c r="Q493" s="153" t="s">
        <v>413</v>
      </c>
      <c r="R493" s="153" t="s">
        <v>407</v>
      </c>
      <c r="S493" s="153" t="s">
        <v>1212</v>
      </c>
      <c r="T493" s="154">
        <v>1.1399999999999999</v>
      </c>
      <c r="U493" s="153" t="s">
        <v>2369</v>
      </c>
      <c r="V493" s="155">
        <v>5.4370000000000002E-2</v>
      </c>
      <c r="W493" s="155">
        <v>6.13E-2</v>
      </c>
      <c r="X493" s="153" t="s">
        <v>412</v>
      </c>
      <c r="Y493" s="153" t="s">
        <v>339</v>
      </c>
      <c r="Z493" s="154">
        <v>22500</v>
      </c>
      <c r="AA493" s="154">
        <v>1</v>
      </c>
      <c r="AB493" s="154">
        <v>99</v>
      </c>
      <c r="AD493" s="154">
        <v>22.274999999999999</v>
      </c>
      <c r="AG493" s="157" t="s">
        <v>15</v>
      </c>
      <c r="AH493" s="155">
        <v>6.9999999999999994E-5</v>
      </c>
      <c r="AI493" s="155">
        <f t="shared" si="7"/>
        <v>5.5422952392492541E-3</v>
      </c>
      <c r="AJ493" s="155">
        <v>7.0661519119675934E-4</v>
      </c>
    </row>
    <row r="494" spans="1:36" s="160" customFormat="1">
      <c r="A494" s="153" t="s">
        <v>1213</v>
      </c>
      <c r="B494" s="160">
        <v>13499</v>
      </c>
      <c r="C494" s="153" t="s">
        <v>2343</v>
      </c>
      <c r="D494" s="153" t="s">
        <v>2344</v>
      </c>
      <c r="E494" s="153" t="s">
        <v>309</v>
      </c>
      <c r="F494" s="153" t="s">
        <v>2345</v>
      </c>
      <c r="G494" s="153" t="s">
        <v>2346</v>
      </c>
      <c r="H494" s="153" t="s">
        <v>321</v>
      </c>
      <c r="I494" s="153" t="s">
        <v>951</v>
      </c>
      <c r="J494" s="153" t="s">
        <v>204</v>
      </c>
      <c r="K494" s="153" t="s">
        <v>204</v>
      </c>
      <c r="L494" s="153" t="s">
        <v>325</v>
      </c>
      <c r="M494" s="153" t="s">
        <v>340</v>
      </c>
      <c r="N494" s="153" t="s">
        <v>476</v>
      </c>
      <c r="O494" s="153" t="s">
        <v>339</v>
      </c>
      <c r="P494" s="153" t="s">
        <v>1566</v>
      </c>
      <c r="Q494" s="153" t="s">
        <v>413</v>
      </c>
      <c r="R494" s="153" t="s">
        <v>407</v>
      </c>
      <c r="S494" s="153" t="s">
        <v>1212</v>
      </c>
      <c r="T494" s="154">
        <v>5.63</v>
      </c>
      <c r="U494" s="153" t="s">
        <v>2347</v>
      </c>
      <c r="V494" s="155">
        <v>5.552E-2</v>
      </c>
      <c r="W494" s="155">
        <v>5.6099999999999997E-2</v>
      </c>
      <c r="X494" s="153" t="s">
        <v>412</v>
      </c>
      <c r="Y494" s="153" t="s">
        <v>339</v>
      </c>
      <c r="Z494" s="154">
        <v>22000</v>
      </c>
      <c r="AA494" s="154">
        <v>1</v>
      </c>
      <c r="AB494" s="154">
        <v>100.98</v>
      </c>
      <c r="AD494" s="154">
        <v>22.216000000000001</v>
      </c>
      <c r="AG494" s="157" t="s">
        <v>15</v>
      </c>
      <c r="AH494" s="155">
        <v>1.4999999999999999E-4</v>
      </c>
      <c r="AI494" s="155">
        <f t="shared" si="7"/>
        <v>5.5276153102204913E-3</v>
      </c>
      <c r="AJ494" s="155">
        <v>7.0474357295745044E-4</v>
      </c>
    </row>
    <row r="495" spans="1:36" s="160" customFormat="1">
      <c r="A495" s="153" t="s">
        <v>1213</v>
      </c>
      <c r="B495" s="160">
        <v>13499</v>
      </c>
      <c r="C495" s="153" t="s">
        <v>2195</v>
      </c>
      <c r="D495" s="153" t="s">
        <v>2196</v>
      </c>
      <c r="E495" s="153" t="s">
        <v>309</v>
      </c>
      <c r="F495" s="153" t="s">
        <v>2197</v>
      </c>
      <c r="G495" s="153" t="s">
        <v>2198</v>
      </c>
      <c r="H495" s="153" t="s">
        <v>321</v>
      </c>
      <c r="I495" s="153" t="s">
        <v>951</v>
      </c>
      <c r="J495" s="153" t="s">
        <v>204</v>
      </c>
      <c r="K495" s="153" t="s">
        <v>204</v>
      </c>
      <c r="L495" s="153" t="s">
        <v>325</v>
      </c>
      <c r="M495" s="153" t="s">
        <v>340</v>
      </c>
      <c r="N495" s="153" t="s">
        <v>445</v>
      </c>
      <c r="O495" s="153" t="s">
        <v>339</v>
      </c>
      <c r="P495" s="153" t="s">
        <v>2011</v>
      </c>
      <c r="Q495" s="153" t="s">
        <v>415</v>
      </c>
      <c r="R495" s="153" t="s">
        <v>407</v>
      </c>
      <c r="S495" s="153" t="s">
        <v>1212</v>
      </c>
      <c r="T495" s="154">
        <v>4.95</v>
      </c>
      <c r="U495" s="153" t="s">
        <v>2199</v>
      </c>
      <c r="V495" s="155">
        <v>4.0710000000000003E-2</v>
      </c>
      <c r="W495" s="155">
        <v>5.8000000000000003E-2</v>
      </c>
      <c r="X495" s="153" t="s">
        <v>412</v>
      </c>
      <c r="Y495" s="153" t="s">
        <v>339</v>
      </c>
      <c r="Z495" s="154">
        <v>21297.84</v>
      </c>
      <c r="AA495" s="154">
        <v>1</v>
      </c>
      <c r="AB495" s="154">
        <v>83.08</v>
      </c>
      <c r="AD495" s="154">
        <v>17.693999999999999</v>
      </c>
      <c r="AG495" s="157" t="s">
        <v>15</v>
      </c>
      <c r="AH495" s="155">
        <v>2.0000000000000002E-5</v>
      </c>
      <c r="AI495" s="155">
        <f t="shared" si="7"/>
        <v>4.4024858344905186E-3</v>
      </c>
      <c r="AJ495" s="155">
        <v>5.6129513773447634E-4</v>
      </c>
    </row>
    <row r="496" spans="1:36" s="160" customFormat="1">
      <c r="A496" s="153" t="s">
        <v>1213</v>
      </c>
      <c r="B496" s="160">
        <v>13499</v>
      </c>
      <c r="C496" s="153" t="s">
        <v>2404</v>
      </c>
      <c r="D496" s="153" t="s">
        <v>2405</v>
      </c>
      <c r="E496" s="153" t="s">
        <v>309</v>
      </c>
      <c r="F496" s="153" t="s">
        <v>2406</v>
      </c>
      <c r="G496" s="153" t="s">
        <v>2407</v>
      </c>
      <c r="H496" s="153" t="s">
        <v>321</v>
      </c>
      <c r="I496" s="153" t="s">
        <v>754</v>
      </c>
      <c r="J496" s="153" t="s">
        <v>204</v>
      </c>
      <c r="K496" s="153" t="s">
        <v>204</v>
      </c>
      <c r="L496" s="153" t="s">
        <v>325</v>
      </c>
      <c r="M496" s="153" t="s">
        <v>340</v>
      </c>
      <c r="N496" s="153" t="s">
        <v>440</v>
      </c>
      <c r="O496" s="153" t="s">
        <v>339</v>
      </c>
      <c r="P496" s="153" t="s">
        <v>1554</v>
      </c>
      <c r="Q496" s="153" t="s">
        <v>413</v>
      </c>
      <c r="R496" s="153" t="s">
        <v>407</v>
      </c>
      <c r="S496" s="153" t="s">
        <v>1212</v>
      </c>
      <c r="T496" s="154">
        <v>3.02</v>
      </c>
      <c r="U496" s="153" t="s">
        <v>1654</v>
      </c>
      <c r="V496" s="155">
        <v>1.8249999999999999E-2</v>
      </c>
      <c r="W496" s="155">
        <v>3.1E-2</v>
      </c>
      <c r="X496" s="153" t="s">
        <v>412</v>
      </c>
      <c r="Y496" s="153" t="s">
        <v>339</v>
      </c>
      <c r="Z496" s="154">
        <v>14974.23</v>
      </c>
      <c r="AA496" s="154">
        <v>1</v>
      </c>
      <c r="AB496" s="154">
        <v>113.65</v>
      </c>
      <c r="AD496" s="154">
        <v>17.018000000000001</v>
      </c>
      <c r="AG496" s="157" t="s">
        <v>15</v>
      </c>
      <c r="AH496" s="155">
        <v>2.0000000000000002E-5</v>
      </c>
      <c r="AI496" s="155">
        <f t="shared" si="7"/>
        <v>4.2342886815507881E-3</v>
      </c>
      <c r="AJ496" s="155">
        <v>5.3985083384002028E-4</v>
      </c>
    </row>
    <row r="497" spans="1:36" s="160" customFormat="1">
      <c r="A497" s="153" t="s">
        <v>1213</v>
      </c>
      <c r="B497" s="160">
        <v>13499</v>
      </c>
      <c r="C497" s="153" t="s">
        <v>2328</v>
      </c>
      <c r="D497" s="153" t="s">
        <v>2329</v>
      </c>
      <c r="E497" s="153" t="s">
        <v>309</v>
      </c>
      <c r="F497" s="153" t="s">
        <v>2417</v>
      </c>
      <c r="G497" s="153" t="s">
        <v>2418</v>
      </c>
      <c r="H497" s="153" t="s">
        <v>321</v>
      </c>
      <c r="I497" s="153" t="s">
        <v>951</v>
      </c>
      <c r="J497" s="153" t="s">
        <v>204</v>
      </c>
      <c r="K497" s="153" t="s">
        <v>204</v>
      </c>
      <c r="L497" s="153" t="s">
        <v>325</v>
      </c>
      <c r="M497" s="153" t="s">
        <v>340</v>
      </c>
      <c r="N497" s="153" t="s">
        <v>465</v>
      </c>
      <c r="O497" s="153" t="s">
        <v>339</v>
      </c>
      <c r="P497" s="153" t="s">
        <v>2011</v>
      </c>
      <c r="Q497" s="153" t="s">
        <v>415</v>
      </c>
      <c r="R497" s="153" t="s">
        <v>407</v>
      </c>
      <c r="S497" s="153" t="s">
        <v>1212</v>
      </c>
      <c r="T497" s="154">
        <v>0.82</v>
      </c>
      <c r="U497" s="153" t="s">
        <v>2419</v>
      </c>
      <c r="V497" s="155">
        <v>3.3160000000000002E-2</v>
      </c>
      <c r="W497" s="155">
        <v>4.7699999999999999E-2</v>
      </c>
      <c r="X497" s="153" t="s">
        <v>412</v>
      </c>
      <c r="Y497" s="153" t="s">
        <v>339</v>
      </c>
      <c r="Z497" s="154">
        <v>15945.95</v>
      </c>
      <c r="AA497" s="154">
        <v>1</v>
      </c>
      <c r="AB497" s="154">
        <v>101.17</v>
      </c>
      <c r="AD497" s="154">
        <v>16.132999999999999</v>
      </c>
      <c r="AG497" s="157" t="s">
        <v>15</v>
      </c>
      <c r="AH497" s="155">
        <v>8.0000000000000007E-5</v>
      </c>
      <c r="AI497" s="155">
        <f t="shared" si="7"/>
        <v>4.0140897461193367E-3</v>
      </c>
      <c r="AJ497" s="155">
        <v>5.1177656025038474E-4</v>
      </c>
    </row>
    <row r="498" spans="1:36" s="160" customFormat="1">
      <c r="A498" s="153" t="s">
        <v>1213</v>
      </c>
      <c r="B498" s="160">
        <v>13499</v>
      </c>
      <c r="C498" s="153" t="s">
        <v>1534</v>
      </c>
      <c r="D498" s="153" t="s">
        <v>1535</v>
      </c>
      <c r="E498" s="153" t="s">
        <v>309</v>
      </c>
      <c r="F498" s="153" t="s">
        <v>2009</v>
      </c>
      <c r="G498" s="153" t="s">
        <v>2010</v>
      </c>
      <c r="H498" s="153" t="s">
        <v>321</v>
      </c>
      <c r="I498" s="153" t="s">
        <v>754</v>
      </c>
      <c r="J498" s="153" t="s">
        <v>204</v>
      </c>
      <c r="K498" s="153" t="s">
        <v>204</v>
      </c>
      <c r="L498" s="153" t="s">
        <v>325</v>
      </c>
      <c r="M498" s="153" t="s">
        <v>340</v>
      </c>
      <c r="N498" s="153" t="s">
        <v>464</v>
      </c>
      <c r="O498" s="153" t="s">
        <v>339</v>
      </c>
      <c r="P498" s="153" t="s">
        <v>2011</v>
      </c>
      <c r="Q498" s="153" t="s">
        <v>415</v>
      </c>
      <c r="R498" s="153" t="s">
        <v>407</v>
      </c>
      <c r="S498" s="153" t="s">
        <v>1212</v>
      </c>
      <c r="T498" s="154">
        <v>5.56</v>
      </c>
      <c r="U498" s="153" t="s">
        <v>2012</v>
      </c>
      <c r="V498" s="155">
        <v>1.916E-2</v>
      </c>
      <c r="W498" s="155">
        <v>3.3099999999999997E-2</v>
      </c>
      <c r="X498" s="153" t="s">
        <v>412</v>
      </c>
      <c r="Y498" s="153" t="s">
        <v>339</v>
      </c>
      <c r="Z498" s="154">
        <v>15000</v>
      </c>
      <c r="AA498" s="154">
        <v>1</v>
      </c>
      <c r="AB498" s="154">
        <v>102.12</v>
      </c>
      <c r="AD498" s="154">
        <v>15.318</v>
      </c>
      <c r="AG498" s="157" t="s">
        <v>15</v>
      </c>
      <c r="AH498" s="155">
        <v>1.0000000000000001E-5</v>
      </c>
      <c r="AI498" s="155">
        <f t="shared" si="7"/>
        <v>3.8113076756372648E-3</v>
      </c>
      <c r="AJ498" s="155">
        <v>4.859228506734887E-4</v>
      </c>
    </row>
    <row r="499" spans="1:36" s="160" customFormat="1">
      <c r="A499" s="153" t="s">
        <v>1213</v>
      </c>
      <c r="B499" s="160">
        <v>13499</v>
      </c>
      <c r="C499" s="153" t="s">
        <v>2408</v>
      </c>
      <c r="D499" s="153" t="s">
        <v>2409</v>
      </c>
      <c r="E499" s="153" t="s">
        <v>309</v>
      </c>
      <c r="F499" s="153" t="s">
        <v>2410</v>
      </c>
      <c r="G499" s="153" t="s">
        <v>2411</v>
      </c>
      <c r="H499" s="153" t="s">
        <v>321</v>
      </c>
      <c r="I499" s="153" t="s">
        <v>951</v>
      </c>
      <c r="J499" s="153" t="s">
        <v>204</v>
      </c>
      <c r="K499" s="153" t="s">
        <v>204</v>
      </c>
      <c r="L499" s="153" t="s">
        <v>325</v>
      </c>
      <c r="M499" s="153" t="s">
        <v>340</v>
      </c>
      <c r="N499" s="153" t="s">
        <v>451</v>
      </c>
      <c r="O499" s="153" t="s">
        <v>339</v>
      </c>
      <c r="P499" s="153" t="s">
        <v>1521</v>
      </c>
      <c r="Q499" s="153" t="s">
        <v>413</v>
      </c>
      <c r="R499" s="153" t="s">
        <v>407</v>
      </c>
      <c r="S499" s="153" t="s">
        <v>1212</v>
      </c>
      <c r="T499" s="154">
        <v>1.46</v>
      </c>
      <c r="U499" s="153" t="s">
        <v>1522</v>
      </c>
      <c r="V499" s="155">
        <v>3.9E-2</v>
      </c>
      <c r="W499" s="155">
        <v>5.8700000000000002E-2</v>
      </c>
      <c r="X499" s="153" t="s">
        <v>412</v>
      </c>
      <c r="Y499" s="153" t="s">
        <v>339</v>
      </c>
      <c r="Z499" s="154">
        <v>15000</v>
      </c>
      <c r="AA499" s="154">
        <v>1</v>
      </c>
      <c r="AB499" s="154">
        <v>97.35</v>
      </c>
      <c r="AD499" s="154">
        <v>14.603</v>
      </c>
      <c r="AG499" s="157" t="s">
        <v>15</v>
      </c>
      <c r="AH499" s="155">
        <v>3.0000000000000001E-5</v>
      </c>
      <c r="AI499" s="155">
        <f t="shared" si="7"/>
        <v>3.6334068407971654E-3</v>
      </c>
      <c r="AJ499" s="155">
        <v>4.6324137540050629E-4</v>
      </c>
    </row>
    <row r="500" spans="1:36" s="160" customFormat="1">
      <c r="A500" s="153" t="s">
        <v>1213</v>
      </c>
      <c r="B500" s="160">
        <v>13499</v>
      </c>
      <c r="C500" s="153" t="s">
        <v>1807</v>
      </c>
      <c r="D500" s="153" t="s">
        <v>1808</v>
      </c>
      <c r="E500" s="153" t="s">
        <v>309</v>
      </c>
      <c r="F500" s="153" t="s">
        <v>2200</v>
      </c>
      <c r="G500" s="153" t="s">
        <v>2201</v>
      </c>
      <c r="H500" s="153" t="s">
        <v>321</v>
      </c>
      <c r="I500" s="153" t="s">
        <v>754</v>
      </c>
      <c r="J500" s="153" t="s">
        <v>204</v>
      </c>
      <c r="K500" s="153" t="s">
        <v>204</v>
      </c>
      <c r="L500" s="153" t="s">
        <v>325</v>
      </c>
      <c r="M500" s="153" t="s">
        <v>340</v>
      </c>
      <c r="N500" s="153" t="s">
        <v>464</v>
      </c>
      <c r="O500" s="153" t="s">
        <v>339</v>
      </c>
      <c r="P500" s="153" t="s">
        <v>1811</v>
      </c>
      <c r="Q500" s="153" t="s">
        <v>413</v>
      </c>
      <c r="R500" s="153" t="s">
        <v>407</v>
      </c>
      <c r="S500" s="153" t="s">
        <v>1212</v>
      </c>
      <c r="T500" s="154">
        <v>10.34</v>
      </c>
      <c r="U500" s="153" t="s">
        <v>2202</v>
      </c>
      <c r="V500" s="155">
        <v>2.2939999999999999E-2</v>
      </c>
      <c r="W500" s="155">
        <v>3.6400000000000002E-2</v>
      </c>
      <c r="X500" s="153" t="s">
        <v>412</v>
      </c>
      <c r="Y500" s="153" t="s">
        <v>339</v>
      </c>
      <c r="Z500" s="154">
        <v>15000</v>
      </c>
      <c r="AA500" s="154">
        <v>1</v>
      </c>
      <c r="AB500" s="154">
        <v>93.61</v>
      </c>
      <c r="AD500" s="154">
        <v>14.042</v>
      </c>
      <c r="AG500" s="157" t="s">
        <v>15</v>
      </c>
      <c r="AH500" s="155">
        <v>0</v>
      </c>
      <c r="AI500" s="155">
        <f t="shared" si="7"/>
        <v>3.4938231088457029E-3</v>
      </c>
      <c r="AJ500" s="155">
        <v>4.4544514095555088E-4</v>
      </c>
    </row>
    <row r="501" spans="1:36" s="160" customFormat="1">
      <c r="A501" s="153" t="s">
        <v>1213</v>
      </c>
      <c r="B501" s="160">
        <v>13499</v>
      </c>
      <c r="C501" s="153" t="s">
        <v>1852</v>
      </c>
      <c r="D501" s="153" t="s">
        <v>1853</v>
      </c>
      <c r="E501" s="153" t="s">
        <v>309</v>
      </c>
      <c r="F501" s="153" t="s">
        <v>2383</v>
      </c>
      <c r="G501" s="153" t="s">
        <v>2384</v>
      </c>
      <c r="H501" s="153" t="s">
        <v>321</v>
      </c>
      <c r="I501" s="153" t="s">
        <v>754</v>
      </c>
      <c r="J501" s="153" t="s">
        <v>204</v>
      </c>
      <c r="K501" s="153" t="s">
        <v>204</v>
      </c>
      <c r="L501" s="153" t="s">
        <v>325</v>
      </c>
      <c r="M501" s="153" t="s">
        <v>340</v>
      </c>
      <c r="N501" s="153" t="s">
        <v>448</v>
      </c>
      <c r="O501" s="153" t="s">
        <v>339</v>
      </c>
      <c r="P501" s="153" t="s">
        <v>1566</v>
      </c>
      <c r="Q501" s="153" t="s">
        <v>413</v>
      </c>
      <c r="R501" s="153" t="s">
        <v>407</v>
      </c>
      <c r="S501" s="153" t="s">
        <v>1212</v>
      </c>
      <c r="T501" s="154">
        <v>1.23</v>
      </c>
      <c r="U501" s="153" t="s">
        <v>1659</v>
      </c>
      <c r="V501" s="155">
        <v>3.3600000000000001E-3</v>
      </c>
      <c r="W501" s="155">
        <v>2.01E-2</v>
      </c>
      <c r="X501" s="153" t="s">
        <v>412</v>
      </c>
      <c r="Y501" s="153" t="s">
        <v>339</v>
      </c>
      <c r="Z501" s="154">
        <v>12375</v>
      </c>
      <c r="AA501" s="154">
        <v>1</v>
      </c>
      <c r="AB501" s="154">
        <v>111.85</v>
      </c>
      <c r="AD501" s="154">
        <v>13.840999999999999</v>
      </c>
      <c r="AG501" s="157" t="s">
        <v>15</v>
      </c>
      <c r="AH501" s="155">
        <v>3.0000000000000001E-5</v>
      </c>
      <c r="AI501" s="155">
        <f t="shared" si="7"/>
        <v>3.4438118252053391E-3</v>
      </c>
      <c r="AJ501" s="155">
        <v>4.3906895000468449E-4</v>
      </c>
    </row>
    <row r="502" spans="1:36" s="160" customFormat="1">
      <c r="A502" s="153" t="s">
        <v>1213</v>
      </c>
      <c r="B502" s="160">
        <v>13499</v>
      </c>
      <c r="C502" s="153" t="s">
        <v>2445</v>
      </c>
      <c r="D502" s="153" t="s">
        <v>2446</v>
      </c>
      <c r="E502" s="153" t="s">
        <v>309</v>
      </c>
      <c r="F502" s="153" t="s">
        <v>2447</v>
      </c>
      <c r="G502" s="153" t="s">
        <v>2448</v>
      </c>
      <c r="H502" s="153" t="s">
        <v>321</v>
      </c>
      <c r="I502" s="153" t="s">
        <v>951</v>
      </c>
      <c r="J502" s="153" t="s">
        <v>204</v>
      </c>
      <c r="K502" s="153" t="s">
        <v>204</v>
      </c>
      <c r="L502" s="153" t="s">
        <v>325</v>
      </c>
      <c r="M502" s="153" t="s">
        <v>340</v>
      </c>
      <c r="N502" s="153" t="s">
        <v>440</v>
      </c>
      <c r="O502" s="153" t="s">
        <v>339</v>
      </c>
      <c r="P502" s="153" t="s">
        <v>1614</v>
      </c>
      <c r="Q502" s="153" t="s">
        <v>415</v>
      </c>
      <c r="R502" s="153" t="s">
        <v>407</v>
      </c>
      <c r="S502" s="153" t="s">
        <v>1212</v>
      </c>
      <c r="T502" s="154">
        <v>1.92</v>
      </c>
      <c r="U502" s="153" t="s">
        <v>1370</v>
      </c>
      <c r="V502" s="155">
        <v>4.1860000000000001E-2</v>
      </c>
      <c r="W502" s="155">
        <v>5.7599999999999998E-2</v>
      </c>
      <c r="X502" s="153" t="s">
        <v>412</v>
      </c>
      <c r="Y502" s="153" t="s">
        <v>339</v>
      </c>
      <c r="Z502" s="154">
        <v>12499.99</v>
      </c>
      <c r="AA502" s="154">
        <v>1</v>
      </c>
      <c r="AB502" s="154">
        <v>95.6</v>
      </c>
      <c r="AD502" s="154">
        <v>11.95</v>
      </c>
      <c r="AG502" s="157" t="s">
        <v>15</v>
      </c>
      <c r="AH502" s="155">
        <v>2.0000000000000002E-5</v>
      </c>
      <c r="AI502" s="155">
        <f t="shared" si="7"/>
        <v>2.9733076592156492E-3</v>
      </c>
      <c r="AJ502" s="155">
        <v>3.7908199931767784E-4</v>
      </c>
    </row>
    <row r="503" spans="1:36" s="160" customFormat="1">
      <c r="A503" s="153" t="s">
        <v>1213</v>
      </c>
      <c r="B503" s="160">
        <v>13499</v>
      </c>
      <c r="C503" s="153" t="s">
        <v>1687</v>
      </c>
      <c r="D503" s="153" t="s">
        <v>1688</v>
      </c>
      <c r="E503" s="153" t="s">
        <v>309</v>
      </c>
      <c r="F503" s="153" t="s">
        <v>1837</v>
      </c>
      <c r="G503" s="153" t="s">
        <v>1838</v>
      </c>
      <c r="H503" s="153" t="s">
        <v>321</v>
      </c>
      <c r="I503" s="153" t="s">
        <v>754</v>
      </c>
      <c r="J503" s="153" t="s">
        <v>204</v>
      </c>
      <c r="K503" s="153" t="s">
        <v>204</v>
      </c>
      <c r="L503" s="153" t="s">
        <v>325</v>
      </c>
      <c r="M503" s="153" t="s">
        <v>340</v>
      </c>
      <c r="N503" s="153" t="s">
        <v>465</v>
      </c>
      <c r="O503" s="153" t="s">
        <v>339</v>
      </c>
      <c r="P503" s="153" t="s">
        <v>1614</v>
      </c>
      <c r="Q503" s="153" t="s">
        <v>415</v>
      </c>
      <c r="R503" s="153" t="s">
        <v>407</v>
      </c>
      <c r="S503" s="153" t="s">
        <v>1212</v>
      </c>
      <c r="T503" s="154">
        <v>1.46</v>
      </c>
      <c r="U503" s="153" t="s">
        <v>1839</v>
      </c>
      <c r="V503" s="155">
        <v>2.452E-2</v>
      </c>
      <c r="W503" s="155">
        <v>3.1099999999999999E-2</v>
      </c>
      <c r="X503" s="153" t="s">
        <v>412</v>
      </c>
      <c r="Y503" s="153" t="s">
        <v>339</v>
      </c>
      <c r="Z503" s="154">
        <v>10000</v>
      </c>
      <c r="AA503" s="154">
        <v>1</v>
      </c>
      <c r="AB503" s="154">
        <v>116.88</v>
      </c>
      <c r="AD503" s="154">
        <v>11.688000000000001</v>
      </c>
      <c r="AG503" s="157" t="s">
        <v>15</v>
      </c>
      <c r="AH503" s="155">
        <v>1.0000000000000001E-5</v>
      </c>
      <c r="AI503" s="155">
        <f t="shared" si="7"/>
        <v>2.908118821833683E-3</v>
      </c>
      <c r="AJ503" s="155">
        <v>3.7077074544142422E-4</v>
      </c>
    </row>
    <row r="504" spans="1:36" s="160" customFormat="1">
      <c r="A504" s="153" t="s">
        <v>1213</v>
      </c>
      <c r="B504" s="160">
        <v>13499</v>
      </c>
      <c r="C504" s="153" t="s">
        <v>2424</v>
      </c>
      <c r="D504" s="153" t="s">
        <v>2425</v>
      </c>
      <c r="E504" s="153" t="s">
        <v>309</v>
      </c>
      <c r="F504" s="153" t="s">
        <v>2426</v>
      </c>
      <c r="G504" s="153" t="s">
        <v>2427</v>
      </c>
      <c r="H504" s="153" t="s">
        <v>321</v>
      </c>
      <c r="I504" s="153" t="s">
        <v>754</v>
      </c>
      <c r="J504" s="153" t="s">
        <v>204</v>
      </c>
      <c r="K504" s="153" t="s">
        <v>204</v>
      </c>
      <c r="L504" s="153" t="s">
        <v>325</v>
      </c>
      <c r="M504" s="153" t="s">
        <v>340</v>
      </c>
      <c r="N504" s="153" t="s">
        <v>477</v>
      </c>
      <c r="O504" s="153" t="s">
        <v>339</v>
      </c>
      <c r="P504" s="153" t="s">
        <v>1923</v>
      </c>
      <c r="Q504" s="153" t="s">
        <v>415</v>
      </c>
      <c r="R504" s="153" t="s">
        <v>407</v>
      </c>
      <c r="S504" s="153" t="s">
        <v>1212</v>
      </c>
      <c r="T504" s="154">
        <v>5.47</v>
      </c>
      <c r="U504" s="153" t="s">
        <v>2177</v>
      </c>
      <c r="V504" s="155">
        <v>1.5630000000000002E-2</v>
      </c>
      <c r="W504" s="155">
        <v>2.7400000000000001E-2</v>
      </c>
      <c r="X504" s="153" t="s">
        <v>412</v>
      </c>
      <c r="Y504" s="153" t="s">
        <v>339</v>
      </c>
      <c r="Z504" s="154">
        <v>9636.17</v>
      </c>
      <c r="AA504" s="154">
        <v>1</v>
      </c>
      <c r="AB504" s="154">
        <v>116.33</v>
      </c>
      <c r="AD504" s="154">
        <v>11.21</v>
      </c>
      <c r="AG504" s="157" t="s">
        <v>15</v>
      </c>
      <c r="AH504" s="155">
        <v>1.0000000000000001E-5</v>
      </c>
      <c r="AI504" s="155">
        <f t="shared" si="7"/>
        <v>2.7891865154650568E-3</v>
      </c>
      <c r="AJ504" s="155">
        <v>3.5560746546871709E-4</v>
      </c>
    </row>
    <row r="505" spans="1:36" s="160" customFormat="1">
      <c r="A505" s="153" t="s">
        <v>1213</v>
      </c>
      <c r="B505" s="160">
        <v>13499</v>
      </c>
      <c r="C505" s="153" t="s">
        <v>2128</v>
      </c>
      <c r="D505" s="153" t="s">
        <v>2129</v>
      </c>
      <c r="E505" s="153" t="s">
        <v>309</v>
      </c>
      <c r="F505" s="153" t="s">
        <v>2485</v>
      </c>
      <c r="G505" s="153" t="s">
        <v>2486</v>
      </c>
      <c r="H505" s="153" t="s">
        <v>321</v>
      </c>
      <c r="I505" s="153" t="s">
        <v>951</v>
      </c>
      <c r="J505" s="153" t="s">
        <v>204</v>
      </c>
      <c r="K505" s="153" t="s">
        <v>204</v>
      </c>
      <c r="L505" s="153" t="s">
        <v>325</v>
      </c>
      <c r="M505" s="153" t="s">
        <v>340</v>
      </c>
      <c r="N505" s="153" t="s">
        <v>445</v>
      </c>
      <c r="O505" s="153" t="s">
        <v>339</v>
      </c>
      <c r="P505" s="153" t="s">
        <v>1538</v>
      </c>
      <c r="Q505" s="153" t="s">
        <v>413</v>
      </c>
      <c r="R505" s="153" t="s">
        <v>407</v>
      </c>
      <c r="S505" s="153" t="s">
        <v>1212</v>
      </c>
      <c r="T505" s="154">
        <v>2.15</v>
      </c>
      <c r="U505" s="153" t="s">
        <v>1382</v>
      </c>
      <c r="V505" s="155">
        <v>6.4000000000000005E-4</v>
      </c>
      <c r="W505" s="155">
        <v>5.3100000000000001E-2</v>
      </c>
      <c r="X505" s="153" t="s">
        <v>412</v>
      </c>
      <c r="Y505" s="153" t="s">
        <v>339</v>
      </c>
      <c r="Z505" s="154">
        <v>10000</v>
      </c>
      <c r="AA505" s="154">
        <v>1</v>
      </c>
      <c r="AB505" s="154">
        <v>102.22</v>
      </c>
      <c r="AD505" s="154">
        <v>10.222</v>
      </c>
      <c r="AG505" s="157" t="s">
        <v>15</v>
      </c>
      <c r="AH505" s="155">
        <v>3.0000000000000001E-5</v>
      </c>
      <c r="AI505" s="155">
        <f t="shared" si="7"/>
        <v>2.5433599073223737E-3</v>
      </c>
      <c r="AJ505" s="155">
        <v>3.2426579054605046E-4</v>
      </c>
    </row>
    <row r="506" spans="1:36" s="160" customFormat="1">
      <c r="A506" s="153" t="s">
        <v>1213</v>
      </c>
      <c r="B506" s="160">
        <v>13499</v>
      </c>
      <c r="C506" s="153" t="s">
        <v>2491</v>
      </c>
      <c r="D506" s="153" t="s">
        <v>2492</v>
      </c>
      <c r="E506" s="153" t="s">
        <v>311</v>
      </c>
      <c r="F506" s="153" t="s">
        <v>2493</v>
      </c>
      <c r="G506" s="153" t="s">
        <v>2494</v>
      </c>
      <c r="H506" s="153" t="s">
        <v>321</v>
      </c>
      <c r="I506" s="153" t="s">
        <v>951</v>
      </c>
      <c r="J506" s="153" t="s">
        <v>204</v>
      </c>
      <c r="K506" s="153" t="s">
        <v>224</v>
      </c>
      <c r="L506" s="153" t="s">
        <v>325</v>
      </c>
      <c r="M506" s="153" t="s">
        <v>340</v>
      </c>
      <c r="N506" s="153" t="s">
        <v>465</v>
      </c>
      <c r="O506" s="153" t="s">
        <v>339</v>
      </c>
      <c r="P506" s="153" t="s">
        <v>1554</v>
      </c>
      <c r="Q506" s="153" t="s">
        <v>413</v>
      </c>
      <c r="R506" s="153" t="s">
        <v>407</v>
      </c>
      <c r="S506" s="153" t="s">
        <v>1212</v>
      </c>
      <c r="T506" s="154">
        <v>2.69</v>
      </c>
      <c r="U506" s="153" t="s">
        <v>2495</v>
      </c>
      <c r="V506" s="155">
        <v>0.08</v>
      </c>
      <c r="W506" s="155">
        <v>0.17280000000000001</v>
      </c>
      <c r="X506" s="153" t="s">
        <v>412</v>
      </c>
      <c r="Y506" s="153" t="s">
        <v>338</v>
      </c>
      <c r="Z506" s="154">
        <v>11802.93</v>
      </c>
      <c r="AA506" s="154">
        <v>1</v>
      </c>
      <c r="AB506" s="154">
        <v>82.33</v>
      </c>
      <c r="AD506" s="154">
        <v>9.7170000000000005</v>
      </c>
      <c r="AG506" s="157" t="s">
        <v>15</v>
      </c>
      <c r="AH506" s="155">
        <v>1.0000000000000001E-5</v>
      </c>
      <c r="AI506" s="155">
        <f t="shared" si="7"/>
        <v>2.4177096673304154E-3</v>
      </c>
      <c r="AJ506" s="155">
        <v>3.082460073112867E-4</v>
      </c>
    </row>
    <row r="507" spans="1:36" s="160" customFormat="1">
      <c r="A507" s="153" t="s">
        <v>1213</v>
      </c>
      <c r="B507" s="160">
        <v>13499</v>
      </c>
      <c r="C507" s="153" t="s">
        <v>2361</v>
      </c>
      <c r="D507" s="153" t="s">
        <v>2362</v>
      </c>
      <c r="E507" s="153" t="s">
        <v>309</v>
      </c>
      <c r="F507" s="153" t="s">
        <v>2363</v>
      </c>
      <c r="G507" s="153" t="s">
        <v>2364</v>
      </c>
      <c r="H507" s="153" t="s">
        <v>321</v>
      </c>
      <c r="I507" s="153" t="s">
        <v>951</v>
      </c>
      <c r="J507" s="153" t="s">
        <v>204</v>
      </c>
      <c r="K507" s="153" t="s">
        <v>204</v>
      </c>
      <c r="L507" s="153" t="s">
        <v>325</v>
      </c>
      <c r="M507" s="153" t="s">
        <v>340</v>
      </c>
      <c r="N507" s="153" t="s">
        <v>446</v>
      </c>
      <c r="O507" s="153" t="s">
        <v>339</v>
      </c>
      <c r="P507" s="153" t="s">
        <v>1538</v>
      </c>
      <c r="Q507" s="153" t="s">
        <v>413</v>
      </c>
      <c r="R507" s="153" t="s">
        <v>407</v>
      </c>
      <c r="S507" s="153" t="s">
        <v>1212</v>
      </c>
      <c r="T507" s="154">
        <v>2.62</v>
      </c>
      <c r="U507" s="153" t="s">
        <v>1587</v>
      </c>
      <c r="V507" s="155">
        <v>2.8400000000000002E-2</v>
      </c>
      <c r="W507" s="155">
        <v>5.2200000000000003E-2</v>
      </c>
      <c r="X507" s="153" t="s">
        <v>412</v>
      </c>
      <c r="Y507" s="153" t="s">
        <v>339</v>
      </c>
      <c r="Z507" s="154">
        <v>9375</v>
      </c>
      <c r="AA507" s="154">
        <v>1</v>
      </c>
      <c r="AB507" s="154">
        <v>90.15</v>
      </c>
      <c r="AD507" s="154">
        <v>8.452</v>
      </c>
      <c r="AG507" s="157" t="s">
        <v>15</v>
      </c>
      <c r="AH507" s="155">
        <v>1.0000000000000001E-5</v>
      </c>
      <c r="AI507" s="155">
        <f t="shared" si="7"/>
        <v>2.1029620364594703E-3</v>
      </c>
      <c r="AJ507" s="155">
        <v>2.6811724336677937E-4</v>
      </c>
    </row>
    <row r="508" spans="1:36" s="160" customFormat="1">
      <c r="A508" s="153" t="s">
        <v>1213</v>
      </c>
      <c r="B508" s="160">
        <v>13499</v>
      </c>
      <c r="C508" s="153" t="s">
        <v>1534</v>
      </c>
      <c r="D508" s="153" t="s">
        <v>1535</v>
      </c>
      <c r="E508" s="153" t="s">
        <v>309</v>
      </c>
      <c r="F508" s="153" t="s">
        <v>2286</v>
      </c>
      <c r="G508" s="153" t="s">
        <v>2287</v>
      </c>
      <c r="H508" s="153" t="s">
        <v>321</v>
      </c>
      <c r="I508" s="153" t="s">
        <v>754</v>
      </c>
      <c r="J508" s="153" t="s">
        <v>204</v>
      </c>
      <c r="K508" s="153" t="s">
        <v>204</v>
      </c>
      <c r="L508" s="153" t="s">
        <v>325</v>
      </c>
      <c r="M508" s="153" t="s">
        <v>340</v>
      </c>
      <c r="N508" s="153" t="s">
        <v>464</v>
      </c>
      <c r="O508" s="153" t="s">
        <v>339</v>
      </c>
      <c r="P508" s="153" t="s">
        <v>2011</v>
      </c>
      <c r="Q508" s="153" t="s">
        <v>415</v>
      </c>
      <c r="R508" s="153" t="s">
        <v>407</v>
      </c>
      <c r="S508" s="153" t="s">
        <v>1212</v>
      </c>
      <c r="T508" s="154">
        <v>2.1800000000000002</v>
      </c>
      <c r="U508" s="153" t="s">
        <v>2288</v>
      </c>
      <c r="V508" s="155">
        <v>-1.09E-3</v>
      </c>
      <c r="W508" s="155">
        <v>2.6499999999999999E-2</v>
      </c>
      <c r="X508" s="153" t="s">
        <v>412</v>
      </c>
      <c r="Y508" s="153" t="s">
        <v>339</v>
      </c>
      <c r="Z508" s="154">
        <v>6000</v>
      </c>
      <c r="AA508" s="154">
        <v>1</v>
      </c>
      <c r="AB508" s="154">
        <v>117.37</v>
      </c>
      <c r="AD508" s="154">
        <v>7.0419999999999998</v>
      </c>
      <c r="AG508" s="157" t="s">
        <v>15</v>
      </c>
      <c r="AH508" s="155">
        <v>1.0000000000000001E-5</v>
      </c>
      <c r="AI508" s="155">
        <f t="shared" si="7"/>
        <v>1.7521366139076654E-3</v>
      </c>
      <c r="AJ508" s="155">
        <v>2.2338873968159729E-4</v>
      </c>
    </row>
    <row r="509" spans="1:36" s="160" customFormat="1">
      <c r="A509" s="153" t="s">
        <v>1213</v>
      </c>
      <c r="B509" s="160">
        <v>13499</v>
      </c>
      <c r="C509" s="153" t="s">
        <v>2336</v>
      </c>
      <c r="D509" s="153" t="s">
        <v>2337</v>
      </c>
      <c r="E509" s="153" t="s">
        <v>309</v>
      </c>
      <c r="F509" s="153" t="s">
        <v>2629</v>
      </c>
      <c r="G509" s="153" t="s">
        <v>2630</v>
      </c>
      <c r="H509" s="153" t="s">
        <v>321</v>
      </c>
      <c r="I509" s="153" t="s">
        <v>754</v>
      </c>
      <c r="J509" s="153" t="s">
        <v>204</v>
      </c>
      <c r="K509" s="153" t="s">
        <v>204</v>
      </c>
      <c r="L509" s="153" t="s">
        <v>325</v>
      </c>
      <c r="M509" s="153" t="s">
        <v>340</v>
      </c>
      <c r="N509" s="153" t="s">
        <v>464</v>
      </c>
      <c r="O509" s="153" t="s">
        <v>339</v>
      </c>
      <c r="P509" s="153" t="s">
        <v>1982</v>
      </c>
      <c r="Q509" s="153" t="s">
        <v>415</v>
      </c>
      <c r="R509" s="153" t="s">
        <v>407</v>
      </c>
      <c r="S509" s="153" t="s">
        <v>1212</v>
      </c>
      <c r="T509" s="154">
        <v>0.28000000000000003</v>
      </c>
      <c r="U509" s="153" t="s">
        <v>2631</v>
      </c>
      <c r="V509" s="155">
        <v>2.75E-2</v>
      </c>
      <c r="W509" s="155">
        <v>4.65E-2</v>
      </c>
      <c r="X509" s="153" t="s">
        <v>412</v>
      </c>
      <c r="Y509" s="153" t="s">
        <v>339</v>
      </c>
      <c r="Z509" s="154">
        <v>5000</v>
      </c>
      <c r="AA509" s="154">
        <v>1</v>
      </c>
      <c r="AB509" s="154">
        <v>116.74</v>
      </c>
      <c r="AD509" s="154">
        <v>5.8369999999999997</v>
      </c>
      <c r="AG509" s="157" t="s">
        <v>15</v>
      </c>
      <c r="AH509" s="155">
        <v>4.0000000000000003E-5</v>
      </c>
      <c r="AI509" s="155">
        <f t="shared" si="7"/>
        <v>1.4523177244219034E-3</v>
      </c>
      <c r="AJ509" s="155">
        <v>1.8516331631943813E-4</v>
      </c>
    </row>
    <row r="510" spans="1:36" s="160" customFormat="1">
      <c r="A510" s="153" t="s">
        <v>1213</v>
      </c>
      <c r="B510" s="160">
        <v>13500</v>
      </c>
      <c r="C510" s="153" t="s">
        <v>2463</v>
      </c>
      <c r="D510" s="153" t="s">
        <v>2464</v>
      </c>
      <c r="E510" s="153" t="s">
        <v>309</v>
      </c>
      <c r="F510" s="153" t="s">
        <v>2465</v>
      </c>
      <c r="G510" s="153" t="s">
        <v>2466</v>
      </c>
      <c r="H510" s="153" t="s">
        <v>321</v>
      </c>
      <c r="I510" s="153" t="s">
        <v>754</v>
      </c>
      <c r="J510" s="153" t="s">
        <v>204</v>
      </c>
      <c r="K510" s="153" t="s">
        <v>204</v>
      </c>
      <c r="L510" s="153" t="s">
        <v>325</v>
      </c>
      <c r="M510" s="153" t="s">
        <v>340</v>
      </c>
      <c r="N510" s="153" t="s">
        <v>465</v>
      </c>
      <c r="O510" s="153" t="s">
        <v>339</v>
      </c>
      <c r="P510" s="153" t="s">
        <v>1554</v>
      </c>
      <c r="Q510" s="153" t="s">
        <v>413</v>
      </c>
      <c r="R510" s="153" t="s">
        <v>407</v>
      </c>
      <c r="S510" s="153" t="s">
        <v>1212</v>
      </c>
      <c r="T510" s="154">
        <v>3.56</v>
      </c>
      <c r="U510" s="153" t="s">
        <v>1669</v>
      </c>
      <c r="V510" s="155">
        <v>8.6910000000000001E-2</v>
      </c>
      <c r="W510" s="155">
        <v>5.1200000000000002E-2</v>
      </c>
      <c r="X510" s="153" t="s">
        <v>412</v>
      </c>
      <c r="Y510" s="153" t="s">
        <v>339</v>
      </c>
      <c r="Z510" s="154">
        <v>52500</v>
      </c>
      <c r="AA510" s="154">
        <v>1</v>
      </c>
      <c r="AB510" s="154">
        <v>100.76</v>
      </c>
      <c r="AD510" s="154">
        <v>52.899000000000001</v>
      </c>
      <c r="AG510" s="157" t="s">
        <v>15</v>
      </c>
      <c r="AH510" s="155">
        <v>5.0000000000000002E-5</v>
      </c>
      <c r="AI510" s="155">
        <f t="shared" si="7"/>
        <v>1</v>
      </c>
      <c r="AJ510" s="155">
        <v>1.7791677838929526E-4</v>
      </c>
    </row>
    <row r="511" spans="1:36" s="160" customFormat="1">
      <c r="A511" s="153" t="s">
        <v>1213</v>
      </c>
      <c r="B511" s="160">
        <v>141</v>
      </c>
      <c r="C511" s="153" t="s">
        <v>1573</v>
      </c>
      <c r="D511" s="153" t="s">
        <v>1574</v>
      </c>
      <c r="E511" s="153" t="s">
        <v>309</v>
      </c>
      <c r="F511" s="153" t="s">
        <v>2277</v>
      </c>
      <c r="G511" s="153" t="s">
        <v>2278</v>
      </c>
      <c r="H511" s="153" t="s">
        <v>321</v>
      </c>
      <c r="I511" s="153" t="s">
        <v>754</v>
      </c>
      <c r="J511" s="153" t="s">
        <v>204</v>
      </c>
      <c r="K511" s="153" t="s">
        <v>204</v>
      </c>
      <c r="L511" s="153" t="s">
        <v>325</v>
      </c>
      <c r="M511" s="153" t="s">
        <v>340</v>
      </c>
      <c r="N511" s="153" t="s">
        <v>448</v>
      </c>
      <c r="O511" s="153" t="s">
        <v>339</v>
      </c>
      <c r="P511" s="153" t="s">
        <v>1215</v>
      </c>
      <c r="Q511" s="153" t="s">
        <v>413</v>
      </c>
      <c r="R511" s="153" t="s">
        <v>407</v>
      </c>
      <c r="S511" s="153" t="s">
        <v>1212</v>
      </c>
      <c r="T511" s="154">
        <v>3.14</v>
      </c>
      <c r="U511" s="153" t="s">
        <v>2279</v>
      </c>
      <c r="V511" s="155">
        <v>-1.0330000000000001E-2</v>
      </c>
      <c r="W511" s="155">
        <v>2.3099999999999999E-2</v>
      </c>
      <c r="X511" s="153" t="s">
        <v>412</v>
      </c>
      <c r="Y511" s="153" t="s">
        <v>339</v>
      </c>
      <c r="Z511" s="154">
        <v>6593953</v>
      </c>
      <c r="AA511" s="154">
        <v>1</v>
      </c>
      <c r="AB511" s="154">
        <v>105.15</v>
      </c>
      <c r="AD511" s="154">
        <v>6933.5420000000004</v>
      </c>
      <c r="AG511" s="157" t="s">
        <v>15</v>
      </c>
      <c r="AH511" s="155">
        <v>2.0999999999999999E-3</v>
      </c>
      <c r="AI511" s="155">
        <f t="shared" si="7"/>
        <v>0.12498576602182623</v>
      </c>
      <c r="AJ511" s="155">
        <v>1.8607208107512097E-2</v>
      </c>
    </row>
    <row r="512" spans="1:36" s="160" customFormat="1">
      <c r="A512" s="153" t="s">
        <v>1213</v>
      </c>
      <c r="B512" s="160">
        <v>141</v>
      </c>
      <c r="C512" s="153" t="s">
        <v>455</v>
      </c>
      <c r="D512" s="153" t="s">
        <v>2106</v>
      </c>
      <c r="E512" s="153" t="s">
        <v>309</v>
      </c>
      <c r="F512" s="153" t="s">
        <v>2289</v>
      </c>
      <c r="G512" s="153" t="s">
        <v>2290</v>
      </c>
      <c r="H512" s="153" t="s">
        <v>321</v>
      </c>
      <c r="I512" s="153" t="s">
        <v>754</v>
      </c>
      <c r="J512" s="153" t="s">
        <v>204</v>
      </c>
      <c r="K512" s="153" t="s">
        <v>204</v>
      </c>
      <c r="L512" s="153" t="s">
        <v>325</v>
      </c>
      <c r="M512" s="153" t="s">
        <v>340</v>
      </c>
      <c r="N512" s="153" t="s">
        <v>440</v>
      </c>
      <c r="O512" s="153" t="s">
        <v>339</v>
      </c>
      <c r="P512" s="153" t="s">
        <v>1923</v>
      </c>
      <c r="Q512" s="153" t="s">
        <v>415</v>
      </c>
      <c r="R512" s="153" t="s">
        <v>407</v>
      </c>
      <c r="S512" s="153" t="s">
        <v>1212</v>
      </c>
      <c r="T512" s="154">
        <v>3.44</v>
      </c>
      <c r="U512" s="153" t="s">
        <v>2291</v>
      </c>
      <c r="V512" s="155">
        <v>1.1209999999999999E-2</v>
      </c>
      <c r="W512" s="155">
        <v>2.5700000000000001E-2</v>
      </c>
      <c r="X512" s="153" t="s">
        <v>412</v>
      </c>
      <c r="Y512" s="153" t="s">
        <v>339</v>
      </c>
      <c r="Z512" s="154">
        <v>5156421.7</v>
      </c>
      <c r="AA512" s="154">
        <v>1</v>
      </c>
      <c r="AB512" s="154">
        <v>121.2</v>
      </c>
      <c r="AC512" s="154">
        <v>115.27500000000001</v>
      </c>
      <c r="AD512" s="154">
        <v>6364.8580000000002</v>
      </c>
      <c r="AG512" s="157" t="s">
        <v>15</v>
      </c>
      <c r="AH512" s="155">
        <v>2.0200000000000001E-3</v>
      </c>
      <c r="AI512" s="155">
        <f t="shared" si="7"/>
        <v>0.11473452569410394</v>
      </c>
      <c r="AJ512" s="155">
        <v>1.708105862498031E-2</v>
      </c>
    </row>
    <row r="513" spans="1:36" s="160" customFormat="1">
      <c r="A513" s="153" t="s">
        <v>1213</v>
      </c>
      <c r="B513" s="160">
        <v>141</v>
      </c>
      <c r="C513" s="153" t="s">
        <v>1904</v>
      </c>
      <c r="D513" s="153" t="s">
        <v>1905</v>
      </c>
      <c r="E513" s="153" t="s">
        <v>309</v>
      </c>
      <c r="F513" s="153" t="s">
        <v>1906</v>
      </c>
      <c r="G513" s="153" t="s">
        <v>1907</v>
      </c>
      <c r="H513" s="153" t="s">
        <v>321</v>
      </c>
      <c r="I513" s="153" t="s">
        <v>754</v>
      </c>
      <c r="J513" s="153" t="s">
        <v>204</v>
      </c>
      <c r="K513" s="153" t="s">
        <v>204</v>
      </c>
      <c r="L513" s="153" t="s">
        <v>325</v>
      </c>
      <c r="M513" s="153" t="s">
        <v>340</v>
      </c>
      <c r="N513" s="153" t="s">
        <v>448</v>
      </c>
      <c r="O513" s="153" t="s">
        <v>339</v>
      </c>
      <c r="P513" s="153" t="s">
        <v>1215</v>
      </c>
      <c r="Q513" s="153" t="s">
        <v>413</v>
      </c>
      <c r="R513" s="153" t="s">
        <v>407</v>
      </c>
      <c r="S513" s="153" t="s">
        <v>1212</v>
      </c>
      <c r="T513" s="154">
        <v>3.98</v>
      </c>
      <c r="U513" s="153" t="s">
        <v>1908</v>
      </c>
      <c r="V513" s="155">
        <v>-9.6399999999999993E-3</v>
      </c>
      <c r="W513" s="155">
        <v>2.52E-2</v>
      </c>
      <c r="X513" s="153" t="s">
        <v>412</v>
      </c>
      <c r="Y513" s="153" t="s">
        <v>339</v>
      </c>
      <c r="Z513" s="154">
        <v>4720000.01</v>
      </c>
      <c r="AA513" s="154">
        <v>1</v>
      </c>
      <c r="AB513" s="154">
        <v>102.6</v>
      </c>
      <c r="AD513" s="154">
        <v>4842.72</v>
      </c>
      <c r="AG513" s="157" t="s">
        <v>15</v>
      </c>
      <c r="AH513" s="155">
        <v>1.2999999999999999E-3</v>
      </c>
      <c r="AI513" s="155">
        <f t="shared" si="7"/>
        <v>8.7296084573976529E-2</v>
      </c>
      <c r="AJ513" s="155">
        <v>1.2996171198849157E-2</v>
      </c>
    </row>
    <row r="514" spans="1:36" s="160" customFormat="1">
      <c r="A514" s="153" t="s">
        <v>1213</v>
      </c>
      <c r="B514" s="160">
        <v>141</v>
      </c>
      <c r="C514" s="153" t="s">
        <v>1512</v>
      </c>
      <c r="D514" s="153" t="s">
        <v>1513</v>
      </c>
      <c r="E514" s="153" t="s">
        <v>309</v>
      </c>
      <c r="F514" s="153" t="s">
        <v>2632</v>
      </c>
      <c r="G514" s="153" t="s">
        <v>2633</v>
      </c>
      <c r="H514" s="153" t="s">
        <v>321</v>
      </c>
      <c r="I514" s="153" t="s">
        <v>754</v>
      </c>
      <c r="J514" s="153" t="s">
        <v>204</v>
      </c>
      <c r="K514" s="153" t="s">
        <v>204</v>
      </c>
      <c r="L514" s="153" t="s">
        <v>325</v>
      </c>
      <c r="M514" s="153" t="s">
        <v>340</v>
      </c>
      <c r="N514" s="153" t="s">
        <v>448</v>
      </c>
      <c r="O514" s="153" t="s">
        <v>339</v>
      </c>
      <c r="P514" s="153" t="s">
        <v>1211</v>
      </c>
      <c r="Q514" s="153" t="s">
        <v>415</v>
      </c>
      <c r="R514" s="153" t="s">
        <v>407</v>
      </c>
      <c r="S514" s="153" t="s">
        <v>1212</v>
      </c>
      <c r="T514" s="154">
        <v>2.16</v>
      </c>
      <c r="U514" s="153" t="s">
        <v>2634</v>
      </c>
      <c r="V514" s="155">
        <v>5.0000000000000001E-3</v>
      </c>
      <c r="W514" s="155">
        <v>2.1399999999999999E-2</v>
      </c>
      <c r="X514" s="153" t="s">
        <v>412</v>
      </c>
      <c r="Y514" s="153" t="s">
        <v>339</v>
      </c>
      <c r="Z514" s="154">
        <v>3913899</v>
      </c>
      <c r="AA514" s="154">
        <v>1</v>
      </c>
      <c r="AB514" s="154">
        <v>110.72</v>
      </c>
      <c r="AD514" s="154">
        <v>4333.4690000000001</v>
      </c>
      <c r="AG514" s="157" t="s">
        <v>15</v>
      </c>
      <c r="AH514" s="155">
        <v>5.13E-3</v>
      </c>
      <c r="AI514" s="155">
        <f t="shared" si="7"/>
        <v>7.8116198401457337E-2</v>
      </c>
      <c r="AJ514" s="155">
        <v>1.1629519156363706E-2</v>
      </c>
    </row>
    <row r="515" spans="1:36" s="160" customFormat="1">
      <c r="A515" s="153" t="s">
        <v>1213</v>
      </c>
      <c r="B515" s="160">
        <v>141</v>
      </c>
      <c r="C515" s="153" t="s">
        <v>2250</v>
      </c>
      <c r="D515" s="153" t="s">
        <v>2251</v>
      </c>
      <c r="E515" s="153" t="s">
        <v>309</v>
      </c>
      <c r="F515" s="153" t="s">
        <v>2635</v>
      </c>
      <c r="G515" s="153" t="s">
        <v>2636</v>
      </c>
      <c r="H515" s="153" t="s">
        <v>321</v>
      </c>
      <c r="I515" s="153" t="s">
        <v>754</v>
      </c>
      <c r="J515" s="153" t="s">
        <v>204</v>
      </c>
      <c r="K515" s="153" t="s">
        <v>204</v>
      </c>
      <c r="L515" s="153" t="s">
        <v>325</v>
      </c>
      <c r="M515" s="153" t="s">
        <v>340</v>
      </c>
      <c r="N515" s="153" t="s">
        <v>448</v>
      </c>
      <c r="O515" s="153" t="s">
        <v>339</v>
      </c>
      <c r="P515" s="153" t="s">
        <v>1215</v>
      </c>
      <c r="Q515" s="153" t="s">
        <v>413</v>
      </c>
      <c r="R515" s="153" t="s">
        <v>407</v>
      </c>
      <c r="S515" s="153" t="s">
        <v>1212</v>
      </c>
      <c r="T515" s="154">
        <v>2.17</v>
      </c>
      <c r="U515" s="153" t="s">
        <v>2637</v>
      </c>
      <c r="V515" s="155">
        <v>-1.184E-2</v>
      </c>
      <c r="W515" s="155">
        <v>2.0799999999999999E-2</v>
      </c>
      <c r="X515" s="153" t="s">
        <v>412</v>
      </c>
      <c r="Y515" s="153" t="s">
        <v>339</v>
      </c>
      <c r="Z515" s="154">
        <v>3600000</v>
      </c>
      <c r="AA515" s="154">
        <v>1</v>
      </c>
      <c r="AB515" s="154">
        <v>107.91</v>
      </c>
      <c r="AD515" s="154">
        <v>3884.76</v>
      </c>
      <c r="AG515" s="157" t="s">
        <v>15</v>
      </c>
      <c r="AH515" s="155">
        <v>7.7099999999999998E-3</v>
      </c>
      <c r="AI515" s="155">
        <f t="shared" ref="AI515:AI578" si="8">AD515/SUMIF(B:B,B515,AD:AD)</f>
        <v>7.0027657496118098E-2</v>
      </c>
      <c r="AJ515" s="155">
        <v>1.0425340723073242E-2</v>
      </c>
    </row>
    <row r="516" spans="1:36" s="160" customFormat="1">
      <c r="A516" s="153" t="s">
        <v>1213</v>
      </c>
      <c r="B516" s="160">
        <v>141</v>
      </c>
      <c r="C516" s="153" t="s">
        <v>1807</v>
      </c>
      <c r="D516" s="153" t="s">
        <v>1808</v>
      </c>
      <c r="E516" s="153" t="s">
        <v>309</v>
      </c>
      <c r="F516" s="153" t="s">
        <v>1921</v>
      </c>
      <c r="G516" s="153" t="s">
        <v>1922</v>
      </c>
      <c r="H516" s="153" t="s">
        <v>321</v>
      </c>
      <c r="I516" s="153" t="s">
        <v>754</v>
      </c>
      <c r="J516" s="153" t="s">
        <v>204</v>
      </c>
      <c r="K516" s="153" t="s">
        <v>204</v>
      </c>
      <c r="L516" s="153" t="s">
        <v>325</v>
      </c>
      <c r="M516" s="153" t="s">
        <v>340</v>
      </c>
      <c r="N516" s="153" t="s">
        <v>464</v>
      </c>
      <c r="O516" s="153" t="s">
        <v>339</v>
      </c>
      <c r="P516" s="153" t="s">
        <v>1923</v>
      </c>
      <c r="Q516" s="153" t="s">
        <v>415</v>
      </c>
      <c r="R516" s="153" t="s">
        <v>407</v>
      </c>
      <c r="S516" s="153" t="s">
        <v>1212</v>
      </c>
      <c r="T516" s="154">
        <v>2.5499999999999998</v>
      </c>
      <c r="U516" s="153" t="s">
        <v>1744</v>
      </c>
      <c r="V516" s="155">
        <v>1.034E-2</v>
      </c>
      <c r="W516" s="155">
        <v>2.7099999999999999E-2</v>
      </c>
      <c r="X516" s="153" t="s">
        <v>412</v>
      </c>
      <c r="Y516" s="153" t="s">
        <v>339</v>
      </c>
      <c r="Z516" s="154">
        <v>2854054.49</v>
      </c>
      <c r="AA516" s="154">
        <v>1</v>
      </c>
      <c r="AB516" s="154">
        <v>113.19</v>
      </c>
      <c r="AD516" s="154">
        <v>3230.5039999999999</v>
      </c>
      <c r="AG516" s="157" t="s">
        <v>15</v>
      </c>
      <c r="AH516" s="155">
        <v>1.1000000000000001E-3</v>
      </c>
      <c r="AI516" s="155">
        <f t="shared" si="8"/>
        <v>5.82338748473109E-2</v>
      </c>
      <c r="AJ516" s="155">
        <v>8.6695458425362169E-3</v>
      </c>
    </row>
    <row r="517" spans="1:36" s="160" customFormat="1">
      <c r="A517" s="153" t="s">
        <v>1213</v>
      </c>
      <c r="B517" s="160">
        <v>141</v>
      </c>
      <c r="C517" s="153" t="s">
        <v>2638</v>
      </c>
      <c r="D517" s="153" t="s">
        <v>2639</v>
      </c>
      <c r="E517" s="153" t="s">
        <v>311</v>
      </c>
      <c r="F517" s="153" t="s">
        <v>2640</v>
      </c>
      <c r="G517" s="153" t="s">
        <v>2641</v>
      </c>
      <c r="H517" s="153" t="s">
        <v>321</v>
      </c>
      <c r="I517" s="153" t="s">
        <v>755</v>
      </c>
      <c r="J517" s="153" t="s">
        <v>204</v>
      </c>
      <c r="K517" s="153" t="s">
        <v>204</v>
      </c>
      <c r="L517" s="153" t="s">
        <v>325</v>
      </c>
      <c r="M517" s="153" t="s">
        <v>340</v>
      </c>
      <c r="N517" s="153" t="s">
        <v>465</v>
      </c>
      <c r="O517" s="153" t="s">
        <v>339</v>
      </c>
      <c r="P517" s="153" t="s">
        <v>1982</v>
      </c>
      <c r="Q517" s="153" t="s">
        <v>415</v>
      </c>
      <c r="R517" s="153" t="s">
        <v>407</v>
      </c>
      <c r="S517" s="153" t="s">
        <v>1212</v>
      </c>
      <c r="T517" s="154">
        <v>2.91</v>
      </c>
      <c r="U517" s="153" t="s">
        <v>1664</v>
      </c>
      <c r="V517" s="155">
        <v>4.2999999999999997E-2</v>
      </c>
      <c r="W517" s="155">
        <v>0.10150000000000001</v>
      </c>
      <c r="X517" s="153" t="s">
        <v>412</v>
      </c>
      <c r="Y517" s="153" t="s">
        <v>339</v>
      </c>
      <c r="Z517" s="154">
        <v>3392633.5</v>
      </c>
      <c r="AA517" s="154">
        <v>1</v>
      </c>
      <c r="AB517" s="154">
        <v>89.69</v>
      </c>
      <c r="AD517" s="154">
        <v>3042.8530000000001</v>
      </c>
      <c r="AG517" s="157" t="s">
        <v>15</v>
      </c>
      <c r="AH517" s="155">
        <v>3.0599999999999998E-3</v>
      </c>
      <c r="AI517" s="155">
        <f t="shared" si="8"/>
        <v>5.4851230885572193E-2</v>
      </c>
      <c r="AJ517" s="155">
        <v>8.1659560166459661E-3</v>
      </c>
    </row>
    <row r="518" spans="1:36" s="160" customFormat="1">
      <c r="A518" s="153" t="s">
        <v>1213</v>
      </c>
      <c r="B518" s="160">
        <v>141</v>
      </c>
      <c r="C518" s="153" t="s">
        <v>1600</v>
      </c>
      <c r="D518" s="153" t="s">
        <v>1601</v>
      </c>
      <c r="E518" s="153" t="s">
        <v>309</v>
      </c>
      <c r="F518" s="153" t="s">
        <v>1954</v>
      </c>
      <c r="G518" s="153" t="s">
        <v>1955</v>
      </c>
      <c r="H518" s="153" t="s">
        <v>321</v>
      </c>
      <c r="I518" s="153" t="s">
        <v>754</v>
      </c>
      <c r="J518" s="153" t="s">
        <v>204</v>
      </c>
      <c r="K518" s="153" t="s">
        <v>204</v>
      </c>
      <c r="L518" s="153" t="s">
        <v>325</v>
      </c>
      <c r="M518" s="153" t="s">
        <v>340</v>
      </c>
      <c r="N518" s="153" t="s">
        <v>448</v>
      </c>
      <c r="O518" s="153" t="s">
        <v>339</v>
      </c>
      <c r="P518" s="153" t="s">
        <v>1215</v>
      </c>
      <c r="Q518" s="153" t="s">
        <v>413</v>
      </c>
      <c r="R518" s="153" t="s">
        <v>407</v>
      </c>
      <c r="S518" s="153" t="s">
        <v>1212</v>
      </c>
      <c r="T518" s="154">
        <v>3.02</v>
      </c>
      <c r="U518" s="153" t="s">
        <v>1956</v>
      </c>
      <c r="V518" s="155">
        <v>1.7500000000000002E-2</v>
      </c>
      <c r="W518" s="155">
        <v>2.35E-2</v>
      </c>
      <c r="X518" s="153" t="s">
        <v>412</v>
      </c>
      <c r="Y518" s="153" t="s">
        <v>339</v>
      </c>
      <c r="Z518" s="154">
        <v>2333689.2000000002</v>
      </c>
      <c r="AA518" s="154">
        <v>1</v>
      </c>
      <c r="AB518" s="154">
        <v>114.28</v>
      </c>
      <c r="AD518" s="154">
        <v>2666.94</v>
      </c>
      <c r="AG518" s="157" t="s">
        <v>15</v>
      </c>
      <c r="AH518" s="155">
        <v>8.9999999999999998E-4</v>
      </c>
      <c r="AI518" s="155">
        <f t="shared" si="8"/>
        <v>4.8074928922944321E-2</v>
      </c>
      <c r="AJ518" s="155">
        <v>7.1571366539999763E-3</v>
      </c>
    </row>
    <row r="519" spans="1:36" s="160" customFormat="1">
      <c r="A519" s="153" t="s">
        <v>1213</v>
      </c>
      <c r="B519" s="160">
        <v>141</v>
      </c>
      <c r="C519" s="153" t="s">
        <v>1512</v>
      </c>
      <c r="D519" s="153" t="s">
        <v>1513</v>
      </c>
      <c r="E519" s="153" t="s">
        <v>309</v>
      </c>
      <c r="F519" s="153" t="s">
        <v>2186</v>
      </c>
      <c r="G519" s="153" t="s">
        <v>2187</v>
      </c>
      <c r="H519" s="153" t="s">
        <v>321</v>
      </c>
      <c r="I519" s="153" t="s">
        <v>754</v>
      </c>
      <c r="J519" s="153" t="s">
        <v>204</v>
      </c>
      <c r="K519" s="153" t="s">
        <v>204</v>
      </c>
      <c r="L519" s="153" t="s">
        <v>325</v>
      </c>
      <c r="M519" s="153" t="s">
        <v>340</v>
      </c>
      <c r="N519" s="153" t="s">
        <v>448</v>
      </c>
      <c r="O519" s="153" t="s">
        <v>339</v>
      </c>
      <c r="P519" s="153" t="s">
        <v>1215</v>
      </c>
      <c r="Q519" s="153" t="s">
        <v>413</v>
      </c>
      <c r="R519" s="153" t="s">
        <v>407</v>
      </c>
      <c r="S519" s="153" t="s">
        <v>1212</v>
      </c>
      <c r="T519" s="154">
        <v>1.72</v>
      </c>
      <c r="U519" s="153" t="s">
        <v>2188</v>
      </c>
      <c r="V519" s="155">
        <v>3.49E-3</v>
      </c>
      <c r="W519" s="155">
        <v>2.1399999999999999E-2</v>
      </c>
      <c r="X519" s="153" t="s">
        <v>412</v>
      </c>
      <c r="Y519" s="153" t="s">
        <v>339</v>
      </c>
      <c r="Z519" s="154">
        <v>1750000</v>
      </c>
      <c r="AA519" s="154">
        <v>1</v>
      </c>
      <c r="AB519" s="154">
        <v>110.39</v>
      </c>
      <c r="AD519" s="154">
        <v>1931.825</v>
      </c>
      <c r="AG519" s="157" t="s">
        <v>15</v>
      </c>
      <c r="AH519" s="155">
        <v>5.8E-4</v>
      </c>
      <c r="AI519" s="155">
        <f t="shared" si="8"/>
        <v>3.4823561672391173E-2</v>
      </c>
      <c r="AJ519" s="155">
        <v>5.1843444234266631E-3</v>
      </c>
    </row>
    <row r="520" spans="1:36" s="160" customFormat="1">
      <c r="A520" s="153" t="s">
        <v>1213</v>
      </c>
      <c r="B520" s="160">
        <v>141</v>
      </c>
      <c r="C520" s="153" t="s">
        <v>1534</v>
      </c>
      <c r="D520" s="153" t="s">
        <v>1535</v>
      </c>
      <c r="E520" s="153" t="s">
        <v>309</v>
      </c>
      <c r="F520" s="153" t="s">
        <v>1536</v>
      </c>
      <c r="G520" s="153" t="s">
        <v>1537</v>
      </c>
      <c r="H520" s="153" t="s">
        <v>321</v>
      </c>
      <c r="I520" s="153" t="s">
        <v>754</v>
      </c>
      <c r="J520" s="153" t="s">
        <v>204</v>
      </c>
      <c r="K520" s="153" t="s">
        <v>204</v>
      </c>
      <c r="L520" s="153" t="s">
        <v>325</v>
      </c>
      <c r="M520" s="153" t="s">
        <v>340</v>
      </c>
      <c r="N520" s="153" t="s">
        <v>464</v>
      </c>
      <c r="O520" s="153" t="s">
        <v>339</v>
      </c>
      <c r="P520" s="153" t="s">
        <v>1538</v>
      </c>
      <c r="Q520" s="153" t="s">
        <v>413</v>
      </c>
      <c r="R520" s="153" t="s">
        <v>407</v>
      </c>
      <c r="S520" s="153" t="s">
        <v>1212</v>
      </c>
      <c r="T520" s="154">
        <v>3.33</v>
      </c>
      <c r="U520" s="153" t="s">
        <v>1539</v>
      </c>
      <c r="V520" s="155">
        <v>1.2330000000000001E-2</v>
      </c>
      <c r="W520" s="155">
        <v>2.92E-2</v>
      </c>
      <c r="X520" s="153" t="s">
        <v>412</v>
      </c>
      <c r="Y520" s="153" t="s">
        <v>339</v>
      </c>
      <c r="Z520" s="154">
        <v>1542000</v>
      </c>
      <c r="AA520" s="154">
        <v>1</v>
      </c>
      <c r="AB520" s="154">
        <v>107.2</v>
      </c>
      <c r="AC520" s="154">
        <v>19.975000000000001</v>
      </c>
      <c r="AD520" s="154">
        <v>1672.999</v>
      </c>
      <c r="AG520" s="157" t="s">
        <v>15</v>
      </c>
      <c r="AH520" s="155">
        <v>6.4999999999999997E-4</v>
      </c>
      <c r="AI520" s="155">
        <f t="shared" si="8"/>
        <v>3.0157899320253524E-2</v>
      </c>
      <c r="AJ520" s="155">
        <v>4.4897457254401323E-3</v>
      </c>
    </row>
    <row r="521" spans="1:36" s="160" customFormat="1">
      <c r="A521" s="153" t="s">
        <v>1213</v>
      </c>
      <c r="B521" s="160">
        <v>141</v>
      </c>
      <c r="C521" s="153" t="s">
        <v>1861</v>
      </c>
      <c r="D521" s="153" t="s">
        <v>1862</v>
      </c>
      <c r="E521" s="153" t="s">
        <v>309</v>
      </c>
      <c r="F521" s="153" t="s">
        <v>2642</v>
      </c>
      <c r="G521" s="153" t="s">
        <v>2643</v>
      </c>
      <c r="H521" s="153" t="s">
        <v>321</v>
      </c>
      <c r="I521" s="153" t="s">
        <v>754</v>
      </c>
      <c r="J521" s="153" t="s">
        <v>204</v>
      </c>
      <c r="K521" s="153" t="s">
        <v>204</v>
      </c>
      <c r="L521" s="153" t="s">
        <v>325</v>
      </c>
      <c r="M521" s="153" t="s">
        <v>340</v>
      </c>
      <c r="N521" s="153" t="s">
        <v>464</v>
      </c>
      <c r="O521" s="153" t="s">
        <v>339</v>
      </c>
      <c r="P521" s="153" t="s">
        <v>1538</v>
      </c>
      <c r="Q521" s="153" t="s">
        <v>413</v>
      </c>
      <c r="R521" s="153" t="s">
        <v>407</v>
      </c>
      <c r="S521" s="153" t="s">
        <v>1212</v>
      </c>
      <c r="T521" s="154">
        <v>2.38</v>
      </c>
      <c r="U521" s="153" t="s">
        <v>1951</v>
      </c>
      <c r="V521" s="155">
        <v>2.0600000000000002E-3</v>
      </c>
      <c r="W521" s="155">
        <v>2.3900000000000001E-2</v>
      </c>
      <c r="X521" s="153" t="s">
        <v>412</v>
      </c>
      <c r="Y521" s="153" t="s">
        <v>339</v>
      </c>
      <c r="Z521" s="154">
        <v>1181751.06</v>
      </c>
      <c r="AA521" s="154">
        <v>1</v>
      </c>
      <c r="AB521" s="154">
        <v>116.64</v>
      </c>
      <c r="AC521" s="154">
        <v>32.820999999999998</v>
      </c>
      <c r="AD521" s="154">
        <v>1411.2149999999999</v>
      </c>
      <c r="AG521" s="157" t="s">
        <v>15</v>
      </c>
      <c r="AH521" s="155">
        <v>1.2700000000000001E-3</v>
      </c>
      <c r="AI521" s="155">
        <f t="shared" si="8"/>
        <v>2.543891531867716E-2</v>
      </c>
      <c r="AJ521" s="155">
        <v>3.7872087872897688E-3</v>
      </c>
    </row>
    <row r="522" spans="1:36" s="160" customFormat="1">
      <c r="A522" s="153" t="s">
        <v>1213</v>
      </c>
      <c r="B522" s="160">
        <v>141</v>
      </c>
      <c r="C522" s="153" t="s">
        <v>2385</v>
      </c>
      <c r="D522" s="153" t="s">
        <v>2386</v>
      </c>
      <c r="E522" s="153" t="s">
        <v>309</v>
      </c>
      <c r="F522" s="153" t="s">
        <v>2387</v>
      </c>
      <c r="G522" s="153" t="s">
        <v>2388</v>
      </c>
      <c r="H522" s="153" t="s">
        <v>321</v>
      </c>
      <c r="I522" s="153" t="s">
        <v>754</v>
      </c>
      <c r="J522" s="153" t="s">
        <v>204</v>
      </c>
      <c r="K522" s="153" t="s">
        <v>204</v>
      </c>
      <c r="L522" s="153" t="s">
        <v>325</v>
      </c>
      <c r="M522" s="153" t="s">
        <v>340</v>
      </c>
      <c r="N522" s="153" t="s">
        <v>464</v>
      </c>
      <c r="O522" s="153" t="s">
        <v>339</v>
      </c>
      <c r="P522" s="153" t="s">
        <v>1211</v>
      </c>
      <c r="Q522" s="153" t="s">
        <v>415</v>
      </c>
      <c r="R522" s="153" t="s">
        <v>407</v>
      </c>
      <c r="S522" s="153" t="s">
        <v>1212</v>
      </c>
      <c r="T522" s="154">
        <v>1.46</v>
      </c>
      <c r="U522" s="153" t="s">
        <v>1659</v>
      </c>
      <c r="V522" s="155">
        <v>9.4299999999999991E-3</v>
      </c>
      <c r="W522" s="155">
        <v>2.1899999999999999E-2</v>
      </c>
      <c r="X522" s="153" t="s">
        <v>412</v>
      </c>
      <c r="Y522" s="153" t="s">
        <v>339</v>
      </c>
      <c r="Z522" s="154">
        <v>1201250</v>
      </c>
      <c r="AA522" s="154">
        <v>1</v>
      </c>
      <c r="AB522" s="154">
        <v>114.36</v>
      </c>
      <c r="AD522" s="154">
        <v>1373.75</v>
      </c>
      <c r="AG522" s="157" t="s">
        <v>15</v>
      </c>
      <c r="AH522" s="155">
        <v>1.01E-3</v>
      </c>
      <c r="AI522" s="155">
        <f t="shared" si="8"/>
        <v>2.4763561837872154E-2</v>
      </c>
      <c r="AJ522" s="155">
        <v>3.6866657961680681E-3</v>
      </c>
    </row>
    <row r="523" spans="1:36" s="160" customFormat="1">
      <c r="A523" s="153" t="s">
        <v>1213</v>
      </c>
      <c r="B523" s="160">
        <v>141</v>
      </c>
      <c r="C523" s="153" t="s">
        <v>2373</v>
      </c>
      <c r="D523" s="153" t="s">
        <v>2374</v>
      </c>
      <c r="E523" s="153" t="s">
        <v>309</v>
      </c>
      <c r="F523" s="153" t="s">
        <v>2375</v>
      </c>
      <c r="G523" s="153" t="s">
        <v>2376</v>
      </c>
      <c r="H523" s="153" t="s">
        <v>321</v>
      </c>
      <c r="I523" s="153" t="s">
        <v>755</v>
      </c>
      <c r="J523" s="153" t="s">
        <v>204</v>
      </c>
      <c r="K523" s="153" t="s">
        <v>204</v>
      </c>
      <c r="L523" s="153" t="s">
        <v>325</v>
      </c>
      <c r="M523" s="153" t="s">
        <v>340</v>
      </c>
      <c r="N523" s="153" t="s">
        <v>454</v>
      </c>
      <c r="O523" s="153" t="s">
        <v>339</v>
      </c>
      <c r="P523" s="153" t="s">
        <v>1544</v>
      </c>
      <c r="Q523" s="153" t="s">
        <v>415</v>
      </c>
      <c r="R523" s="153" t="s">
        <v>407</v>
      </c>
      <c r="S523" s="153" t="s">
        <v>1212</v>
      </c>
      <c r="T523" s="154">
        <v>2.97</v>
      </c>
      <c r="U523" s="153" t="s">
        <v>2377</v>
      </c>
      <c r="V523" s="155">
        <v>3.8690000000000002E-2</v>
      </c>
      <c r="W523" s="155">
        <v>7.6100000000000001E-2</v>
      </c>
      <c r="X523" s="153" t="s">
        <v>412</v>
      </c>
      <c r="Y523" s="153" t="s">
        <v>339</v>
      </c>
      <c r="Z523" s="154">
        <v>1201895.96</v>
      </c>
      <c r="AA523" s="154">
        <v>1</v>
      </c>
      <c r="AB523" s="154">
        <v>97.95</v>
      </c>
      <c r="AD523" s="154">
        <v>1177.2570000000001</v>
      </c>
      <c r="AG523" s="157" t="s">
        <v>15</v>
      </c>
      <c r="AH523" s="155">
        <v>8.8999999999999995E-4</v>
      </c>
      <c r="AI523" s="155">
        <f t="shared" si="8"/>
        <v>2.1221529767838296E-2</v>
      </c>
      <c r="AJ523" s="155">
        <v>3.1593471266237903E-3</v>
      </c>
    </row>
    <row r="524" spans="1:36" s="160" customFormat="1">
      <c r="A524" s="153" t="s">
        <v>1213</v>
      </c>
      <c r="B524" s="160">
        <v>141</v>
      </c>
      <c r="C524" s="153" t="s">
        <v>1600</v>
      </c>
      <c r="D524" s="153" t="s">
        <v>1601</v>
      </c>
      <c r="E524" s="153" t="s">
        <v>309</v>
      </c>
      <c r="F524" s="153" t="s">
        <v>2333</v>
      </c>
      <c r="G524" s="153" t="s">
        <v>2334</v>
      </c>
      <c r="H524" s="153" t="s">
        <v>321</v>
      </c>
      <c r="I524" s="153" t="s">
        <v>754</v>
      </c>
      <c r="J524" s="153" t="s">
        <v>204</v>
      </c>
      <c r="K524" s="153" t="s">
        <v>204</v>
      </c>
      <c r="L524" s="153" t="s">
        <v>325</v>
      </c>
      <c r="M524" s="153" t="s">
        <v>340</v>
      </c>
      <c r="N524" s="153" t="s">
        <v>448</v>
      </c>
      <c r="O524" s="153" t="s">
        <v>339</v>
      </c>
      <c r="P524" s="153" t="s">
        <v>1215</v>
      </c>
      <c r="Q524" s="153" t="s">
        <v>413</v>
      </c>
      <c r="R524" s="153" t="s">
        <v>407</v>
      </c>
      <c r="S524" s="153" t="s">
        <v>1212</v>
      </c>
      <c r="T524" s="154">
        <v>3.56</v>
      </c>
      <c r="U524" s="153" t="s">
        <v>2335</v>
      </c>
      <c r="V524" s="155">
        <v>-1.1010000000000001E-2</v>
      </c>
      <c r="W524" s="155">
        <v>2.4E-2</v>
      </c>
      <c r="X524" s="153" t="s">
        <v>412</v>
      </c>
      <c r="Y524" s="153" t="s">
        <v>339</v>
      </c>
      <c r="Z524" s="154">
        <v>1062400</v>
      </c>
      <c r="AA524" s="154">
        <v>1</v>
      </c>
      <c r="AB524" s="154">
        <v>103.73</v>
      </c>
      <c r="AD524" s="154">
        <v>1102.028</v>
      </c>
      <c r="AG524" s="157" t="s">
        <v>15</v>
      </c>
      <c r="AH524" s="155">
        <v>9.3999999999999997E-4</v>
      </c>
      <c r="AI524" s="155">
        <f t="shared" si="8"/>
        <v>1.9865432957282311E-2</v>
      </c>
      <c r="AJ524" s="155">
        <v>2.9574587326802577E-3</v>
      </c>
    </row>
    <row r="525" spans="1:36" s="160" customFormat="1">
      <c r="A525" s="153" t="s">
        <v>1213</v>
      </c>
      <c r="B525" s="160">
        <v>141</v>
      </c>
      <c r="C525" s="153" t="s">
        <v>2644</v>
      </c>
      <c r="D525" s="153" t="s">
        <v>2645</v>
      </c>
      <c r="E525" s="153" t="s">
        <v>80</v>
      </c>
      <c r="F525" s="153" t="s">
        <v>2646</v>
      </c>
      <c r="G525" s="153" t="s">
        <v>2647</v>
      </c>
      <c r="H525" s="153" t="s">
        <v>321</v>
      </c>
      <c r="I525" s="153" t="s">
        <v>755</v>
      </c>
      <c r="J525" s="153" t="s">
        <v>205</v>
      </c>
      <c r="K525" s="153" t="s">
        <v>297</v>
      </c>
      <c r="L525" s="153" t="s">
        <v>325</v>
      </c>
      <c r="M525" s="153" t="s">
        <v>314</v>
      </c>
      <c r="N525" s="153" t="s">
        <v>486</v>
      </c>
      <c r="O525" s="153" t="s">
        <v>339</v>
      </c>
      <c r="P525" s="153" t="s">
        <v>2070</v>
      </c>
      <c r="Q525" s="153" t="s">
        <v>431</v>
      </c>
      <c r="R525" s="153" t="s">
        <v>407</v>
      </c>
      <c r="S525" s="153" t="s">
        <v>1216</v>
      </c>
      <c r="T525" s="154">
        <v>1.2310000000000001</v>
      </c>
      <c r="U525" s="153" t="s">
        <v>2648</v>
      </c>
      <c r="V525" s="155">
        <v>4.4999999999999998E-2</v>
      </c>
      <c r="W525" s="155">
        <v>7.1459999999999996E-2</v>
      </c>
      <c r="X525" s="153" t="s">
        <v>412</v>
      </c>
      <c r="Y525" s="153" t="s">
        <v>339</v>
      </c>
      <c r="Z525" s="154">
        <v>449000</v>
      </c>
      <c r="AA525" s="154">
        <v>3.71</v>
      </c>
      <c r="AB525" s="154">
        <f>(AD525-(AC525*AA525))*1000/AA525/Z525*100</f>
        <v>97.546509463978055</v>
      </c>
      <c r="AD525" s="154">
        <v>1624.92</v>
      </c>
      <c r="AG525" s="157" t="s">
        <v>15</v>
      </c>
      <c r="AH525" s="155">
        <v>4.0000000000000002E-4</v>
      </c>
      <c r="AI525" s="155">
        <f t="shared" si="8"/>
        <v>2.9291215214991975E-2</v>
      </c>
      <c r="AJ525" s="155">
        <v>4.3607184607893854E-3</v>
      </c>
    </row>
    <row r="526" spans="1:36" s="160" customFormat="1">
      <c r="A526" s="153" t="s">
        <v>1213</v>
      </c>
      <c r="B526" s="160">
        <v>141</v>
      </c>
      <c r="C526" s="153" t="s">
        <v>2649</v>
      </c>
      <c r="D526" s="153" t="s">
        <v>2650</v>
      </c>
      <c r="E526" s="153" t="s">
        <v>80</v>
      </c>
      <c r="F526" s="153" t="s">
        <v>2651</v>
      </c>
      <c r="G526" s="153" t="s">
        <v>2652</v>
      </c>
      <c r="H526" s="153" t="s">
        <v>321</v>
      </c>
      <c r="I526" s="153" t="s">
        <v>755</v>
      </c>
      <c r="J526" s="153" t="s">
        <v>205</v>
      </c>
      <c r="K526" s="153" t="s">
        <v>293</v>
      </c>
      <c r="L526" s="153" t="s">
        <v>325</v>
      </c>
      <c r="M526" s="153" t="s">
        <v>314</v>
      </c>
      <c r="N526" s="153" t="s">
        <v>568</v>
      </c>
      <c r="O526" s="153" t="s">
        <v>339</v>
      </c>
      <c r="P526" s="153" t="s">
        <v>1876</v>
      </c>
      <c r="Q526" s="153" t="s">
        <v>433</v>
      </c>
      <c r="R526" s="153" t="s">
        <v>407</v>
      </c>
      <c r="S526" s="153" t="s">
        <v>1218</v>
      </c>
      <c r="T526" s="154">
        <v>4.2130000000000001</v>
      </c>
      <c r="U526" s="153" t="s">
        <v>2653</v>
      </c>
      <c r="V526" s="155">
        <v>6.1249999999999999E-2</v>
      </c>
      <c r="W526" s="155">
        <v>7.3630000000000001E-2</v>
      </c>
      <c r="X526" s="153" t="s">
        <v>411</v>
      </c>
      <c r="Y526" s="153" t="s">
        <v>338</v>
      </c>
      <c r="Z526" s="154">
        <v>392000</v>
      </c>
      <c r="AA526" s="154">
        <v>4.1524000000000001</v>
      </c>
      <c r="AB526" s="154">
        <v>96.742999999999995</v>
      </c>
      <c r="AD526" s="154">
        <v>1574.73</v>
      </c>
      <c r="AG526" s="157" t="s">
        <v>15</v>
      </c>
      <c r="AH526" s="155">
        <v>9.1E-4</v>
      </c>
      <c r="AI526" s="155">
        <f t="shared" si="8"/>
        <v>2.8386477694596846E-2</v>
      </c>
      <c r="AJ526" s="155">
        <v>4.2260260085166456E-3</v>
      </c>
    </row>
    <row r="527" spans="1:36" s="160" customFormat="1">
      <c r="A527" s="153" t="s">
        <v>1213</v>
      </c>
      <c r="B527" s="160">
        <v>141</v>
      </c>
      <c r="C527" s="153" t="s">
        <v>2089</v>
      </c>
      <c r="D527" s="153" t="s">
        <v>2090</v>
      </c>
      <c r="E527" s="153" t="s">
        <v>309</v>
      </c>
      <c r="F527" s="153" t="s">
        <v>2654</v>
      </c>
      <c r="G527" s="153" t="s">
        <v>2655</v>
      </c>
      <c r="H527" s="153" t="s">
        <v>321</v>
      </c>
      <c r="I527" s="153" t="s">
        <v>755</v>
      </c>
      <c r="J527" s="153" t="s">
        <v>205</v>
      </c>
      <c r="K527" s="153" t="s">
        <v>204</v>
      </c>
      <c r="L527" s="153" t="s">
        <v>325</v>
      </c>
      <c r="M527" s="153" t="s">
        <v>344</v>
      </c>
      <c r="N527" s="153" t="s">
        <v>534</v>
      </c>
      <c r="O527" s="153" t="s">
        <v>339</v>
      </c>
      <c r="P527" s="153" t="s">
        <v>1890</v>
      </c>
      <c r="Q527" s="153" t="s">
        <v>433</v>
      </c>
      <c r="R527" s="153" t="s">
        <v>407</v>
      </c>
      <c r="S527" s="153" t="s">
        <v>1216</v>
      </c>
      <c r="T527" s="154">
        <v>12.983000000000001</v>
      </c>
      <c r="U527" s="153" t="s">
        <v>2656</v>
      </c>
      <c r="V527" s="155">
        <v>5.4440000000000002E-2</v>
      </c>
      <c r="W527" s="155">
        <v>6.234E-2</v>
      </c>
      <c r="X527" s="153" t="s">
        <v>412</v>
      </c>
      <c r="Y527" s="153" t="s">
        <v>339</v>
      </c>
      <c r="Z527" s="154">
        <v>525000</v>
      </c>
      <c r="AA527" s="154">
        <v>3.71</v>
      </c>
      <c r="AB527" s="154">
        <f>(AD527-(AC527*AA527))*1000/AA527/Z527*100</f>
        <v>74.155886022333448</v>
      </c>
      <c r="AC527" s="154">
        <v>10.763</v>
      </c>
      <c r="AD527" s="154">
        <v>1484.3019999999999</v>
      </c>
      <c r="AG527" s="157" t="s">
        <v>15</v>
      </c>
      <c r="AH527" s="155">
        <v>2.5999999999999998E-4</v>
      </c>
      <c r="AI527" s="155">
        <f t="shared" si="8"/>
        <v>2.6756399900329252E-2</v>
      </c>
      <c r="AJ527" s="155">
        <v>3.9833488004250087E-3</v>
      </c>
    </row>
    <row r="528" spans="1:36" s="160" customFormat="1">
      <c r="A528" s="153" t="s">
        <v>1213</v>
      </c>
      <c r="B528" s="160">
        <v>141</v>
      </c>
      <c r="C528" s="153" t="s">
        <v>2657</v>
      </c>
      <c r="D528" s="153" t="s">
        <v>2658</v>
      </c>
      <c r="E528" s="153" t="s">
        <v>80</v>
      </c>
      <c r="F528" s="153" t="s">
        <v>2659</v>
      </c>
      <c r="G528" s="153" t="s">
        <v>2660</v>
      </c>
      <c r="H528" s="153" t="s">
        <v>321</v>
      </c>
      <c r="I528" s="153" t="s">
        <v>755</v>
      </c>
      <c r="J528" s="153" t="s">
        <v>205</v>
      </c>
      <c r="K528" s="153" t="s">
        <v>299</v>
      </c>
      <c r="L528" s="153" t="s">
        <v>325</v>
      </c>
      <c r="M528" s="153" t="s">
        <v>314</v>
      </c>
      <c r="N528" s="153" t="s">
        <v>486</v>
      </c>
      <c r="O528" s="153" t="s">
        <v>339</v>
      </c>
      <c r="P528" s="153" t="s">
        <v>2661</v>
      </c>
      <c r="Q528" s="153" t="s">
        <v>431</v>
      </c>
      <c r="R528" s="153" t="s">
        <v>407</v>
      </c>
      <c r="S528" s="153" t="s">
        <v>1216</v>
      </c>
      <c r="T528" s="154">
        <v>1.2430000000000001</v>
      </c>
      <c r="U528" s="153" t="s">
        <v>2662</v>
      </c>
      <c r="V528" s="155">
        <v>5.5E-2</v>
      </c>
      <c r="W528" s="155">
        <v>7.6450000000000004E-2</v>
      </c>
      <c r="X528" s="153" t="s">
        <v>412</v>
      </c>
      <c r="Y528" s="153" t="s">
        <v>339</v>
      </c>
      <c r="Z528" s="154">
        <v>825000</v>
      </c>
      <c r="AA528" s="154">
        <v>3.71</v>
      </c>
      <c r="AB528" s="154">
        <v>46.207999999999998</v>
      </c>
      <c r="AD528" s="154">
        <v>1414.308</v>
      </c>
      <c r="AG528" s="157" t="s">
        <v>15</v>
      </c>
      <c r="AH528" s="155">
        <v>4.2100000000000002E-3</v>
      </c>
      <c r="AI528" s="155">
        <f t="shared" si="8"/>
        <v>2.5494670511954351E-2</v>
      </c>
      <c r="AJ528" s="155">
        <v>3.7955093203616876E-3</v>
      </c>
    </row>
    <row r="529" spans="1:36" s="160" customFormat="1">
      <c r="A529" s="153" t="s">
        <v>1213</v>
      </c>
      <c r="B529" s="160">
        <v>141</v>
      </c>
      <c r="C529" s="153" t="s">
        <v>2663</v>
      </c>
      <c r="D529" s="153" t="s">
        <v>2664</v>
      </c>
      <c r="E529" s="153" t="s">
        <v>80</v>
      </c>
      <c r="F529" s="153" t="s">
        <v>2665</v>
      </c>
      <c r="G529" s="153" t="s">
        <v>2666</v>
      </c>
      <c r="H529" s="153" t="s">
        <v>321</v>
      </c>
      <c r="I529" s="153" t="s">
        <v>755</v>
      </c>
      <c r="J529" s="153" t="s">
        <v>205</v>
      </c>
      <c r="K529" s="153" t="s">
        <v>224</v>
      </c>
      <c r="L529" s="153" t="s">
        <v>325</v>
      </c>
      <c r="M529" s="153" t="s">
        <v>314</v>
      </c>
      <c r="N529" s="153" t="s">
        <v>537</v>
      </c>
      <c r="O529" s="153" t="s">
        <v>339</v>
      </c>
      <c r="P529" s="153" t="s">
        <v>1876</v>
      </c>
      <c r="Q529" s="153" t="s">
        <v>433</v>
      </c>
      <c r="R529" s="153" t="s">
        <v>407</v>
      </c>
      <c r="S529" s="153" t="s">
        <v>1216</v>
      </c>
      <c r="T529" s="154">
        <v>0.75800000000000001</v>
      </c>
      <c r="U529" s="153" t="s">
        <v>2667</v>
      </c>
      <c r="V529" s="155">
        <v>2.6610000000000002E-2</v>
      </c>
      <c r="W529" s="155">
        <v>5.1799999999999999E-2</v>
      </c>
      <c r="X529" s="153" t="s">
        <v>412</v>
      </c>
      <c r="Y529" s="153" t="s">
        <v>339</v>
      </c>
      <c r="Z529" s="154">
        <v>335000</v>
      </c>
      <c r="AA529" s="154">
        <v>3.71</v>
      </c>
      <c r="AB529" s="154">
        <v>99.106999999999999</v>
      </c>
      <c r="AD529" s="154">
        <v>1231.752</v>
      </c>
      <c r="AG529" s="157" t="s">
        <v>15</v>
      </c>
      <c r="AH529" s="155">
        <v>2.7E-4</v>
      </c>
      <c r="AI529" s="155">
        <f t="shared" si="8"/>
        <v>2.2203870297304969E-2</v>
      </c>
      <c r="AJ529" s="155">
        <v>3.3055926971877051E-3</v>
      </c>
    </row>
    <row r="530" spans="1:36" s="160" customFormat="1">
      <c r="A530" s="153" t="s">
        <v>1213</v>
      </c>
      <c r="B530" s="160">
        <v>141</v>
      </c>
      <c r="C530" s="153" t="s">
        <v>2644</v>
      </c>
      <c r="D530" s="153" t="s">
        <v>2645</v>
      </c>
      <c r="E530" s="153" t="s">
        <v>80</v>
      </c>
      <c r="F530" s="153" t="s">
        <v>2668</v>
      </c>
      <c r="G530" s="153" t="s">
        <v>2669</v>
      </c>
      <c r="H530" s="153" t="s">
        <v>321</v>
      </c>
      <c r="I530" s="153" t="s">
        <v>755</v>
      </c>
      <c r="J530" s="153" t="s">
        <v>205</v>
      </c>
      <c r="K530" s="153" t="s">
        <v>297</v>
      </c>
      <c r="L530" s="153" t="s">
        <v>325</v>
      </c>
      <c r="M530" s="153" t="s">
        <v>314</v>
      </c>
      <c r="N530" s="153" t="s">
        <v>486</v>
      </c>
      <c r="O530" s="153" t="s">
        <v>339</v>
      </c>
      <c r="P530" s="153" t="s">
        <v>2070</v>
      </c>
      <c r="Q530" s="153" t="s">
        <v>431</v>
      </c>
      <c r="R530" s="153" t="s">
        <v>407</v>
      </c>
      <c r="S530" s="153" t="s">
        <v>1216</v>
      </c>
      <c r="T530" s="154">
        <v>4.2619999999999996</v>
      </c>
      <c r="U530" s="153" t="s">
        <v>2670</v>
      </c>
      <c r="V530" s="155">
        <v>6.8400000000000002E-2</v>
      </c>
      <c r="W530" s="155">
        <v>8.5250000000000006E-2</v>
      </c>
      <c r="X530" s="153" t="s">
        <v>412</v>
      </c>
      <c r="Y530" s="153" t="s">
        <v>339</v>
      </c>
      <c r="Z530" s="154">
        <v>325000</v>
      </c>
      <c r="AA530" s="154">
        <v>3.71</v>
      </c>
      <c r="AB530" s="154">
        <v>93.775000000000006</v>
      </c>
      <c r="AD530" s="154">
        <v>1130.692</v>
      </c>
      <c r="AG530" s="157" t="s">
        <v>15</v>
      </c>
      <c r="AH530" s="155">
        <v>1.3999999999999999E-4</v>
      </c>
      <c r="AI530" s="155">
        <f t="shared" si="8"/>
        <v>2.0382137406069038E-2</v>
      </c>
      <c r="AJ530" s="155">
        <v>3.0343829098459438E-3</v>
      </c>
    </row>
    <row r="531" spans="1:36" s="160" customFormat="1">
      <c r="A531" s="153" t="s">
        <v>1213</v>
      </c>
      <c r="B531" s="160">
        <v>141</v>
      </c>
      <c r="C531" s="153" t="s">
        <v>2671</v>
      </c>
      <c r="D531" s="153" t="s">
        <v>2672</v>
      </c>
      <c r="E531" s="153" t="s">
        <v>80</v>
      </c>
      <c r="F531" s="153" t="s">
        <v>2673</v>
      </c>
      <c r="G531" s="153" t="s">
        <v>2674</v>
      </c>
      <c r="H531" s="153" t="s">
        <v>321</v>
      </c>
      <c r="I531" s="153" t="s">
        <v>755</v>
      </c>
      <c r="J531" s="153" t="s">
        <v>205</v>
      </c>
      <c r="K531" s="153" t="s">
        <v>224</v>
      </c>
      <c r="L531" s="153" t="s">
        <v>325</v>
      </c>
      <c r="M531" s="153" t="s">
        <v>314</v>
      </c>
      <c r="N531" s="153" t="s">
        <v>564</v>
      </c>
      <c r="O531" s="153" t="s">
        <v>339</v>
      </c>
      <c r="P531" s="153" t="s">
        <v>2661</v>
      </c>
      <c r="Q531" s="153" t="s">
        <v>431</v>
      </c>
      <c r="R531" s="153" t="s">
        <v>407</v>
      </c>
      <c r="S531" s="153" t="s">
        <v>1216</v>
      </c>
      <c r="T531" s="154">
        <v>4.4089999999999998</v>
      </c>
      <c r="U531" s="153" t="s">
        <v>2675</v>
      </c>
      <c r="V531" s="155">
        <v>3.8120000000000001E-2</v>
      </c>
      <c r="W531" s="155">
        <v>5.0630000000000001E-2</v>
      </c>
      <c r="X531" s="153" t="s">
        <v>412</v>
      </c>
      <c r="Y531" s="153" t="s">
        <v>339</v>
      </c>
      <c r="Z531" s="154">
        <v>285000</v>
      </c>
      <c r="AA531" s="154">
        <v>3.71</v>
      </c>
      <c r="AB531" s="154">
        <f>(AD531-(AC531*AA531))*1000/AA531/Z531*100</f>
        <v>96.389464226604247</v>
      </c>
      <c r="AD531" s="154">
        <v>1019.174</v>
      </c>
      <c r="AG531" s="157" t="s">
        <v>15</v>
      </c>
      <c r="AH531" s="155">
        <v>8.0999999999999996E-4</v>
      </c>
      <c r="AI531" s="155">
        <f t="shared" si="8"/>
        <v>1.8371885985478811E-2</v>
      </c>
      <c r="AJ531" s="155">
        <v>2.7351074985578123E-3</v>
      </c>
    </row>
    <row r="532" spans="1:36" s="160" customFormat="1">
      <c r="A532" s="153" t="s">
        <v>1213</v>
      </c>
      <c r="B532" s="160">
        <v>141</v>
      </c>
      <c r="C532" s="153" t="s">
        <v>2676</v>
      </c>
      <c r="D532" s="153" t="s">
        <v>2677</v>
      </c>
      <c r="E532" s="153" t="s">
        <v>80</v>
      </c>
      <c r="F532" s="153" t="s">
        <v>2678</v>
      </c>
      <c r="G532" s="153" t="s">
        <v>2679</v>
      </c>
      <c r="H532" s="153" t="s">
        <v>321</v>
      </c>
      <c r="I532" s="153" t="s">
        <v>755</v>
      </c>
      <c r="J532" s="153" t="s">
        <v>205</v>
      </c>
      <c r="K532" s="153" t="s">
        <v>224</v>
      </c>
      <c r="L532" s="153" t="s">
        <v>325</v>
      </c>
      <c r="M532" s="153" t="s">
        <v>314</v>
      </c>
      <c r="N532" s="153" t="s">
        <v>537</v>
      </c>
      <c r="O532" s="153" t="s">
        <v>339</v>
      </c>
      <c r="P532" s="153" t="s">
        <v>2680</v>
      </c>
      <c r="Q532" s="153" t="s">
        <v>431</v>
      </c>
      <c r="R532" s="153" t="s">
        <v>407</v>
      </c>
      <c r="S532" s="153" t="s">
        <v>1216</v>
      </c>
      <c r="T532" s="154">
        <v>0.34899999999999998</v>
      </c>
      <c r="U532" s="153" t="s">
        <v>2681</v>
      </c>
      <c r="V532" s="155">
        <v>4.6789999999999998E-2</v>
      </c>
      <c r="W532" s="155">
        <v>5.7140000000000003E-2</v>
      </c>
      <c r="X532" s="153" t="s">
        <v>412</v>
      </c>
      <c r="Y532" s="153" t="s">
        <v>339</v>
      </c>
      <c r="Z532" s="154">
        <v>235000</v>
      </c>
      <c r="AA532" s="154">
        <v>3.71</v>
      </c>
      <c r="AB532" s="154">
        <v>99.840999999999994</v>
      </c>
      <c r="AD532" s="154">
        <v>870.46199999999999</v>
      </c>
      <c r="AG532" s="157" t="s">
        <v>15</v>
      </c>
      <c r="AH532" s="155">
        <v>6.4999999999999997E-4</v>
      </c>
      <c r="AI532" s="155">
        <f t="shared" si="8"/>
        <v>1.569116619801119E-2</v>
      </c>
      <c r="AJ532" s="155">
        <v>2.3360163656153221E-3</v>
      </c>
    </row>
    <row r="533" spans="1:36" s="160" customFormat="1">
      <c r="A533" s="153" t="s">
        <v>1213</v>
      </c>
      <c r="B533" s="160">
        <v>141</v>
      </c>
      <c r="C533" s="153" t="s">
        <v>2682</v>
      </c>
      <c r="D533" s="153" t="s">
        <v>2683</v>
      </c>
      <c r="E533" s="153" t="s">
        <v>80</v>
      </c>
      <c r="F533" s="153" t="s">
        <v>2684</v>
      </c>
      <c r="G533" s="153" t="s">
        <v>2685</v>
      </c>
      <c r="H533" s="153" t="s">
        <v>321</v>
      </c>
      <c r="I533" s="153" t="s">
        <v>755</v>
      </c>
      <c r="J533" s="153" t="s">
        <v>205</v>
      </c>
      <c r="K533" s="153" t="s">
        <v>224</v>
      </c>
      <c r="L533" s="153" t="s">
        <v>325</v>
      </c>
      <c r="M533" s="153" t="s">
        <v>314</v>
      </c>
      <c r="N533" s="153" t="s">
        <v>537</v>
      </c>
      <c r="O533" s="153" t="s">
        <v>339</v>
      </c>
      <c r="P533" s="153" t="s">
        <v>1876</v>
      </c>
      <c r="Q533" s="153" t="s">
        <v>433</v>
      </c>
      <c r="R533" s="153" t="s">
        <v>407</v>
      </c>
      <c r="S533" s="153" t="s">
        <v>1216</v>
      </c>
      <c r="T533" s="154">
        <v>0.77600000000000002</v>
      </c>
      <c r="U533" s="153" t="s">
        <v>2686</v>
      </c>
      <c r="V533" s="155">
        <v>3.4029999999999998E-2</v>
      </c>
      <c r="W533" s="155">
        <v>5.1790000000000003E-2</v>
      </c>
      <c r="X533" s="153" t="s">
        <v>412</v>
      </c>
      <c r="Y533" s="153" t="s">
        <v>339</v>
      </c>
      <c r="Z533" s="154">
        <v>200000</v>
      </c>
      <c r="AA533" s="154">
        <v>3.71</v>
      </c>
      <c r="AB533" s="154">
        <v>99.474999999999994</v>
      </c>
      <c r="AD533" s="154">
        <v>738.10699999999997</v>
      </c>
      <c r="AG533" s="157" t="s">
        <v>15</v>
      </c>
      <c r="AH533" s="155">
        <v>4.0000000000000002E-4</v>
      </c>
      <c r="AI533" s="155">
        <f t="shared" si="8"/>
        <v>1.3305301792514141E-2</v>
      </c>
      <c r="AJ533" s="155">
        <v>1.9808217148769604E-3</v>
      </c>
    </row>
    <row r="534" spans="1:36" s="160" customFormat="1">
      <c r="A534" s="153" t="s">
        <v>1213</v>
      </c>
      <c r="B534" s="160">
        <v>141</v>
      </c>
      <c r="C534" s="153" t="s">
        <v>2644</v>
      </c>
      <c r="D534" s="153" t="s">
        <v>2645</v>
      </c>
      <c r="E534" s="153" t="s">
        <v>80</v>
      </c>
      <c r="F534" s="153" t="s">
        <v>2687</v>
      </c>
      <c r="G534" s="153" t="s">
        <v>2688</v>
      </c>
      <c r="H534" s="153" t="s">
        <v>321</v>
      </c>
      <c r="I534" s="153" t="s">
        <v>755</v>
      </c>
      <c r="J534" s="153" t="s">
        <v>205</v>
      </c>
      <c r="K534" s="153" t="s">
        <v>297</v>
      </c>
      <c r="L534" s="153" t="s">
        <v>325</v>
      </c>
      <c r="M534" s="153" t="s">
        <v>314</v>
      </c>
      <c r="N534" s="153" t="s">
        <v>486</v>
      </c>
      <c r="O534" s="153" t="s">
        <v>339</v>
      </c>
      <c r="P534" s="153" t="s">
        <v>2070</v>
      </c>
      <c r="Q534" s="153" t="s">
        <v>431</v>
      </c>
      <c r="R534" s="153" t="s">
        <v>407</v>
      </c>
      <c r="S534" s="153" t="s">
        <v>1216</v>
      </c>
      <c r="T534" s="154">
        <v>4.9980000000000002</v>
      </c>
      <c r="U534" s="153" t="s">
        <v>2689</v>
      </c>
      <c r="V534" s="155">
        <v>5.9499999999999997E-2</v>
      </c>
      <c r="W534" s="155">
        <v>8.7419999999999998E-2</v>
      </c>
      <c r="X534" s="153" t="s">
        <v>412</v>
      </c>
      <c r="Y534" s="153" t="s">
        <v>339</v>
      </c>
      <c r="Z534" s="154">
        <v>128628.22</v>
      </c>
      <c r="AA534" s="154">
        <v>3.71</v>
      </c>
      <c r="AB534" s="154">
        <v>87.484999999999999</v>
      </c>
      <c r="AD534" s="154">
        <v>417.48599999999999</v>
      </c>
      <c r="AG534" s="157" t="s">
        <v>15</v>
      </c>
      <c r="AH534" s="155">
        <v>3.0000000000000001E-5</v>
      </c>
      <c r="AI534" s="155">
        <f t="shared" si="8"/>
        <v>7.5257072811253101E-3</v>
      </c>
      <c r="AJ534" s="155">
        <v>1.1203867927781781E-3</v>
      </c>
    </row>
    <row r="535" spans="1:36" s="160" customFormat="1">
      <c r="A535" s="153" t="s">
        <v>1213</v>
      </c>
      <c r="B535" s="160">
        <v>143</v>
      </c>
      <c r="C535" s="153" t="s">
        <v>1512</v>
      </c>
      <c r="D535" s="153" t="s">
        <v>1513</v>
      </c>
      <c r="E535" s="153" t="s">
        <v>309</v>
      </c>
      <c r="F535" s="153" t="s">
        <v>2186</v>
      </c>
      <c r="G535" s="153" t="s">
        <v>2187</v>
      </c>
      <c r="H535" s="153" t="s">
        <v>321</v>
      </c>
      <c r="I535" s="153" t="s">
        <v>754</v>
      </c>
      <c r="J535" s="153" t="s">
        <v>204</v>
      </c>
      <c r="K535" s="153" t="s">
        <v>204</v>
      </c>
      <c r="L535" s="153" t="s">
        <v>325</v>
      </c>
      <c r="M535" s="153" t="s">
        <v>340</v>
      </c>
      <c r="N535" s="153" t="s">
        <v>448</v>
      </c>
      <c r="O535" s="153" t="s">
        <v>339</v>
      </c>
      <c r="P535" s="153" t="s">
        <v>1215</v>
      </c>
      <c r="Q535" s="153" t="s">
        <v>413</v>
      </c>
      <c r="R535" s="153" t="s">
        <v>407</v>
      </c>
      <c r="S535" s="153" t="s">
        <v>1212</v>
      </c>
      <c r="T535" s="154">
        <v>1.72</v>
      </c>
      <c r="U535" s="153" t="s">
        <v>2188</v>
      </c>
      <c r="V535" s="155">
        <v>2.0100000000000001E-3</v>
      </c>
      <c r="W535" s="155">
        <v>2.1399999999999999E-2</v>
      </c>
      <c r="X535" s="153" t="s">
        <v>412</v>
      </c>
      <c r="Y535" s="153" t="s">
        <v>339</v>
      </c>
      <c r="Z535" s="154">
        <v>33200000</v>
      </c>
      <c r="AA535" s="154">
        <v>1</v>
      </c>
      <c r="AB535" s="154">
        <v>110.39</v>
      </c>
      <c r="AD535" s="154">
        <v>36649.480000000003</v>
      </c>
      <c r="AG535" s="157" t="s">
        <v>15</v>
      </c>
      <c r="AH535" s="155">
        <v>1.107E-2</v>
      </c>
      <c r="AI535" s="155">
        <f t="shared" si="8"/>
        <v>9.7190479842889768E-2</v>
      </c>
      <c r="AJ535" s="155">
        <v>1.3072064151910161E-2</v>
      </c>
    </row>
    <row r="536" spans="1:36" s="160" customFormat="1">
      <c r="A536" s="153" t="s">
        <v>1213</v>
      </c>
      <c r="B536" s="160">
        <v>143</v>
      </c>
      <c r="C536" s="153" t="s">
        <v>1600</v>
      </c>
      <c r="D536" s="153" t="s">
        <v>1601</v>
      </c>
      <c r="E536" s="153" t="s">
        <v>309</v>
      </c>
      <c r="F536" s="153" t="s">
        <v>1954</v>
      </c>
      <c r="G536" s="153" t="s">
        <v>1955</v>
      </c>
      <c r="H536" s="153" t="s">
        <v>321</v>
      </c>
      <c r="I536" s="153" t="s">
        <v>754</v>
      </c>
      <c r="J536" s="153" t="s">
        <v>204</v>
      </c>
      <c r="K536" s="153" t="s">
        <v>204</v>
      </c>
      <c r="L536" s="153" t="s">
        <v>325</v>
      </c>
      <c r="M536" s="153" t="s">
        <v>340</v>
      </c>
      <c r="N536" s="153" t="s">
        <v>448</v>
      </c>
      <c r="O536" s="153" t="s">
        <v>339</v>
      </c>
      <c r="P536" s="153" t="s">
        <v>1215</v>
      </c>
      <c r="Q536" s="153" t="s">
        <v>413</v>
      </c>
      <c r="R536" s="153" t="s">
        <v>407</v>
      </c>
      <c r="S536" s="153" t="s">
        <v>1212</v>
      </c>
      <c r="T536" s="154">
        <v>3.02</v>
      </c>
      <c r="U536" s="153" t="s">
        <v>1956</v>
      </c>
      <c r="V536" s="155">
        <v>1.7500000000000002E-2</v>
      </c>
      <c r="W536" s="155">
        <v>2.35E-2</v>
      </c>
      <c r="X536" s="153" t="s">
        <v>412</v>
      </c>
      <c r="Y536" s="153" t="s">
        <v>339</v>
      </c>
      <c r="Z536" s="154">
        <v>30627624.510000002</v>
      </c>
      <c r="AA536" s="154">
        <v>1</v>
      </c>
      <c r="AB536" s="154">
        <v>114.28</v>
      </c>
      <c r="AD536" s="154">
        <v>35001.249000000003</v>
      </c>
      <c r="AG536" s="157" t="s">
        <v>15</v>
      </c>
      <c r="AH536" s="155">
        <v>1.1780000000000001E-2</v>
      </c>
      <c r="AI536" s="155">
        <f t="shared" si="8"/>
        <v>9.2819548474097471E-2</v>
      </c>
      <c r="AJ536" s="155">
        <v>1.2484176373716118E-2</v>
      </c>
    </row>
    <row r="537" spans="1:36" s="160" customFormat="1">
      <c r="A537" s="153" t="s">
        <v>1213</v>
      </c>
      <c r="B537" s="160">
        <v>143</v>
      </c>
      <c r="C537" s="153" t="s">
        <v>455</v>
      </c>
      <c r="D537" s="153" t="s">
        <v>2106</v>
      </c>
      <c r="E537" s="153" t="s">
        <v>309</v>
      </c>
      <c r="F537" s="153" t="s">
        <v>2289</v>
      </c>
      <c r="G537" s="153" t="s">
        <v>2290</v>
      </c>
      <c r="H537" s="153" t="s">
        <v>321</v>
      </c>
      <c r="I537" s="153" t="s">
        <v>754</v>
      </c>
      <c r="J537" s="153" t="s">
        <v>204</v>
      </c>
      <c r="K537" s="153" t="s">
        <v>204</v>
      </c>
      <c r="L537" s="153" t="s">
        <v>325</v>
      </c>
      <c r="M537" s="153" t="s">
        <v>340</v>
      </c>
      <c r="N537" s="153" t="s">
        <v>440</v>
      </c>
      <c r="O537" s="153" t="s">
        <v>339</v>
      </c>
      <c r="P537" s="153" t="s">
        <v>1923</v>
      </c>
      <c r="Q537" s="153" t="s">
        <v>415</v>
      </c>
      <c r="R537" s="153" t="s">
        <v>407</v>
      </c>
      <c r="S537" s="153" t="s">
        <v>1212</v>
      </c>
      <c r="T537" s="154">
        <v>3.44</v>
      </c>
      <c r="U537" s="153" t="s">
        <v>2291</v>
      </c>
      <c r="V537" s="155">
        <v>1.1050000000000001E-2</v>
      </c>
      <c r="W537" s="155">
        <v>2.5700000000000001E-2</v>
      </c>
      <c r="X537" s="153" t="s">
        <v>412</v>
      </c>
      <c r="Y537" s="153" t="s">
        <v>339</v>
      </c>
      <c r="Z537" s="154">
        <v>27441353.73</v>
      </c>
      <c r="AA537" s="154">
        <v>1</v>
      </c>
      <c r="AB537" s="154">
        <v>121.2</v>
      </c>
      <c r="AC537" s="154">
        <v>613.47</v>
      </c>
      <c r="AD537" s="154">
        <v>33872.391000000003</v>
      </c>
      <c r="AG537" s="157" t="s">
        <v>15</v>
      </c>
      <c r="AH537" s="155">
        <v>1.074E-2</v>
      </c>
      <c r="AI537" s="155">
        <f t="shared" si="8"/>
        <v>8.98259384503131E-2</v>
      </c>
      <c r="AJ537" s="155">
        <v>1.2081537531517075E-2</v>
      </c>
    </row>
    <row r="538" spans="1:36" s="160" customFormat="1">
      <c r="A538" s="153" t="s">
        <v>1213</v>
      </c>
      <c r="B538" s="160">
        <v>143</v>
      </c>
      <c r="C538" s="153" t="s">
        <v>2250</v>
      </c>
      <c r="D538" s="153" t="s">
        <v>2251</v>
      </c>
      <c r="E538" s="153" t="s">
        <v>309</v>
      </c>
      <c r="F538" s="153" t="s">
        <v>2635</v>
      </c>
      <c r="G538" s="153" t="s">
        <v>2636</v>
      </c>
      <c r="H538" s="153" t="s">
        <v>321</v>
      </c>
      <c r="I538" s="153" t="s">
        <v>754</v>
      </c>
      <c r="J538" s="153" t="s">
        <v>204</v>
      </c>
      <c r="K538" s="153" t="s">
        <v>204</v>
      </c>
      <c r="L538" s="153" t="s">
        <v>325</v>
      </c>
      <c r="M538" s="153" t="s">
        <v>340</v>
      </c>
      <c r="N538" s="153" t="s">
        <v>448</v>
      </c>
      <c r="O538" s="153" t="s">
        <v>339</v>
      </c>
      <c r="P538" s="153" t="s">
        <v>1215</v>
      </c>
      <c r="Q538" s="153" t="s">
        <v>413</v>
      </c>
      <c r="R538" s="153" t="s">
        <v>407</v>
      </c>
      <c r="S538" s="153" t="s">
        <v>1212</v>
      </c>
      <c r="T538" s="154">
        <v>2.17</v>
      </c>
      <c r="U538" s="153" t="s">
        <v>2637</v>
      </c>
      <c r="V538" s="155">
        <v>-1.184E-2</v>
      </c>
      <c r="W538" s="155">
        <v>2.0799999999999999E-2</v>
      </c>
      <c r="X538" s="153" t="s">
        <v>412</v>
      </c>
      <c r="Y538" s="153" t="s">
        <v>339</v>
      </c>
      <c r="Z538" s="154">
        <v>26208000</v>
      </c>
      <c r="AA538" s="154">
        <v>1</v>
      </c>
      <c r="AB538" s="154">
        <v>107.91</v>
      </c>
      <c r="AD538" s="154">
        <v>28281.053</v>
      </c>
      <c r="AG538" s="157" t="s">
        <v>15</v>
      </c>
      <c r="AH538" s="155">
        <v>5.6140000000000002E-2</v>
      </c>
      <c r="AI538" s="155">
        <f t="shared" si="8"/>
        <v>7.4998311341175836E-2</v>
      </c>
      <c r="AJ538" s="155">
        <v>1.0087230135313551E-2</v>
      </c>
    </row>
    <row r="539" spans="1:36" s="160" customFormat="1">
      <c r="A539" s="153" t="s">
        <v>1213</v>
      </c>
      <c r="B539" s="160">
        <v>143</v>
      </c>
      <c r="C539" s="153" t="s">
        <v>1573</v>
      </c>
      <c r="D539" s="153" t="s">
        <v>1574</v>
      </c>
      <c r="E539" s="153" t="s">
        <v>309</v>
      </c>
      <c r="F539" s="153" t="s">
        <v>2277</v>
      </c>
      <c r="G539" s="153" t="s">
        <v>2278</v>
      </c>
      <c r="H539" s="153" t="s">
        <v>321</v>
      </c>
      <c r="I539" s="153" t="s">
        <v>754</v>
      </c>
      <c r="J539" s="153" t="s">
        <v>204</v>
      </c>
      <c r="K539" s="153" t="s">
        <v>204</v>
      </c>
      <c r="L539" s="153" t="s">
        <v>325</v>
      </c>
      <c r="M539" s="153" t="s">
        <v>340</v>
      </c>
      <c r="N539" s="153" t="s">
        <v>448</v>
      </c>
      <c r="O539" s="153" t="s">
        <v>339</v>
      </c>
      <c r="P539" s="153" t="s">
        <v>1215</v>
      </c>
      <c r="Q539" s="153" t="s">
        <v>413</v>
      </c>
      <c r="R539" s="153" t="s">
        <v>407</v>
      </c>
      <c r="S539" s="153" t="s">
        <v>1212</v>
      </c>
      <c r="T539" s="154">
        <v>3.14</v>
      </c>
      <c r="U539" s="153" t="s">
        <v>2279</v>
      </c>
      <c r="V539" s="155">
        <v>-1.0330000000000001E-2</v>
      </c>
      <c r="W539" s="155">
        <v>2.3099999999999999E-2</v>
      </c>
      <c r="X539" s="153" t="s">
        <v>412</v>
      </c>
      <c r="Y539" s="153" t="s">
        <v>339</v>
      </c>
      <c r="Z539" s="154">
        <v>26000000</v>
      </c>
      <c r="AA539" s="154">
        <v>1</v>
      </c>
      <c r="AB539" s="154">
        <v>105.15</v>
      </c>
      <c r="AD539" s="154">
        <v>27339</v>
      </c>
      <c r="AG539" s="157" t="s">
        <v>15</v>
      </c>
      <c r="AH539" s="155">
        <v>8.2900000000000005E-3</v>
      </c>
      <c r="AI539" s="155">
        <f t="shared" si="8"/>
        <v>7.2500088089237913E-2</v>
      </c>
      <c r="AJ539" s="155">
        <v>9.7512205316165976E-3</v>
      </c>
    </row>
    <row r="540" spans="1:36" s="160" customFormat="1">
      <c r="A540" s="153" t="s">
        <v>1213</v>
      </c>
      <c r="B540" s="160">
        <v>143</v>
      </c>
      <c r="C540" s="153" t="s">
        <v>1904</v>
      </c>
      <c r="D540" s="153" t="s">
        <v>1905</v>
      </c>
      <c r="E540" s="153" t="s">
        <v>309</v>
      </c>
      <c r="F540" s="153" t="s">
        <v>1906</v>
      </c>
      <c r="G540" s="153" t="s">
        <v>1907</v>
      </c>
      <c r="H540" s="153" t="s">
        <v>321</v>
      </c>
      <c r="I540" s="153" t="s">
        <v>754</v>
      </c>
      <c r="J540" s="153" t="s">
        <v>204</v>
      </c>
      <c r="K540" s="153" t="s">
        <v>204</v>
      </c>
      <c r="L540" s="153" t="s">
        <v>325</v>
      </c>
      <c r="M540" s="153" t="s">
        <v>340</v>
      </c>
      <c r="N540" s="153" t="s">
        <v>448</v>
      </c>
      <c r="O540" s="153" t="s">
        <v>339</v>
      </c>
      <c r="P540" s="153" t="s">
        <v>1215</v>
      </c>
      <c r="Q540" s="153" t="s">
        <v>413</v>
      </c>
      <c r="R540" s="153" t="s">
        <v>407</v>
      </c>
      <c r="S540" s="153" t="s">
        <v>1212</v>
      </c>
      <c r="T540" s="154">
        <v>3.98</v>
      </c>
      <c r="U540" s="153" t="s">
        <v>1908</v>
      </c>
      <c r="V540" s="155">
        <v>-9.6399999999999993E-3</v>
      </c>
      <c r="W540" s="155">
        <v>2.52E-2</v>
      </c>
      <c r="X540" s="153" t="s">
        <v>412</v>
      </c>
      <c r="Y540" s="153" t="s">
        <v>339</v>
      </c>
      <c r="Z540" s="154">
        <v>22925600.050000001</v>
      </c>
      <c r="AA540" s="154">
        <v>1</v>
      </c>
      <c r="AB540" s="154">
        <v>102.6</v>
      </c>
      <c r="AD540" s="154">
        <v>23521.666000000001</v>
      </c>
      <c r="AG540" s="157" t="s">
        <v>15</v>
      </c>
      <c r="AH540" s="155">
        <v>6.3099999999999996E-3</v>
      </c>
      <c r="AI540" s="155">
        <f t="shared" si="8"/>
        <v>6.2376928819840978E-2</v>
      </c>
      <c r="AJ540" s="155">
        <v>8.3896613788736994E-3</v>
      </c>
    </row>
    <row r="541" spans="1:36" s="160" customFormat="1">
      <c r="A541" s="153" t="s">
        <v>1213</v>
      </c>
      <c r="B541" s="160">
        <v>143</v>
      </c>
      <c r="C541" s="153" t="s">
        <v>1512</v>
      </c>
      <c r="D541" s="153" t="s">
        <v>1513</v>
      </c>
      <c r="E541" s="153" t="s">
        <v>309</v>
      </c>
      <c r="F541" s="153" t="s">
        <v>2632</v>
      </c>
      <c r="G541" s="153" t="s">
        <v>2633</v>
      </c>
      <c r="H541" s="153" t="s">
        <v>321</v>
      </c>
      <c r="I541" s="153" t="s">
        <v>754</v>
      </c>
      <c r="J541" s="153" t="s">
        <v>204</v>
      </c>
      <c r="K541" s="153" t="s">
        <v>204</v>
      </c>
      <c r="L541" s="153" t="s">
        <v>325</v>
      </c>
      <c r="M541" s="153" t="s">
        <v>340</v>
      </c>
      <c r="N541" s="153" t="s">
        <v>448</v>
      </c>
      <c r="O541" s="153" t="s">
        <v>339</v>
      </c>
      <c r="P541" s="153" t="s">
        <v>1211</v>
      </c>
      <c r="Q541" s="153" t="s">
        <v>415</v>
      </c>
      <c r="R541" s="153" t="s">
        <v>407</v>
      </c>
      <c r="S541" s="153" t="s">
        <v>1212</v>
      </c>
      <c r="T541" s="154">
        <v>2.16</v>
      </c>
      <c r="U541" s="153" t="s">
        <v>2634</v>
      </c>
      <c r="V541" s="155">
        <v>5.0000000000000001E-3</v>
      </c>
      <c r="W541" s="155">
        <v>2.1399999999999999E-2</v>
      </c>
      <c r="X541" s="153" t="s">
        <v>412</v>
      </c>
      <c r="Y541" s="153" t="s">
        <v>339</v>
      </c>
      <c r="Z541" s="154">
        <v>20595337</v>
      </c>
      <c r="AA541" s="154">
        <v>1</v>
      </c>
      <c r="AB541" s="154">
        <v>110.72</v>
      </c>
      <c r="AD541" s="154">
        <v>22803.156999999999</v>
      </c>
      <c r="AG541" s="157" t="s">
        <v>15</v>
      </c>
      <c r="AH541" s="155">
        <v>2.6980000000000001E-2</v>
      </c>
      <c r="AI541" s="155">
        <f t="shared" si="8"/>
        <v>6.0471520217005817E-2</v>
      </c>
      <c r="AJ541" s="155">
        <v>8.1333850076475631E-3</v>
      </c>
    </row>
    <row r="542" spans="1:36" s="160" customFormat="1">
      <c r="A542" s="153" t="s">
        <v>1213</v>
      </c>
      <c r="B542" s="160">
        <v>143</v>
      </c>
      <c r="C542" s="153" t="s">
        <v>1807</v>
      </c>
      <c r="D542" s="153" t="s">
        <v>1808</v>
      </c>
      <c r="E542" s="153" t="s">
        <v>309</v>
      </c>
      <c r="F542" s="153" t="s">
        <v>1921</v>
      </c>
      <c r="G542" s="153" t="s">
        <v>1922</v>
      </c>
      <c r="H542" s="153" t="s">
        <v>321</v>
      </c>
      <c r="I542" s="153" t="s">
        <v>754</v>
      </c>
      <c r="J542" s="153" t="s">
        <v>204</v>
      </c>
      <c r="K542" s="153" t="s">
        <v>204</v>
      </c>
      <c r="L542" s="153" t="s">
        <v>325</v>
      </c>
      <c r="M542" s="153" t="s">
        <v>340</v>
      </c>
      <c r="N542" s="153" t="s">
        <v>464</v>
      </c>
      <c r="O542" s="153" t="s">
        <v>339</v>
      </c>
      <c r="P542" s="153" t="s">
        <v>1923</v>
      </c>
      <c r="Q542" s="153" t="s">
        <v>415</v>
      </c>
      <c r="R542" s="153" t="s">
        <v>407</v>
      </c>
      <c r="S542" s="153" t="s">
        <v>1212</v>
      </c>
      <c r="T542" s="154">
        <v>2.5499999999999998</v>
      </c>
      <c r="U542" s="153" t="s">
        <v>1744</v>
      </c>
      <c r="V542" s="155">
        <v>8.6400000000000001E-3</v>
      </c>
      <c r="W542" s="155">
        <v>2.7099999999999999E-2</v>
      </c>
      <c r="X542" s="153" t="s">
        <v>412</v>
      </c>
      <c r="Y542" s="153" t="s">
        <v>339</v>
      </c>
      <c r="Z542" s="154">
        <v>18400000.010000002</v>
      </c>
      <c r="AA542" s="154">
        <v>1</v>
      </c>
      <c r="AB542" s="154">
        <v>113.19</v>
      </c>
      <c r="AD542" s="154">
        <v>20826.96</v>
      </c>
      <c r="AG542" s="157" t="s">
        <v>15</v>
      </c>
      <c r="AH542" s="155">
        <v>7.0899999999999999E-3</v>
      </c>
      <c r="AI542" s="155">
        <f t="shared" si="8"/>
        <v>5.5230858284174053E-2</v>
      </c>
      <c r="AJ542" s="155">
        <v>7.428518964232694E-3</v>
      </c>
    </row>
    <row r="543" spans="1:36" s="160" customFormat="1">
      <c r="A543" s="153" t="s">
        <v>1213</v>
      </c>
      <c r="B543" s="160">
        <v>143</v>
      </c>
      <c r="C543" s="153" t="s">
        <v>1861</v>
      </c>
      <c r="D543" s="153" t="s">
        <v>1862</v>
      </c>
      <c r="E543" s="153" t="s">
        <v>309</v>
      </c>
      <c r="F543" s="153" t="s">
        <v>2642</v>
      </c>
      <c r="G543" s="153" t="s">
        <v>2643</v>
      </c>
      <c r="H543" s="153" t="s">
        <v>321</v>
      </c>
      <c r="I543" s="153" t="s">
        <v>754</v>
      </c>
      <c r="J543" s="153" t="s">
        <v>204</v>
      </c>
      <c r="K543" s="153" t="s">
        <v>204</v>
      </c>
      <c r="L543" s="153" t="s">
        <v>325</v>
      </c>
      <c r="M543" s="153" t="s">
        <v>340</v>
      </c>
      <c r="N543" s="153" t="s">
        <v>464</v>
      </c>
      <c r="O543" s="153" t="s">
        <v>339</v>
      </c>
      <c r="P543" s="153" t="s">
        <v>1538</v>
      </c>
      <c r="Q543" s="153" t="s">
        <v>413</v>
      </c>
      <c r="R543" s="153" t="s">
        <v>407</v>
      </c>
      <c r="S543" s="153" t="s">
        <v>1212</v>
      </c>
      <c r="T543" s="154">
        <v>2.38</v>
      </c>
      <c r="U543" s="153" t="s">
        <v>1951</v>
      </c>
      <c r="V543" s="155">
        <v>1.023E-2</v>
      </c>
      <c r="W543" s="155">
        <v>2.3900000000000001E-2</v>
      </c>
      <c r="X543" s="153" t="s">
        <v>412</v>
      </c>
      <c r="Y543" s="153" t="s">
        <v>339</v>
      </c>
      <c r="Z543" s="154">
        <v>17264510.989999998</v>
      </c>
      <c r="AA543" s="154">
        <v>1</v>
      </c>
      <c r="AB543" s="154">
        <v>116.64</v>
      </c>
      <c r="AC543" s="154">
        <v>479.49099999999999</v>
      </c>
      <c r="AD543" s="154">
        <v>20616.816999999999</v>
      </c>
      <c r="AG543" s="157" t="s">
        <v>15</v>
      </c>
      <c r="AH543" s="155">
        <v>1.8599999999999998E-2</v>
      </c>
      <c r="AI543" s="155">
        <f t="shared" si="8"/>
        <v>5.4673581645989157E-2</v>
      </c>
      <c r="AJ543" s="155">
        <v>7.3535655739779115E-3</v>
      </c>
    </row>
    <row r="544" spans="1:36" s="160" customFormat="1">
      <c r="A544" s="153" t="s">
        <v>1213</v>
      </c>
      <c r="B544" s="160">
        <v>143</v>
      </c>
      <c r="C544" s="153" t="s">
        <v>2250</v>
      </c>
      <c r="D544" s="153" t="s">
        <v>2251</v>
      </c>
      <c r="E544" s="153" t="s">
        <v>309</v>
      </c>
      <c r="F544" s="153" t="s">
        <v>2252</v>
      </c>
      <c r="G544" s="153" t="s">
        <v>2253</v>
      </c>
      <c r="H544" s="153" t="s">
        <v>321</v>
      </c>
      <c r="I544" s="153" t="s">
        <v>754</v>
      </c>
      <c r="J544" s="153" t="s">
        <v>204</v>
      </c>
      <c r="K544" s="153" t="s">
        <v>204</v>
      </c>
      <c r="L544" s="153" t="s">
        <v>325</v>
      </c>
      <c r="M544" s="153" t="s">
        <v>340</v>
      </c>
      <c r="N544" s="153" t="s">
        <v>448</v>
      </c>
      <c r="O544" s="153" t="s">
        <v>339</v>
      </c>
      <c r="P544" s="153" t="s">
        <v>1215</v>
      </c>
      <c r="Q544" s="153" t="s">
        <v>413</v>
      </c>
      <c r="R544" s="153" t="s">
        <v>407</v>
      </c>
      <c r="S544" s="153" t="s">
        <v>1212</v>
      </c>
      <c r="T544" s="154">
        <v>0.94</v>
      </c>
      <c r="U544" s="153" t="s">
        <v>2254</v>
      </c>
      <c r="V544" s="155">
        <v>-2.7599999999999999E-3</v>
      </c>
      <c r="W544" s="155">
        <v>1.9699999999999999E-2</v>
      </c>
      <c r="X544" s="153" t="s">
        <v>412</v>
      </c>
      <c r="Y544" s="153" t="s">
        <v>339</v>
      </c>
      <c r="Z544" s="154">
        <v>14891344</v>
      </c>
      <c r="AA544" s="154">
        <v>1</v>
      </c>
      <c r="AB544" s="154">
        <v>112.67</v>
      </c>
      <c r="AD544" s="154">
        <v>16778.077000000001</v>
      </c>
      <c r="AG544" s="157" t="s">
        <v>15</v>
      </c>
      <c r="AH544" s="155">
        <v>9.9299999999999996E-3</v>
      </c>
      <c r="AI544" s="155">
        <f t="shared" si="8"/>
        <v>4.4493655966495363E-2</v>
      </c>
      <c r="AJ544" s="155">
        <v>5.9843713714270537E-3</v>
      </c>
    </row>
    <row r="545" spans="1:36" s="160" customFormat="1">
      <c r="A545" s="153" t="s">
        <v>1213</v>
      </c>
      <c r="B545" s="160">
        <v>143</v>
      </c>
      <c r="C545" s="153" t="s">
        <v>2385</v>
      </c>
      <c r="D545" s="153" t="s">
        <v>2386</v>
      </c>
      <c r="E545" s="153" t="s">
        <v>309</v>
      </c>
      <c r="F545" s="153" t="s">
        <v>2387</v>
      </c>
      <c r="G545" s="153" t="s">
        <v>2388</v>
      </c>
      <c r="H545" s="153" t="s">
        <v>321</v>
      </c>
      <c r="I545" s="153" t="s">
        <v>754</v>
      </c>
      <c r="J545" s="153" t="s">
        <v>204</v>
      </c>
      <c r="K545" s="153" t="s">
        <v>204</v>
      </c>
      <c r="L545" s="153" t="s">
        <v>325</v>
      </c>
      <c r="M545" s="153" t="s">
        <v>340</v>
      </c>
      <c r="N545" s="153" t="s">
        <v>464</v>
      </c>
      <c r="O545" s="153" t="s">
        <v>339</v>
      </c>
      <c r="P545" s="153" t="s">
        <v>1211</v>
      </c>
      <c r="Q545" s="153" t="s">
        <v>415</v>
      </c>
      <c r="R545" s="153" t="s">
        <v>407</v>
      </c>
      <c r="S545" s="153" t="s">
        <v>1212</v>
      </c>
      <c r="T545" s="154">
        <v>1.46</v>
      </c>
      <c r="U545" s="153" t="s">
        <v>1659</v>
      </c>
      <c r="V545" s="155">
        <v>8.8100000000000001E-3</v>
      </c>
      <c r="W545" s="155">
        <v>2.1899999999999999E-2</v>
      </c>
      <c r="X545" s="153" t="s">
        <v>412</v>
      </c>
      <c r="Y545" s="153" t="s">
        <v>339</v>
      </c>
      <c r="Z545" s="154">
        <v>13866650.310000001</v>
      </c>
      <c r="AA545" s="154">
        <v>1</v>
      </c>
      <c r="AB545" s="154">
        <v>114.36</v>
      </c>
      <c r="AD545" s="154">
        <v>15857.901</v>
      </c>
      <c r="AG545" s="157" t="s">
        <v>15</v>
      </c>
      <c r="AH545" s="155">
        <v>1.1679999999999999E-2</v>
      </c>
      <c r="AI545" s="155">
        <f t="shared" si="8"/>
        <v>4.205344816600512E-2</v>
      </c>
      <c r="AJ545" s="155">
        <v>5.6561648128879401E-3</v>
      </c>
    </row>
    <row r="546" spans="1:36" s="160" customFormat="1">
      <c r="A546" s="153" t="s">
        <v>1213</v>
      </c>
      <c r="B546" s="160">
        <v>143</v>
      </c>
      <c r="C546" s="153" t="s">
        <v>1600</v>
      </c>
      <c r="D546" s="153" t="s">
        <v>1601</v>
      </c>
      <c r="E546" s="153" t="s">
        <v>309</v>
      </c>
      <c r="F546" s="153" t="s">
        <v>2333</v>
      </c>
      <c r="G546" s="153" t="s">
        <v>2334</v>
      </c>
      <c r="H546" s="153" t="s">
        <v>321</v>
      </c>
      <c r="I546" s="153" t="s">
        <v>754</v>
      </c>
      <c r="J546" s="153" t="s">
        <v>204</v>
      </c>
      <c r="K546" s="153" t="s">
        <v>204</v>
      </c>
      <c r="L546" s="153" t="s">
        <v>325</v>
      </c>
      <c r="M546" s="153" t="s">
        <v>340</v>
      </c>
      <c r="N546" s="153" t="s">
        <v>448</v>
      </c>
      <c r="O546" s="153" t="s">
        <v>339</v>
      </c>
      <c r="P546" s="153" t="s">
        <v>1215</v>
      </c>
      <c r="Q546" s="153" t="s">
        <v>413</v>
      </c>
      <c r="R546" s="153" t="s">
        <v>407</v>
      </c>
      <c r="S546" s="153" t="s">
        <v>1212</v>
      </c>
      <c r="T546" s="154">
        <v>3.56</v>
      </c>
      <c r="U546" s="153" t="s">
        <v>2335</v>
      </c>
      <c r="V546" s="155">
        <v>-1.1010000000000001E-2</v>
      </c>
      <c r="W546" s="155">
        <v>2.4E-2</v>
      </c>
      <c r="X546" s="153" t="s">
        <v>412</v>
      </c>
      <c r="Y546" s="153" t="s">
        <v>339</v>
      </c>
      <c r="Z546" s="154">
        <v>11314400</v>
      </c>
      <c r="AA546" s="154">
        <v>1</v>
      </c>
      <c r="AB546" s="154">
        <v>103.73</v>
      </c>
      <c r="AD546" s="154">
        <v>11736.427</v>
      </c>
      <c r="AG546" s="157" t="s">
        <v>15</v>
      </c>
      <c r="AH546" s="155">
        <v>1.0059999999999999E-2</v>
      </c>
      <c r="AI546" s="155">
        <f t="shared" si="8"/>
        <v>3.112374232242987E-2</v>
      </c>
      <c r="AJ546" s="155">
        <v>4.1861256055532167E-3</v>
      </c>
    </row>
    <row r="547" spans="1:36" s="160" customFormat="1">
      <c r="A547" s="153" t="s">
        <v>1213</v>
      </c>
      <c r="B547" s="160">
        <v>143</v>
      </c>
      <c r="C547" s="153" t="s">
        <v>2638</v>
      </c>
      <c r="D547" s="153" t="s">
        <v>2639</v>
      </c>
      <c r="E547" s="153" t="s">
        <v>311</v>
      </c>
      <c r="F547" s="153" t="s">
        <v>2640</v>
      </c>
      <c r="G547" s="153" t="s">
        <v>2641</v>
      </c>
      <c r="H547" s="153" t="s">
        <v>321</v>
      </c>
      <c r="I547" s="153" t="s">
        <v>755</v>
      </c>
      <c r="J547" s="153" t="s">
        <v>204</v>
      </c>
      <c r="K547" s="153" t="s">
        <v>204</v>
      </c>
      <c r="L547" s="153" t="s">
        <v>325</v>
      </c>
      <c r="M547" s="153" t="s">
        <v>340</v>
      </c>
      <c r="N547" s="153" t="s">
        <v>465</v>
      </c>
      <c r="O547" s="153" t="s">
        <v>339</v>
      </c>
      <c r="P547" s="153" t="s">
        <v>1982</v>
      </c>
      <c r="Q547" s="153" t="s">
        <v>415</v>
      </c>
      <c r="R547" s="153" t="s">
        <v>407</v>
      </c>
      <c r="S547" s="153" t="s">
        <v>1212</v>
      </c>
      <c r="T547" s="154">
        <v>2.91</v>
      </c>
      <c r="U547" s="153" t="s">
        <v>1664</v>
      </c>
      <c r="V547" s="155">
        <v>4.2999999999999997E-2</v>
      </c>
      <c r="W547" s="155">
        <v>0.10150000000000001</v>
      </c>
      <c r="X547" s="153" t="s">
        <v>412</v>
      </c>
      <c r="Y547" s="153" t="s">
        <v>339</v>
      </c>
      <c r="Z547" s="154">
        <v>10514545.619999999</v>
      </c>
      <c r="AA547" s="154">
        <v>1</v>
      </c>
      <c r="AB547" s="154">
        <v>89.69</v>
      </c>
      <c r="AD547" s="154">
        <v>9430.4959999999992</v>
      </c>
      <c r="AG547" s="157" t="s">
        <v>15</v>
      </c>
      <c r="AH547" s="155">
        <v>9.4900000000000002E-3</v>
      </c>
      <c r="AI547" s="155">
        <f t="shared" si="8"/>
        <v>2.5008661279681252E-2</v>
      </c>
      <c r="AJ547" s="155">
        <v>3.3636506901689235E-3</v>
      </c>
    </row>
    <row r="548" spans="1:36" s="160" customFormat="1">
      <c r="A548" s="153" t="s">
        <v>1213</v>
      </c>
      <c r="B548" s="160">
        <v>143</v>
      </c>
      <c r="C548" s="153" t="s">
        <v>1904</v>
      </c>
      <c r="D548" s="153" t="s">
        <v>1905</v>
      </c>
      <c r="E548" s="153" t="s">
        <v>309</v>
      </c>
      <c r="F548" s="153" t="s">
        <v>2268</v>
      </c>
      <c r="G548" s="153" t="s">
        <v>2269</v>
      </c>
      <c r="H548" s="153" t="s">
        <v>321</v>
      </c>
      <c r="I548" s="153" t="s">
        <v>951</v>
      </c>
      <c r="J548" s="153" t="s">
        <v>204</v>
      </c>
      <c r="K548" s="153" t="s">
        <v>204</v>
      </c>
      <c r="L548" s="153" t="s">
        <v>325</v>
      </c>
      <c r="M548" s="153" t="s">
        <v>340</v>
      </c>
      <c r="N548" s="153" t="s">
        <v>448</v>
      </c>
      <c r="O548" s="153" t="s">
        <v>339</v>
      </c>
      <c r="P548" s="153" t="s">
        <v>1215</v>
      </c>
      <c r="Q548" s="153" t="s">
        <v>413</v>
      </c>
      <c r="R548" s="153" t="s">
        <v>407</v>
      </c>
      <c r="S548" s="153" t="s">
        <v>1212</v>
      </c>
      <c r="T548" s="154">
        <v>2.89</v>
      </c>
      <c r="U548" s="153" t="s">
        <v>2270</v>
      </c>
      <c r="V548" s="155">
        <v>7.5399999999999998E-3</v>
      </c>
      <c r="W548" s="155">
        <v>5.11E-2</v>
      </c>
      <c r="X548" s="153" t="s">
        <v>412</v>
      </c>
      <c r="Y548" s="153" t="s">
        <v>339</v>
      </c>
      <c r="Z548" s="154">
        <v>6125525.25</v>
      </c>
      <c r="AA548" s="154">
        <v>1</v>
      </c>
      <c r="AB548" s="154">
        <v>95.42</v>
      </c>
      <c r="AD548" s="154">
        <v>5844.9759999999997</v>
      </c>
      <c r="AG548" s="157" t="s">
        <v>15</v>
      </c>
      <c r="AH548" s="155">
        <v>2.6800000000000001E-3</v>
      </c>
      <c r="AI548" s="155">
        <f t="shared" si="8"/>
        <v>1.5500247810069184E-2</v>
      </c>
      <c r="AJ548" s="155">
        <v>2.0847744971654505E-3</v>
      </c>
    </row>
    <row r="549" spans="1:36" s="160" customFormat="1">
      <c r="A549" s="153" t="s">
        <v>1213</v>
      </c>
      <c r="B549" s="160">
        <v>143</v>
      </c>
      <c r="C549" s="153" t="s">
        <v>2373</v>
      </c>
      <c r="D549" s="153" t="s">
        <v>2374</v>
      </c>
      <c r="E549" s="153" t="s">
        <v>309</v>
      </c>
      <c r="F549" s="153" t="s">
        <v>2375</v>
      </c>
      <c r="G549" s="153" t="s">
        <v>2376</v>
      </c>
      <c r="H549" s="153" t="s">
        <v>321</v>
      </c>
      <c r="I549" s="153" t="s">
        <v>755</v>
      </c>
      <c r="J549" s="153" t="s">
        <v>204</v>
      </c>
      <c r="K549" s="153" t="s">
        <v>204</v>
      </c>
      <c r="L549" s="153" t="s">
        <v>325</v>
      </c>
      <c r="M549" s="153" t="s">
        <v>340</v>
      </c>
      <c r="N549" s="153" t="s">
        <v>454</v>
      </c>
      <c r="O549" s="153" t="s">
        <v>339</v>
      </c>
      <c r="P549" s="153" t="s">
        <v>1544</v>
      </c>
      <c r="Q549" s="153" t="s">
        <v>415</v>
      </c>
      <c r="R549" s="153" t="s">
        <v>407</v>
      </c>
      <c r="S549" s="153" t="s">
        <v>1212</v>
      </c>
      <c r="T549" s="154">
        <v>2.97</v>
      </c>
      <c r="U549" s="153" t="s">
        <v>2377</v>
      </c>
      <c r="V549" s="155">
        <v>4.1119999999999997E-2</v>
      </c>
      <c r="W549" s="155">
        <v>7.6100000000000001E-2</v>
      </c>
      <c r="X549" s="153" t="s">
        <v>412</v>
      </c>
      <c r="Y549" s="153" t="s">
        <v>339</v>
      </c>
      <c r="Z549" s="154">
        <v>5436828.5899999999</v>
      </c>
      <c r="AA549" s="154">
        <v>1</v>
      </c>
      <c r="AB549" s="154">
        <v>97.95</v>
      </c>
      <c r="AD549" s="154">
        <v>5325.3739999999998</v>
      </c>
      <c r="AG549" s="157" t="s">
        <v>15</v>
      </c>
      <c r="AH549" s="155">
        <v>4.0200000000000001E-3</v>
      </c>
      <c r="AI549" s="155">
        <f t="shared" si="8"/>
        <v>1.4122319181686866E-2</v>
      </c>
      <c r="AJ549" s="155">
        <v>1.8994438819026742E-3</v>
      </c>
    </row>
    <row r="550" spans="1:36" s="160" customFormat="1">
      <c r="A550" s="153" t="s">
        <v>1213</v>
      </c>
      <c r="B550" s="160">
        <v>143</v>
      </c>
      <c r="C550" s="153" t="s">
        <v>1534</v>
      </c>
      <c r="D550" s="153" t="s">
        <v>1535</v>
      </c>
      <c r="E550" s="153" t="s">
        <v>309</v>
      </c>
      <c r="F550" s="153" t="s">
        <v>1536</v>
      </c>
      <c r="G550" s="153" t="s">
        <v>1537</v>
      </c>
      <c r="H550" s="153" t="s">
        <v>321</v>
      </c>
      <c r="I550" s="153" t="s">
        <v>754</v>
      </c>
      <c r="J550" s="153" t="s">
        <v>204</v>
      </c>
      <c r="K550" s="153" t="s">
        <v>204</v>
      </c>
      <c r="L550" s="153" t="s">
        <v>325</v>
      </c>
      <c r="M550" s="153" t="s">
        <v>340</v>
      </c>
      <c r="N550" s="153" t="s">
        <v>464</v>
      </c>
      <c r="O550" s="153" t="s">
        <v>339</v>
      </c>
      <c r="P550" s="153" t="s">
        <v>1538</v>
      </c>
      <c r="Q550" s="153" t="s">
        <v>413</v>
      </c>
      <c r="R550" s="153" t="s">
        <v>407</v>
      </c>
      <c r="S550" s="153" t="s">
        <v>1212</v>
      </c>
      <c r="T550" s="154">
        <v>3.33</v>
      </c>
      <c r="U550" s="153" t="s">
        <v>1539</v>
      </c>
      <c r="V550" s="155">
        <v>1.2330000000000001E-2</v>
      </c>
      <c r="W550" s="155">
        <v>2.92E-2</v>
      </c>
      <c r="X550" s="153" t="s">
        <v>412</v>
      </c>
      <c r="Y550" s="153" t="s">
        <v>339</v>
      </c>
      <c r="Z550" s="154">
        <v>4240000</v>
      </c>
      <c r="AA550" s="154">
        <v>1</v>
      </c>
      <c r="AB550" s="154">
        <v>107.2</v>
      </c>
      <c r="AC550" s="154">
        <v>54.926000000000002</v>
      </c>
      <c r="AD550" s="154">
        <v>4600.2060000000001</v>
      </c>
      <c r="AG550" s="157" t="s">
        <v>15</v>
      </c>
      <c r="AH550" s="155">
        <v>1.7899999999999999E-3</v>
      </c>
      <c r="AI550" s="155">
        <f t="shared" si="8"/>
        <v>1.2199251626930056E-2</v>
      </c>
      <c r="AJ550" s="155">
        <v>1.6407923917065681E-3</v>
      </c>
    </row>
    <row r="551" spans="1:36" s="160" customFormat="1">
      <c r="A551" s="153" t="s">
        <v>1213</v>
      </c>
      <c r="B551" s="160">
        <v>143</v>
      </c>
      <c r="C551" s="153" t="s">
        <v>2436</v>
      </c>
      <c r="D551" s="153" t="s">
        <v>2437</v>
      </c>
      <c r="E551" s="153" t="s">
        <v>309</v>
      </c>
      <c r="F551" s="153" t="s">
        <v>2690</v>
      </c>
      <c r="G551" s="153" t="s">
        <v>2691</v>
      </c>
      <c r="H551" s="153" t="s">
        <v>321</v>
      </c>
      <c r="I551" s="153" t="s">
        <v>951</v>
      </c>
      <c r="J551" s="153" t="s">
        <v>204</v>
      </c>
      <c r="K551" s="153" t="s">
        <v>204</v>
      </c>
      <c r="L551" s="153" t="s">
        <v>325</v>
      </c>
      <c r="M551" s="153" t="s">
        <v>340</v>
      </c>
      <c r="N551" s="153" t="s">
        <v>475</v>
      </c>
      <c r="O551" s="153" t="s">
        <v>339</v>
      </c>
      <c r="P551" s="153" t="s">
        <v>1538</v>
      </c>
      <c r="Q551" s="153" t="s">
        <v>413</v>
      </c>
      <c r="R551" s="153" t="s">
        <v>407</v>
      </c>
      <c r="S551" s="153" t="s">
        <v>1212</v>
      </c>
      <c r="T551" s="154">
        <v>3.37</v>
      </c>
      <c r="U551" s="153" t="s">
        <v>2692</v>
      </c>
      <c r="V551" s="155">
        <v>3.3669999999999999E-2</v>
      </c>
      <c r="W551" s="155">
        <v>5.3800000000000001E-2</v>
      </c>
      <c r="X551" s="153" t="s">
        <v>412</v>
      </c>
      <c r="Y551" s="153" t="s">
        <v>339</v>
      </c>
      <c r="Z551" s="154">
        <v>4680851.0599999996</v>
      </c>
      <c r="AA551" s="154">
        <v>1</v>
      </c>
      <c r="AB551" s="154">
        <v>94.59</v>
      </c>
      <c r="AD551" s="154">
        <v>4427.6170000000002</v>
      </c>
      <c r="AG551" s="157" t="s">
        <v>15</v>
      </c>
      <c r="AH551" s="155">
        <v>6.2199999999999998E-3</v>
      </c>
      <c r="AI551" s="155">
        <f t="shared" si="8"/>
        <v>1.174156415836012E-2</v>
      </c>
      <c r="AJ551" s="155">
        <v>1.5792336880110717E-3</v>
      </c>
    </row>
    <row r="552" spans="1:36" s="160" customFormat="1">
      <c r="A552" s="153" t="s">
        <v>1213</v>
      </c>
      <c r="B552" s="160">
        <v>143</v>
      </c>
      <c r="C552" s="153" t="s">
        <v>2644</v>
      </c>
      <c r="D552" s="153" t="s">
        <v>2645</v>
      </c>
      <c r="E552" s="153" t="s">
        <v>80</v>
      </c>
      <c r="F552" s="153" t="s">
        <v>2668</v>
      </c>
      <c r="G552" s="153" t="s">
        <v>2669</v>
      </c>
      <c r="H552" s="153" t="s">
        <v>321</v>
      </c>
      <c r="I552" s="153" t="s">
        <v>755</v>
      </c>
      <c r="J552" s="153" t="s">
        <v>205</v>
      </c>
      <c r="K552" s="153" t="s">
        <v>297</v>
      </c>
      <c r="L552" s="153" t="s">
        <v>325</v>
      </c>
      <c r="M552" s="153" t="s">
        <v>314</v>
      </c>
      <c r="N552" s="153" t="s">
        <v>486</v>
      </c>
      <c r="O552" s="153" t="s">
        <v>339</v>
      </c>
      <c r="P552" s="153" t="s">
        <v>2070</v>
      </c>
      <c r="Q552" s="153" t="s">
        <v>431</v>
      </c>
      <c r="R552" s="153" t="s">
        <v>407</v>
      </c>
      <c r="S552" s="153" t="s">
        <v>1216</v>
      </c>
      <c r="T552" s="154">
        <v>4.2619999999999996</v>
      </c>
      <c r="U552" s="153" t="s">
        <v>2670</v>
      </c>
      <c r="V552" s="155">
        <v>6.8400000000000002E-2</v>
      </c>
      <c r="W552" s="155">
        <v>8.5250000000000006E-2</v>
      </c>
      <c r="X552" s="153" t="s">
        <v>412</v>
      </c>
      <c r="Y552" s="153" t="s">
        <v>339</v>
      </c>
      <c r="Z552" s="154">
        <v>2850000</v>
      </c>
      <c r="AA552" s="154">
        <v>3.71</v>
      </c>
      <c r="AB552" s="154">
        <v>93.775000000000006</v>
      </c>
      <c r="AD552" s="154">
        <v>9915.2999999999993</v>
      </c>
      <c r="AG552" s="157" t="s">
        <v>15</v>
      </c>
      <c r="AH552" s="155">
        <v>1.2199999999999999E-3</v>
      </c>
      <c r="AI552" s="155">
        <f t="shared" si="8"/>
        <v>2.6294309354081006E-2</v>
      </c>
      <c r="AJ552" s="155">
        <v>3.5365696235099327E-3</v>
      </c>
    </row>
    <row r="553" spans="1:36" s="160" customFormat="1">
      <c r="A553" s="153" t="s">
        <v>1213</v>
      </c>
      <c r="B553" s="160">
        <v>143</v>
      </c>
      <c r="C553" s="153" t="s">
        <v>2649</v>
      </c>
      <c r="D553" s="153" t="s">
        <v>2650</v>
      </c>
      <c r="E553" s="153" t="s">
        <v>80</v>
      </c>
      <c r="F553" s="153" t="s">
        <v>2651</v>
      </c>
      <c r="G553" s="153" t="s">
        <v>2652</v>
      </c>
      <c r="H553" s="153" t="s">
        <v>321</v>
      </c>
      <c r="I553" s="153" t="s">
        <v>755</v>
      </c>
      <c r="J553" s="153" t="s">
        <v>205</v>
      </c>
      <c r="K553" s="153" t="s">
        <v>293</v>
      </c>
      <c r="L553" s="153" t="s">
        <v>325</v>
      </c>
      <c r="M553" s="153" t="s">
        <v>314</v>
      </c>
      <c r="N553" s="153" t="s">
        <v>568</v>
      </c>
      <c r="O553" s="153" t="s">
        <v>339</v>
      </c>
      <c r="P553" s="153" t="s">
        <v>1876</v>
      </c>
      <c r="Q553" s="153" t="s">
        <v>433</v>
      </c>
      <c r="R553" s="153" t="s">
        <v>407</v>
      </c>
      <c r="S553" s="153" t="s">
        <v>1218</v>
      </c>
      <c r="T553" s="154">
        <v>4.2130000000000001</v>
      </c>
      <c r="U553" s="153" t="s">
        <v>2653</v>
      </c>
      <c r="V553" s="155">
        <v>6.1249999999999999E-2</v>
      </c>
      <c r="W553" s="155">
        <v>7.3630000000000001E-2</v>
      </c>
      <c r="X553" s="153" t="s">
        <v>411</v>
      </c>
      <c r="Y553" s="153" t="s">
        <v>338</v>
      </c>
      <c r="Z553" s="154">
        <v>1568000</v>
      </c>
      <c r="AA553" s="154">
        <v>4.1524000000000001</v>
      </c>
      <c r="AB553" s="154">
        <f>(AD553-(AC553*AA553))*1000/AA553/Z553*100</f>
        <v>96.743289840741227</v>
      </c>
      <c r="AD553" s="154">
        <v>6298.92</v>
      </c>
      <c r="AG553" s="157" t="s">
        <v>15</v>
      </c>
      <c r="AH553" s="155">
        <v>3.63E-3</v>
      </c>
      <c r="AI553" s="155">
        <f t="shared" si="8"/>
        <v>1.6704058483011906E-2</v>
      </c>
      <c r="AJ553" s="155">
        <v>2.2466863466480275E-3</v>
      </c>
    </row>
    <row r="554" spans="1:36" s="160" customFormat="1">
      <c r="A554" s="153" t="s">
        <v>1213</v>
      </c>
      <c r="B554" s="160">
        <v>143</v>
      </c>
      <c r="C554" s="153" t="s">
        <v>2682</v>
      </c>
      <c r="D554" s="153" t="s">
        <v>2683</v>
      </c>
      <c r="E554" s="153" t="s">
        <v>80</v>
      </c>
      <c r="F554" s="153" t="s">
        <v>2684</v>
      </c>
      <c r="G554" s="153" t="s">
        <v>2685</v>
      </c>
      <c r="H554" s="153" t="s">
        <v>321</v>
      </c>
      <c r="I554" s="153" t="s">
        <v>755</v>
      </c>
      <c r="J554" s="153" t="s">
        <v>205</v>
      </c>
      <c r="K554" s="153" t="s">
        <v>224</v>
      </c>
      <c r="L554" s="153" t="s">
        <v>325</v>
      </c>
      <c r="M554" s="153" t="s">
        <v>314</v>
      </c>
      <c r="N554" s="153" t="s">
        <v>537</v>
      </c>
      <c r="O554" s="153" t="s">
        <v>339</v>
      </c>
      <c r="P554" s="153" t="s">
        <v>1876</v>
      </c>
      <c r="Q554" s="153" t="s">
        <v>433</v>
      </c>
      <c r="R554" s="153" t="s">
        <v>407</v>
      </c>
      <c r="S554" s="153" t="s">
        <v>1216</v>
      </c>
      <c r="T554" s="154">
        <v>0.77600000000000002</v>
      </c>
      <c r="U554" s="153" t="s">
        <v>2686</v>
      </c>
      <c r="V554" s="155">
        <v>3.397E-2</v>
      </c>
      <c r="W554" s="155">
        <v>5.1790000000000003E-2</v>
      </c>
      <c r="X554" s="153" t="s">
        <v>412</v>
      </c>
      <c r="Y554" s="153" t="s">
        <v>339</v>
      </c>
      <c r="Z554" s="154">
        <v>1700000</v>
      </c>
      <c r="AA554" s="154">
        <v>3.71</v>
      </c>
      <c r="AB554" s="154">
        <f>(AD554-(AC554*AA554))*1000/AA554/Z554*100</f>
        <v>99.475328999524336</v>
      </c>
      <c r="AD554" s="154">
        <v>6273.9089999999997</v>
      </c>
      <c r="AG554" s="157" t="s">
        <v>15</v>
      </c>
      <c r="AH554" s="155">
        <v>3.3999999999999998E-3</v>
      </c>
      <c r="AI554" s="155">
        <f t="shared" si="8"/>
        <v>1.6637732000580215E-2</v>
      </c>
      <c r="AJ554" s="155">
        <v>2.2377654725591338E-3</v>
      </c>
    </row>
    <row r="555" spans="1:36" s="160" customFormat="1">
      <c r="A555" s="153" t="s">
        <v>1213</v>
      </c>
      <c r="B555" s="160">
        <v>143</v>
      </c>
      <c r="C555" s="153" t="s">
        <v>2671</v>
      </c>
      <c r="D555" s="153" t="s">
        <v>2672</v>
      </c>
      <c r="E555" s="153" t="s">
        <v>80</v>
      </c>
      <c r="F555" s="153" t="s">
        <v>2673</v>
      </c>
      <c r="G555" s="153" t="s">
        <v>2674</v>
      </c>
      <c r="H555" s="153" t="s">
        <v>321</v>
      </c>
      <c r="I555" s="153" t="s">
        <v>755</v>
      </c>
      <c r="J555" s="153" t="s">
        <v>205</v>
      </c>
      <c r="K555" s="153" t="s">
        <v>224</v>
      </c>
      <c r="L555" s="153" t="s">
        <v>325</v>
      </c>
      <c r="M555" s="153" t="s">
        <v>314</v>
      </c>
      <c r="N555" s="153" t="s">
        <v>564</v>
      </c>
      <c r="O555" s="153" t="s">
        <v>339</v>
      </c>
      <c r="P555" s="153" t="s">
        <v>2661</v>
      </c>
      <c r="Q555" s="153" t="s">
        <v>431</v>
      </c>
      <c r="R555" s="153" t="s">
        <v>407</v>
      </c>
      <c r="S555" s="153" t="s">
        <v>1216</v>
      </c>
      <c r="T555" s="154">
        <v>4.4089999999999998</v>
      </c>
      <c r="U555" s="153" t="s">
        <v>2675</v>
      </c>
      <c r="V555" s="155">
        <v>3.8120000000000001E-2</v>
      </c>
      <c r="W555" s="155">
        <v>5.0630000000000001E-2</v>
      </c>
      <c r="X555" s="153" t="s">
        <v>412</v>
      </c>
      <c r="Y555" s="153" t="s">
        <v>339</v>
      </c>
      <c r="Z555" s="154">
        <v>1750000</v>
      </c>
      <c r="AA555" s="154">
        <v>3.71</v>
      </c>
      <c r="AB555" s="154">
        <f>(AD555-(AC555*AA555))*1000/AA555/Z555*100</f>
        <v>96.389495571813626</v>
      </c>
      <c r="AD555" s="154">
        <v>6258.0879999999997</v>
      </c>
      <c r="AG555" s="157" t="s">
        <v>15</v>
      </c>
      <c r="AH555" s="155">
        <v>5.0000000000000001E-3</v>
      </c>
      <c r="AI555" s="155">
        <f t="shared" si="8"/>
        <v>1.6595776409898046E-2</v>
      </c>
      <c r="AJ555" s="155">
        <v>2.2321224695220545E-3</v>
      </c>
    </row>
    <row r="556" spans="1:36" s="160" customFormat="1">
      <c r="A556" s="153" t="s">
        <v>1213</v>
      </c>
      <c r="B556" s="160">
        <v>143</v>
      </c>
      <c r="C556" s="153" t="s">
        <v>2676</v>
      </c>
      <c r="D556" s="153" t="s">
        <v>2677</v>
      </c>
      <c r="E556" s="153" t="s">
        <v>80</v>
      </c>
      <c r="F556" s="153" t="s">
        <v>2678</v>
      </c>
      <c r="G556" s="153" t="s">
        <v>2679</v>
      </c>
      <c r="H556" s="153" t="s">
        <v>321</v>
      </c>
      <c r="I556" s="153" t="s">
        <v>755</v>
      </c>
      <c r="J556" s="153" t="s">
        <v>205</v>
      </c>
      <c r="K556" s="153" t="s">
        <v>224</v>
      </c>
      <c r="L556" s="153" t="s">
        <v>325</v>
      </c>
      <c r="M556" s="153" t="s">
        <v>314</v>
      </c>
      <c r="N556" s="153" t="s">
        <v>537</v>
      </c>
      <c r="O556" s="153" t="s">
        <v>339</v>
      </c>
      <c r="P556" s="153" t="s">
        <v>2680</v>
      </c>
      <c r="Q556" s="153" t="s">
        <v>431</v>
      </c>
      <c r="R556" s="153" t="s">
        <v>407</v>
      </c>
      <c r="S556" s="153" t="s">
        <v>1216</v>
      </c>
      <c r="T556" s="154">
        <v>0.34899999999999998</v>
      </c>
      <c r="U556" s="153" t="s">
        <v>2681</v>
      </c>
      <c r="V556" s="155">
        <v>4.657E-2</v>
      </c>
      <c r="W556" s="155">
        <v>5.7140000000000003E-2</v>
      </c>
      <c r="X556" s="153" t="s">
        <v>412</v>
      </c>
      <c r="Y556" s="153" t="s">
        <v>339</v>
      </c>
      <c r="Z556" s="154">
        <v>1315000</v>
      </c>
      <c r="AA556" s="154">
        <v>3.71</v>
      </c>
      <c r="AB556" s="154">
        <f>(AD556-(AC556*AA556))*1000/AA556/Z556*100</f>
        <v>99.840837116825355</v>
      </c>
      <c r="AD556" s="154">
        <v>4870.8850000000002</v>
      </c>
      <c r="AG556" s="157" t="s">
        <v>15</v>
      </c>
      <c r="AH556" s="155">
        <v>3.65E-3</v>
      </c>
      <c r="AI556" s="155">
        <f t="shared" si="8"/>
        <v>1.291706322735095E-2</v>
      </c>
      <c r="AJ556" s="155">
        <v>1.7373376428963501E-3</v>
      </c>
    </row>
    <row r="557" spans="1:36" s="160" customFormat="1">
      <c r="A557" s="153" t="s">
        <v>1213</v>
      </c>
      <c r="B557" s="160">
        <v>143</v>
      </c>
      <c r="C557" s="153" t="s">
        <v>2089</v>
      </c>
      <c r="D557" s="153" t="s">
        <v>2090</v>
      </c>
      <c r="E557" s="153" t="s">
        <v>309</v>
      </c>
      <c r="F557" s="153" t="s">
        <v>2654</v>
      </c>
      <c r="G557" s="153" t="s">
        <v>2655</v>
      </c>
      <c r="H557" s="153" t="s">
        <v>321</v>
      </c>
      <c r="I557" s="153" t="s">
        <v>755</v>
      </c>
      <c r="J557" s="153" t="s">
        <v>205</v>
      </c>
      <c r="K557" s="153" t="s">
        <v>204</v>
      </c>
      <c r="L557" s="153" t="s">
        <v>325</v>
      </c>
      <c r="M557" s="153" t="s">
        <v>344</v>
      </c>
      <c r="N557" s="153" t="s">
        <v>534</v>
      </c>
      <c r="O557" s="153" t="s">
        <v>339</v>
      </c>
      <c r="P557" s="153" t="s">
        <v>1890</v>
      </c>
      <c r="Q557" s="153" t="s">
        <v>433</v>
      </c>
      <c r="R557" s="153" t="s">
        <v>407</v>
      </c>
      <c r="S557" s="153" t="s">
        <v>1216</v>
      </c>
      <c r="T557" s="154">
        <v>12.983000000000001</v>
      </c>
      <c r="U557" s="153" t="s">
        <v>2656</v>
      </c>
      <c r="V557" s="155">
        <v>6.0859999999999997E-2</v>
      </c>
      <c r="W557" s="155">
        <v>6.234E-2</v>
      </c>
      <c r="X557" s="153" t="s">
        <v>412</v>
      </c>
      <c r="Y557" s="153" t="s">
        <v>339</v>
      </c>
      <c r="Z557" s="154">
        <v>1700000</v>
      </c>
      <c r="AA557" s="154">
        <v>3.71</v>
      </c>
      <c r="AB557" s="154">
        <f>(AD557-(AC557*AA557))*1000/AA557/Z557*100</f>
        <v>74.155993340732522</v>
      </c>
      <c r="AC557" s="154">
        <v>34.85</v>
      </c>
      <c r="AD557" s="154">
        <v>4806.3119999999999</v>
      </c>
      <c r="AG557" s="157" t="s">
        <v>15</v>
      </c>
      <c r="AH557" s="155">
        <v>8.4999999999999995E-4</v>
      </c>
      <c r="AI557" s="155">
        <f t="shared" si="8"/>
        <v>1.2745822575235424E-2</v>
      </c>
      <c r="AJ557" s="155">
        <v>1.714305872773519E-3</v>
      </c>
    </row>
    <row r="558" spans="1:36" s="160" customFormat="1">
      <c r="A558" s="153" t="s">
        <v>1213</v>
      </c>
      <c r="B558" s="160">
        <v>143</v>
      </c>
      <c r="C558" s="153" t="s">
        <v>2663</v>
      </c>
      <c r="D558" s="153" t="s">
        <v>2664</v>
      </c>
      <c r="E558" s="153" t="s">
        <v>80</v>
      </c>
      <c r="F558" s="153" t="s">
        <v>2665</v>
      </c>
      <c r="G558" s="153" t="s">
        <v>2666</v>
      </c>
      <c r="H558" s="153" t="s">
        <v>321</v>
      </c>
      <c r="I558" s="153" t="s">
        <v>755</v>
      </c>
      <c r="J558" s="153" t="s">
        <v>205</v>
      </c>
      <c r="K558" s="153" t="s">
        <v>224</v>
      </c>
      <c r="L558" s="153" t="s">
        <v>325</v>
      </c>
      <c r="M558" s="153" t="s">
        <v>314</v>
      </c>
      <c r="N558" s="153" t="s">
        <v>537</v>
      </c>
      <c r="O558" s="153" t="s">
        <v>339</v>
      </c>
      <c r="P558" s="153" t="s">
        <v>1876</v>
      </c>
      <c r="Q558" s="153" t="s">
        <v>433</v>
      </c>
      <c r="R558" s="153" t="s">
        <v>407</v>
      </c>
      <c r="S558" s="153" t="s">
        <v>1216</v>
      </c>
      <c r="T558" s="154">
        <v>0.75800000000000001</v>
      </c>
      <c r="U558" s="153" t="s">
        <v>2667</v>
      </c>
      <c r="V558" s="155">
        <v>2.64E-2</v>
      </c>
      <c r="W558" s="155">
        <v>5.1799999999999999E-2</v>
      </c>
      <c r="X558" s="153" t="s">
        <v>412</v>
      </c>
      <c r="Y558" s="153" t="s">
        <v>339</v>
      </c>
      <c r="Z558" s="154">
        <v>1250000</v>
      </c>
      <c r="AA558" s="154">
        <v>3.71</v>
      </c>
      <c r="AB558" s="154">
        <v>99.106999999999999</v>
      </c>
      <c r="AD558" s="154">
        <v>4596.0910000000003</v>
      </c>
      <c r="AG558" s="157" t="s">
        <v>15</v>
      </c>
      <c r="AH558" s="155">
        <v>1E-3</v>
      </c>
      <c r="AI558" s="155">
        <f t="shared" si="8"/>
        <v>1.2188339089438296E-2</v>
      </c>
      <c r="AJ558" s="155">
        <v>1.6393246616327687E-3</v>
      </c>
    </row>
    <row r="559" spans="1:36" s="160" customFormat="1">
      <c r="A559" s="153" t="s">
        <v>1213</v>
      </c>
      <c r="B559" s="160">
        <v>143</v>
      </c>
      <c r="C559" s="153" t="s">
        <v>2657</v>
      </c>
      <c r="D559" s="153" t="s">
        <v>2658</v>
      </c>
      <c r="E559" s="153" t="s">
        <v>80</v>
      </c>
      <c r="F559" s="153" t="s">
        <v>2659</v>
      </c>
      <c r="G559" s="153" t="s">
        <v>2660</v>
      </c>
      <c r="H559" s="153" t="s">
        <v>321</v>
      </c>
      <c r="I559" s="153" t="s">
        <v>755</v>
      </c>
      <c r="J559" s="153" t="s">
        <v>205</v>
      </c>
      <c r="K559" s="153" t="s">
        <v>299</v>
      </c>
      <c r="L559" s="153" t="s">
        <v>325</v>
      </c>
      <c r="M559" s="153" t="s">
        <v>314</v>
      </c>
      <c r="N559" s="153" t="s">
        <v>486</v>
      </c>
      <c r="O559" s="153" t="s">
        <v>339</v>
      </c>
      <c r="P559" s="153" t="s">
        <v>2661</v>
      </c>
      <c r="Q559" s="153" t="s">
        <v>431</v>
      </c>
      <c r="R559" s="153" t="s">
        <v>407</v>
      </c>
      <c r="S559" s="153" t="s">
        <v>1216</v>
      </c>
      <c r="T559" s="154">
        <v>1.2430000000000001</v>
      </c>
      <c r="U559" s="153" t="s">
        <v>2662</v>
      </c>
      <c r="V559" s="155">
        <v>5.5E-2</v>
      </c>
      <c r="W559" s="155">
        <v>7.6450000000000004E-2</v>
      </c>
      <c r="X559" s="153" t="s">
        <v>412</v>
      </c>
      <c r="Y559" s="153" t="s">
        <v>339</v>
      </c>
      <c r="Z559" s="154">
        <v>2500000</v>
      </c>
      <c r="AA559" s="154">
        <v>3.71</v>
      </c>
      <c r="AB559" s="154">
        <f>(AD559-(AC559*AA559))*1000/AA559/Z559*100</f>
        <v>46.207881401617243</v>
      </c>
      <c r="AD559" s="154">
        <v>4285.7809999999999</v>
      </c>
      <c r="AG559" s="157" t="s">
        <v>15</v>
      </c>
      <c r="AH559" s="155">
        <v>1.274E-2</v>
      </c>
      <c r="AI559" s="155">
        <f t="shared" si="8"/>
        <v>1.1365430338753507E-2</v>
      </c>
      <c r="AJ559" s="155">
        <v>1.5286439036253088E-3</v>
      </c>
    </row>
    <row r="560" spans="1:36" s="160" customFormat="1">
      <c r="A560" s="153" t="s">
        <v>1213</v>
      </c>
      <c r="B560" s="160">
        <v>143</v>
      </c>
      <c r="C560" s="153" t="s">
        <v>2072</v>
      </c>
      <c r="D560" s="153" t="s">
        <v>2073</v>
      </c>
      <c r="E560" s="153" t="s">
        <v>80</v>
      </c>
      <c r="F560" s="153" t="s">
        <v>2693</v>
      </c>
      <c r="G560" s="153" t="s">
        <v>2694</v>
      </c>
      <c r="H560" s="153" t="s">
        <v>321</v>
      </c>
      <c r="I560" s="153" t="s">
        <v>755</v>
      </c>
      <c r="J560" s="153" t="s">
        <v>205</v>
      </c>
      <c r="K560" s="153" t="s">
        <v>224</v>
      </c>
      <c r="L560" s="153" t="s">
        <v>325</v>
      </c>
      <c r="M560" s="153" t="s">
        <v>314</v>
      </c>
      <c r="N560" s="153" t="s">
        <v>537</v>
      </c>
      <c r="O560" s="153" t="s">
        <v>339</v>
      </c>
      <c r="P560" s="153" t="s">
        <v>2680</v>
      </c>
      <c r="Q560" s="153" t="s">
        <v>431</v>
      </c>
      <c r="R560" s="153" t="s">
        <v>407</v>
      </c>
      <c r="S560" s="153" t="s">
        <v>1216</v>
      </c>
      <c r="T560" s="154">
        <v>0.32400000000000001</v>
      </c>
      <c r="U560" s="153" t="s">
        <v>2695</v>
      </c>
      <c r="V560" s="155">
        <v>3.1820000000000001E-2</v>
      </c>
      <c r="W560" s="155">
        <v>5.6390000000000003E-2</v>
      </c>
      <c r="X560" s="153" t="s">
        <v>412</v>
      </c>
      <c r="Y560" s="153" t="s">
        <v>339</v>
      </c>
      <c r="Z560" s="154">
        <v>675000</v>
      </c>
      <c r="AA560" s="154">
        <v>3.71</v>
      </c>
      <c r="AB560" s="154">
        <v>100.119</v>
      </c>
      <c r="AD560" s="154">
        <v>2507.2310000000002</v>
      </c>
      <c r="AG560" s="157" t="s">
        <v>15</v>
      </c>
      <c r="AH560" s="155">
        <v>1.4400000000000001E-3</v>
      </c>
      <c r="AI560" s="155">
        <f t="shared" si="8"/>
        <v>6.6489069958692009E-3</v>
      </c>
      <c r="AJ560" s="155">
        <v>8.9427420186201465E-4</v>
      </c>
    </row>
    <row r="561" spans="1:36" s="160" customFormat="1">
      <c r="A561" s="153" t="s">
        <v>1213</v>
      </c>
      <c r="B561" s="160">
        <v>143</v>
      </c>
      <c r="C561" s="153" t="s">
        <v>2644</v>
      </c>
      <c r="D561" s="153" t="s">
        <v>2645</v>
      </c>
      <c r="E561" s="153" t="s">
        <v>80</v>
      </c>
      <c r="F561" s="153" t="s">
        <v>2687</v>
      </c>
      <c r="G561" s="153" t="s">
        <v>2688</v>
      </c>
      <c r="H561" s="153" t="s">
        <v>321</v>
      </c>
      <c r="I561" s="153" t="s">
        <v>755</v>
      </c>
      <c r="J561" s="153" t="s">
        <v>205</v>
      </c>
      <c r="K561" s="153" t="s">
        <v>297</v>
      </c>
      <c r="L561" s="153" t="s">
        <v>325</v>
      </c>
      <c r="M561" s="153" t="s">
        <v>314</v>
      </c>
      <c r="N561" s="153" t="s">
        <v>486</v>
      </c>
      <c r="O561" s="153" t="s">
        <v>339</v>
      </c>
      <c r="P561" s="153" t="s">
        <v>2070</v>
      </c>
      <c r="Q561" s="153" t="s">
        <v>431</v>
      </c>
      <c r="R561" s="153" t="s">
        <v>407</v>
      </c>
      <c r="S561" s="153" t="s">
        <v>1216</v>
      </c>
      <c r="T561" s="154">
        <v>4.9980000000000002</v>
      </c>
      <c r="U561" s="153" t="s">
        <v>2689</v>
      </c>
      <c r="V561" s="155">
        <v>5.9499999999999997E-2</v>
      </c>
      <c r="W561" s="155">
        <v>8.7419999999999998E-2</v>
      </c>
      <c r="X561" s="153" t="s">
        <v>412</v>
      </c>
      <c r="Y561" s="153" t="s">
        <v>339</v>
      </c>
      <c r="Z561" s="154">
        <v>703371.78</v>
      </c>
      <c r="AA561" s="154">
        <v>3.71</v>
      </c>
      <c r="AB561" s="154">
        <f>(AD561-(AC561*AA561))*1000/AA561/Z561*100</f>
        <v>87.484723533101814</v>
      </c>
      <c r="AD561" s="154">
        <v>2282.922</v>
      </c>
      <c r="AG561" s="157" t="s">
        <v>15</v>
      </c>
      <c r="AH561" s="155">
        <v>1.9000000000000001E-4</v>
      </c>
      <c r="AI561" s="155">
        <f t="shared" si="8"/>
        <v>6.0540636490310253E-3</v>
      </c>
      <c r="AJ561" s="155">
        <v>8.1426811070189941E-4</v>
      </c>
    </row>
    <row r="562" spans="1:36" s="160" customFormat="1">
      <c r="A562" s="153" t="s">
        <v>1213</v>
      </c>
      <c r="B562" s="160">
        <v>143</v>
      </c>
      <c r="C562" s="153" t="s">
        <v>2644</v>
      </c>
      <c r="D562" s="153" t="s">
        <v>2645</v>
      </c>
      <c r="E562" s="153" t="s">
        <v>80</v>
      </c>
      <c r="F562" s="153" t="s">
        <v>2646</v>
      </c>
      <c r="G562" s="153" t="s">
        <v>2647</v>
      </c>
      <c r="H562" s="153" t="s">
        <v>321</v>
      </c>
      <c r="I562" s="153" t="s">
        <v>755</v>
      </c>
      <c r="J562" s="153" t="s">
        <v>205</v>
      </c>
      <c r="K562" s="153" t="s">
        <v>297</v>
      </c>
      <c r="L562" s="153" t="s">
        <v>325</v>
      </c>
      <c r="M562" s="153" t="s">
        <v>314</v>
      </c>
      <c r="N562" s="153" t="s">
        <v>486</v>
      </c>
      <c r="O562" s="153" t="s">
        <v>339</v>
      </c>
      <c r="P562" s="153" t="s">
        <v>2070</v>
      </c>
      <c r="Q562" s="153" t="s">
        <v>431</v>
      </c>
      <c r="R562" s="153" t="s">
        <v>407</v>
      </c>
      <c r="S562" s="153" t="s">
        <v>1216</v>
      </c>
      <c r="T562" s="154">
        <v>1.2310000000000001</v>
      </c>
      <c r="U562" s="153" t="s">
        <v>2648</v>
      </c>
      <c r="V562" s="155">
        <v>4.4999999999999998E-2</v>
      </c>
      <c r="W562" s="155">
        <v>7.1459999999999996E-2</v>
      </c>
      <c r="X562" s="153" t="s">
        <v>412</v>
      </c>
      <c r="Y562" s="153" t="s">
        <v>339</v>
      </c>
      <c r="Z562" s="154">
        <v>575000</v>
      </c>
      <c r="AA562" s="154">
        <v>3.71</v>
      </c>
      <c r="AB562" s="154">
        <f>(AD562-(AC562*AA562))*1000/AA562/Z562*100</f>
        <v>97.54651353568498</v>
      </c>
      <c r="AD562" s="154">
        <v>2080.9110000000001</v>
      </c>
      <c r="AG562" s="157" t="s">
        <v>15</v>
      </c>
      <c r="AH562" s="155">
        <v>5.1000000000000004E-4</v>
      </c>
      <c r="AI562" s="155">
        <f t="shared" si="8"/>
        <v>5.5183522003681247E-3</v>
      </c>
      <c r="AJ562" s="155">
        <v>7.4221522614824342E-4</v>
      </c>
    </row>
    <row r="563" spans="1:36" s="160" customFormat="1">
      <c r="A563" s="153" t="s">
        <v>1213</v>
      </c>
      <c r="B563" s="160">
        <v>14425</v>
      </c>
      <c r="C563" s="153" t="s">
        <v>1573</v>
      </c>
      <c r="D563" s="153" t="s">
        <v>1574</v>
      </c>
      <c r="E563" s="153" t="s">
        <v>309</v>
      </c>
      <c r="F563" s="153" t="s">
        <v>2696</v>
      </c>
      <c r="G563" s="153" t="s">
        <v>2697</v>
      </c>
      <c r="H563" s="153" t="s">
        <v>321</v>
      </c>
      <c r="I563" s="153" t="s">
        <v>754</v>
      </c>
      <c r="J563" s="153" t="s">
        <v>204</v>
      </c>
      <c r="K563" s="153" t="s">
        <v>204</v>
      </c>
      <c r="L563" s="153" t="s">
        <v>325</v>
      </c>
      <c r="M563" s="153" t="s">
        <v>340</v>
      </c>
      <c r="N563" s="153" t="s">
        <v>448</v>
      </c>
      <c r="O563" s="153" t="s">
        <v>339</v>
      </c>
      <c r="P563" s="153" t="s">
        <v>1215</v>
      </c>
      <c r="Q563" s="153" t="s">
        <v>413</v>
      </c>
      <c r="R563" s="153" t="s">
        <v>407</v>
      </c>
      <c r="S563" s="153" t="s">
        <v>1212</v>
      </c>
      <c r="T563" s="154">
        <v>2.58</v>
      </c>
      <c r="U563" s="153" t="s">
        <v>1561</v>
      </c>
      <c r="V563" s="155">
        <v>1.3979999999999999E-2</v>
      </c>
      <c r="W563" s="155">
        <v>2.2599999999999999E-2</v>
      </c>
      <c r="X563" s="153" t="s">
        <v>412</v>
      </c>
      <c r="Y563" s="153" t="s">
        <v>339</v>
      </c>
      <c r="Z563" s="154">
        <v>2482872</v>
      </c>
      <c r="AA563" s="154">
        <v>1</v>
      </c>
      <c r="AB563" s="154">
        <v>102.67</v>
      </c>
      <c r="AD563" s="154">
        <v>2549.165</v>
      </c>
      <c r="AG563" s="157" t="s">
        <v>15</v>
      </c>
      <c r="AH563" s="155">
        <v>1.34E-3</v>
      </c>
      <c r="AI563" s="155">
        <f t="shared" si="8"/>
        <v>6.0905455215395074E-2</v>
      </c>
      <c r="AJ563" s="155">
        <v>6.7742264704007127E-3</v>
      </c>
    </row>
    <row r="564" spans="1:36" s="160" customFormat="1">
      <c r="A564" s="153" t="s">
        <v>1213</v>
      </c>
      <c r="B564" s="160">
        <v>14425</v>
      </c>
      <c r="C564" s="153" t="s">
        <v>1600</v>
      </c>
      <c r="D564" s="153" t="s">
        <v>1601</v>
      </c>
      <c r="E564" s="153" t="s">
        <v>309</v>
      </c>
      <c r="F564" s="153" t="s">
        <v>1954</v>
      </c>
      <c r="G564" s="153" t="s">
        <v>1955</v>
      </c>
      <c r="H564" s="153" t="s">
        <v>321</v>
      </c>
      <c r="I564" s="153" t="s">
        <v>754</v>
      </c>
      <c r="J564" s="153" t="s">
        <v>204</v>
      </c>
      <c r="K564" s="153" t="s">
        <v>204</v>
      </c>
      <c r="L564" s="153" t="s">
        <v>325</v>
      </c>
      <c r="M564" s="153" t="s">
        <v>340</v>
      </c>
      <c r="N564" s="153" t="s">
        <v>448</v>
      </c>
      <c r="O564" s="153" t="s">
        <v>339</v>
      </c>
      <c r="P564" s="153" t="s">
        <v>1215</v>
      </c>
      <c r="Q564" s="153" t="s">
        <v>413</v>
      </c>
      <c r="R564" s="153" t="s">
        <v>407</v>
      </c>
      <c r="S564" s="153" t="s">
        <v>1212</v>
      </c>
      <c r="T564" s="154">
        <v>3.02</v>
      </c>
      <c r="U564" s="153" t="s">
        <v>1956</v>
      </c>
      <c r="V564" s="155">
        <v>1.9789999999999999E-2</v>
      </c>
      <c r="W564" s="155">
        <v>2.35E-2</v>
      </c>
      <c r="X564" s="153" t="s">
        <v>412</v>
      </c>
      <c r="Y564" s="153" t="s">
        <v>339</v>
      </c>
      <c r="Z564" s="154">
        <v>2090127</v>
      </c>
      <c r="AA564" s="154">
        <v>1</v>
      </c>
      <c r="AB564" s="154">
        <v>114.28</v>
      </c>
      <c r="AD564" s="154">
        <v>2388.5970000000002</v>
      </c>
      <c r="AG564" s="157" t="s">
        <v>15</v>
      </c>
      <c r="AH564" s="155">
        <v>8.0000000000000004E-4</v>
      </c>
      <c r="AI564" s="155">
        <f t="shared" si="8"/>
        <v>5.7069113851448236E-2</v>
      </c>
      <c r="AJ564" s="155">
        <v>6.347528317907916E-3</v>
      </c>
    </row>
    <row r="565" spans="1:36" s="160" customFormat="1">
      <c r="A565" s="153" t="s">
        <v>1213</v>
      </c>
      <c r="B565" s="160">
        <v>14425</v>
      </c>
      <c r="C565" s="153" t="s">
        <v>1512</v>
      </c>
      <c r="D565" s="153" t="s">
        <v>1513</v>
      </c>
      <c r="E565" s="153" t="s">
        <v>309</v>
      </c>
      <c r="F565" s="153" t="s">
        <v>1898</v>
      </c>
      <c r="G565" s="153" t="s">
        <v>1899</v>
      </c>
      <c r="H565" s="153" t="s">
        <v>321</v>
      </c>
      <c r="I565" s="153" t="s">
        <v>754</v>
      </c>
      <c r="J565" s="153" t="s">
        <v>204</v>
      </c>
      <c r="K565" s="153" t="s">
        <v>204</v>
      </c>
      <c r="L565" s="153" t="s">
        <v>325</v>
      </c>
      <c r="M565" s="153" t="s">
        <v>340</v>
      </c>
      <c r="N565" s="153" t="s">
        <v>448</v>
      </c>
      <c r="O565" s="153" t="s">
        <v>339</v>
      </c>
      <c r="P565" s="153" t="s">
        <v>1215</v>
      </c>
      <c r="Q565" s="153" t="s">
        <v>413</v>
      </c>
      <c r="R565" s="153" t="s">
        <v>407</v>
      </c>
      <c r="S565" s="153" t="s">
        <v>1212</v>
      </c>
      <c r="T565" s="154">
        <v>3.43</v>
      </c>
      <c r="U565" s="153" t="s">
        <v>1900</v>
      </c>
      <c r="V565" s="155">
        <v>1.822E-2</v>
      </c>
      <c r="W565" s="155">
        <v>2.4799999999999999E-2</v>
      </c>
      <c r="X565" s="153" t="s">
        <v>412</v>
      </c>
      <c r="Y565" s="153" t="s">
        <v>339</v>
      </c>
      <c r="Z565" s="154">
        <v>1471338.77</v>
      </c>
      <c r="AA565" s="154">
        <v>1</v>
      </c>
      <c r="AB565" s="154">
        <v>102.63</v>
      </c>
      <c r="AD565" s="154">
        <v>1510.0350000000001</v>
      </c>
      <c r="AG565" s="157" t="s">
        <v>15</v>
      </c>
      <c r="AH565" s="155">
        <v>5.6999999999999998E-4</v>
      </c>
      <c r="AI565" s="155">
        <f t="shared" si="8"/>
        <v>3.6078233094436453E-2</v>
      </c>
      <c r="AJ565" s="155">
        <v>4.0128116729327215E-3</v>
      </c>
    </row>
    <row r="566" spans="1:36" s="160" customFormat="1">
      <c r="A566" s="153" t="s">
        <v>1213</v>
      </c>
      <c r="B566" s="160">
        <v>14425</v>
      </c>
      <c r="C566" s="153" t="s">
        <v>455</v>
      </c>
      <c r="D566" s="153" t="s">
        <v>2106</v>
      </c>
      <c r="E566" s="153" t="s">
        <v>309</v>
      </c>
      <c r="F566" s="153" t="s">
        <v>2160</v>
      </c>
      <c r="G566" s="153" t="s">
        <v>2161</v>
      </c>
      <c r="H566" s="153" t="s">
        <v>321</v>
      </c>
      <c r="I566" s="153" t="s">
        <v>754</v>
      </c>
      <c r="J566" s="153" t="s">
        <v>204</v>
      </c>
      <c r="K566" s="153" t="s">
        <v>204</v>
      </c>
      <c r="L566" s="153" t="s">
        <v>325</v>
      </c>
      <c r="M566" s="153" t="s">
        <v>340</v>
      </c>
      <c r="N566" s="153" t="s">
        <v>440</v>
      </c>
      <c r="O566" s="153" t="s">
        <v>339</v>
      </c>
      <c r="P566" s="153" t="s">
        <v>1923</v>
      </c>
      <c r="Q566" s="153" t="s">
        <v>415</v>
      </c>
      <c r="R566" s="153" t="s">
        <v>407</v>
      </c>
      <c r="S566" s="153" t="s">
        <v>1212</v>
      </c>
      <c r="T566" s="154">
        <v>0.9</v>
      </c>
      <c r="U566" s="153" t="s">
        <v>2162</v>
      </c>
      <c r="V566" s="155">
        <v>1.7670000000000002E-2</v>
      </c>
      <c r="W566" s="155">
        <v>2.6100000000000002E-2</v>
      </c>
      <c r="X566" s="153" t="s">
        <v>412</v>
      </c>
      <c r="Y566" s="153" t="s">
        <v>339</v>
      </c>
      <c r="Z566" s="154">
        <v>1250833</v>
      </c>
      <c r="AA566" s="154">
        <v>1</v>
      </c>
      <c r="AB566" s="154">
        <v>119.4</v>
      </c>
      <c r="AD566" s="154">
        <v>1493.4949999999999</v>
      </c>
      <c r="AG566" s="157" t="s">
        <v>15</v>
      </c>
      <c r="AH566" s="155">
        <v>4.2000000000000002E-4</v>
      </c>
      <c r="AI566" s="155">
        <f t="shared" si="8"/>
        <v>3.5683054191045484E-2</v>
      </c>
      <c r="AJ566" s="155">
        <v>3.9688577877113138E-3</v>
      </c>
    </row>
    <row r="567" spans="1:36" s="160" customFormat="1">
      <c r="A567" s="153" t="s">
        <v>1213</v>
      </c>
      <c r="B567" s="160">
        <v>14425</v>
      </c>
      <c r="C567" s="153" t="s">
        <v>2136</v>
      </c>
      <c r="D567" s="153" t="s">
        <v>2137</v>
      </c>
      <c r="E567" s="153" t="s">
        <v>309</v>
      </c>
      <c r="F567" s="153" t="s">
        <v>2698</v>
      </c>
      <c r="G567" s="153" t="s">
        <v>2699</v>
      </c>
      <c r="H567" s="153" t="s">
        <v>321</v>
      </c>
      <c r="I567" s="153" t="s">
        <v>754</v>
      </c>
      <c r="J567" s="153" t="s">
        <v>204</v>
      </c>
      <c r="K567" s="153" t="s">
        <v>204</v>
      </c>
      <c r="L567" s="153" t="s">
        <v>325</v>
      </c>
      <c r="M567" s="153" t="s">
        <v>340</v>
      </c>
      <c r="N567" s="153" t="s">
        <v>440</v>
      </c>
      <c r="O567" s="153" t="s">
        <v>339</v>
      </c>
      <c r="P567" s="153" t="s">
        <v>1566</v>
      </c>
      <c r="Q567" s="153" t="s">
        <v>413</v>
      </c>
      <c r="R567" s="153" t="s">
        <v>407</v>
      </c>
      <c r="S567" s="153" t="s">
        <v>1212</v>
      </c>
      <c r="T567" s="154">
        <v>3.07</v>
      </c>
      <c r="U567" s="153" t="s">
        <v>2700</v>
      </c>
      <c r="V567" s="155">
        <v>2.0219999999999998E-2</v>
      </c>
      <c r="W567" s="155">
        <v>2.5999999999999999E-2</v>
      </c>
      <c r="X567" s="153" t="s">
        <v>412</v>
      </c>
      <c r="Y567" s="153" t="s">
        <v>339</v>
      </c>
      <c r="Z567" s="154">
        <v>1038595.4</v>
      </c>
      <c r="AA567" s="154">
        <v>1</v>
      </c>
      <c r="AB567" s="154">
        <v>111.75</v>
      </c>
      <c r="AD567" s="154">
        <v>1160.6300000000001</v>
      </c>
      <c r="AG567" s="157" t="s">
        <v>15</v>
      </c>
      <c r="AH567" s="155">
        <v>9.3000000000000005E-4</v>
      </c>
      <c r="AI567" s="155">
        <f t="shared" si="8"/>
        <v>2.7730138491091787E-2</v>
      </c>
      <c r="AJ567" s="155">
        <v>3.0842924912044454E-3</v>
      </c>
    </row>
    <row r="568" spans="1:36" s="160" customFormat="1">
      <c r="A568" s="153" t="s">
        <v>1213</v>
      </c>
      <c r="B568" s="160">
        <v>14425</v>
      </c>
      <c r="C568" s="153" t="s">
        <v>2361</v>
      </c>
      <c r="D568" s="153" t="s">
        <v>2362</v>
      </c>
      <c r="E568" s="153" t="s">
        <v>309</v>
      </c>
      <c r="F568" s="153" t="s">
        <v>2363</v>
      </c>
      <c r="G568" s="153" t="s">
        <v>2364</v>
      </c>
      <c r="H568" s="153" t="s">
        <v>321</v>
      </c>
      <c r="I568" s="153" t="s">
        <v>951</v>
      </c>
      <c r="J568" s="153" t="s">
        <v>204</v>
      </c>
      <c r="K568" s="153" t="s">
        <v>204</v>
      </c>
      <c r="L568" s="153" t="s">
        <v>325</v>
      </c>
      <c r="M568" s="153" t="s">
        <v>340</v>
      </c>
      <c r="N568" s="153" t="s">
        <v>446</v>
      </c>
      <c r="O568" s="153" t="s">
        <v>339</v>
      </c>
      <c r="P568" s="153" t="s">
        <v>1538</v>
      </c>
      <c r="Q568" s="153" t="s">
        <v>413</v>
      </c>
      <c r="R568" s="153" t="s">
        <v>407</v>
      </c>
      <c r="S568" s="153" t="s">
        <v>1212</v>
      </c>
      <c r="T568" s="154">
        <v>2.62</v>
      </c>
      <c r="U568" s="153" t="s">
        <v>1587</v>
      </c>
      <c r="V568" s="155">
        <v>4.7160000000000001E-2</v>
      </c>
      <c r="W568" s="155">
        <v>5.2200000000000003E-2</v>
      </c>
      <c r="X568" s="153" t="s">
        <v>412</v>
      </c>
      <c r="Y568" s="153" t="s">
        <v>339</v>
      </c>
      <c r="Z568" s="154">
        <v>1239767.5</v>
      </c>
      <c r="AA568" s="154">
        <v>1</v>
      </c>
      <c r="AB568" s="154">
        <v>90.15</v>
      </c>
      <c r="AD568" s="154">
        <v>1117.6500000000001</v>
      </c>
      <c r="AG568" s="157" t="s">
        <v>15</v>
      </c>
      <c r="AH568" s="155">
        <v>1.32E-3</v>
      </c>
      <c r="AI568" s="155">
        <f t="shared" si="8"/>
        <v>2.6703246757854557E-2</v>
      </c>
      <c r="AJ568" s="155">
        <v>2.9700761679386611E-3</v>
      </c>
    </row>
    <row r="569" spans="1:36" s="160" customFormat="1">
      <c r="A569" s="153" t="s">
        <v>1213</v>
      </c>
      <c r="B569" s="160">
        <v>14425</v>
      </c>
      <c r="C569" s="153" t="s">
        <v>455</v>
      </c>
      <c r="D569" s="153" t="s">
        <v>2106</v>
      </c>
      <c r="E569" s="153" t="s">
        <v>309</v>
      </c>
      <c r="F569" s="153" t="s">
        <v>2289</v>
      </c>
      <c r="G569" s="153" t="s">
        <v>2290</v>
      </c>
      <c r="H569" s="153" t="s">
        <v>321</v>
      </c>
      <c r="I569" s="153" t="s">
        <v>754</v>
      </c>
      <c r="J569" s="153" t="s">
        <v>204</v>
      </c>
      <c r="K569" s="153" t="s">
        <v>204</v>
      </c>
      <c r="L569" s="153" t="s">
        <v>325</v>
      </c>
      <c r="M569" s="153" t="s">
        <v>340</v>
      </c>
      <c r="N569" s="153" t="s">
        <v>440</v>
      </c>
      <c r="O569" s="153" t="s">
        <v>339</v>
      </c>
      <c r="P569" s="153" t="s">
        <v>1923</v>
      </c>
      <c r="Q569" s="153" t="s">
        <v>415</v>
      </c>
      <c r="R569" s="153" t="s">
        <v>407</v>
      </c>
      <c r="S569" s="153" t="s">
        <v>1212</v>
      </c>
      <c r="T569" s="154">
        <v>3.44</v>
      </c>
      <c r="U569" s="153" t="s">
        <v>2291</v>
      </c>
      <c r="V569" s="155">
        <v>2.291E-2</v>
      </c>
      <c r="W569" s="155">
        <v>2.5700000000000001E-2</v>
      </c>
      <c r="X569" s="153" t="s">
        <v>412</v>
      </c>
      <c r="Y569" s="153" t="s">
        <v>339</v>
      </c>
      <c r="Z569" s="154">
        <v>855592.02</v>
      </c>
      <c r="AA569" s="154">
        <v>1</v>
      </c>
      <c r="AB569" s="154">
        <v>121.2</v>
      </c>
      <c r="AC569" s="154">
        <v>19.126999999999999</v>
      </c>
      <c r="AD569" s="154">
        <v>1056.105</v>
      </c>
      <c r="AG569" s="157" t="s">
        <v>15</v>
      </c>
      <c r="AH569" s="155">
        <v>3.3E-4</v>
      </c>
      <c r="AI569" s="155">
        <f t="shared" si="8"/>
        <v>2.5232794181724142E-2</v>
      </c>
      <c r="AJ569" s="155">
        <v>2.8065246645558625E-3</v>
      </c>
    </row>
    <row r="570" spans="1:36" s="160" customFormat="1">
      <c r="A570" s="153" t="s">
        <v>1213</v>
      </c>
      <c r="B570" s="160">
        <v>14425</v>
      </c>
      <c r="C570" s="153" t="s">
        <v>1600</v>
      </c>
      <c r="D570" s="153" t="s">
        <v>1601</v>
      </c>
      <c r="E570" s="153" t="s">
        <v>309</v>
      </c>
      <c r="F570" s="153" t="s">
        <v>2701</v>
      </c>
      <c r="G570" s="153" t="s">
        <v>2702</v>
      </c>
      <c r="H570" s="153" t="s">
        <v>321</v>
      </c>
      <c r="I570" s="153" t="s">
        <v>754</v>
      </c>
      <c r="J570" s="153" t="s">
        <v>204</v>
      </c>
      <c r="K570" s="153" t="s">
        <v>204</v>
      </c>
      <c r="L570" s="153" t="s">
        <v>325</v>
      </c>
      <c r="M570" s="153" t="s">
        <v>340</v>
      </c>
      <c r="N570" s="153" t="s">
        <v>448</v>
      </c>
      <c r="O570" s="153" t="s">
        <v>339</v>
      </c>
      <c r="P570" s="153" t="s">
        <v>1566</v>
      </c>
      <c r="Q570" s="153" t="s">
        <v>413</v>
      </c>
      <c r="R570" s="153" t="s">
        <v>407</v>
      </c>
      <c r="S570" s="153" t="s">
        <v>1212</v>
      </c>
      <c r="T570" s="154">
        <v>4.68</v>
      </c>
      <c r="U570" s="153" t="s">
        <v>2703</v>
      </c>
      <c r="V570" s="155">
        <v>3.7100000000000001E-2</v>
      </c>
      <c r="W570" s="155">
        <v>3.1600000000000003E-2</v>
      </c>
      <c r="X570" s="153" t="s">
        <v>411</v>
      </c>
      <c r="Y570" s="153" t="s">
        <v>339</v>
      </c>
      <c r="Z570" s="154">
        <v>950000</v>
      </c>
      <c r="AA570" s="154">
        <v>1</v>
      </c>
      <c r="AB570" s="154">
        <v>108.99</v>
      </c>
      <c r="AD570" s="154">
        <v>1035.405</v>
      </c>
      <c r="AG570" s="157" t="s">
        <v>15</v>
      </c>
      <c r="AH570" s="155">
        <v>2.47E-3</v>
      </c>
      <c r="AI570" s="155">
        <f t="shared" si="8"/>
        <v>2.4738223244590341E-2</v>
      </c>
      <c r="AJ570" s="155">
        <v>2.7515158722896515E-3</v>
      </c>
    </row>
    <row r="571" spans="1:36" s="160" customFormat="1">
      <c r="A571" s="153" t="s">
        <v>1213</v>
      </c>
      <c r="B571" s="160">
        <v>14425</v>
      </c>
      <c r="C571" s="153" t="s">
        <v>2454</v>
      </c>
      <c r="D571" s="153" t="s">
        <v>2455</v>
      </c>
      <c r="E571" s="153" t="s">
        <v>309</v>
      </c>
      <c r="F571" s="153" t="s">
        <v>2456</v>
      </c>
      <c r="G571" s="153" t="s">
        <v>2457</v>
      </c>
      <c r="H571" s="153" t="s">
        <v>321</v>
      </c>
      <c r="I571" s="153" t="s">
        <v>951</v>
      </c>
      <c r="J571" s="153" t="s">
        <v>204</v>
      </c>
      <c r="K571" s="153" t="s">
        <v>204</v>
      </c>
      <c r="L571" s="153" t="s">
        <v>325</v>
      </c>
      <c r="M571" s="153" t="s">
        <v>340</v>
      </c>
      <c r="N571" s="153" t="s">
        <v>478</v>
      </c>
      <c r="O571" s="153" t="s">
        <v>339</v>
      </c>
      <c r="P571" s="153" t="s">
        <v>2011</v>
      </c>
      <c r="Q571" s="153" t="s">
        <v>415</v>
      </c>
      <c r="R571" s="153" t="s">
        <v>407</v>
      </c>
      <c r="S571" s="153" t="s">
        <v>1212</v>
      </c>
      <c r="T571" s="154">
        <v>2.5499999999999998</v>
      </c>
      <c r="U571" s="153" t="s">
        <v>1851</v>
      </c>
      <c r="V571" s="155">
        <v>4.2009999999999999E-2</v>
      </c>
      <c r="W571" s="155">
        <v>5.1299999999999998E-2</v>
      </c>
      <c r="X571" s="153" t="s">
        <v>412</v>
      </c>
      <c r="Y571" s="153" t="s">
        <v>339</v>
      </c>
      <c r="Z571" s="154">
        <v>1011020</v>
      </c>
      <c r="AA571" s="154">
        <v>1</v>
      </c>
      <c r="AB571" s="154">
        <v>98.54</v>
      </c>
      <c r="AD571" s="154">
        <v>996.25900000000001</v>
      </c>
      <c r="AG571" s="157" t="s">
        <v>15</v>
      </c>
      <c r="AH571" s="155">
        <v>3.5999999999999999E-3</v>
      </c>
      <c r="AI571" s="155">
        <f t="shared" si="8"/>
        <v>2.3802934650143982E-2</v>
      </c>
      <c r="AJ571" s="155">
        <v>2.647488134026218E-3</v>
      </c>
    </row>
    <row r="572" spans="1:36" s="160" customFormat="1">
      <c r="A572" s="153" t="s">
        <v>1213</v>
      </c>
      <c r="B572" s="160">
        <v>14425</v>
      </c>
      <c r="C572" s="153" t="s">
        <v>2566</v>
      </c>
      <c r="D572" s="153" t="s">
        <v>2567</v>
      </c>
      <c r="E572" s="153" t="s">
        <v>309</v>
      </c>
      <c r="F572" s="153" t="s">
        <v>2568</v>
      </c>
      <c r="G572" s="153" t="s">
        <v>2569</v>
      </c>
      <c r="H572" s="153" t="s">
        <v>321</v>
      </c>
      <c r="I572" s="153" t="s">
        <v>951</v>
      </c>
      <c r="J572" s="153" t="s">
        <v>204</v>
      </c>
      <c r="K572" s="153" t="s">
        <v>204</v>
      </c>
      <c r="L572" s="153" t="s">
        <v>325</v>
      </c>
      <c r="M572" s="153" t="s">
        <v>340</v>
      </c>
      <c r="N572" s="153" t="s">
        <v>476</v>
      </c>
      <c r="O572" s="153" t="s">
        <v>339</v>
      </c>
      <c r="P572" s="153" t="s">
        <v>1982</v>
      </c>
      <c r="Q572" s="153" t="s">
        <v>415</v>
      </c>
      <c r="R572" s="153" t="s">
        <v>407</v>
      </c>
      <c r="S572" s="153" t="s">
        <v>1212</v>
      </c>
      <c r="T572" s="154">
        <v>2.62</v>
      </c>
      <c r="U572" s="153" t="s">
        <v>2570</v>
      </c>
      <c r="V572" s="155">
        <v>3.023E-2</v>
      </c>
      <c r="W572" s="155">
        <v>5.2900000000000003E-2</v>
      </c>
      <c r="X572" s="153" t="s">
        <v>412</v>
      </c>
      <c r="Y572" s="153" t="s">
        <v>339</v>
      </c>
      <c r="Z572" s="154">
        <v>999970.84</v>
      </c>
      <c r="AA572" s="154">
        <v>1</v>
      </c>
      <c r="AB572" s="154">
        <v>97.79</v>
      </c>
      <c r="AD572" s="154">
        <v>977.87099999999998</v>
      </c>
      <c r="AG572" s="157" t="s">
        <v>15</v>
      </c>
      <c r="AH572" s="155">
        <v>2.6800000000000001E-3</v>
      </c>
      <c r="AI572" s="155">
        <f t="shared" si="8"/>
        <v>2.3363602747148025E-2</v>
      </c>
      <c r="AJ572" s="155">
        <v>2.5986233189445231E-3</v>
      </c>
    </row>
    <row r="573" spans="1:36" s="160" customFormat="1">
      <c r="A573" s="153" t="s">
        <v>1213</v>
      </c>
      <c r="B573" s="160">
        <v>14425</v>
      </c>
      <c r="C573" s="153" t="s">
        <v>1577</v>
      </c>
      <c r="D573" s="153" t="s">
        <v>1578</v>
      </c>
      <c r="E573" s="153" t="s">
        <v>309</v>
      </c>
      <c r="F573" s="153" t="s">
        <v>1579</v>
      </c>
      <c r="G573" s="153" t="s">
        <v>1580</v>
      </c>
      <c r="H573" s="153" t="s">
        <v>321</v>
      </c>
      <c r="I573" s="153" t="s">
        <v>754</v>
      </c>
      <c r="J573" s="153" t="s">
        <v>204</v>
      </c>
      <c r="K573" s="153" t="s">
        <v>204</v>
      </c>
      <c r="L573" s="153" t="s">
        <v>325</v>
      </c>
      <c r="M573" s="153" t="s">
        <v>340</v>
      </c>
      <c r="N573" s="153" t="s">
        <v>456</v>
      </c>
      <c r="O573" s="153" t="s">
        <v>339</v>
      </c>
      <c r="P573" s="153" t="s">
        <v>1566</v>
      </c>
      <c r="Q573" s="153" t="s">
        <v>413</v>
      </c>
      <c r="R573" s="153" t="s">
        <v>407</v>
      </c>
      <c r="S573" s="153" t="s">
        <v>1212</v>
      </c>
      <c r="T573" s="154">
        <v>5.0199999999999996</v>
      </c>
      <c r="U573" s="153" t="s">
        <v>1581</v>
      </c>
      <c r="V573" s="155">
        <v>2.989E-2</v>
      </c>
      <c r="W573" s="155">
        <v>5.1499999999999997E-2</v>
      </c>
      <c r="X573" s="153" t="s">
        <v>412</v>
      </c>
      <c r="Y573" s="153" t="s">
        <v>339</v>
      </c>
      <c r="Z573" s="154">
        <v>658468.43999999994</v>
      </c>
      <c r="AA573" s="154">
        <v>1</v>
      </c>
      <c r="AB573" s="154">
        <v>141.9</v>
      </c>
      <c r="AD573" s="154">
        <v>934.36699999999996</v>
      </c>
      <c r="AG573" s="157" t="s">
        <v>15</v>
      </c>
      <c r="AH573" s="155">
        <v>2.4000000000000001E-4</v>
      </c>
      <c r="AI573" s="155">
        <f t="shared" si="8"/>
        <v>2.2324191440429728E-2</v>
      </c>
      <c r="AJ573" s="155">
        <v>2.4830145025798262E-3</v>
      </c>
    </row>
    <row r="574" spans="1:36" s="160" customFormat="1">
      <c r="A574" s="153" t="s">
        <v>1213</v>
      </c>
      <c r="B574" s="160">
        <v>14425</v>
      </c>
      <c r="C574" s="153" t="s">
        <v>2250</v>
      </c>
      <c r="D574" s="153" t="s">
        <v>2251</v>
      </c>
      <c r="E574" s="153" t="s">
        <v>309</v>
      </c>
      <c r="F574" s="153" t="s">
        <v>2704</v>
      </c>
      <c r="G574" s="153" t="s">
        <v>2705</v>
      </c>
      <c r="H574" s="153" t="s">
        <v>321</v>
      </c>
      <c r="I574" s="153" t="s">
        <v>754</v>
      </c>
      <c r="J574" s="153" t="s">
        <v>204</v>
      </c>
      <c r="K574" s="153" t="s">
        <v>204</v>
      </c>
      <c r="L574" s="153" t="s">
        <v>325</v>
      </c>
      <c r="M574" s="153" t="s">
        <v>340</v>
      </c>
      <c r="N574" s="153" t="s">
        <v>448</v>
      </c>
      <c r="O574" s="153" t="s">
        <v>339</v>
      </c>
      <c r="P574" s="153" t="s">
        <v>1566</v>
      </c>
      <c r="Q574" s="153" t="s">
        <v>413</v>
      </c>
      <c r="R574" s="153" t="s">
        <v>407</v>
      </c>
      <c r="S574" s="153" t="s">
        <v>1212</v>
      </c>
      <c r="T574" s="154">
        <v>3.43</v>
      </c>
      <c r="U574" s="153" t="s">
        <v>1851</v>
      </c>
      <c r="V574" s="155">
        <v>2.707E-2</v>
      </c>
      <c r="W574" s="155">
        <v>2.98E-2</v>
      </c>
      <c r="X574" s="153" t="s">
        <v>411</v>
      </c>
      <c r="Y574" s="153" t="s">
        <v>339</v>
      </c>
      <c r="Z574" s="154">
        <v>887326</v>
      </c>
      <c r="AA574" s="154">
        <v>1</v>
      </c>
      <c r="AB574" s="154">
        <v>105.03</v>
      </c>
      <c r="AD574" s="154">
        <v>931.95799999999997</v>
      </c>
      <c r="AG574" s="157" t="s">
        <v>15</v>
      </c>
      <c r="AH574" s="155">
        <v>9.7999999999999997E-4</v>
      </c>
      <c r="AI574" s="155">
        <f t="shared" si="8"/>
        <v>2.2266634851658942E-2</v>
      </c>
      <c r="AJ574" s="155">
        <v>2.4766127547262368E-3</v>
      </c>
    </row>
    <row r="575" spans="1:36" s="160" customFormat="1">
      <c r="A575" s="153" t="s">
        <v>1213</v>
      </c>
      <c r="B575" s="160">
        <v>14425</v>
      </c>
      <c r="C575" s="153" t="s">
        <v>1573</v>
      </c>
      <c r="D575" s="153" t="s">
        <v>1574</v>
      </c>
      <c r="E575" s="153" t="s">
        <v>309</v>
      </c>
      <c r="F575" s="153" t="s">
        <v>1575</v>
      </c>
      <c r="G575" s="153" t="s">
        <v>1576</v>
      </c>
      <c r="H575" s="153" t="s">
        <v>321</v>
      </c>
      <c r="I575" s="153" t="s">
        <v>754</v>
      </c>
      <c r="J575" s="153" t="s">
        <v>204</v>
      </c>
      <c r="K575" s="153" t="s">
        <v>204</v>
      </c>
      <c r="L575" s="153" t="s">
        <v>325</v>
      </c>
      <c r="M575" s="153" t="s">
        <v>340</v>
      </c>
      <c r="N575" s="153" t="s">
        <v>448</v>
      </c>
      <c r="O575" s="153" t="s">
        <v>339</v>
      </c>
      <c r="P575" s="153" t="s">
        <v>1566</v>
      </c>
      <c r="Q575" s="153" t="s">
        <v>413</v>
      </c>
      <c r="R575" s="153" t="s">
        <v>407</v>
      </c>
      <c r="S575" s="153" t="s">
        <v>1212</v>
      </c>
      <c r="T575" s="154">
        <v>0.41</v>
      </c>
      <c r="U575" s="153" t="s">
        <v>1392</v>
      </c>
      <c r="V575" s="155">
        <v>2.4199999999999999E-2</v>
      </c>
      <c r="W575" s="155">
        <v>3.5900000000000001E-2</v>
      </c>
      <c r="X575" s="153" t="s">
        <v>411</v>
      </c>
      <c r="Y575" s="153" t="s">
        <v>339</v>
      </c>
      <c r="Z575" s="154">
        <v>750000</v>
      </c>
      <c r="AA575" s="154">
        <v>1</v>
      </c>
      <c r="AB575" s="154">
        <v>116.43</v>
      </c>
      <c r="AD575" s="154">
        <v>873.22500000000002</v>
      </c>
      <c r="AG575" s="157" t="s">
        <v>15</v>
      </c>
      <c r="AH575" s="155">
        <v>5.1999999999999995E-4</v>
      </c>
      <c r="AI575" s="155">
        <f t="shared" si="8"/>
        <v>2.0863367467568152E-2</v>
      </c>
      <c r="AJ575" s="155">
        <v>2.3205339433169932E-3</v>
      </c>
    </row>
    <row r="576" spans="1:36" s="160" customFormat="1">
      <c r="A576" s="153" t="s">
        <v>1213</v>
      </c>
      <c r="B576" s="160">
        <v>14425</v>
      </c>
      <c r="C576" s="153" t="s">
        <v>1600</v>
      </c>
      <c r="D576" s="153" t="s">
        <v>1601</v>
      </c>
      <c r="E576" s="153" t="s">
        <v>309</v>
      </c>
      <c r="F576" s="153" t="s">
        <v>2706</v>
      </c>
      <c r="G576" s="153" t="s">
        <v>2707</v>
      </c>
      <c r="H576" s="153" t="s">
        <v>321</v>
      </c>
      <c r="I576" s="153" t="s">
        <v>754</v>
      </c>
      <c r="J576" s="153" t="s">
        <v>204</v>
      </c>
      <c r="K576" s="153" t="s">
        <v>204</v>
      </c>
      <c r="L576" s="153" t="s">
        <v>325</v>
      </c>
      <c r="M576" s="153" t="s">
        <v>340</v>
      </c>
      <c r="N576" s="153" t="s">
        <v>448</v>
      </c>
      <c r="O576" s="153" t="s">
        <v>339</v>
      </c>
      <c r="P576" s="153" t="s">
        <v>1566</v>
      </c>
      <c r="Q576" s="153" t="s">
        <v>413</v>
      </c>
      <c r="R576" s="153" t="s">
        <v>407</v>
      </c>
      <c r="S576" s="153" t="s">
        <v>1212</v>
      </c>
      <c r="T576" s="154">
        <v>1.6</v>
      </c>
      <c r="U576" s="153" t="s">
        <v>2708</v>
      </c>
      <c r="V576" s="155">
        <v>2.6519999999999998E-2</v>
      </c>
      <c r="W576" s="155">
        <v>2.3800000000000002E-2</v>
      </c>
      <c r="X576" s="153" t="s">
        <v>411</v>
      </c>
      <c r="Y576" s="153" t="s">
        <v>339</v>
      </c>
      <c r="Z576" s="154">
        <v>742181</v>
      </c>
      <c r="AA576" s="154">
        <v>1</v>
      </c>
      <c r="AB576" s="154">
        <v>116.6</v>
      </c>
      <c r="AD576" s="154">
        <v>865.38300000000004</v>
      </c>
      <c r="AG576" s="157" t="s">
        <v>15</v>
      </c>
      <c r="AH576" s="155">
        <v>6.9999999999999999E-4</v>
      </c>
      <c r="AI576" s="155">
        <f t="shared" si="8"/>
        <v>2.0676003927036595E-2</v>
      </c>
      <c r="AJ576" s="155">
        <v>2.2996943805657071E-3</v>
      </c>
    </row>
    <row r="577" spans="1:36" s="160" customFormat="1">
      <c r="A577" s="153" t="s">
        <v>1213</v>
      </c>
      <c r="B577" s="160">
        <v>14425</v>
      </c>
      <c r="C577" s="153" t="s">
        <v>1904</v>
      </c>
      <c r="D577" s="153" t="s">
        <v>1905</v>
      </c>
      <c r="E577" s="153" t="s">
        <v>309</v>
      </c>
      <c r="F577" s="153" t="s">
        <v>1906</v>
      </c>
      <c r="G577" s="153" t="s">
        <v>1907</v>
      </c>
      <c r="H577" s="153" t="s">
        <v>321</v>
      </c>
      <c r="I577" s="153" t="s">
        <v>754</v>
      </c>
      <c r="J577" s="153" t="s">
        <v>204</v>
      </c>
      <c r="K577" s="153" t="s">
        <v>204</v>
      </c>
      <c r="L577" s="153" t="s">
        <v>325</v>
      </c>
      <c r="M577" s="153" t="s">
        <v>340</v>
      </c>
      <c r="N577" s="153" t="s">
        <v>448</v>
      </c>
      <c r="O577" s="153" t="s">
        <v>339</v>
      </c>
      <c r="P577" s="153" t="s">
        <v>1215</v>
      </c>
      <c r="Q577" s="153" t="s">
        <v>413</v>
      </c>
      <c r="R577" s="153" t="s">
        <v>407</v>
      </c>
      <c r="S577" s="153" t="s">
        <v>1212</v>
      </c>
      <c r="T577" s="154">
        <v>3.98</v>
      </c>
      <c r="U577" s="153" t="s">
        <v>1908</v>
      </c>
      <c r="V577" s="155">
        <v>2.7040000000000002E-2</v>
      </c>
      <c r="W577" s="155">
        <v>2.52E-2</v>
      </c>
      <c r="X577" s="153" t="s">
        <v>412</v>
      </c>
      <c r="Y577" s="153" t="s">
        <v>339</v>
      </c>
      <c r="Z577" s="154">
        <v>816283.56</v>
      </c>
      <c r="AA577" s="154">
        <v>1</v>
      </c>
      <c r="AB577" s="154">
        <v>102.6</v>
      </c>
      <c r="AD577" s="154">
        <v>837.50699999999995</v>
      </c>
      <c r="AG577" s="157" t="s">
        <v>15</v>
      </c>
      <c r="AH577" s="155">
        <v>2.2000000000000001E-4</v>
      </c>
      <c r="AI577" s="155">
        <f t="shared" si="8"/>
        <v>2.0009981731696411E-2</v>
      </c>
      <c r="AJ577" s="155">
        <v>2.2256158736472099E-3</v>
      </c>
    </row>
    <row r="578" spans="1:36" s="160" customFormat="1">
      <c r="A578" s="153" t="s">
        <v>1213</v>
      </c>
      <c r="B578" s="160">
        <v>14425</v>
      </c>
      <c r="C578" s="153" t="s">
        <v>1904</v>
      </c>
      <c r="D578" s="153" t="s">
        <v>1905</v>
      </c>
      <c r="E578" s="153" t="s">
        <v>309</v>
      </c>
      <c r="F578" s="153" t="s">
        <v>2709</v>
      </c>
      <c r="G578" s="153" t="s">
        <v>2710</v>
      </c>
      <c r="H578" s="153" t="s">
        <v>321</v>
      </c>
      <c r="I578" s="153" t="s">
        <v>754</v>
      </c>
      <c r="J578" s="153" t="s">
        <v>204</v>
      </c>
      <c r="K578" s="153" t="s">
        <v>204</v>
      </c>
      <c r="L578" s="153" t="s">
        <v>325</v>
      </c>
      <c r="M578" s="153" t="s">
        <v>340</v>
      </c>
      <c r="N578" s="153" t="s">
        <v>448</v>
      </c>
      <c r="O578" s="153" t="s">
        <v>339</v>
      </c>
      <c r="P578" s="153" t="s">
        <v>1566</v>
      </c>
      <c r="Q578" s="153" t="s">
        <v>413</v>
      </c>
      <c r="R578" s="153" t="s">
        <v>407</v>
      </c>
      <c r="S578" s="153" t="s">
        <v>1212</v>
      </c>
      <c r="T578" s="154">
        <v>1.06</v>
      </c>
      <c r="U578" s="153" t="s">
        <v>2711</v>
      </c>
      <c r="V578" s="155">
        <v>2.6120000000000001E-2</v>
      </c>
      <c r="W578" s="155">
        <v>2.9600000000000001E-2</v>
      </c>
      <c r="X578" s="153" t="s">
        <v>411</v>
      </c>
      <c r="Y578" s="153" t="s">
        <v>339</v>
      </c>
      <c r="Z578" s="154">
        <v>700366</v>
      </c>
      <c r="AA578" s="154">
        <v>1</v>
      </c>
      <c r="AB578" s="154">
        <v>114.39</v>
      </c>
      <c r="AD578" s="154">
        <v>801.149</v>
      </c>
      <c r="AG578" s="157" t="s">
        <v>15</v>
      </c>
      <c r="AH578" s="155">
        <v>5.2999999999999998E-4</v>
      </c>
      <c r="AI578" s="155">
        <f t="shared" si="8"/>
        <v>1.914130491371039E-2</v>
      </c>
      <c r="AJ578" s="155">
        <v>2.1289970490474572E-3</v>
      </c>
    </row>
    <row r="579" spans="1:36" s="160" customFormat="1">
      <c r="A579" s="153" t="s">
        <v>1213</v>
      </c>
      <c r="B579" s="160">
        <v>14425</v>
      </c>
      <c r="C579" s="153" t="s">
        <v>2436</v>
      </c>
      <c r="D579" s="153" t="s">
        <v>2437</v>
      </c>
      <c r="E579" s="153" t="s">
        <v>309</v>
      </c>
      <c r="F579" s="153" t="s">
        <v>2438</v>
      </c>
      <c r="G579" s="153" t="s">
        <v>2439</v>
      </c>
      <c r="H579" s="153" t="s">
        <v>321</v>
      </c>
      <c r="I579" s="153" t="s">
        <v>754</v>
      </c>
      <c r="J579" s="153" t="s">
        <v>204</v>
      </c>
      <c r="K579" s="153" t="s">
        <v>204</v>
      </c>
      <c r="L579" s="153" t="s">
        <v>325</v>
      </c>
      <c r="M579" s="153" t="s">
        <v>340</v>
      </c>
      <c r="N579" s="153" t="s">
        <v>475</v>
      </c>
      <c r="O579" s="153" t="s">
        <v>339</v>
      </c>
      <c r="P579" s="153" t="s">
        <v>1538</v>
      </c>
      <c r="Q579" s="153" t="s">
        <v>413</v>
      </c>
      <c r="R579" s="153" t="s">
        <v>407</v>
      </c>
      <c r="S579" s="153" t="s">
        <v>1212</v>
      </c>
      <c r="T579" s="154">
        <v>2.44</v>
      </c>
      <c r="U579" s="153" t="s">
        <v>2440</v>
      </c>
      <c r="V579" s="155">
        <v>1.966E-2</v>
      </c>
      <c r="W579" s="155">
        <v>2.3E-2</v>
      </c>
      <c r="X579" s="153" t="s">
        <v>412</v>
      </c>
      <c r="Y579" s="153" t="s">
        <v>339</v>
      </c>
      <c r="Z579" s="154">
        <v>498096.56</v>
      </c>
      <c r="AA579" s="154">
        <v>1</v>
      </c>
      <c r="AB579" s="154">
        <v>120.79</v>
      </c>
      <c r="AC579" s="154">
        <v>174.477</v>
      </c>
      <c r="AD579" s="154">
        <v>776.12800000000004</v>
      </c>
      <c r="AG579" s="157" t="s">
        <v>15</v>
      </c>
      <c r="AH579" s="155">
        <v>1.2199999999999999E-3</v>
      </c>
      <c r="AI579" s="155">
        <f t="shared" ref="AI579:AI642" si="9">AD579/SUMIF(B:B,B579,AD:AD)</f>
        <v>1.8543495279989389E-2</v>
      </c>
      <c r="AJ579" s="155">
        <v>2.0625055035743724E-3</v>
      </c>
    </row>
    <row r="580" spans="1:36" s="160" customFormat="1">
      <c r="A580" s="153" t="s">
        <v>1213</v>
      </c>
      <c r="B580" s="160">
        <v>14425</v>
      </c>
      <c r="C580" s="153" t="s">
        <v>2298</v>
      </c>
      <c r="D580" s="153" t="s">
        <v>2299</v>
      </c>
      <c r="E580" s="153" t="s">
        <v>309</v>
      </c>
      <c r="F580" s="153" t="s">
        <v>2712</v>
      </c>
      <c r="G580" s="153" t="s">
        <v>2713</v>
      </c>
      <c r="H580" s="153" t="s">
        <v>321</v>
      </c>
      <c r="I580" s="153" t="s">
        <v>951</v>
      </c>
      <c r="J580" s="153" t="s">
        <v>204</v>
      </c>
      <c r="K580" s="153" t="s">
        <v>204</v>
      </c>
      <c r="L580" s="153" t="s">
        <v>325</v>
      </c>
      <c r="M580" s="153" t="s">
        <v>340</v>
      </c>
      <c r="N580" s="153" t="s">
        <v>462</v>
      </c>
      <c r="O580" s="153" t="s">
        <v>339</v>
      </c>
      <c r="P580" s="153" t="s">
        <v>1566</v>
      </c>
      <c r="Q580" s="153" t="s">
        <v>413</v>
      </c>
      <c r="R580" s="153" t="s">
        <v>407</v>
      </c>
      <c r="S580" s="153" t="s">
        <v>1212</v>
      </c>
      <c r="T580" s="154">
        <v>3.09</v>
      </c>
      <c r="U580" s="153" t="s">
        <v>2714</v>
      </c>
      <c r="V580" s="155">
        <v>4.897E-2</v>
      </c>
      <c r="W580" s="155">
        <v>5.8900000000000001E-2</v>
      </c>
      <c r="X580" s="153" t="s">
        <v>412</v>
      </c>
      <c r="Y580" s="153" t="s">
        <v>339</v>
      </c>
      <c r="Z580" s="154">
        <v>779389</v>
      </c>
      <c r="AA580" s="154">
        <v>1</v>
      </c>
      <c r="AB580" s="154">
        <v>99.02</v>
      </c>
      <c r="AD580" s="154">
        <v>771.75099999999998</v>
      </c>
      <c r="AG580" s="157" t="s">
        <v>15</v>
      </c>
      <c r="AH580" s="155">
        <v>3.2599999999999999E-3</v>
      </c>
      <c r="AI580" s="155">
        <f t="shared" si="9"/>
        <v>1.8438918613717183E-2</v>
      </c>
      <c r="AJ580" s="155">
        <v>2.0508739343111254E-3</v>
      </c>
    </row>
    <row r="581" spans="1:36" s="160" customFormat="1">
      <c r="A581" s="153" t="s">
        <v>1213</v>
      </c>
      <c r="B581" s="160">
        <v>14425</v>
      </c>
      <c r="C581" s="153" t="s">
        <v>2404</v>
      </c>
      <c r="D581" s="153" t="s">
        <v>2405</v>
      </c>
      <c r="E581" s="153" t="s">
        <v>309</v>
      </c>
      <c r="F581" s="153" t="s">
        <v>2406</v>
      </c>
      <c r="G581" s="153" t="s">
        <v>2407</v>
      </c>
      <c r="H581" s="153" t="s">
        <v>321</v>
      </c>
      <c r="I581" s="153" t="s">
        <v>754</v>
      </c>
      <c r="J581" s="153" t="s">
        <v>204</v>
      </c>
      <c r="K581" s="153" t="s">
        <v>204</v>
      </c>
      <c r="L581" s="153" t="s">
        <v>325</v>
      </c>
      <c r="M581" s="153" t="s">
        <v>340</v>
      </c>
      <c r="N581" s="153" t="s">
        <v>440</v>
      </c>
      <c r="O581" s="153" t="s">
        <v>339</v>
      </c>
      <c r="P581" s="153" t="s">
        <v>1554</v>
      </c>
      <c r="Q581" s="153" t="s">
        <v>413</v>
      </c>
      <c r="R581" s="153" t="s">
        <v>407</v>
      </c>
      <c r="S581" s="153" t="s">
        <v>1212</v>
      </c>
      <c r="T581" s="154">
        <v>3.02</v>
      </c>
      <c r="U581" s="153" t="s">
        <v>1654</v>
      </c>
      <c r="V581" s="155">
        <v>3.7929999999999998E-2</v>
      </c>
      <c r="W581" s="155">
        <v>3.1E-2</v>
      </c>
      <c r="X581" s="153" t="s">
        <v>412</v>
      </c>
      <c r="Y581" s="153" t="s">
        <v>339</v>
      </c>
      <c r="Z581" s="154">
        <v>669909.73</v>
      </c>
      <c r="AA581" s="154">
        <v>1</v>
      </c>
      <c r="AB581" s="154">
        <v>113.65</v>
      </c>
      <c r="AD581" s="154">
        <v>761.35199999999998</v>
      </c>
      <c r="AG581" s="157" t="s">
        <v>15</v>
      </c>
      <c r="AH581" s="155">
        <v>8.4000000000000003E-4</v>
      </c>
      <c r="AI581" s="155">
        <f t="shared" si="9"/>
        <v>1.819046242167591E-2</v>
      </c>
      <c r="AJ581" s="155">
        <v>2.0232393241286944E-3</v>
      </c>
    </row>
    <row r="582" spans="1:36" s="160" customFormat="1">
      <c r="A582" s="153" t="s">
        <v>1213</v>
      </c>
      <c r="B582" s="160">
        <v>14425</v>
      </c>
      <c r="C582" s="153" t="s">
        <v>2228</v>
      </c>
      <c r="D582" s="153" t="s">
        <v>2229</v>
      </c>
      <c r="E582" s="153" t="s">
        <v>309</v>
      </c>
      <c r="F582" s="153" t="s">
        <v>2715</v>
      </c>
      <c r="G582" s="153" t="s">
        <v>2716</v>
      </c>
      <c r="H582" s="153" t="s">
        <v>321</v>
      </c>
      <c r="I582" s="153" t="s">
        <v>951</v>
      </c>
      <c r="J582" s="153" t="s">
        <v>204</v>
      </c>
      <c r="K582" s="153" t="s">
        <v>204</v>
      </c>
      <c r="L582" s="153" t="s">
        <v>325</v>
      </c>
      <c r="M582" s="153" t="s">
        <v>340</v>
      </c>
      <c r="N582" s="153" t="s">
        <v>441</v>
      </c>
      <c r="O582" s="153" t="s">
        <v>339</v>
      </c>
      <c r="P582" s="153" t="s">
        <v>1614</v>
      </c>
      <c r="Q582" s="153" t="s">
        <v>415</v>
      </c>
      <c r="R582" s="153" t="s">
        <v>407</v>
      </c>
      <c r="S582" s="153" t="s">
        <v>1212</v>
      </c>
      <c r="T582" s="154">
        <v>3.76</v>
      </c>
      <c r="U582" s="153" t="s">
        <v>2717</v>
      </c>
      <c r="V582" s="155">
        <v>5.8639999999999998E-2</v>
      </c>
      <c r="W582" s="155">
        <v>5.9900000000000002E-2</v>
      </c>
      <c r="X582" s="153" t="s">
        <v>412</v>
      </c>
      <c r="Y582" s="153" t="s">
        <v>339</v>
      </c>
      <c r="Z582" s="154">
        <v>860762</v>
      </c>
      <c r="AA582" s="154">
        <v>1</v>
      </c>
      <c r="AB582" s="154">
        <v>85.02</v>
      </c>
      <c r="AD582" s="154">
        <v>731.82</v>
      </c>
      <c r="AG582" s="157" t="s">
        <v>15</v>
      </c>
      <c r="AH582" s="155">
        <v>2.2300000000000002E-3</v>
      </c>
      <c r="AI582" s="155">
        <f t="shared" si="9"/>
        <v>1.7484874551365027E-2</v>
      </c>
      <c r="AJ582" s="155">
        <v>1.9447601138289008E-3</v>
      </c>
    </row>
    <row r="583" spans="1:36" s="160" customFormat="1">
      <c r="A583" s="153" t="s">
        <v>1213</v>
      </c>
      <c r="B583" s="160">
        <v>14425</v>
      </c>
      <c r="C583" s="153" t="s">
        <v>2373</v>
      </c>
      <c r="D583" s="153" t="s">
        <v>2374</v>
      </c>
      <c r="E583" s="153" t="s">
        <v>309</v>
      </c>
      <c r="F583" s="153" t="s">
        <v>2375</v>
      </c>
      <c r="G583" s="153" t="s">
        <v>2376</v>
      </c>
      <c r="H583" s="153" t="s">
        <v>321</v>
      </c>
      <c r="I583" s="153" t="s">
        <v>755</v>
      </c>
      <c r="J583" s="153" t="s">
        <v>204</v>
      </c>
      <c r="K583" s="153" t="s">
        <v>204</v>
      </c>
      <c r="L583" s="153" t="s">
        <v>325</v>
      </c>
      <c r="M583" s="153" t="s">
        <v>340</v>
      </c>
      <c r="N583" s="153" t="s">
        <v>454</v>
      </c>
      <c r="O583" s="153" t="s">
        <v>339</v>
      </c>
      <c r="P583" s="153" t="s">
        <v>1544</v>
      </c>
      <c r="Q583" s="153" t="s">
        <v>415</v>
      </c>
      <c r="R583" s="153" t="s">
        <v>407</v>
      </c>
      <c r="S583" s="153" t="s">
        <v>1212</v>
      </c>
      <c r="T583" s="154">
        <v>2.97</v>
      </c>
      <c r="U583" s="153" t="s">
        <v>2377</v>
      </c>
      <c r="V583" s="155">
        <v>7.9600000000000004E-2</v>
      </c>
      <c r="W583" s="155">
        <v>7.6100000000000001E-2</v>
      </c>
      <c r="X583" s="153" t="s">
        <v>412</v>
      </c>
      <c r="Y583" s="153" t="s">
        <v>339</v>
      </c>
      <c r="Z583" s="154">
        <v>719134.84</v>
      </c>
      <c r="AA583" s="154">
        <v>1</v>
      </c>
      <c r="AB583" s="154">
        <v>97.95</v>
      </c>
      <c r="AD583" s="154">
        <v>704.39300000000003</v>
      </c>
      <c r="AG583" s="157" t="s">
        <v>15</v>
      </c>
      <c r="AH583" s="155">
        <v>5.2999999999999998E-4</v>
      </c>
      <c r="AI583" s="155">
        <f t="shared" si="9"/>
        <v>1.6829580005820646E-2</v>
      </c>
      <c r="AJ583" s="155">
        <v>1.8718747927909609E-3</v>
      </c>
    </row>
    <row r="584" spans="1:36" s="160" customFormat="1">
      <c r="A584" s="153" t="s">
        <v>1213</v>
      </c>
      <c r="B584" s="160">
        <v>14425</v>
      </c>
      <c r="C584" s="153" t="s">
        <v>2428</v>
      </c>
      <c r="D584" s="153" t="s">
        <v>2429</v>
      </c>
      <c r="E584" s="153" t="s">
        <v>309</v>
      </c>
      <c r="F584" s="153" t="s">
        <v>2430</v>
      </c>
      <c r="G584" s="153" t="s">
        <v>2431</v>
      </c>
      <c r="H584" s="153" t="s">
        <v>321</v>
      </c>
      <c r="I584" s="153" t="s">
        <v>755</v>
      </c>
      <c r="J584" s="153" t="s">
        <v>204</v>
      </c>
      <c r="K584" s="153" t="s">
        <v>204</v>
      </c>
      <c r="L584" s="153" t="s">
        <v>325</v>
      </c>
      <c r="M584" s="153" t="s">
        <v>340</v>
      </c>
      <c r="N584" s="153" t="s">
        <v>454</v>
      </c>
      <c r="O584" s="153" t="s">
        <v>339</v>
      </c>
      <c r="P584" s="153" t="s">
        <v>1538</v>
      </c>
      <c r="Q584" s="153" t="s">
        <v>413</v>
      </c>
      <c r="R584" s="153" t="s">
        <v>407</v>
      </c>
      <c r="S584" s="153" t="s">
        <v>1212</v>
      </c>
      <c r="T584" s="154">
        <v>0.5</v>
      </c>
      <c r="U584" s="153" t="s">
        <v>2432</v>
      </c>
      <c r="V584" s="155">
        <v>6.7559999999999995E-2</v>
      </c>
      <c r="W584" s="155">
        <v>8.8599999999999998E-2</v>
      </c>
      <c r="X584" s="153" t="s">
        <v>412</v>
      </c>
      <c r="Y584" s="153" t="s">
        <v>339</v>
      </c>
      <c r="Z584" s="154">
        <v>683269.65</v>
      </c>
      <c r="AA584" s="154">
        <v>1</v>
      </c>
      <c r="AB584" s="154">
        <v>102.3</v>
      </c>
      <c r="AD584" s="154">
        <v>698.98500000000001</v>
      </c>
      <c r="AG584" s="157" t="s">
        <v>15</v>
      </c>
      <c r="AH584" s="155">
        <v>1.3600000000000001E-3</v>
      </c>
      <c r="AI584" s="155">
        <f t="shared" si="9"/>
        <v>1.6700370361954965E-2</v>
      </c>
      <c r="AJ584" s="155">
        <v>1.8575034136327159E-3</v>
      </c>
    </row>
    <row r="585" spans="1:36" s="160" customFormat="1">
      <c r="A585" s="153" t="s">
        <v>1213</v>
      </c>
      <c r="B585" s="160">
        <v>14425</v>
      </c>
      <c r="C585" s="153" t="s">
        <v>1591</v>
      </c>
      <c r="D585" s="153" t="s">
        <v>1592</v>
      </c>
      <c r="E585" s="153" t="s">
        <v>309</v>
      </c>
      <c r="F585" s="153" t="s">
        <v>2261</v>
      </c>
      <c r="G585" s="153" t="s">
        <v>2262</v>
      </c>
      <c r="H585" s="153" t="s">
        <v>321</v>
      </c>
      <c r="I585" s="153" t="s">
        <v>754</v>
      </c>
      <c r="J585" s="153" t="s">
        <v>204</v>
      </c>
      <c r="K585" s="153" t="s">
        <v>204</v>
      </c>
      <c r="L585" s="153" t="s">
        <v>325</v>
      </c>
      <c r="M585" s="153" t="s">
        <v>340</v>
      </c>
      <c r="N585" s="153" t="s">
        <v>464</v>
      </c>
      <c r="O585" s="153" t="s">
        <v>339</v>
      </c>
      <c r="P585" s="153" t="s">
        <v>1538</v>
      </c>
      <c r="Q585" s="153" t="s">
        <v>413</v>
      </c>
      <c r="R585" s="153" t="s">
        <v>407</v>
      </c>
      <c r="S585" s="153" t="s">
        <v>1212</v>
      </c>
      <c r="T585" s="154">
        <v>0.98</v>
      </c>
      <c r="U585" s="153" t="s">
        <v>1768</v>
      </c>
      <c r="V585" s="155">
        <v>3.1210000000000002E-2</v>
      </c>
      <c r="W585" s="155">
        <v>2.5600000000000001E-2</v>
      </c>
      <c r="X585" s="153" t="s">
        <v>412</v>
      </c>
      <c r="Y585" s="153" t="s">
        <v>339</v>
      </c>
      <c r="Z585" s="154">
        <v>449047.51</v>
      </c>
      <c r="AA585" s="154">
        <v>1</v>
      </c>
      <c r="AB585" s="154">
        <v>142.99</v>
      </c>
      <c r="AD585" s="154">
        <v>642.09299999999996</v>
      </c>
      <c r="AG585" s="157" t="s">
        <v>15</v>
      </c>
      <c r="AH585" s="155">
        <v>4.6999999999999999E-4</v>
      </c>
      <c r="AI585" s="155">
        <f t="shared" si="9"/>
        <v>1.5341088731258537E-2</v>
      </c>
      <c r="AJ585" s="155">
        <v>1.7063169300767132E-3</v>
      </c>
    </row>
    <row r="586" spans="1:36" s="160" customFormat="1">
      <c r="A586" s="153" t="s">
        <v>1213</v>
      </c>
      <c r="B586" s="160">
        <v>14425</v>
      </c>
      <c r="C586" s="153" t="s">
        <v>1820</v>
      </c>
      <c r="D586" s="153" t="s">
        <v>1821</v>
      </c>
      <c r="E586" s="153" t="s">
        <v>309</v>
      </c>
      <c r="F586" s="153" t="s">
        <v>1822</v>
      </c>
      <c r="G586" s="153" t="s">
        <v>1823</v>
      </c>
      <c r="H586" s="153" t="s">
        <v>321</v>
      </c>
      <c r="I586" s="153" t="s">
        <v>754</v>
      </c>
      <c r="J586" s="153" t="s">
        <v>204</v>
      </c>
      <c r="K586" s="153" t="s">
        <v>204</v>
      </c>
      <c r="L586" s="153" t="s">
        <v>325</v>
      </c>
      <c r="M586" s="153" t="s">
        <v>340</v>
      </c>
      <c r="N586" s="153" t="s">
        <v>464</v>
      </c>
      <c r="O586" s="153" t="s">
        <v>339</v>
      </c>
      <c r="P586" s="153" t="s">
        <v>1538</v>
      </c>
      <c r="Q586" s="153" t="s">
        <v>413</v>
      </c>
      <c r="R586" s="153" t="s">
        <v>407</v>
      </c>
      <c r="S586" s="153" t="s">
        <v>1212</v>
      </c>
      <c r="T586" s="154">
        <v>5.36</v>
      </c>
      <c r="U586" s="153" t="s">
        <v>1824</v>
      </c>
      <c r="V586" s="155">
        <v>3.0599999999999999E-2</v>
      </c>
      <c r="W586" s="155">
        <v>3.3099999999999997E-2</v>
      </c>
      <c r="X586" s="153" t="s">
        <v>412</v>
      </c>
      <c r="Y586" s="153" t="s">
        <v>339</v>
      </c>
      <c r="Z586" s="154">
        <v>643557.71</v>
      </c>
      <c r="AA586" s="154">
        <v>1</v>
      </c>
      <c r="AB586" s="154">
        <v>99.45</v>
      </c>
      <c r="AD586" s="154">
        <v>640.01800000000003</v>
      </c>
      <c r="AG586" s="157" t="s">
        <v>15</v>
      </c>
      <c r="AH586" s="155">
        <v>2.7999999999999998E-4</v>
      </c>
      <c r="AI586" s="155">
        <f t="shared" si="9"/>
        <v>1.5291512175966141E-2</v>
      </c>
      <c r="AJ586" s="155">
        <v>1.7008027637022019E-3</v>
      </c>
    </row>
    <row r="587" spans="1:36" s="160" customFormat="1">
      <c r="A587" s="153" t="s">
        <v>1213</v>
      </c>
      <c r="B587" s="160">
        <v>14425</v>
      </c>
      <c r="C587" s="153" t="s">
        <v>2128</v>
      </c>
      <c r="D587" s="153" t="s">
        <v>2129</v>
      </c>
      <c r="E587" s="153" t="s">
        <v>309</v>
      </c>
      <c r="F587" s="153" t="s">
        <v>2130</v>
      </c>
      <c r="G587" s="153" t="s">
        <v>2131</v>
      </c>
      <c r="H587" s="153" t="s">
        <v>321</v>
      </c>
      <c r="I587" s="153" t="s">
        <v>754</v>
      </c>
      <c r="J587" s="153" t="s">
        <v>204</v>
      </c>
      <c r="K587" s="153" t="s">
        <v>204</v>
      </c>
      <c r="L587" s="153" t="s">
        <v>325</v>
      </c>
      <c r="M587" s="153" t="s">
        <v>340</v>
      </c>
      <c r="N587" s="153" t="s">
        <v>445</v>
      </c>
      <c r="O587" s="153" t="s">
        <v>339</v>
      </c>
      <c r="P587" s="153" t="s">
        <v>1538</v>
      </c>
      <c r="Q587" s="153" t="s">
        <v>413</v>
      </c>
      <c r="R587" s="153" t="s">
        <v>407</v>
      </c>
      <c r="S587" s="153" t="s">
        <v>1212</v>
      </c>
      <c r="T587" s="154">
        <v>4.54</v>
      </c>
      <c r="U587" s="153" t="s">
        <v>2132</v>
      </c>
      <c r="V587" s="155">
        <v>3.7249999999999998E-2</v>
      </c>
      <c r="W587" s="155">
        <v>2.7E-2</v>
      </c>
      <c r="X587" s="153" t="s">
        <v>412</v>
      </c>
      <c r="Y587" s="153" t="s">
        <v>339</v>
      </c>
      <c r="Z587" s="154">
        <v>612697.13</v>
      </c>
      <c r="AA587" s="154">
        <v>1</v>
      </c>
      <c r="AB587" s="154">
        <v>104.2</v>
      </c>
      <c r="AD587" s="154">
        <v>638.42999999999995</v>
      </c>
      <c r="AG587" s="157" t="s">
        <v>15</v>
      </c>
      <c r="AH587" s="155">
        <v>7.2000000000000005E-4</v>
      </c>
      <c r="AI587" s="155">
        <f t="shared" si="9"/>
        <v>1.5253571178470078E-2</v>
      </c>
      <c r="AJ587" s="155">
        <v>1.6965827655322141E-3</v>
      </c>
    </row>
    <row r="588" spans="1:36" s="160" customFormat="1">
      <c r="A588" s="153" t="s">
        <v>1213</v>
      </c>
      <c r="B588" s="160">
        <v>14425</v>
      </c>
      <c r="C588" s="153" t="s">
        <v>1769</v>
      </c>
      <c r="D588" s="153" t="s">
        <v>1770</v>
      </c>
      <c r="E588" s="153" t="s">
        <v>309</v>
      </c>
      <c r="F588" s="153" t="s">
        <v>2037</v>
      </c>
      <c r="G588" s="153" t="s">
        <v>2038</v>
      </c>
      <c r="H588" s="153" t="s">
        <v>321</v>
      </c>
      <c r="I588" s="153" t="s">
        <v>951</v>
      </c>
      <c r="J588" s="153" t="s">
        <v>204</v>
      </c>
      <c r="K588" s="153" t="s">
        <v>204</v>
      </c>
      <c r="L588" s="153" t="s">
        <v>325</v>
      </c>
      <c r="M588" s="153" t="s">
        <v>340</v>
      </c>
      <c r="N588" s="153" t="s">
        <v>464</v>
      </c>
      <c r="O588" s="153" t="s">
        <v>339</v>
      </c>
      <c r="P588" s="153" t="s">
        <v>1560</v>
      </c>
      <c r="Q588" s="153" t="s">
        <v>413</v>
      </c>
      <c r="R588" s="153" t="s">
        <v>407</v>
      </c>
      <c r="S588" s="153" t="s">
        <v>1212</v>
      </c>
      <c r="T588" s="154">
        <v>2.9</v>
      </c>
      <c r="U588" s="153" t="s">
        <v>1587</v>
      </c>
      <c r="V588" s="155">
        <v>7.7869999999999995E-2</v>
      </c>
      <c r="W588" s="155">
        <v>7.1999999999999995E-2</v>
      </c>
      <c r="X588" s="153" t="s">
        <v>412</v>
      </c>
      <c r="Y588" s="153" t="s">
        <v>339</v>
      </c>
      <c r="Z588" s="154">
        <v>662927.43000000005</v>
      </c>
      <c r="AA588" s="154">
        <v>1</v>
      </c>
      <c r="AB588" s="154">
        <v>92.4</v>
      </c>
      <c r="AD588" s="154">
        <v>612.54499999999996</v>
      </c>
      <c r="AG588" s="157" t="s">
        <v>15</v>
      </c>
      <c r="AH588" s="155">
        <v>5.4000000000000001E-4</v>
      </c>
      <c r="AI588" s="155">
        <f t="shared" si="9"/>
        <v>1.4635118583894794E-2</v>
      </c>
      <c r="AJ588" s="155">
        <v>1.6277952009036702E-3</v>
      </c>
    </row>
    <row r="589" spans="1:36" s="160" customFormat="1">
      <c r="A589" s="153" t="s">
        <v>1213</v>
      </c>
      <c r="B589" s="160">
        <v>14425</v>
      </c>
      <c r="C589" s="153" t="s">
        <v>1591</v>
      </c>
      <c r="D589" s="153" t="s">
        <v>1592</v>
      </c>
      <c r="E589" s="153" t="s">
        <v>309</v>
      </c>
      <c r="F589" s="153" t="s">
        <v>2175</v>
      </c>
      <c r="G589" s="153" t="s">
        <v>2176</v>
      </c>
      <c r="H589" s="153" t="s">
        <v>321</v>
      </c>
      <c r="I589" s="153" t="s">
        <v>754</v>
      </c>
      <c r="J589" s="153" t="s">
        <v>204</v>
      </c>
      <c r="K589" s="153" t="s">
        <v>204</v>
      </c>
      <c r="L589" s="153" t="s">
        <v>325</v>
      </c>
      <c r="M589" s="153" t="s">
        <v>340</v>
      </c>
      <c r="N589" s="153" t="s">
        <v>464</v>
      </c>
      <c r="O589" s="153" t="s">
        <v>339</v>
      </c>
      <c r="P589" s="153" t="s">
        <v>1538</v>
      </c>
      <c r="Q589" s="153" t="s">
        <v>413</v>
      </c>
      <c r="R589" s="153" t="s">
        <v>407</v>
      </c>
      <c r="S589" s="153" t="s">
        <v>1212</v>
      </c>
      <c r="T589" s="154">
        <v>3.97</v>
      </c>
      <c r="U589" s="153" t="s">
        <v>2177</v>
      </c>
      <c r="V589" s="155">
        <v>3.5290000000000002E-2</v>
      </c>
      <c r="W589" s="155">
        <v>3.1899999999999998E-2</v>
      </c>
      <c r="X589" s="153" t="s">
        <v>412</v>
      </c>
      <c r="Y589" s="153" t="s">
        <v>339</v>
      </c>
      <c r="Z589" s="154">
        <v>585116.57999999996</v>
      </c>
      <c r="AA589" s="154">
        <v>1</v>
      </c>
      <c r="AB589" s="154">
        <v>103.53</v>
      </c>
      <c r="AD589" s="154">
        <v>605.77099999999996</v>
      </c>
      <c r="AG589" s="157" t="s">
        <v>15</v>
      </c>
      <c r="AH589" s="155">
        <v>3.6000000000000002E-4</v>
      </c>
      <c r="AI589" s="155">
        <f t="shared" si="9"/>
        <v>1.4473272036641444E-2</v>
      </c>
      <c r="AJ589" s="155">
        <v>1.6097937729417711E-3</v>
      </c>
    </row>
    <row r="590" spans="1:36" s="160" customFormat="1">
      <c r="A590" s="153" t="s">
        <v>1213</v>
      </c>
      <c r="B590" s="160">
        <v>14425</v>
      </c>
      <c r="C590" s="153" t="s">
        <v>2356</v>
      </c>
      <c r="D590" s="153" t="s">
        <v>2357</v>
      </c>
      <c r="E590" s="153" t="s">
        <v>309</v>
      </c>
      <c r="F590" s="153" t="s">
        <v>2358</v>
      </c>
      <c r="G590" s="153" t="s">
        <v>2359</v>
      </c>
      <c r="H590" s="153" t="s">
        <v>321</v>
      </c>
      <c r="I590" s="153" t="s">
        <v>754</v>
      </c>
      <c r="J590" s="153" t="s">
        <v>204</v>
      </c>
      <c r="K590" s="153" t="s">
        <v>204</v>
      </c>
      <c r="L590" s="153" t="s">
        <v>325</v>
      </c>
      <c r="M590" s="153" t="s">
        <v>340</v>
      </c>
      <c r="N590" s="153" t="s">
        <v>447</v>
      </c>
      <c r="O590" s="153" t="s">
        <v>339</v>
      </c>
      <c r="P590" s="153" t="s">
        <v>1560</v>
      </c>
      <c r="Q590" s="153" t="s">
        <v>413</v>
      </c>
      <c r="R590" s="153" t="s">
        <v>407</v>
      </c>
      <c r="S590" s="153" t="s">
        <v>1212</v>
      </c>
      <c r="T590" s="154">
        <v>2.79</v>
      </c>
      <c r="U590" s="153" t="s">
        <v>2360</v>
      </c>
      <c r="V590" s="155">
        <v>3.5779999999999999E-2</v>
      </c>
      <c r="W590" s="155">
        <v>3.95E-2</v>
      </c>
      <c r="X590" s="153" t="s">
        <v>412</v>
      </c>
      <c r="Y590" s="153" t="s">
        <v>339</v>
      </c>
      <c r="Z590" s="154">
        <v>506251.31</v>
      </c>
      <c r="AA590" s="154">
        <v>1</v>
      </c>
      <c r="AB590" s="154">
        <v>117.74</v>
      </c>
      <c r="AD590" s="154">
        <v>596.05999999999995</v>
      </c>
      <c r="AG590" s="157" t="s">
        <v>15</v>
      </c>
      <c r="AH590" s="155">
        <v>3.5E-4</v>
      </c>
      <c r="AI590" s="155">
        <f t="shared" si="9"/>
        <v>1.4241253757873024E-2</v>
      </c>
      <c r="AJ590" s="155">
        <v>1.5839874743090575E-3</v>
      </c>
    </row>
    <row r="591" spans="1:36" s="160" customFormat="1">
      <c r="A591" s="153" t="s">
        <v>1213</v>
      </c>
      <c r="B591" s="160">
        <v>14425</v>
      </c>
      <c r="C591" s="153" t="s">
        <v>2373</v>
      </c>
      <c r="D591" s="153" t="s">
        <v>2374</v>
      </c>
      <c r="E591" s="153" t="s">
        <v>309</v>
      </c>
      <c r="F591" s="153" t="s">
        <v>2621</v>
      </c>
      <c r="G591" s="153" t="s">
        <v>2622</v>
      </c>
      <c r="H591" s="153" t="s">
        <v>321</v>
      </c>
      <c r="I591" s="153" t="s">
        <v>755</v>
      </c>
      <c r="J591" s="153" t="s">
        <v>204</v>
      </c>
      <c r="K591" s="153" t="s">
        <v>204</v>
      </c>
      <c r="L591" s="153" t="s">
        <v>325</v>
      </c>
      <c r="M591" s="153" t="s">
        <v>340</v>
      </c>
      <c r="N591" s="153" t="s">
        <v>454</v>
      </c>
      <c r="O591" s="153" t="s">
        <v>339</v>
      </c>
      <c r="P591" s="153" t="s">
        <v>1544</v>
      </c>
      <c r="Q591" s="153" t="s">
        <v>415</v>
      </c>
      <c r="R591" s="153" t="s">
        <v>407</v>
      </c>
      <c r="S591" s="153" t="s">
        <v>1212</v>
      </c>
      <c r="T591" s="154">
        <v>3.13</v>
      </c>
      <c r="U591" s="153" t="s">
        <v>2377</v>
      </c>
      <c r="V591" s="155">
        <v>6.6739999999999994E-2</v>
      </c>
      <c r="W591" s="155">
        <v>7.5300000000000006E-2</v>
      </c>
      <c r="X591" s="153" t="s">
        <v>412</v>
      </c>
      <c r="Y591" s="153" t="s">
        <v>339</v>
      </c>
      <c r="Z591" s="154">
        <v>596844.43999999994</v>
      </c>
      <c r="AA591" s="154">
        <v>1</v>
      </c>
      <c r="AB591" s="154">
        <v>99.56</v>
      </c>
      <c r="AD591" s="154">
        <v>594.21799999999996</v>
      </c>
      <c r="AG591" s="157" t="s">
        <v>15</v>
      </c>
      <c r="AH591" s="155">
        <v>5.1999999999999995E-4</v>
      </c>
      <c r="AI591" s="155">
        <f t="shared" si="9"/>
        <v>1.4197244112162857E-2</v>
      </c>
      <c r="AJ591" s="155">
        <v>1.5790924890262382E-3</v>
      </c>
    </row>
    <row r="592" spans="1:36" s="160" customFormat="1">
      <c r="A592" s="153" t="s">
        <v>1213</v>
      </c>
      <c r="B592" s="160">
        <v>14425</v>
      </c>
      <c r="C592" s="153" t="s">
        <v>2361</v>
      </c>
      <c r="D592" s="153" t="s">
        <v>2362</v>
      </c>
      <c r="E592" s="153" t="s">
        <v>309</v>
      </c>
      <c r="F592" s="153" t="s">
        <v>2718</v>
      </c>
      <c r="G592" s="153" t="s">
        <v>2719</v>
      </c>
      <c r="H592" s="153" t="s">
        <v>321</v>
      </c>
      <c r="I592" s="153" t="s">
        <v>755</v>
      </c>
      <c r="J592" s="153" t="s">
        <v>204</v>
      </c>
      <c r="K592" s="153" t="s">
        <v>204</v>
      </c>
      <c r="L592" s="153" t="s">
        <v>325</v>
      </c>
      <c r="M592" s="153" t="s">
        <v>340</v>
      </c>
      <c r="N592" s="153" t="s">
        <v>446</v>
      </c>
      <c r="O592" s="153" t="s">
        <v>339</v>
      </c>
      <c r="P592" s="153" t="s">
        <v>1538</v>
      </c>
      <c r="Q592" s="153" t="s">
        <v>413</v>
      </c>
      <c r="R592" s="153" t="s">
        <v>407</v>
      </c>
      <c r="S592" s="153" t="s">
        <v>1212</v>
      </c>
      <c r="T592" s="154">
        <v>4.92</v>
      </c>
      <c r="U592" s="153" t="s">
        <v>1860</v>
      </c>
      <c r="V592" s="155">
        <v>6.0839999999999998E-2</v>
      </c>
      <c r="W592" s="155">
        <v>5.8700000000000002E-2</v>
      </c>
      <c r="X592" s="153" t="s">
        <v>412</v>
      </c>
      <c r="Y592" s="153" t="s">
        <v>339</v>
      </c>
      <c r="Z592" s="154">
        <v>602918.92000000004</v>
      </c>
      <c r="AA592" s="154">
        <v>1</v>
      </c>
      <c r="AB592" s="154">
        <v>98.14</v>
      </c>
      <c r="AD592" s="154">
        <v>591.70500000000004</v>
      </c>
      <c r="AG592" s="157" t="s">
        <v>15</v>
      </c>
      <c r="AH592" s="155">
        <v>3.8400000000000001E-3</v>
      </c>
      <c r="AI592" s="155">
        <f t="shared" si="9"/>
        <v>1.41372027225485E-2</v>
      </c>
      <c r="AJ592" s="155">
        <v>1.5724143684965289E-3</v>
      </c>
    </row>
    <row r="593" spans="1:36" s="160" customFormat="1">
      <c r="A593" s="153" t="s">
        <v>1213</v>
      </c>
      <c r="B593" s="160">
        <v>14425</v>
      </c>
      <c r="C593" s="153" t="s">
        <v>1600</v>
      </c>
      <c r="D593" s="153" t="s">
        <v>1601</v>
      </c>
      <c r="E593" s="153" t="s">
        <v>309</v>
      </c>
      <c r="F593" s="153" t="s">
        <v>2380</v>
      </c>
      <c r="G593" s="153" t="s">
        <v>2381</v>
      </c>
      <c r="H593" s="153" t="s">
        <v>321</v>
      </c>
      <c r="I593" s="153" t="s">
        <v>951</v>
      </c>
      <c r="J593" s="153" t="s">
        <v>204</v>
      </c>
      <c r="K593" s="153" t="s">
        <v>204</v>
      </c>
      <c r="L593" s="153" t="s">
        <v>325</v>
      </c>
      <c r="M593" s="153" t="s">
        <v>340</v>
      </c>
      <c r="N593" s="153" t="s">
        <v>448</v>
      </c>
      <c r="O593" s="153" t="s">
        <v>339</v>
      </c>
      <c r="P593" s="153" t="s">
        <v>1215</v>
      </c>
      <c r="Q593" s="153" t="s">
        <v>413</v>
      </c>
      <c r="R593" s="153" t="s">
        <v>407</v>
      </c>
      <c r="S593" s="153" t="s">
        <v>1212</v>
      </c>
      <c r="T593" s="154">
        <v>0.65</v>
      </c>
      <c r="U593" s="153" t="s">
        <v>2382</v>
      </c>
      <c r="V593" s="155">
        <v>4.2959999999999998E-2</v>
      </c>
      <c r="W593" s="155">
        <v>4.4499999999999998E-2</v>
      </c>
      <c r="X593" s="153" t="s">
        <v>412</v>
      </c>
      <c r="Y593" s="153" t="s">
        <v>339</v>
      </c>
      <c r="Z593" s="154">
        <v>571771</v>
      </c>
      <c r="AA593" s="154">
        <v>1</v>
      </c>
      <c r="AB593" s="154">
        <v>100.87</v>
      </c>
      <c r="AD593" s="154">
        <v>576.745</v>
      </c>
      <c r="AG593" s="157" t="s">
        <v>15</v>
      </c>
      <c r="AH593" s="155">
        <v>4.6999999999999999E-4</v>
      </c>
      <c r="AI593" s="155">
        <f t="shared" si="9"/>
        <v>1.3779773678127164E-2</v>
      </c>
      <c r="AJ593" s="155">
        <v>1.5326592220084847E-3</v>
      </c>
    </row>
    <row r="594" spans="1:36" s="160" customFormat="1">
      <c r="A594" s="153" t="s">
        <v>1213</v>
      </c>
      <c r="B594" s="160">
        <v>14425</v>
      </c>
      <c r="C594" s="153" t="s">
        <v>1917</v>
      </c>
      <c r="D594" s="153" t="s">
        <v>1918</v>
      </c>
      <c r="E594" s="153" t="s">
        <v>309</v>
      </c>
      <c r="F594" s="153" t="s">
        <v>2720</v>
      </c>
      <c r="G594" s="153" t="s">
        <v>2721</v>
      </c>
      <c r="H594" s="153" t="s">
        <v>321</v>
      </c>
      <c r="I594" s="153" t="s">
        <v>754</v>
      </c>
      <c r="J594" s="153" t="s">
        <v>204</v>
      </c>
      <c r="K594" s="153" t="s">
        <v>204</v>
      </c>
      <c r="L594" s="153" t="s">
        <v>325</v>
      </c>
      <c r="M594" s="153" t="s">
        <v>340</v>
      </c>
      <c r="N594" s="153" t="s">
        <v>447</v>
      </c>
      <c r="O594" s="153" t="s">
        <v>339</v>
      </c>
      <c r="P594" s="153" t="s">
        <v>1560</v>
      </c>
      <c r="Q594" s="153" t="s">
        <v>413</v>
      </c>
      <c r="R594" s="153" t="s">
        <v>407</v>
      </c>
      <c r="S594" s="153" t="s">
        <v>1212</v>
      </c>
      <c r="T594" s="154">
        <v>5.47</v>
      </c>
      <c r="U594" s="153" t="s">
        <v>1732</v>
      </c>
      <c r="V594" s="155">
        <v>4.0300000000000002E-2</v>
      </c>
      <c r="W594" s="155">
        <v>3.9800000000000002E-2</v>
      </c>
      <c r="X594" s="153" t="s">
        <v>412</v>
      </c>
      <c r="Y594" s="153" t="s">
        <v>339</v>
      </c>
      <c r="Z594" s="154">
        <v>535391</v>
      </c>
      <c r="AA594" s="154">
        <v>1</v>
      </c>
      <c r="AB594" s="154">
        <v>105.93</v>
      </c>
      <c r="AD594" s="154">
        <v>567.14</v>
      </c>
      <c r="AG594" s="157" t="s">
        <v>15</v>
      </c>
      <c r="AH594" s="155">
        <v>1.5299999999999999E-3</v>
      </c>
      <c r="AI594" s="155">
        <f t="shared" si="9"/>
        <v>1.355028798483392E-2</v>
      </c>
      <c r="AJ594" s="155">
        <v>1.5071346109110475E-3</v>
      </c>
    </row>
    <row r="595" spans="1:36" s="160" customFormat="1">
      <c r="A595" s="153" t="s">
        <v>1213</v>
      </c>
      <c r="B595" s="160">
        <v>14425</v>
      </c>
      <c r="C595" s="153" t="s">
        <v>1769</v>
      </c>
      <c r="D595" s="153" t="s">
        <v>1770</v>
      </c>
      <c r="E595" s="153" t="s">
        <v>309</v>
      </c>
      <c r="F595" s="153" t="s">
        <v>1771</v>
      </c>
      <c r="G595" s="153" t="s">
        <v>1772</v>
      </c>
      <c r="H595" s="153" t="s">
        <v>321</v>
      </c>
      <c r="I595" s="153" t="s">
        <v>754</v>
      </c>
      <c r="J595" s="153" t="s">
        <v>204</v>
      </c>
      <c r="K595" s="153" t="s">
        <v>204</v>
      </c>
      <c r="L595" s="153" t="s">
        <v>325</v>
      </c>
      <c r="M595" s="153" t="s">
        <v>340</v>
      </c>
      <c r="N595" s="153" t="s">
        <v>464</v>
      </c>
      <c r="O595" s="153" t="s">
        <v>339</v>
      </c>
      <c r="P595" s="153" t="s">
        <v>1560</v>
      </c>
      <c r="Q595" s="153" t="s">
        <v>413</v>
      </c>
      <c r="R595" s="153" t="s">
        <v>407</v>
      </c>
      <c r="S595" s="153" t="s">
        <v>1212</v>
      </c>
      <c r="T595" s="154">
        <v>4.05</v>
      </c>
      <c r="U595" s="153" t="s">
        <v>1587</v>
      </c>
      <c r="V595" s="155">
        <v>3.8109999999999998E-2</v>
      </c>
      <c r="W595" s="155">
        <v>3.9E-2</v>
      </c>
      <c r="X595" s="153" t="s">
        <v>412</v>
      </c>
      <c r="Y595" s="153" t="s">
        <v>339</v>
      </c>
      <c r="Z595" s="154">
        <v>530255.64</v>
      </c>
      <c r="AA595" s="154">
        <v>1</v>
      </c>
      <c r="AB595" s="154">
        <v>106.27</v>
      </c>
      <c r="AD595" s="154">
        <v>563.50300000000004</v>
      </c>
      <c r="AG595" s="157" t="s">
        <v>15</v>
      </c>
      <c r="AH595" s="155">
        <v>3.1E-4</v>
      </c>
      <c r="AI595" s="155">
        <f t="shared" si="9"/>
        <v>1.3463391632256357E-2</v>
      </c>
      <c r="AJ595" s="155">
        <v>1.4974695395355785E-3</v>
      </c>
    </row>
    <row r="596" spans="1:36" s="160" customFormat="1">
      <c r="A596" s="153" t="s">
        <v>1213</v>
      </c>
      <c r="B596" s="160">
        <v>14425</v>
      </c>
      <c r="C596" s="153" t="s">
        <v>1512</v>
      </c>
      <c r="D596" s="153" t="s">
        <v>1513</v>
      </c>
      <c r="E596" s="153" t="s">
        <v>309</v>
      </c>
      <c r="F596" s="153" t="s">
        <v>2186</v>
      </c>
      <c r="G596" s="153" t="s">
        <v>2187</v>
      </c>
      <c r="H596" s="153" t="s">
        <v>321</v>
      </c>
      <c r="I596" s="153" t="s">
        <v>754</v>
      </c>
      <c r="J596" s="153" t="s">
        <v>204</v>
      </c>
      <c r="K596" s="153" t="s">
        <v>204</v>
      </c>
      <c r="L596" s="153" t="s">
        <v>325</v>
      </c>
      <c r="M596" s="153" t="s">
        <v>340</v>
      </c>
      <c r="N596" s="153" t="s">
        <v>448</v>
      </c>
      <c r="O596" s="153" t="s">
        <v>339</v>
      </c>
      <c r="P596" s="153" t="s">
        <v>1215</v>
      </c>
      <c r="Q596" s="153" t="s">
        <v>413</v>
      </c>
      <c r="R596" s="153" t="s">
        <v>407</v>
      </c>
      <c r="S596" s="153" t="s">
        <v>1212</v>
      </c>
      <c r="T596" s="154">
        <v>1.72</v>
      </c>
      <c r="U596" s="153" t="s">
        <v>2188</v>
      </c>
      <c r="V596" s="155">
        <v>1.9900000000000001E-2</v>
      </c>
      <c r="W596" s="155">
        <v>2.1399999999999999E-2</v>
      </c>
      <c r="X596" s="153" t="s">
        <v>412</v>
      </c>
      <c r="Y596" s="153" t="s">
        <v>339</v>
      </c>
      <c r="Z596" s="154">
        <v>500616</v>
      </c>
      <c r="AA596" s="154">
        <v>1</v>
      </c>
      <c r="AB596" s="154">
        <v>110.39</v>
      </c>
      <c r="AD596" s="154">
        <v>552.63</v>
      </c>
      <c r="AG596" s="157" t="s">
        <v>15</v>
      </c>
      <c r="AH596" s="155">
        <v>1.7000000000000001E-4</v>
      </c>
      <c r="AI596" s="155">
        <f t="shared" si="9"/>
        <v>1.3203610482524192E-2</v>
      </c>
      <c r="AJ596" s="155">
        <v>1.4685753077331384E-3</v>
      </c>
    </row>
    <row r="597" spans="1:36" s="160" customFormat="1">
      <c r="A597" s="153" t="s">
        <v>1213</v>
      </c>
      <c r="B597" s="160">
        <v>14425</v>
      </c>
      <c r="C597" s="153" t="s">
        <v>2306</v>
      </c>
      <c r="D597" s="153" t="s">
        <v>2307</v>
      </c>
      <c r="E597" s="153" t="s">
        <v>309</v>
      </c>
      <c r="F597" s="153" t="s">
        <v>2722</v>
      </c>
      <c r="G597" s="153" t="s">
        <v>2723</v>
      </c>
      <c r="H597" s="153" t="s">
        <v>321</v>
      </c>
      <c r="I597" s="153" t="s">
        <v>951</v>
      </c>
      <c r="J597" s="153" t="s">
        <v>204</v>
      </c>
      <c r="K597" s="153" t="s">
        <v>204</v>
      </c>
      <c r="L597" s="153" t="s">
        <v>325</v>
      </c>
      <c r="M597" s="153" t="s">
        <v>340</v>
      </c>
      <c r="N597" s="153" t="s">
        <v>445</v>
      </c>
      <c r="O597" s="153" t="s">
        <v>339</v>
      </c>
      <c r="P597" s="153" t="s">
        <v>1544</v>
      </c>
      <c r="Q597" s="153" t="s">
        <v>415</v>
      </c>
      <c r="R597" s="153" t="s">
        <v>407</v>
      </c>
      <c r="S597" s="153" t="s">
        <v>1212</v>
      </c>
      <c r="T597" s="154">
        <v>4.51</v>
      </c>
      <c r="U597" s="153" t="s">
        <v>1599</v>
      </c>
      <c r="V597" s="155">
        <v>4.9099999999999998E-2</v>
      </c>
      <c r="W597" s="155">
        <v>5.74E-2</v>
      </c>
      <c r="X597" s="153" t="s">
        <v>412</v>
      </c>
      <c r="Y597" s="153" t="s">
        <v>339</v>
      </c>
      <c r="Z597" s="154">
        <v>524344</v>
      </c>
      <c r="AA597" s="154">
        <v>1</v>
      </c>
      <c r="AB597" s="154">
        <v>99.54</v>
      </c>
      <c r="AD597" s="154">
        <v>521.93200000000002</v>
      </c>
      <c r="AG597" s="157" t="s">
        <v>15</v>
      </c>
      <c r="AH597" s="155">
        <v>8.5999999999999998E-4</v>
      </c>
      <c r="AI597" s="155">
        <f t="shared" si="9"/>
        <v>1.2470164171986349E-2</v>
      </c>
      <c r="AJ597" s="155">
        <v>1.3869975345453061E-3</v>
      </c>
    </row>
    <row r="598" spans="1:36" s="160" customFormat="1">
      <c r="A598" s="153" t="s">
        <v>1213</v>
      </c>
      <c r="B598" s="160">
        <v>14425</v>
      </c>
      <c r="C598" s="153" t="s">
        <v>2445</v>
      </c>
      <c r="D598" s="153" t="s">
        <v>2446</v>
      </c>
      <c r="E598" s="153" t="s">
        <v>309</v>
      </c>
      <c r="F598" s="153" t="s">
        <v>2447</v>
      </c>
      <c r="G598" s="153" t="s">
        <v>2448</v>
      </c>
      <c r="H598" s="153" t="s">
        <v>321</v>
      </c>
      <c r="I598" s="153" t="s">
        <v>951</v>
      </c>
      <c r="J598" s="153" t="s">
        <v>204</v>
      </c>
      <c r="K598" s="153" t="s">
        <v>204</v>
      </c>
      <c r="L598" s="153" t="s">
        <v>325</v>
      </c>
      <c r="M598" s="153" t="s">
        <v>340</v>
      </c>
      <c r="N598" s="153" t="s">
        <v>440</v>
      </c>
      <c r="O598" s="153" t="s">
        <v>339</v>
      </c>
      <c r="P598" s="153" t="s">
        <v>1614</v>
      </c>
      <c r="Q598" s="153" t="s">
        <v>415</v>
      </c>
      <c r="R598" s="153" t="s">
        <v>407</v>
      </c>
      <c r="S598" s="153" t="s">
        <v>1212</v>
      </c>
      <c r="T598" s="154">
        <v>1.92</v>
      </c>
      <c r="U598" s="153" t="s">
        <v>1370</v>
      </c>
      <c r="V598" s="155">
        <v>5.1819999999999998E-2</v>
      </c>
      <c r="W598" s="155">
        <v>5.7599999999999998E-2</v>
      </c>
      <c r="X598" s="153" t="s">
        <v>412</v>
      </c>
      <c r="Y598" s="153" t="s">
        <v>339</v>
      </c>
      <c r="Z598" s="154">
        <v>541950.30000000005</v>
      </c>
      <c r="AA598" s="154">
        <v>1</v>
      </c>
      <c r="AB598" s="154">
        <v>95.6</v>
      </c>
      <c r="AD598" s="154">
        <v>518.10400000000004</v>
      </c>
      <c r="AG598" s="157" t="s">
        <v>15</v>
      </c>
      <c r="AH598" s="155">
        <v>7.6000000000000004E-4</v>
      </c>
      <c r="AI598" s="155">
        <f t="shared" si="9"/>
        <v>1.2378704387090303E-2</v>
      </c>
      <c r="AJ598" s="155">
        <v>1.3768248941204242E-3</v>
      </c>
    </row>
    <row r="599" spans="1:36" s="160" customFormat="1">
      <c r="A599" s="153" t="s">
        <v>1213</v>
      </c>
      <c r="B599" s="160">
        <v>14425</v>
      </c>
      <c r="C599" s="153" t="s">
        <v>1820</v>
      </c>
      <c r="D599" s="153" t="s">
        <v>1821</v>
      </c>
      <c r="E599" s="153" t="s">
        <v>309</v>
      </c>
      <c r="F599" s="153" t="s">
        <v>1952</v>
      </c>
      <c r="G599" s="153" t="s">
        <v>1953</v>
      </c>
      <c r="H599" s="153" t="s">
        <v>321</v>
      </c>
      <c r="I599" s="153" t="s">
        <v>754</v>
      </c>
      <c r="J599" s="153" t="s">
        <v>204</v>
      </c>
      <c r="K599" s="153" t="s">
        <v>204</v>
      </c>
      <c r="L599" s="153" t="s">
        <v>325</v>
      </c>
      <c r="M599" s="153" t="s">
        <v>340</v>
      </c>
      <c r="N599" s="153" t="s">
        <v>464</v>
      </c>
      <c r="O599" s="153" t="s">
        <v>339</v>
      </c>
      <c r="P599" s="153" t="s">
        <v>1538</v>
      </c>
      <c r="Q599" s="153" t="s">
        <v>413</v>
      </c>
      <c r="R599" s="153" t="s">
        <v>407</v>
      </c>
      <c r="S599" s="153" t="s">
        <v>1212</v>
      </c>
      <c r="T599" s="154">
        <v>2.19</v>
      </c>
      <c r="U599" s="153" t="s">
        <v>1308</v>
      </c>
      <c r="V599" s="155">
        <v>2.632E-2</v>
      </c>
      <c r="W599" s="155">
        <v>2.6599999999999999E-2</v>
      </c>
      <c r="X599" s="153" t="s">
        <v>412</v>
      </c>
      <c r="Y599" s="153" t="s">
        <v>339</v>
      </c>
      <c r="Z599" s="154">
        <v>441645.93</v>
      </c>
      <c r="AA599" s="154">
        <v>1</v>
      </c>
      <c r="AB599" s="154">
        <v>115.87</v>
      </c>
      <c r="AD599" s="154">
        <v>511.73500000000001</v>
      </c>
      <c r="AG599" s="157" t="s">
        <v>15</v>
      </c>
      <c r="AH599" s="155">
        <v>2.1000000000000001E-4</v>
      </c>
      <c r="AI599" s="155">
        <f t="shared" si="9"/>
        <v>1.2226534227737396E-2</v>
      </c>
      <c r="AJ599" s="155">
        <v>1.3598997251376467E-3</v>
      </c>
    </row>
    <row r="600" spans="1:36" s="160" customFormat="1">
      <c r="A600" s="153" t="s">
        <v>1213</v>
      </c>
      <c r="B600" s="160">
        <v>14425</v>
      </c>
      <c r="C600" s="153" t="s">
        <v>2356</v>
      </c>
      <c r="D600" s="153" t="s">
        <v>2357</v>
      </c>
      <c r="E600" s="153" t="s">
        <v>309</v>
      </c>
      <c r="F600" s="153" t="s">
        <v>2724</v>
      </c>
      <c r="G600" s="153" t="s">
        <v>2725</v>
      </c>
      <c r="H600" s="153" t="s">
        <v>321</v>
      </c>
      <c r="I600" s="153" t="s">
        <v>754</v>
      </c>
      <c r="J600" s="153" t="s">
        <v>204</v>
      </c>
      <c r="K600" s="153" t="s">
        <v>204</v>
      </c>
      <c r="L600" s="153" t="s">
        <v>325</v>
      </c>
      <c r="M600" s="153" t="s">
        <v>340</v>
      </c>
      <c r="N600" s="153" t="s">
        <v>447</v>
      </c>
      <c r="O600" s="153" t="s">
        <v>339</v>
      </c>
      <c r="P600" s="153" t="s">
        <v>1560</v>
      </c>
      <c r="Q600" s="153" t="s">
        <v>413</v>
      </c>
      <c r="R600" s="153" t="s">
        <v>407</v>
      </c>
      <c r="S600" s="153" t="s">
        <v>1212</v>
      </c>
      <c r="T600" s="154">
        <v>0.5</v>
      </c>
      <c r="U600" s="153" t="s">
        <v>1965</v>
      </c>
      <c r="V600" s="155">
        <v>4.3159999999999997E-2</v>
      </c>
      <c r="W600" s="155">
        <v>3.4700000000000002E-2</v>
      </c>
      <c r="X600" s="153" t="s">
        <v>412</v>
      </c>
      <c r="Y600" s="153" t="s">
        <v>339</v>
      </c>
      <c r="Z600" s="154">
        <v>401181.5</v>
      </c>
      <c r="AA600" s="154">
        <v>1</v>
      </c>
      <c r="AB600" s="154">
        <v>115.84</v>
      </c>
      <c r="AC600" s="154">
        <v>10.039999999999999</v>
      </c>
      <c r="AD600" s="154">
        <v>474.76799999999997</v>
      </c>
      <c r="AG600" s="157" t="s">
        <v>15</v>
      </c>
      <c r="AH600" s="155">
        <v>9.2000000000000003E-4</v>
      </c>
      <c r="AI600" s="155">
        <f t="shared" si="9"/>
        <v>1.1343306989427003E-2</v>
      </c>
      <c r="AJ600" s="155">
        <v>1.2616625259248442E-3</v>
      </c>
    </row>
    <row r="601" spans="1:36" s="160" customFormat="1">
      <c r="A601" s="153" t="s">
        <v>1213</v>
      </c>
      <c r="B601" s="160">
        <v>14425</v>
      </c>
      <c r="C601" s="153" t="s">
        <v>1769</v>
      </c>
      <c r="D601" s="153" t="s">
        <v>1770</v>
      </c>
      <c r="E601" s="153" t="s">
        <v>309</v>
      </c>
      <c r="F601" s="153" t="s">
        <v>2726</v>
      </c>
      <c r="G601" s="153" t="s">
        <v>2727</v>
      </c>
      <c r="H601" s="153" t="s">
        <v>321</v>
      </c>
      <c r="I601" s="153" t="s">
        <v>754</v>
      </c>
      <c r="J601" s="153" t="s">
        <v>204</v>
      </c>
      <c r="K601" s="153" t="s">
        <v>204</v>
      </c>
      <c r="L601" s="153" t="s">
        <v>325</v>
      </c>
      <c r="M601" s="153" t="s">
        <v>340</v>
      </c>
      <c r="N601" s="153" t="s">
        <v>464</v>
      </c>
      <c r="O601" s="153" t="s">
        <v>339</v>
      </c>
      <c r="Q601" s="153" t="s">
        <v>410</v>
      </c>
      <c r="R601" s="153" t="s">
        <v>410</v>
      </c>
      <c r="S601" s="153" t="s">
        <v>1212</v>
      </c>
      <c r="T601" s="154">
        <v>0.74</v>
      </c>
      <c r="U601" s="153" t="s">
        <v>1777</v>
      </c>
      <c r="V601" s="155">
        <v>4.9500000000000002E-2</v>
      </c>
      <c r="W601" s="155">
        <v>3.3599999999999998E-2</v>
      </c>
      <c r="X601" s="153" t="s">
        <v>412</v>
      </c>
      <c r="Y601" s="153" t="s">
        <v>339</v>
      </c>
      <c r="Z601" s="154">
        <v>309568.12</v>
      </c>
      <c r="AA601" s="154">
        <v>1</v>
      </c>
      <c r="AB601" s="154">
        <v>142.69999999999999</v>
      </c>
      <c r="AD601" s="154">
        <v>441.75400000000002</v>
      </c>
      <c r="AG601" s="157" t="s">
        <v>15</v>
      </c>
      <c r="AH601" s="155">
        <v>6.9999999999999999E-4</v>
      </c>
      <c r="AI601" s="155">
        <f t="shared" si="9"/>
        <v>1.0554526075488105E-2</v>
      </c>
      <c r="AJ601" s="155">
        <v>1.1739301458341836E-3</v>
      </c>
    </row>
    <row r="602" spans="1:36" s="160" customFormat="1">
      <c r="A602" s="153" t="s">
        <v>1213</v>
      </c>
      <c r="B602" s="160">
        <v>14425</v>
      </c>
      <c r="C602" s="153" t="s">
        <v>1546</v>
      </c>
      <c r="D602" s="153" t="s">
        <v>1547</v>
      </c>
      <c r="E602" s="153" t="s">
        <v>309</v>
      </c>
      <c r="F602" s="153" t="s">
        <v>2487</v>
      </c>
      <c r="G602" s="153" t="s">
        <v>2488</v>
      </c>
      <c r="H602" s="153" t="s">
        <v>321</v>
      </c>
      <c r="I602" s="153" t="s">
        <v>754</v>
      </c>
      <c r="J602" s="153" t="s">
        <v>204</v>
      </c>
      <c r="K602" s="153" t="s">
        <v>204</v>
      </c>
      <c r="L602" s="153" t="s">
        <v>325</v>
      </c>
      <c r="M602" s="153" t="s">
        <v>340</v>
      </c>
      <c r="N602" s="153" t="s">
        <v>443</v>
      </c>
      <c r="O602" s="153" t="s">
        <v>339</v>
      </c>
      <c r="P602" s="153" t="s">
        <v>1544</v>
      </c>
      <c r="Q602" s="153" t="s">
        <v>415</v>
      </c>
      <c r="R602" s="153" t="s">
        <v>407</v>
      </c>
      <c r="S602" s="153" t="s">
        <v>1212</v>
      </c>
      <c r="T602" s="154">
        <v>0.79</v>
      </c>
      <c r="U602" s="153" t="s">
        <v>1777</v>
      </c>
      <c r="V602" s="155">
        <v>3.073E-2</v>
      </c>
      <c r="W602" s="155">
        <v>2.7199999999999998E-2</v>
      </c>
      <c r="X602" s="153" t="s">
        <v>412</v>
      </c>
      <c r="Y602" s="153" t="s">
        <v>339</v>
      </c>
      <c r="Z602" s="154">
        <v>371427.27</v>
      </c>
      <c r="AA602" s="154">
        <v>1</v>
      </c>
      <c r="AB602" s="154">
        <v>115.1</v>
      </c>
      <c r="AD602" s="154">
        <v>427.51299999999998</v>
      </c>
      <c r="AG602" s="157" t="s">
        <v>15</v>
      </c>
      <c r="AH602" s="155">
        <v>1.01E-3</v>
      </c>
      <c r="AI602" s="155">
        <f t="shared" si="9"/>
        <v>1.0214275606129534E-2</v>
      </c>
      <c r="AJ602" s="155">
        <v>1.1360856912127773E-3</v>
      </c>
    </row>
    <row r="603" spans="1:36" s="160" customFormat="1">
      <c r="A603" s="153" t="s">
        <v>1213</v>
      </c>
      <c r="B603" s="160">
        <v>14425</v>
      </c>
      <c r="C603" s="153" t="s">
        <v>1600</v>
      </c>
      <c r="D603" s="153" t="s">
        <v>1601</v>
      </c>
      <c r="E603" s="153" t="s">
        <v>309</v>
      </c>
      <c r="F603" s="153" t="s">
        <v>2353</v>
      </c>
      <c r="G603" s="153" t="s">
        <v>2354</v>
      </c>
      <c r="H603" s="153" t="s">
        <v>321</v>
      </c>
      <c r="I603" s="153" t="s">
        <v>754</v>
      </c>
      <c r="J603" s="153" t="s">
        <v>204</v>
      </c>
      <c r="K603" s="153" t="s">
        <v>204</v>
      </c>
      <c r="L603" s="153" t="s">
        <v>325</v>
      </c>
      <c r="M603" s="153" t="s">
        <v>340</v>
      </c>
      <c r="N603" s="153" t="s">
        <v>448</v>
      </c>
      <c r="O603" s="153" t="s">
        <v>339</v>
      </c>
      <c r="P603" s="153" t="s">
        <v>1215</v>
      </c>
      <c r="Q603" s="153" t="s">
        <v>413</v>
      </c>
      <c r="R603" s="153" t="s">
        <v>407</v>
      </c>
      <c r="S603" s="153" t="s">
        <v>1212</v>
      </c>
      <c r="T603" s="154">
        <v>2.04</v>
      </c>
      <c r="U603" s="153" t="s">
        <v>2355</v>
      </c>
      <c r="V603" s="155">
        <v>6.0000000000000001E-3</v>
      </c>
      <c r="W603" s="155">
        <v>2.07E-2</v>
      </c>
      <c r="X603" s="153" t="s">
        <v>412</v>
      </c>
      <c r="Y603" s="153" t="s">
        <v>339</v>
      </c>
      <c r="Z603" s="154">
        <v>371264</v>
      </c>
      <c r="AA603" s="154">
        <v>1</v>
      </c>
      <c r="AB603" s="154">
        <v>113.24</v>
      </c>
      <c r="AD603" s="154">
        <v>420.41899999999998</v>
      </c>
      <c r="AG603" s="157" t="s">
        <v>15</v>
      </c>
      <c r="AH603" s="155">
        <v>4.2000000000000002E-4</v>
      </c>
      <c r="AI603" s="155">
        <f t="shared" si="9"/>
        <v>1.0044783517819043E-2</v>
      </c>
      <c r="AJ603" s="155">
        <v>1.1172338857858934E-3</v>
      </c>
    </row>
    <row r="604" spans="1:36" s="160" customFormat="1">
      <c r="A604" s="153" t="s">
        <v>1213</v>
      </c>
      <c r="B604" s="160">
        <v>14425</v>
      </c>
      <c r="C604" s="153" t="s">
        <v>2728</v>
      </c>
      <c r="D604" s="153" t="s">
        <v>2729</v>
      </c>
      <c r="E604" s="153" t="s">
        <v>309</v>
      </c>
      <c r="F604" s="153" t="s">
        <v>2730</v>
      </c>
      <c r="G604" s="153" t="s">
        <v>2731</v>
      </c>
      <c r="H604" s="153" t="s">
        <v>321</v>
      </c>
      <c r="I604" s="153" t="s">
        <v>951</v>
      </c>
      <c r="J604" s="153" t="s">
        <v>204</v>
      </c>
      <c r="K604" s="153" t="s">
        <v>204</v>
      </c>
      <c r="L604" s="153" t="s">
        <v>325</v>
      </c>
      <c r="M604" s="153" t="s">
        <v>340</v>
      </c>
      <c r="N604" s="153" t="s">
        <v>478</v>
      </c>
      <c r="O604" s="153" t="s">
        <v>339</v>
      </c>
      <c r="P604" s="153" t="s">
        <v>1544</v>
      </c>
      <c r="Q604" s="153" t="s">
        <v>415</v>
      </c>
      <c r="R604" s="153" t="s">
        <v>407</v>
      </c>
      <c r="S604" s="153" t="s">
        <v>1212</v>
      </c>
      <c r="T604" s="154">
        <v>3.1</v>
      </c>
      <c r="U604" s="153" t="s">
        <v>2732</v>
      </c>
      <c r="V604" s="155">
        <v>5.5919999999999997E-2</v>
      </c>
      <c r="W604" s="155">
        <v>5.8000000000000003E-2</v>
      </c>
      <c r="X604" s="153" t="s">
        <v>412</v>
      </c>
      <c r="Y604" s="153" t="s">
        <v>339</v>
      </c>
      <c r="Z604" s="154">
        <v>431956.71</v>
      </c>
      <c r="AA604" s="154">
        <v>1</v>
      </c>
      <c r="AB604" s="154">
        <v>90.06</v>
      </c>
      <c r="AD604" s="154">
        <v>389.02</v>
      </c>
      <c r="AG604" s="157" t="s">
        <v>15</v>
      </c>
      <c r="AH604" s="155">
        <v>7.6999999999999996E-4</v>
      </c>
      <c r="AI604" s="155">
        <f t="shared" si="9"/>
        <v>9.2945886939029016E-3</v>
      </c>
      <c r="AJ604" s="155">
        <v>1.0337932544638283E-3</v>
      </c>
    </row>
    <row r="605" spans="1:36" s="160" customFormat="1">
      <c r="A605" s="153" t="s">
        <v>1213</v>
      </c>
      <c r="B605" s="160">
        <v>14425</v>
      </c>
      <c r="C605" s="153" t="s">
        <v>2203</v>
      </c>
      <c r="D605" s="153" t="s">
        <v>2204</v>
      </c>
      <c r="E605" s="153" t="s">
        <v>309</v>
      </c>
      <c r="F605" s="153" t="s">
        <v>2733</v>
      </c>
      <c r="G605" s="153" t="s">
        <v>2734</v>
      </c>
      <c r="H605" s="153" t="s">
        <v>321</v>
      </c>
      <c r="I605" s="153" t="s">
        <v>951</v>
      </c>
      <c r="J605" s="153" t="s">
        <v>204</v>
      </c>
      <c r="K605" s="153" t="s">
        <v>204</v>
      </c>
      <c r="L605" s="153" t="s">
        <v>325</v>
      </c>
      <c r="M605" s="153" t="s">
        <v>340</v>
      </c>
      <c r="N605" s="153" t="s">
        <v>459</v>
      </c>
      <c r="O605" s="153" t="s">
        <v>339</v>
      </c>
      <c r="P605" s="153" t="s">
        <v>1811</v>
      </c>
      <c r="Q605" s="153" t="s">
        <v>413</v>
      </c>
      <c r="R605" s="153" t="s">
        <v>407</v>
      </c>
      <c r="S605" s="153" t="s">
        <v>1212</v>
      </c>
      <c r="T605" s="154">
        <v>1.69</v>
      </c>
      <c r="U605" s="153" t="s">
        <v>1572</v>
      </c>
      <c r="V605" s="155">
        <v>4.5319999999999999E-2</v>
      </c>
      <c r="W605" s="155">
        <v>4.6899999999999997E-2</v>
      </c>
      <c r="X605" s="153" t="s">
        <v>412</v>
      </c>
      <c r="Y605" s="153" t="s">
        <v>339</v>
      </c>
      <c r="Z605" s="154">
        <v>390787.5</v>
      </c>
      <c r="AA605" s="154">
        <v>1</v>
      </c>
      <c r="AB605" s="154">
        <v>97.33</v>
      </c>
      <c r="AD605" s="154">
        <v>380.35300000000001</v>
      </c>
      <c r="AG605" s="157" t="s">
        <v>15</v>
      </c>
      <c r="AH605" s="155">
        <v>1.08E-3</v>
      </c>
      <c r="AI605" s="155">
        <f t="shared" si="9"/>
        <v>9.0875139928334042E-3</v>
      </c>
      <c r="AJ605" s="155">
        <v>1.0107613123106281E-3</v>
      </c>
    </row>
    <row r="606" spans="1:36" s="160" customFormat="1">
      <c r="A606" s="153" t="s">
        <v>1213</v>
      </c>
      <c r="B606" s="160">
        <v>14425</v>
      </c>
      <c r="C606" s="153" t="s">
        <v>2735</v>
      </c>
      <c r="D606" s="153" t="s">
        <v>2736</v>
      </c>
      <c r="E606" s="153" t="s">
        <v>309</v>
      </c>
      <c r="F606" s="153" t="s">
        <v>2737</v>
      </c>
      <c r="G606" s="153" t="s">
        <v>2738</v>
      </c>
      <c r="H606" s="153" t="s">
        <v>321</v>
      </c>
      <c r="I606" s="153" t="s">
        <v>951</v>
      </c>
      <c r="J606" s="153" t="s">
        <v>204</v>
      </c>
      <c r="K606" s="153" t="s">
        <v>204</v>
      </c>
      <c r="L606" s="153" t="s">
        <v>325</v>
      </c>
      <c r="M606" s="153" t="s">
        <v>340</v>
      </c>
      <c r="N606" s="153" t="s">
        <v>462</v>
      </c>
      <c r="O606" s="153" t="s">
        <v>339</v>
      </c>
      <c r="P606" s="153" t="s">
        <v>1566</v>
      </c>
      <c r="Q606" s="153" t="s">
        <v>413</v>
      </c>
      <c r="R606" s="153" t="s">
        <v>407</v>
      </c>
      <c r="S606" s="153" t="s">
        <v>1212</v>
      </c>
      <c r="T606" s="154">
        <v>1.99</v>
      </c>
      <c r="U606" s="153" t="s">
        <v>1744</v>
      </c>
      <c r="V606" s="155">
        <v>6.0380000000000003E-2</v>
      </c>
      <c r="W606" s="155">
        <v>5.33E-2</v>
      </c>
      <c r="X606" s="153" t="s">
        <v>412</v>
      </c>
      <c r="Y606" s="153" t="s">
        <v>339</v>
      </c>
      <c r="Z606" s="154">
        <v>387033.26</v>
      </c>
      <c r="AA606" s="154">
        <v>1</v>
      </c>
      <c r="AB606" s="154">
        <v>93.68</v>
      </c>
      <c r="AD606" s="154">
        <v>362.57299999999998</v>
      </c>
      <c r="AG606" s="157" t="s">
        <v>15</v>
      </c>
      <c r="AH606" s="155">
        <v>3.81E-3</v>
      </c>
      <c r="AI606" s="155">
        <f t="shared" si="9"/>
        <v>8.6627086178460155E-3</v>
      </c>
      <c r="AJ606" s="155">
        <v>9.6351221441240463E-4</v>
      </c>
    </row>
    <row r="607" spans="1:36" s="160" customFormat="1">
      <c r="A607" s="153" t="s">
        <v>1213</v>
      </c>
      <c r="B607" s="160">
        <v>14425</v>
      </c>
      <c r="C607" s="153" t="s">
        <v>1807</v>
      </c>
      <c r="D607" s="153" t="s">
        <v>1808</v>
      </c>
      <c r="E607" s="153" t="s">
        <v>309</v>
      </c>
      <c r="F607" s="153" t="s">
        <v>2295</v>
      </c>
      <c r="G607" s="153" t="s">
        <v>2296</v>
      </c>
      <c r="H607" s="153" t="s">
        <v>321</v>
      </c>
      <c r="I607" s="153" t="s">
        <v>754</v>
      </c>
      <c r="J607" s="153" t="s">
        <v>204</v>
      </c>
      <c r="K607" s="153" t="s">
        <v>204</v>
      </c>
      <c r="L607" s="153" t="s">
        <v>325</v>
      </c>
      <c r="M607" s="153" t="s">
        <v>340</v>
      </c>
      <c r="N607" s="153" t="s">
        <v>464</v>
      </c>
      <c r="O607" s="153" t="s">
        <v>339</v>
      </c>
      <c r="P607" s="153" t="s">
        <v>1923</v>
      </c>
      <c r="Q607" s="153" t="s">
        <v>415</v>
      </c>
      <c r="R607" s="153" t="s">
        <v>407</v>
      </c>
      <c r="S607" s="153" t="s">
        <v>1212</v>
      </c>
      <c r="T607" s="154">
        <v>2.89</v>
      </c>
      <c r="U607" s="153" t="s">
        <v>2297</v>
      </c>
      <c r="V607" s="155">
        <v>2.163E-2</v>
      </c>
      <c r="W607" s="155">
        <v>2.8199999999999999E-2</v>
      </c>
      <c r="X607" s="153" t="s">
        <v>412</v>
      </c>
      <c r="Y607" s="153" t="s">
        <v>339</v>
      </c>
      <c r="Z607" s="154">
        <v>319471.71999999997</v>
      </c>
      <c r="AA607" s="154">
        <v>1</v>
      </c>
      <c r="AB607" s="154">
        <v>112.38</v>
      </c>
      <c r="AD607" s="154">
        <v>359.02199999999999</v>
      </c>
      <c r="AG607" s="157" t="s">
        <v>15</v>
      </c>
      <c r="AH607" s="155">
        <v>1.2E-4</v>
      </c>
      <c r="AI607" s="155">
        <f t="shared" si="9"/>
        <v>8.5778670044275567E-3</v>
      </c>
      <c r="AJ607" s="155">
        <v>9.5407568198065042E-4</v>
      </c>
    </row>
    <row r="608" spans="1:36" s="160" customFormat="1">
      <c r="A608" s="153" t="s">
        <v>1213</v>
      </c>
      <c r="B608" s="160">
        <v>14425</v>
      </c>
      <c r="C608" s="153" t="s">
        <v>2428</v>
      </c>
      <c r="D608" s="153" t="s">
        <v>2429</v>
      </c>
      <c r="E608" s="153" t="s">
        <v>309</v>
      </c>
      <c r="F608" s="153" t="s">
        <v>2739</v>
      </c>
      <c r="G608" s="153" t="s">
        <v>2740</v>
      </c>
      <c r="H608" s="153" t="s">
        <v>321</v>
      </c>
      <c r="I608" s="153" t="s">
        <v>755</v>
      </c>
      <c r="J608" s="153" t="s">
        <v>204</v>
      </c>
      <c r="K608" s="153" t="s">
        <v>204</v>
      </c>
      <c r="L608" s="153" t="s">
        <v>325</v>
      </c>
      <c r="M608" s="153" t="s">
        <v>340</v>
      </c>
      <c r="N608" s="153" t="s">
        <v>454</v>
      </c>
      <c r="O608" s="153" t="s">
        <v>339</v>
      </c>
      <c r="P608" s="153" t="s">
        <v>1538</v>
      </c>
      <c r="Q608" s="153" t="s">
        <v>413</v>
      </c>
      <c r="R608" s="153" t="s">
        <v>407</v>
      </c>
      <c r="S608" s="153" t="s">
        <v>1212</v>
      </c>
      <c r="T608" s="154">
        <v>3.14</v>
      </c>
      <c r="U608" s="153" t="s">
        <v>2553</v>
      </c>
      <c r="V608" s="155">
        <v>6.0170000000000001E-2</v>
      </c>
      <c r="W608" s="155">
        <v>6.7000000000000004E-2</v>
      </c>
      <c r="X608" s="153" t="s">
        <v>412</v>
      </c>
      <c r="Y608" s="153" t="s">
        <v>339</v>
      </c>
      <c r="Z608" s="154">
        <v>330648.82</v>
      </c>
      <c r="AA608" s="154">
        <v>1</v>
      </c>
      <c r="AB608" s="154">
        <v>101.93</v>
      </c>
      <c r="AD608" s="154">
        <v>337.03</v>
      </c>
      <c r="AG608" s="157" t="s">
        <v>15</v>
      </c>
      <c r="AH608" s="155">
        <v>1.89E-3</v>
      </c>
      <c r="AI608" s="155">
        <f t="shared" si="9"/>
        <v>8.0524271952755518E-3</v>
      </c>
      <c r="AJ608" s="155">
        <v>8.9563349069956319E-4</v>
      </c>
    </row>
    <row r="609" spans="1:36" s="160" customFormat="1">
      <c r="A609" s="153" t="s">
        <v>1213</v>
      </c>
      <c r="B609" s="160">
        <v>14425</v>
      </c>
      <c r="C609" s="153" t="s">
        <v>2741</v>
      </c>
      <c r="D609" s="153" t="s">
        <v>2742</v>
      </c>
      <c r="E609" s="153" t="s">
        <v>309</v>
      </c>
      <c r="F609" s="153" t="s">
        <v>2743</v>
      </c>
      <c r="G609" s="153" t="s">
        <v>2744</v>
      </c>
      <c r="H609" s="153" t="s">
        <v>321</v>
      </c>
      <c r="I609" s="153" t="s">
        <v>754</v>
      </c>
      <c r="J609" s="153" t="s">
        <v>204</v>
      </c>
      <c r="K609" s="153" t="s">
        <v>204</v>
      </c>
      <c r="L609" s="153" t="s">
        <v>325</v>
      </c>
      <c r="M609" s="153" t="s">
        <v>340</v>
      </c>
      <c r="N609" s="153" t="s">
        <v>464</v>
      </c>
      <c r="O609" s="153" t="s">
        <v>339</v>
      </c>
      <c r="P609" s="153" t="s">
        <v>1544</v>
      </c>
      <c r="Q609" s="153" t="s">
        <v>415</v>
      </c>
      <c r="R609" s="153" t="s">
        <v>407</v>
      </c>
      <c r="S609" s="153" t="s">
        <v>1212</v>
      </c>
      <c r="T609" s="154">
        <v>6.4</v>
      </c>
      <c r="U609" s="153" t="s">
        <v>2745</v>
      </c>
      <c r="V609" s="155">
        <v>3.705E-2</v>
      </c>
      <c r="W609" s="155">
        <v>3.6600000000000001E-2</v>
      </c>
      <c r="X609" s="153" t="s">
        <v>412</v>
      </c>
      <c r="Y609" s="153" t="s">
        <v>339</v>
      </c>
      <c r="Z609" s="154">
        <v>331426.71999999997</v>
      </c>
      <c r="AA609" s="154">
        <v>1</v>
      </c>
      <c r="AB609" s="154">
        <v>91</v>
      </c>
      <c r="AD609" s="154">
        <v>301.59800000000001</v>
      </c>
      <c r="AG609" s="157" t="s">
        <v>15</v>
      </c>
      <c r="AH609" s="155">
        <v>1.5100000000000001E-3</v>
      </c>
      <c r="AI609" s="155">
        <f t="shared" si="9"/>
        <v>7.2058746617236326E-3</v>
      </c>
      <c r="AJ609" s="155">
        <v>8.0147544588911042E-4</v>
      </c>
    </row>
    <row r="610" spans="1:36" s="160" customFormat="1">
      <c r="A610" s="153" t="s">
        <v>1213</v>
      </c>
      <c r="B610" s="160">
        <v>14425</v>
      </c>
      <c r="C610" s="153" t="s">
        <v>2638</v>
      </c>
      <c r="D610" s="153" t="s">
        <v>2639</v>
      </c>
      <c r="E610" s="153" t="s">
        <v>311</v>
      </c>
      <c r="F610" s="153" t="s">
        <v>2640</v>
      </c>
      <c r="G610" s="153" t="s">
        <v>2641</v>
      </c>
      <c r="H610" s="153" t="s">
        <v>321</v>
      </c>
      <c r="I610" s="153" t="s">
        <v>755</v>
      </c>
      <c r="J610" s="153" t="s">
        <v>204</v>
      </c>
      <c r="K610" s="153" t="s">
        <v>204</v>
      </c>
      <c r="L610" s="153" t="s">
        <v>325</v>
      </c>
      <c r="M610" s="153" t="s">
        <v>340</v>
      </c>
      <c r="N610" s="153" t="s">
        <v>465</v>
      </c>
      <c r="O610" s="153" t="s">
        <v>339</v>
      </c>
      <c r="P610" s="153" t="s">
        <v>1982</v>
      </c>
      <c r="Q610" s="153" t="s">
        <v>415</v>
      </c>
      <c r="R610" s="153" t="s">
        <v>407</v>
      </c>
      <c r="S610" s="153" t="s">
        <v>1212</v>
      </c>
      <c r="T610" s="154">
        <v>2.91</v>
      </c>
      <c r="U610" s="153" t="s">
        <v>1664</v>
      </c>
      <c r="V610" s="155">
        <v>8.4540000000000004E-2</v>
      </c>
      <c r="W610" s="155">
        <v>0.10150000000000001</v>
      </c>
      <c r="X610" s="153" t="s">
        <v>412</v>
      </c>
      <c r="Y610" s="153" t="s">
        <v>339</v>
      </c>
      <c r="Z610" s="154">
        <v>334600.73</v>
      </c>
      <c r="AA610" s="154">
        <v>1</v>
      </c>
      <c r="AB610" s="154">
        <v>89.69</v>
      </c>
      <c r="AD610" s="154">
        <v>300.10300000000001</v>
      </c>
      <c r="AG610" s="157" t="s">
        <v>15</v>
      </c>
      <c r="AH610" s="155">
        <v>2.9999999999999997E-4</v>
      </c>
      <c r="AI610" s="155">
        <f t="shared" si="9"/>
        <v>7.1701556495973031E-3</v>
      </c>
      <c r="AJ610" s="155">
        <v>7.9750258866988417E-4</v>
      </c>
    </row>
    <row r="611" spans="1:36" s="160" customFormat="1">
      <c r="A611" s="153" t="s">
        <v>1213</v>
      </c>
      <c r="B611" s="160">
        <v>14425</v>
      </c>
      <c r="C611" s="153" t="s">
        <v>1674</v>
      </c>
      <c r="D611" s="153" t="s">
        <v>1675</v>
      </c>
      <c r="E611" s="153" t="s">
        <v>309</v>
      </c>
      <c r="F611" s="153" t="s">
        <v>2746</v>
      </c>
      <c r="G611" s="153" t="s">
        <v>2747</v>
      </c>
      <c r="H611" s="153" t="s">
        <v>321</v>
      </c>
      <c r="I611" s="153" t="s">
        <v>754</v>
      </c>
      <c r="J611" s="153" t="s">
        <v>204</v>
      </c>
      <c r="K611" s="153" t="s">
        <v>204</v>
      </c>
      <c r="L611" s="153" t="s">
        <v>325</v>
      </c>
      <c r="M611" s="153" t="s">
        <v>340</v>
      </c>
      <c r="N611" s="153" t="s">
        <v>464</v>
      </c>
      <c r="O611" s="153" t="s">
        <v>339</v>
      </c>
      <c r="P611" s="153" t="s">
        <v>1566</v>
      </c>
      <c r="Q611" s="153" t="s">
        <v>413</v>
      </c>
      <c r="R611" s="153" t="s">
        <v>407</v>
      </c>
      <c r="S611" s="153" t="s">
        <v>1212</v>
      </c>
      <c r="T611" s="154">
        <v>5.31</v>
      </c>
      <c r="U611" s="153" t="s">
        <v>1897</v>
      </c>
      <c r="V611" s="155">
        <v>3.2779999999999997E-2</v>
      </c>
      <c r="W611" s="155">
        <v>3.3700000000000001E-2</v>
      </c>
      <c r="X611" s="153" t="s">
        <v>412</v>
      </c>
      <c r="Y611" s="153" t="s">
        <v>339</v>
      </c>
      <c r="Z611" s="154">
        <v>289120.26</v>
      </c>
      <c r="AA611" s="154">
        <v>1</v>
      </c>
      <c r="AB611" s="154">
        <v>103.16</v>
      </c>
      <c r="AD611" s="154">
        <v>298.25599999999997</v>
      </c>
      <c r="AG611" s="157" t="s">
        <v>15</v>
      </c>
      <c r="AH611" s="155">
        <v>5.5000000000000003E-4</v>
      </c>
      <c r="AI611" s="155">
        <f t="shared" si="9"/>
        <v>7.1260265423081174E-3</v>
      </c>
      <c r="AJ611" s="155">
        <v>7.9259431623917437E-4</v>
      </c>
    </row>
    <row r="612" spans="1:36" s="160" customFormat="1">
      <c r="A612" s="153" t="s">
        <v>1213</v>
      </c>
      <c r="B612" s="160">
        <v>14425</v>
      </c>
      <c r="C612" s="153" t="s">
        <v>2748</v>
      </c>
      <c r="D612" s="153" t="s">
        <v>2749</v>
      </c>
      <c r="E612" s="153" t="s">
        <v>309</v>
      </c>
      <c r="F612" s="153" t="s">
        <v>2750</v>
      </c>
      <c r="G612" s="153" t="s">
        <v>2751</v>
      </c>
      <c r="H612" s="153" t="s">
        <v>321</v>
      </c>
      <c r="I612" s="153" t="s">
        <v>754</v>
      </c>
      <c r="J612" s="153" t="s">
        <v>204</v>
      </c>
      <c r="K612" s="153" t="s">
        <v>204</v>
      </c>
      <c r="L612" s="153" t="s">
        <v>325</v>
      </c>
      <c r="M612" s="153" t="s">
        <v>340</v>
      </c>
      <c r="N612" s="153" t="s">
        <v>464</v>
      </c>
      <c r="O612" s="153" t="s">
        <v>339</v>
      </c>
      <c r="P612" s="153" t="s">
        <v>1560</v>
      </c>
      <c r="Q612" s="153" t="s">
        <v>413</v>
      </c>
      <c r="R612" s="153" t="s">
        <v>407</v>
      </c>
      <c r="S612" s="153" t="s">
        <v>1212</v>
      </c>
      <c r="T612" s="154">
        <v>4.3600000000000003</v>
      </c>
      <c r="U612" s="153" t="s">
        <v>2752</v>
      </c>
      <c r="V612" s="155">
        <v>3.7879999999999997E-2</v>
      </c>
      <c r="W612" s="155">
        <v>3.5099999999999999E-2</v>
      </c>
      <c r="X612" s="153" t="s">
        <v>412</v>
      </c>
      <c r="Y612" s="153" t="s">
        <v>339</v>
      </c>
      <c r="Z612" s="154">
        <v>270282.7</v>
      </c>
      <c r="AA612" s="154">
        <v>1</v>
      </c>
      <c r="AB612" s="154">
        <v>108.78</v>
      </c>
      <c r="AD612" s="154">
        <v>294.01400000000001</v>
      </c>
      <c r="AG612" s="157" t="s">
        <v>15</v>
      </c>
      <c r="AH612" s="155">
        <v>6.4999999999999997E-4</v>
      </c>
      <c r="AI612" s="155">
        <f t="shared" si="9"/>
        <v>7.0246753386693948E-3</v>
      </c>
      <c r="AJ612" s="155">
        <v>7.8132149996896832E-4</v>
      </c>
    </row>
    <row r="613" spans="1:36" s="160" customFormat="1">
      <c r="A613" s="153" t="s">
        <v>1213</v>
      </c>
      <c r="B613" s="160">
        <v>14425</v>
      </c>
      <c r="C613" s="153" t="s">
        <v>1600</v>
      </c>
      <c r="D613" s="153" t="s">
        <v>1601</v>
      </c>
      <c r="E613" s="153" t="s">
        <v>309</v>
      </c>
      <c r="F613" s="153" t="s">
        <v>1602</v>
      </c>
      <c r="G613" s="153" t="s">
        <v>1603</v>
      </c>
      <c r="H613" s="153" t="s">
        <v>321</v>
      </c>
      <c r="I613" s="153" t="s">
        <v>754</v>
      </c>
      <c r="J613" s="153" t="s">
        <v>204</v>
      </c>
      <c r="K613" s="153" t="s">
        <v>204</v>
      </c>
      <c r="L613" s="153" t="s">
        <v>325</v>
      </c>
      <c r="M613" s="153" t="s">
        <v>340</v>
      </c>
      <c r="N613" s="153" t="s">
        <v>448</v>
      </c>
      <c r="O613" s="153" t="s">
        <v>339</v>
      </c>
      <c r="P613" s="153" t="s">
        <v>1566</v>
      </c>
      <c r="Q613" s="153" t="s">
        <v>413</v>
      </c>
      <c r="R613" s="153" t="s">
        <v>407</v>
      </c>
      <c r="S613" s="153" t="s">
        <v>1212</v>
      </c>
      <c r="T613" s="154">
        <v>0.5</v>
      </c>
      <c r="U613" s="153" t="s">
        <v>1604</v>
      </c>
      <c r="V613" s="155">
        <v>2.0199999999999999E-2</v>
      </c>
      <c r="W613" s="155">
        <v>3.5700000000000003E-2</v>
      </c>
      <c r="X613" s="153" t="s">
        <v>411</v>
      </c>
      <c r="Y613" s="153" t="s">
        <v>339</v>
      </c>
      <c r="Z613" s="154">
        <v>250000</v>
      </c>
      <c r="AA613" s="154">
        <v>1</v>
      </c>
      <c r="AB613" s="154">
        <v>115.6</v>
      </c>
      <c r="AD613" s="154">
        <v>289</v>
      </c>
      <c r="AG613" s="157" t="s">
        <v>15</v>
      </c>
      <c r="AH613" s="155">
        <v>2.4000000000000001E-4</v>
      </c>
      <c r="AI613" s="155">
        <f t="shared" si="9"/>
        <v>6.9048792672303195E-3</v>
      </c>
      <c r="AJ613" s="155">
        <v>7.6799714806448621E-4</v>
      </c>
    </row>
    <row r="614" spans="1:36" s="160" customFormat="1">
      <c r="A614" s="153" t="s">
        <v>1213</v>
      </c>
      <c r="B614" s="160">
        <v>14425</v>
      </c>
      <c r="C614" s="153" t="s">
        <v>1573</v>
      </c>
      <c r="D614" s="153" t="s">
        <v>1574</v>
      </c>
      <c r="E614" s="153" t="s">
        <v>309</v>
      </c>
      <c r="F614" s="153" t="s">
        <v>2310</v>
      </c>
      <c r="G614" s="153" t="s">
        <v>2311</v>
      </c>
      <c r="H614" s="153" t="s">
        <v>321</v>
      </c>
      <c r="I614" s="153" t="s">
        <v>754</v>
      </c>
      <c r="J614" s="153" t="s">
        <v>204</v>
      </c>
      <c r="K614" s="153" t="s">
        <v>204</v>
      </c>
      <c r="L614" s="153" t="s">
        <v>325</v>
      </c>
      <c r="M614" s="153" t="s">
        <v>340</v>
      </c>
      <c r="N614" s="153" t="s">
        <v>448</v>
      </c>
      <c r="O614" s="153" t="s">
        <v>339</v>
      </c>
      <c r="P614" s="153" t="s">
        <v>1215</v>
      </c>
      <c r="Q614" s="153" t="s">
        <v>413</v>
      </c>
      <c r="R614" s="153" t="s">
        <v>407</v>
      </c>
      <c r="S614" s="153" t="s">
        <v>1212</v>
      </c>
      <c r="T614" s="154">
        <v>1.74</v>
      </c>
      <c r="U614" s="153" t="s">
        <v>1833</v>
      </c>
      <c r="V614" s="155">
        <v>2.2089999999999999E-2</v>
      </c>
      <c r="W614" s="155">
        <v>2.0400000000000001E-2</v>
      </c>
      <c r="X614" s="153" t="s">
        <v>412</v>
      </c>
      <c r="Y614" s="153" t="s">
        <v>339</v>
      </c>
      <c r="Z614" s="154">
        <v>255258</v>
      </c>
      <c r="AA614" s="154">
        <v>1</v>
      </c>
      <c r="AB614" s="154">
        <v>113.2</v>
      </c>
      <c r="AD614" s="154">
        <v>288.952</v>
      </c>
      <c r="AG614" s="157" t="s">
        <v>15</v>
      </c>
      <c r="AH614" s="155">
        <v>1.7000000000000001E-4</v>
      </c>
      <c r="AI614" s="155">
        <f t="shared" si="9"/>
        <v>6.9037324360717483E-3</v>
      </c>
      <c r="AJ614" s="155">
        <v>7.6786959144473847E-4</v>
      </c>
    </row>
    <row r="615" spans="1:36" s="160" customFormat="1">
      <c r="A615" s="153" t="s">
        <v>1213</v>
      </c>
      <c r="B615" s="160">
        <v>14425</v>
      </c>
      <c r="C615" s="153" t="s">
        <v>1986</v>
      </c>
      <c r="D615" s="153" t="s">
        <v>1987</v>
      </c>
      <c r="E615" s="153" t="s">
        <v>309</v>
      </c>
      <c r="F615" s="153" t="s">
        <v>2504</v>
      </c>
      <c r="G615" s="153" t="s">
        <v>2505</v>
      </c>
      <c r="H615" s="153" t="s">
        <v>321</v>
      </c>
      <c r="I615" s="153" t="s">
        <v>951</v>
      </c>
      <c r="J615" s="153" t="s">
        <v>204</v>
      </c>
      <c r="K615" s="153" t="s">
        <v>204</v>
      </c>
      <c r="L615" s="153" t="s">
        <v>325</v>
      </c>
      <c r="M615" s="153" t="s">
        <v>340</v>
      </c>
      <c r="N615" s="153" t="s">
        <v>484</v>
      </c>
      <c r="O615" s="153" t="s">
        <v>339</v>
      </c>
      <c r="P615" s="153" t="s">
        <v>1538</v>
      </c>
      <c r="Q615" s="153" t="s">
        <v>413</v>
      </c>
      <c r="R615" s="153" t="s">
        <v>407</v>
      </c>
      <c r="S615" s="153" t="s">
        <v>1212</v>
      </c>
      <c r="T615" s="154">
        <v>0.65</v>
      </c>
      <c r="U615" s="153" t="s">
        <v>2372</v>
      </c>
      <c r="V615" s="155">
        <v>4.9360000000000001E-2</v>
      </c>
      <c r="W615" s="155">
        <v>5.0500000000000003E-2</v>
      </c>
      <c r="X615" s="153" t="s">
        <v>412</v>
      </c>
      <c r="Y615" s="153" t="s">
        <v>339</v>
      </c>
      <c r="Z615" s="154">
        <v>269650</v>
      </c>
      <c r="AA615" s="154">
        <v>1</v>
      </c>
      <c r="AB615" s="154">
        <v>100.35</v>
      </c>
      <c r="AD615" s="154">
        <v>270.59399999999999</v>
      </c>
      <c r="AG615" s="157" t="s">
        <v>15</v>
      </c>
      <c r="AH615" s="155">
        <v>2.5000000000000001E-4</v>
      </c>
      <c r="AI615" s="155">
        <f t="shared" si="9"/>
        <v>6.4651173025498995E-3</v>
      </c>
      <c r="AJ615" s="155">
        <v>7.1908449925038608E-4</v>
      </c>
    </row>
    <row r="616" spans="1:36" s="160" customFormat="1">
      <c r="A616" s="153" t="s">
        <v>1213</v>
      </c>
      <c r="B616" s="160">
        <v>14425</v>
      </c>
      <c r="C616" s="153" t="s">
        <v>2753</v>
      </c>
      <c r="D616" s="153" t="s">
        <v>2754</v>
      </c>
      <c r="E616" s="153" t="s">
        <v>309</v>
      </c>
      <c r="F616" s="153" t="s">
        <v>2755</v>
      </c>
      <c r="G616" s="153" t="s">
        <v>2756</v>
      </c>
      <c r="H616" s="153" t="s">
        <v>321</v>
      </c>
      <c r="I616" s="153" t="s">
        <v>951</v>
      </c>
      <c r="J616" s="153" t="s">
        <v>204</v>
      </c>
      <c r="K616" s="153" t="s">
        <v>204</v>
      </c>
      <c r="L616" s="153" t="s">
        <v>325</v>
      </c>
      <c r="M616" s="153" t="s">
        <v>340</v>
      </c>
      <c r="N616" s="153" t="s">
        <v>447</v>
      </c>
      <c r="O616" s="153" t="s">
        <v>339</v>
      </c>
      <c r="P616" s="153" t="s">
        <v>1586</v>
      </c>
      <c r="Q616" s="153" t="s">
        <v>415</v>
      </c>
      <c r="R616" s="153" t="s">
        <v>407</v>
      </c>
      <c r="S616" s="153" t="s">
        <v>1212</v>
      </c>
      <c r="T616" s="154">
        <v>1.89</v>
      </c>
      <c r="U616" s="153" t="s">
        <v>1528</v>
      </c>
      <c r="V616" s="155">
        <v>6.9330000000000003E-2</v>
      </c>
      <c r="W616" s="155">
        <v>6.6299999999999998E-2</v>
      </c>
      <c r="X616" s="153" t="s">
        <v>412</v>
      </c>
      <c r="Y616" s="153" t="s">
        <v>339</v>
      </c>
      <c r="Z616" s="154">
        <v>252296</v>
      </c>
      <c r="AA616" s="154">
        <v>1</v>
      </c>
      <c r="AB616" s="154">
        <v>102.16</v>
      </c>
      <c r="AD616" s="154">
        <v>257.74599999999998</v>
      </c>
      <c r="AG616" s="157" t="s">
        <v>15</v>
      </c>
      <c r="AH616" s="155">
        <v>1.58E-3</v>
      </c>
      <c r="AI616" s="155">
        <f t="shared" si="9"/>
        <v>6.1581488291056943E-3</v>
      </c>
      <c r="AJ616" s="155">
        <v>6.8494184403124236E-4</v>
      </c>
    </row>
    <row r="617" spans="1:36" s="160" customFormat="1">
      <c r="A617" s="153" t="s">
        <v>1213</v>
      </c>
      <c r="B617" s="160">
        <v>14425</v>
      </c>
      <c r="C617" s="153" t="s">
        <v>2757</v>
      </c>
      <c r="D617" s="153" t="s">
        <v>2758</v>
      </c>
      <c r="E617" s="153" t="s">
        <v>309</v>
      </c>
      <c r="F617" s="153" t="s">
        <v>2759</v>
      </c>
      <c r="G617" s="153" t="s">
        <v>2760</v>
      </c>
      <c r="H617" s="153" t="s">
        <v>321</v>
      </c>
      <c r="I617" s="153" t="s">
        <v>755</v>
      </c>
      <c r="J617" s="153" t="s">
        <v>204</v>
      </c>
      <c r="K617" s="153" t="s">
        <v>204</v>
      </c>
      <c r="L617" s="153" t="s">
        <v>325</v>
      </c>
      <c r="M617" s="153" t="s">
        <v>340</v>
      </c>
      <c r="N617" s="153" t="s">
        <v>440</v>
      </c>
      <c r="O617" s="153" t="s">
        <v>339</v>
      </c>
      <c r="P617" s="153" t="s">
        <v>1521</v>
      </c>
      <c r="Q617" s="153" t="s">
        <v>413</v>
      </c>
      <c r="R617" s="153" t="s">
        <v>407</v>
      </c>
      <c r="S617" s="153" t="s">
        <v>1212</v>
      </c>
      <c r="T617" s="154">
        <v>0.74</v>
      </c>
      <c r="U617" s="153" t="s">
        <v>2761</v>
      </c>
      <c r="V617" s="155">
        <v>4.6420000000000003E-2</v>
      </c>
      <c r="W617" s="155">
        <v>7.5899999999999995E-2</v>
      </c>
      <c r="X617" s="153" t="s">
        <v>412</v>
      </c>
      <c r="Y617" s="153" t="s">
        <v>339</v>
      </c>
      <c r="Z617" s="154">
        <v>225135.35999999999</v>
      </c>
      <c r="AA617" s="154">
        <v>1</v>
      </c>
      <c r="AB617" s="154">
        <v>100.15</v>
      </c>
      <c r="AD617" s="154">
        <v>225.47300000000001</v>
      </c>
      <c r="AG617" s="157" t="s">
        <v>15</v>
      </c>
      <c r="AH617" s="155">
        <v>9.2000000000000003E-4</v>
      </c>
      <c r="AI617" s="155">
        <f t="shared" si="9"/>
        <v>5.3870721211772381E-3</v>
      </c>
      <c r="AJ617" s="155">
        <v>5.9917861925793737E-4</v>
      </c>
    </row>
    <row r="618" spans="1:36" s="160" customFormat="1">
      <c r="A618" s="153" t="s">
        <v>1213</v>
      </c>
      <c r="B618" s="160">
        <v>14425</v>
      </c>
      <c r="C618" s="153" t="s">
        <v>1917</v>
      </c>
      <c r="D618" s="153" t="s">
        <v>1918</v>
      </c>
      <c r="E618" s="153" t="s">
        <v>309</v>
      </c>
      <c r="F618" s="153" t="s">
        <v>1919</v>
      </c>
      <c r="G618" s="153" t="s">
        <v>1920</v>
      </c>
      <c r="H618" s="153" t="s">
        <v>321</v>
      </c>
      <c r="I618" s="153" t="s">
        <v>754</v>
      </c>
      <c r="J618" s="153" t="s">
        <v>204</v>
      </c>
      <c r="K618" s="153" t="s">
        <v>204</v>
      </c>
      <c r="L618" s="153" t="s">
        <v>325</v>
      </c>
      <c r="M618" s="153" t="s">
        <v>340</v>
      </c>
      <c r="N618" s="153" t="s">
        <v>447</v>
      </c>
      <c r="O618" s="153" t="s">
        <v>339</v>
      </c>
      <c r="P618" s="153" t="s">
        <v>1560</v>
      </c>
      <c r="Q618" s="153" t="s">
        <v>413</v>
      </c>
      <c r="R618" s="153" t="s">
        <v>407</v>
      </c>
      <c r="S618" s="153" t="s">
        <v>1212</v>
      </c>
      <c r="T618" s="154">
        <v>3.26</v>
      </c>
      <c r="U618" s="153" t="s">
        <v>1913</v>
      </c>
      <c r="V618" s="155">
        <v>3.85E-2</v>
      </c>
      <c r="W618" s="155">
        <v>3.5099999999999999E-2</v>
      </c>
      <c r="X618" s="153" t="s">
        <v>412</v>
      </c>
      <c r="Y618" s="153" t="s">
        <v>339</v>
      </c>
      <c r="Z618" s="154">
        <v>212743</v>
      </c>
      <c r="AA618" s="154">
        <v>1</v>
      </c>
      <c r="AB618" s="154">
        <v>103.23</v>
      </c>
      <c r="AD618" s="154">
        <v>219.61500000000001</v>
      </c>
      <c r="AG618" s="157" t="s">
        <v>15</v>
      </c>
      <c r="AH618" s="155">
        <v>1.3999999999999999E-4</v>
      </c>
      <c r="AI618" s="155">
        <f t="shared" si="9"/>
        <v>5.2471109351999541E-3</v>
      </c>
      <c r="AJ618" s="155">
        <v>5.8361139678955764E-4</v>
      </c>
    </row>
    <row r="619" spans="1:36" s="160" customFormat="1">
      <c r="A619" s="153" t="s">
        <v>1213</v>
      </c>
      <c r="B619" s="160">
        <v>14425</v>
      </c>
      <c r="C619" s="153" t="s">
        <v>1674</v>
      </c>
      <c r="D619" s="153" t="s">
        <v>1675</v>
      </c>
      <c r="E619" s="153" t="s">
        <v>309</v>
      </c>
      <c r="F619" s="153" t="s">
        <v>2319</v>
      </c>
      <c r="G619" s="153" t="s">
        <v>2320</v>
      </c>
      <c r="H619" s="153" t="s">
        <v>321</v>
      </c>
      <c r="I619" s="153" t="s">
        <v>754</v>
      </c>
      <c r="J619" s="153" t="s">
        <v>204</v>
      </c>
      <c r="K619" s="153" t="s">
        <v>204</v>
      </c>
      <c r="L619" s="153" t="s">
        <v>325</v>
      </c>
      <c r="M619" s="153" t="s">
        <v>340</v>
      </c>
      <c r="N619" s="153" t="s">
        <v>464</v>
      </c>
      <c r="O619" s="153" t="s">
        <v>339</v>
      </c>
      <c r="P619" s="153" t="s">
        <v>1982</v>
      </c>
      <c r="Q619" s="153" t="s">
        <v>415</v>
      </c>
      <c r="R619" s="153" t="s">
        <v>407</v>
      </c>
      <c r="S619" s="153" t="s">
        <v>1212</v>
      </c>
      <c r="T619" s="154">
        <v>4.25</v>
      </c>
      <c r="U619" s="153" t="s">
        <v>1819</v>
      </c>
      <c r="V619" s="155">
        <v>3.415E-2</v>
      </c>
      <c r="W619" s="155">
        <v>3.15E-2</v>
      </c>
      <c r="X619" s="153" t="s">
        <v>412</v>
      </c>
      <c r="Y619" s="153" t="s">
        <v>339</v>
      </c>
      <c r="Z619" s="154">
        <v>204061</v>
      </c>
      <c r="AA619" s="154">
        <v>1</v>
      </c>
      <c r="AB619" s="154">
        <v>106.76</v>
      </c>
      <c r="AD619" s="154">
        <v>217.85599999999999</v>
      </c>
      <c r="AG619" s="157" t="s">
        <v>15</v>
      </c>
      <c r="AH619" s="155">
        <v>1.7000000000000001E-4</v>
      </c>
      <c r="AI619" s="155">
        <f t="shared" si="9"/>
        <v>5.2050843517014826E-3</v>
      </c>
      <c r="AJ619" s="155">
        <v>5.7893697816171867E-4</v>
      </c>
    </row>
    <row r="620" spans="1:36" s="160" customFormat="1">
      <c r="A620" s="153" t="s">
        <v>1213</v>
      </c>
      <c r="B620" s="160">
        <v>14425</v>
      </c>
      <c r="C620" s="153" t="s">
        <v>2178</v>
      </c>
      <c r="D620" s="153" t="s">
        <v>2179</v>
      </c>
      <c r="E620" s="153" t="s">
        <v>309</v>
      </c>
      <c r="F620" s="153" t="s">
        <v>2762</v>
      </c>
      <c r="G620" s="153" t="s">
        <v>2763</v>
      </c>
      <c r="H620" s="153" t="s">
        <v>321</v>
      </c>
      <c r="I620" s="153" t="s">
        <v>951</v>
      </c>
      <c r="J620" s="153" t="s">
        <v>204</v>
      </c>
      <c r="K620" s="153" t="s">
        <v>204</v>
      </c>
      <c r="L620" s="153" t="s">
        <v>325</v>
      </c>
      <c r="M620" s="153" t="s">
        <v>340</v>
      </c>
      <c r="N620" s="153" t="s">
        <v>464</v>
      </c>
      <c r="O620" s="153" t="s">
        <v>339</v>
      </c>
      <c r="P620" s="153" t="s">
        <v>1566</v>
      </c>
      <c r="Q620" s="153" t="s">
        <v>413</v>
      </c>
      <c r="R620" s="153" t="s">
        <v>407</v>
      </c>
      <c r="S620" s="153" t="s">
        <v>1212</v>
      </c>
      <c r="T620" s="154">
        <v>1.34</v>
      </c>
      <c r="U620" s="153" t="s">
        <v>2764</v>
      </c>
      <c r="V620" s="155">
        <v>-9.0799999999999995E-3</v>
      </c>
      <c r="W620" s="155">
        <v>6.1800000000000001E-2</v>
      </c>
      <c r="X620" s="153" t="s">
        <v>412</v>
      </c>
      <c r="Y620" s="153" t="s">
        <v>339</v>
      </c>
      <c r="Z620" s="154">
        <v>185343.75</v>
      </c>
      <c r="AA620" s="154">
        <v>1</v>
      </c>
      <c r="AB620" s="154">
        <v>101.51</v>
      </c>
      <c r="AD620" s="154">
        <v>188.142</v>
      </c>
      <c r="AG620" s="157" t="s">
        <v>15</v>
      </c>
      <c r="AH620" s="155">
        <v>1.8000000000000001E-4</v>
      </c>
      <c r="AI620" s="155">
        <f t="shared" si="9"/>
        <v>4.4951480799143486E-3</v>
      </c>
      <c r="AJ620" s="155">
        <v>4.999741156787148E-4</v>
      </c>
    </row>
    <row r="621" spans="1:36" s="160" customFormat="1">
      <c r="A621" s="153" t="s">
        <v>1213</v>
      </c>
      <c r="B621" s="160">
        <v>14425</v>
      </c>
      <c r="C621" s="153" t="s">
        <v>2385</v>
      </c>
      <c r="D621" s="153" t="s">
        <v>2386</v>
      </c>
      <c r="E621" s="153" t="s">
        <v>309</v>
      </c>
      <c r="F621" s="153" t="s">
        <v>2387</v>
      </c>
      <c r="G621" s="153" t="s">
        <v>2388</v>
      </c>
      <c r="H621" s="153" t="s">
        <v>321</v>
      </c>
      <c r="I621" s="153" t="s">
        <v>754</v>
      </c>
      <c r="J621" s="153" t="s">
        <v>204</v>
      </c>
      <c r="K621" s="153" t="s">
        <v>204</v>
      </c>
      <c r="L621" s="153" t="s">
        <v>325</v>
      </c>
      <c r="M621" s="153" t="s">
        <v>340</v>
      </c>
      <c r="N621" s="153" t="s">
        <v>464</v>
      </c>
      <c r="O621" s="153" t="s">
        <v>339</v>
      </c>
      <c r="P621" s="153" t="s">
        <v>1211</v>
      </c>
      <c r="Q621" s="153" t="s">
        <v>415</v>
      </c>
      <c r="R621" s="153" t="s">
        <v>407</v>
      </c>
      <c r="S621" s="153" t="s">
        <v>1212</v>
      </c>
      <c r="T621" s="154">
        <v>1.46</v>
      </c>
      <c r="U621" s="153" t="s">
        <v>1659</v>
      </c>
      <c r="V621" s="155">
        <v>1.908E-2</v>
      </c>
      <c r="W621" s="155">
        <v>2.1899999999999999E-2</v>
      </c>
      <c r="X621" s="153" t="s">
        <v>412</v>
      </c>
      <c r="Y621" s="153" t="s">
        <v>339</v>
      </c>
      <c r="Z621" s="154">
        <v>158583.94</v>
      </c>
      <c r="AA621" s="154">
        <v>1</v>
      </c>
      <c r="AB621" s="154">
        <v>114.36</v>
      </c>
      <c r="AD621" s="154">
        <v>181.357</v>
      </c>
      <c r="AG621" s="157" t="s">
        <v>15</v>
      </c>
      <c r="AH621" s="155">
        <v>1.2999999999999999E-4</v>
      </c>
      <c r="AI621" s="155">
        <f t="shared" si="9"/>
        <v>4.3330387171871595E-3</v>
      </c>
      <c r="AJ621" s="155">
        <v>4.8194345599145686E-4</v>
      </c>
    </row>
    <row r="622" spans="1:36" s="160" customFormat="1">
      <c r="A622" s="153" t="s">
        <v>1213</v>
      </c>
      <c r="B622" s="160">
        <v>14425</v>
      </c>
      <c r="C622" s="153" t="s">
        <v>2032</v>
      </c>
      <c r="D622" s="153" t="s">
        <v>2033</v>
      </c>
      <c r="E622" s="153" t="s">
        <v>309</v>
      </c>
      <c r="F622" s="153" t="s">
        <v>2765</v>
      </c>
      <c r="G622" s="153" t="s">
        <v>2766</v>
      </c>
      <c r="H622" s="153" t="s">
        <v>321</v>
      </c>
      <c r="I622" s="153" t="s">
        <v>754</v>
      </c>
      <c r="J622" s="153" t="s">
        <v>204</v>
      </c>
      <c r="K622" s="153" t="s">
        <v>204</v>
      </c>
      <c r="L622" s="153" t="s">
        <v>325</v>
      </c>
      <c r="M622" s="153" t="s">
        <v>340</v>
      </c>
      <c r="N622" s="153" t="s">
        <v>445</v>
      </c>
      <c r="O622" s="153" t="s">
        <v>339</v>
      </c>
      <c r="P622" s="153" t="s">
        <v>1538</v>
      </c>
      <c r="Q622" s="153" t="s">
        <v>413</v>
      </c>
      <c r="R622" s="153" t="s">
        <v>407</v>
      </c>
      <c r="S622" s="153" t="s">
        <v>1212</v>
      </c>
      <c r="T622" s="154">
        <v>5.09</v>
      </c>
      <c r="U622" s="153" t="s">
        <v>2210</v>
      </c>
      <c r="V622" s="155">
        <v>2.2360000000000001E-2</v>
      </c>
      <c r="W622" s="155">
        <v>2.8899999999999999E-2</v>
      </c>
      <c r="X622" s="153" t="s">
        <v>412</v>
      </c>
      <c r="Y622" s="153" t="s">
        <v>339</v>
      </c>
      <c r="Z622" s="154">
        <v>176860</v>
      </c>
      <c r="AA622" s="154">
        <v>1</v>
      </c>
      <c r="AB622" s="154">
        <v>100.89</v>
      </c>
      <c r="AD622" s="154">
        <v>178.434</v>
      </c>
      <c r="AG622" s="157" t="s">
        <v>15</v>
      </c>
      <c r="AH622" s="155">
        <v>5.9000000000000003E-4</v>
      </c>
      <c r="AI622" s="155">
        <f t="shared" si="9"/>
        <v>4.2632014780933387E-3</v>
      </c>
      <c r="AJ622" s="155">
        <v>4.741757893347354E-4</v>
      </c>
    </row>
    <row r="623" spans="1:36" s="160" customFormat="1">
      <c r="A623" s="153" t="s">
        <v>1213</v>
      </c>
      <c r="B623" s="160">
        <v>14425</v>
      </c>
      <c r="C623" s="153" t="s">
        <v>1573</v>
      </c>
      <c r="D623" s="153" t="s">
        <v>1574</v>
      </c>
      <c r="E623" s="153" t="s">
        <v>309</v>
      </c>
      <c r="F623" s="153" t="s">
        <v>2277</v>
      </c>
      <c r="G623" s="153" t="s">
        <v>2278</v>
      </c>
      <c r="H623" s="153" t="s">
        <v>321</v>
      </c>
      <c r="I623" s="153" t="s">
        <v>754</v>
      </c>
      <c r="J623" s="153" t="s">
        <v>204</v>
      </c>
      <c r="K623" s="153" t="s">
        <v>204</v>
      </c>
      <c r="L623" s="153" t="s">
        <v>325</v>
      </c>
      <c r="M623" s="153" t="s">
        <v>340</v>
      </c>
      <c r="N623" s="153" t="s">
        <v>448</v>
      </c>
      <c r="O623" s="153" t="s">
        <v>339</v>
      </c>
      <c r="P623" s="153" t="s">
        <v>1215</v>
      </c>
      <c r="Q623" s="153" t="s">
        <v>413</v>
      </c>
      <c r="R623" s="153" t="s">
        <v>407</v>
      </c>
      <c r="S623" s="153" t="s">
        <v>1212</v>
      </c>
      <c r="T623" s="154">
        <v>3.14</v>
      </c>
      <c r="U623" s="153" t="s">
        <v>2279</v>
      </c>
      <c r="V623" s="155">
        <v>1.8010000000000002E-2</v>
      </c>
      <c r="W623" s="155">
        <v>2.3099999999999999E-2</v>
      </c>
      <c r="X623" s="153" t="s">
        <v>412</v>
      </c>
      <c r="Y623" s="153" t="s">
        <v>339</v>
      </c>
      <c r="Z623" s="154">
        <v>150520</v>
      </c>
      <c r="AA623" s="154">
        <v>1</v>
      </c>
      <c r="AB623" s="154">
        <v>105.15</v>
      </c>
      <c r="AD623" s="154">
        <v>158.27199999999999</v>
      </c>
      <c r="AG623" s="157" t="s">
        <v>15</v>
      </c>
      <c r="AH623" s="155">
        <v>5.0000000000000002E-5</v>
      </c>
      <c r="AI623" s="155">
        <f t="shared" si="9"/>
        <v>3.7814846068618584E-3</v>
      </c>
      <c r="AJ623" s="155">
        <v>4.2059669418153064E-4</v>
      </c>
    </row>
    <row r="624" spans="1:36" s="160" customFormat="1">
      <c r="A624" s="153" t="s">
        <v>1213</v>
      </c>
      <c r="B624" s="160">
        <v>14425</v>
      </c>
      <c r="C624" s="153" t="s">
        <v>2767</v>
      </c>
      <c r="D624" s="153" t="s">
        <v>2768</v>
      </c>
      <c r="E624" s="153" t="s">
        <v>309</v>
      </c>
      <c r="F624" s="153" t="s">
        <v>2769</v>
      </c>
      <c r="G624" s="153" t="s">
        <v>2770</v>
      </c>
      <c r="H624" s="153" t="s">
        <v>321</v>
      </c>
      <c r="I624" s="153" t="s">
        <v>951</v>
      </c>
      <c r="J624" s="153" t="s">
        <v>204</v>
      </c>
      <c r="K624" s="153" t="s">
        <v>204</v>
      </c>
      <c r="L624" s="153" t="s">
        <v>325</v>
      </c>
      <c r="M624" s="153" t="s">
        <v>340</v>
      </c>
      <c r="N624" s="153" t="s">
        <v>440</v>
      </c>
      <c r="O624" s="153" t="s">
        <v>339</v>
      </c>
      <c r="P624" s="153" t="s">
        <v>1614</v>
      </c>
      <c r="Q624" s="153" t="s">
        <v>415</v>
      </c>
      <c r="R624" s="153" t="s">
        <v>407</v>
      </c>
      <c r="S624" s="153" t="s">
        <v>1212</v>
      </c>
      <c r="T624" s="154">
        <v>4.2</v>
      </c>
      <c r="U624" s="153" t="s">
        <v>2177</v>
      </c>
      <c r="V624" s="155">
        <v>6.7100000000000007E-2</v>
      </c>
      <c r="W624" s="155">
        <v>6.3299999999999995E-2</v>
      </c>
      <c r="X624" s="153" t="s">
        <v>412</v>
      </c>
      <c r="Y624" s="153" t="s">
        <v>339</v>
      </c>
      <c r="Z624" s="154">
        <v>186825.60000000001</v>
      </c>
      <c r="AA624" s="154">
        <v>1</v>
      </c>
      <c r="AB624" s="154">
        <v>83.93</v>
      </c>
      <c r="AD624" s="154">
        <v>156.803</v>
      </c>
      <c r="AG624" s="157" t="s">
        <v>15</v>
      </c>
      <c r="AH624" s="155">
        <v>6.7000000000000002E-4</v>
      </c>
      <c r="AI624" s="155">
        <f t="shared" si="9"/>
        <v>3.7463867949464212E-3</v>
      </c>
      <c r="AJ624" s="155">
        <v>4.1669293013133434E-4</v>
      </c>
    </row>
    <row r="625" spans="1:36" s="160" customFormat="1">
      <c r="A625" s="153" t="s">
        <v>1213</v>
      </c>
      <c r="B625" s="160">
        <v>14425</v>
      </c>
      <c r="C625" s="153" t="s">
        <v>455</v>
      </c>
      <c r="D625" s="153" t="s">
        <v>2106</v>
      </c>
      <c r="E625" s="153" t="s">
        <v>309</v>
      </c>
      <c r="F625" s="153" t="s">
        <v>2255</v>
      </c>
      <c r="G625" s="153" t="s">
        <v>2256</v>
      </c>
      <c r="H625" s="153" t="s">
        <v>321</v>
      </c>
      <c r="I625" s="153" t="s">
        <v>754</v>
      </c>
      <c r="J625" s="153" t="s">
        <v>204</v>
      </c>
      <c r="K625" s="153" t="s">
        <v>204</v>
      </c>
      <c r="L625" s="153" t="s">
        <v>325</v>
      </c>
      <c r="M625" s="153" t="s">
        <v>340</v>
      </c>
      <c r="N625" s="153" t="s">
        <v>440</v>
      </c>
      <c r="O625" s="153" t="s">
        <v>339</v>
      </c>
      <c r="P625" s="153" t="s">
        <v>1923</v>
      </c>
      <c r="Q625" s="153" t="s">
        <v>415</v>
      </c>
      <c r="R625" s="153" t="s">
        <v>407</v>
      </c>
      <c r="S625" s="153" t="s">
        <v>1212</v>
      </c>
      <c r="T625" s="154">
        <v>5.8</v>
      </c>
      <c r="U625" s="153" t="s">
        <v>2257</v>
      </c>
      <c r="V625" s="155">
        <v>6.5300000000000002E-3</v>
      </c>
      <c r="W625" s="155">
        <v>2.92E-2</v>
      </c>
      <c r="X625" s="153" t="s">
        <v>412</v>
      </c>
      <c r="Y625" s="153" t="s">
        <v>339</v>
      </c>
      <c r="Z625" s="154">
        <v>135956</v>
      </c>
      <c r="AA625" s="154">
        <v>1</v>
      </c>
      <c r="AB625" s="154">
        <v>111.74</v>
      </c>
      <c r="AD625" s="154">
        <v>151.917</v>
      </c>
      <c r="AG625" s="157" t="s">
        <v>15</v>
      </c>
      <c r="AH625" s="155">
        <v>3.0000000000000001E-5</v>
      </c>
      <c r="AI625" s="155">
        <f t="shared" si="9"/>
        <v>3.6296489399302023E-3</v>
      </c>
      <c r="AJ625" s="155">
        <v>4.0370872921284621E-4</v>
      </c>
    </row>
    <row r="626" spans="1:36" s="160" customFormat="1">
      <c r="A626" s="153" t="s">
        <v>1213</v>
      </c>
      <c r="B626" s="160">
        <v>14425</v>
      </c>
      <c r="C626" s="153" t="s">
        <v>1861</v>
      </c>
      <c r="D626" s="153" t="s">
        <v>1862</v>
      </c>
      <c r="E626" s="153" t="s">
        <v>309</v>
      </c>
      <c r="F626" s="153" t="s">
        <v>2564</v>
      </c>
      <c r="G626" s="153" t="s">
        <v>2565</v>
      </c>
      <c r="H626" s="153" t="s">
        <v>321</v>
      </c>
      <c r="I626" s="153" t="s">
        <v>754</v>
      </c>
      <c r="J626" s="153" t="s">
        <v>204</v>
      </c>
      <c r="K626" s="153" t="s">
        <v>204</v>
      </c>
      <c r="L626" s="153" t="s">
        <v>325</v>
      </c>
      <c r="M626" s="153" t="s">
        <v>340</v>
      </c>
      <c r="N626" s="153" t="s">
        <v>464</v>
      </c>
      <c r="O626" s="153" t="s">
        <v>339</v>
      </c>
      <c r="P626" s="153" t="s">
        <v>1538</v>
      </c>
      <c r="Q626" s="153" t="s">
        <v>413</v>
      </c>
      <c r="R626" s="153" t="s">
        <v>407</v>
      </c>
      <c r="S626" s="153" t="s">
        <v>1212</v>
      </c>
      <c r="T626" s="154">
        <v>0.76</v>
      </c>
      <c r="U626" s="153" t="s">
        <v>2460</v>
      </c>
      <c r="V626" s="155">
        <v>2.1129999999999999E-2</v>
      </c>
      <c r="W626" s="155">
        <v>2.6800000000000001E-2</v>
      </c>
      <c r="X626" s="153" t="s">
        <v>412</v>
      </c>
      <c r="Y626" s="153" t="s">
        <v>339</v>
      </c>
      <c r="Z626" s="154">
        <v>127996.24</v>
      </c>
      <c r="AA626" s="154">
        <v>1</v>
      </c>
      <c r="AB626" s="154">
        <v>117.49</v>
      </c>
      <c r="AD626" s="154">
        <v>150.38300000000001</v>
      </c>
      <c r="AG626" s="157" t="s">
        <v>15</v>
      </c>
      <c r="AH626" s="155">
        <v>1.6000000000000001E-4</v>
      </c>
      <c r="AI626" s="155">
        <f t="shared" si="9"/>
        <v>3.5929981274875336E-3</v>
      </c>
      <c r="AJ626" s="155">
        <v>3.9963223224007485E-4</v>
      </c>
    </row>
    <row r="627" spans="1:36" s="160" customFormat="1">
      <c r="A627" s="153" t="s">
        <v>1213</v>
      </c>
      <c r="B627" s="160">
        <v>14425</v>
      </c>
      <c r="C627" s="153" t="s">
        <v>2771</v>
      </c>
      <c r="D627" s="153" t="s">
        <v>2772</v>
      </c>
      <c r="E627" s="153" t="s">
        <v>309</v>
      </c>
      <c r="F627" s="153" t="s">
        <v>2773</v>
      </c>
      <c r="G627" s="153" t="s">
        <v>2774</v>
      </c>
      <c r="H627" s="153" t="s">
        <v>321</v>
      </c>
      <c r="I627" s="153" t="s">
        <v>754</v>
      </c>
      <c r="J627" s="153" t="s">
        <v>204</v>
      </c>
      <c r="K627" s="153" t="s">
        <v>204</v>
      </c>
      <c r="L627" s="153" t="s">
        <v>325</v>
      </c>
      <c r="M627" s="153" t="s">
        <v>340</v>
      </c>
      <c r="N627" s="153" t="s">
        <v>447</v>
      </c>
      <c r="O627" s="153" t="s">
        <v>339</v>
      </c>
      <c r="P627" s="153" t="s">
        <v>1544</v>
      </c>
      <c r="Q627" s="153" t="s">
        <v>415</v>
      </c>
      <c r="R627" s="153" t="s">
        <v>407</v>
      </c>
      <c r="S627" s="153" t="s">
        <v>1212</v>
      </c>
      <c r="T627" s="154">
        <v>4.1100000000000003</v>
      </c>
      <c r="U627" s="153" t="s">
        <v>1587</v>
      </c>
      <c r="V627" s="155">
        <v>2.4129999999999999E-2</v>
      </c>
      <c r="W627" s="155">
        <v>2.98E-2</v>
      </c>
      <c r="X627" s="153" t="s">
        <v>412</v>
      </c>
      <c r="Y627" s="153" t="s">
        <v>339</v>
      </c>
      <c r="Z627" s="154">
        <v>138529.22</v>
      </c>
      <c r="AA627" s="154">
        <v>1</v>
      </c>
      <c r="AB627" s="154">
        <v>101.61</v>
      </c>
      <c r="AD627" s="154">
        <v>140.76</v>
      </c>
      <c r="AG627" s="157" t="s">
        <v>15</v>
      </c>
      <c r="AH627" s="155">
        <v>8.4999999999999995E-4</v>
      </c>
      <c r="AI627" s="155">
        <f t="shared" si="9"/>
        <v>3.3630823725098258E-3</v>
      </c>
      <c r="AJ627" s="155">
        <v>3.7405978741023211E-4</v>
      </c>
    </row>
    <row r="628" spans="1:36" s="160" customFormat="1">
      <c r="A628" s="153" t="s">
        <v>1213</v>
      </c>
      <c r="B628" s="160">
        <v>14425</v>
      </c>
      <c r="C628" s="153" t="s">
        <v>1600</v>
      </c>
      <c r="D628" s="153" t="s">
        <v>1601</v>
      </c>
      <c r="E628" s="153" t="s">
        <v>309</v>
      </c>
      <c r="F628" s="153" t="s">
        <v>2333</v>
      </c>
      <c r="G628" s="153" t="s">
        <v>2334</v>
      </c>
      <c r="H628" s="153" t="s">
        <v>321</v>
      </c>
      <c r="I628" s="153" t="s">
        <v>754</v>
      </c>
      <c r="J628" s="153" t="s">
        <v>204</v>
      </c>
      <c r="K628" s="153" t="s">
        <v>204</v>
      </c>
      <c r="L628" s="153" t="s">
        <v>325</v>
      </c>
      <c r="M628" s="153" t="s">
        <v>340</v>
      </c>
      <c r="N628" s="153" t="s">
        <v>448</v>
      </c>
      <c r="O628" s="153" t="s">
        <v>339</v>
      </c>
      <c r="P628" s="153" t="s">
        <v>1215</v>
      </c>
      <c r="Q628" s="153" t="s">
        <v>413</v>
      </c>
      <c r="R628" s="153" t="s">
        <v>407</v>
      </c>
      <c r="S628" s="153" t="s">
        <v>1212</v>
      </c>
      <c r="T628" s="154">
        <v>3.56</v>
      </c>
      <c r="U628" s="153" t="s">
        <v>2335</v>
      </c>
      <c r="V628" s="155">
        <v>1.89E-2</v>
      </c>
      <c r="W628" s="155">
        <v>2.4E-2</v>
      </c>
      <c r="X628" s="153" t="s">
        <v>412</v>
      </c>
      <c r="Y628" s="153" t="s">
        <v>339</v>
      </c>
      <c r="Z628" s="154">
        <v>134219.56</v>
      </c>
      <c r="AA628" s="154">
        <v>1</v>
      </c>
      <c r="AB628" s="154">
        <v>103.73</v>
      </c>
      <c r="AD628" s="154">
        <v>139.226</v>
      </c>
      <c r="AG628" s="157" t="s">
        <v>15</v>
      </c>
      <c r="AH628" s="155">
        <v>1.2E-4</v>
      </c>
      <c r="AI628" s="155">
        <f t="shared" si="9"/>
        <v>3.3264315600671571E-3</v>
      </c>
      <c r="AJ628" s="155">
        <v>3.6998329043746075E-4</v>
      </c>
    </row>
    <row r="629" spans="1:36" s="160" customFormat="1">
      <c r="A629" s="153" t="s">
        <v>1213</v>
      </c>
      <c r="B629" s="160">
        <v>14425</v>
      </c>
      <c r="C629" s="153" t="s">
        <v>1591</v>
      </c>
      <c r="D629" s="153" t="s">
        <v>1592</v>
      </c>
      <c r="E629" s="153" t="s">
        <v>309</v>
      </c>
      <c r="F629" s="153" t="s">
        <v>1858</v>
      </c>
      <c r="G629" s="153" t="s">
        <v>1859</v>
      </c>
      <c r="H629" s="153" t="s">
        <v>321</v>
      </c>
      <c r="I629" s="153" t="s">
        <v>754</v>
      </c>
      <c r="J629" s="153" t="s">
        <v>204</v>
      </c>
      <c r="K629" s="153" t="s">
        <v>204</v>
      </c>
      <c r="L629" s="153" t="s">
        <v>325</v>
      </c>
      <c r="M629" s="153" t="s">
        <v>340</v>
      </c>
      <c r="N629" s="153" t="s">
        <v>464</v>
      </c>
      <c r="O629" s="153" t="s">
        <v>339</v>
      </c>
      <c r="P629" s="153" t="s">
        <v>1538</v>
      </c>
      <c r="Q629" s="153" t="s">
        <v>413</v>
      </c>
      <c r="R629" s="153" t="s">
        <v>407</v>
      </c>
      <c r="S629" s="153" t="s">
        <v>1212</v>
      </c>
      <c r="T629" s="154">
        <v>5.14</v>
      </c>
      <c r="U629" s="153" t="s">
        <v>1860</v>
      </c>
      <c r="V629" s="155">
        <v>3.0679999999999999E-2</v>
      </c>
      <c r="W629" s="155">
        <v>3.32E-2</v>
      </c>
      <c r="X629" s="153" t="s">
        <v>412</v>
      </c>
      <c r="Y629" s="153" t="s">
        <v>339</v>
      </c>
      <c r="Z629" s="154">
        <v>136552</v>
      </c>
      <c r="AA629" s="154">
        <v>1</v>
      </c>
      <c r="AB629" s="154">
        <v>97.54</v>
      </c>
      <c r="AD629" s="154">
        <v>133.19300000000001</v>
      </c>
      <c r="AG629" s="157" t="s">
        <v>15</v>
      </c>
      <c r="AH629" s="155">
        <v>1E-4</v>
      </c>
      <c r="AI629" s="155">
        <f t="shared" si="9"/>
        <v>3.1822892188242491E-3</v>
      </c>
      <c r="AJ629" s="155">
        <v>3.5395101779291739E-4</v>
      </c>
    </row>
    <row r="630" spans="1:36" s="160" customFormat="1">
      <c r="A630" s="153" t="s">
        <v>1213</v>
      </c>
      <c r="B630" s="160">
        <v>14425</v>
      </c>
      <c r="C630" s="153" t="s">
        <v>1861</v>
      </c>
      <c r="D630" s="153" t="s">
        <v>1862</v>
      </c>
      <c r="E630" s="153" t="s">
        <v>309</v>
      </c>
      <c r="F630" s="153" t="s">
        <v>1863</v>
      </c>
      <c r="G630" s="153" t="s">
        <v>1864</v>
      </c>
      <c r="H630" s="153" t="s">
        <v>321</v>
      </c>
      <c r="I630" s="153" t="s">
        <v>754</v>
      </c>
      <c r="J630" s="153" t="s">
        <v>204</v>
      </c>
      <c r="K630" s="153" t="s">
        <v>204</v>
      </c>
      <c r="L630" s="153" t="s">
        <v>325</v>
      </c>
      <c r="M630" s="153" t="s">
        <v>340</v>
      </c>
      <c r="N630" s="153" t="s">
        <v>464</v>
      </c>
      <c r="O630" s="153" t="s">
        <v>339</v>
      </c>
      <c r="P630" s="153" t="s">
        <v>1538</v>
      </c>
      <c r="Q630" s="153" t="s">
        <v>413</v>
      </c>
      <c r="R630" s="153" t="s">
        <v>407</v>
      </c>
      <c r="S630" s="153" t="s">
        <v>1212</v>
      </c>
      <c r="T630" s="154">
        <v>5.3</v>
      </c>
      <c r="U630" s="153" t="s">
        <v>1865</v>
      </c>
      <c r="V630" s="155">
        <v>2.5729999999999999E-2</v>
      </c>
      <c r="W630" s="155">
        <v>3.0300000000000001E-2</v>
      </c>
      <c r="X630" s="153" t="s">
        <v>412</v>
      </c>
      <c r="Y630" s="153" t="s">
        <v>339</v>
      </c>
      <c r="Z630" s="154">
        <v>100739.41</v>
      </c>
      <c r="AA630" s="154">
        <v>1</v>
      </c>
      <c r="AB630" s="154">
        <v>97.92</v>
      </c>
      <c r="AD630" s="154">
        <v>98.644000000000005</v>
      </c>
      <c r="AG630" s="157" t="s">
        <v>15</v>
      </c>
      <c r="AH630" s="155">
        <v>8.0000000000000007E-5</v>
      </c>
      <c r="AI630" s="155">
        <f t="shared" si="9"/>
        <v>2.3568336001268779E-3</v>
      </c>
      <c r="AJ630" s="155">
        <v>2.6213948329990719E-4</v>
      </c>
    </row>
    <row r="631" spans="1:36" s="160" customFormat="1">
      <c r="A631" s="153" t="s">
        <v>1213</v>
      </c>
      <c r="B631" s="160">
        <v>14425</v>
      </c>
      <c r="C631" s="153" t="s">
        <v>2775</v>
      </c>
      <c r="D631" s="153" t="s">
        <v>2776</v>
      </c>
      <c r="E631" s="153" t="s">
        <v>80</v>
      </c>
      <c r="F631" s="153" t="s">
        <v>2777</v>
      </c>
      <c r="G631" s="153" t="s">
        <v>2778</v>
      </c>
      <c r="H631" s="153" t="s">
        <v>321</v>
      </c>
      <c r="I631" s="153" t="s">
        <v>755</v>
      </c>
      <c r="J631" s="153" t="s">
        <v>205</v>
      </c>
      <c r="K631" s="153" t="s">
        <v>224</v>
      </c>
      <c r="L631" s="153" t="s">
        <v>325</v>
      </c>
      <c r="M631" s="153" t="s">
        <v>314</v>
      </c>
      <c r="N631" s="153" t="s">
        <v>546</v>
      </c>
      <c r="O631" s="153" t="s">
        <v>339</v>
      </c>
      <c r="P631" s="153" t="s">
        <v>2779</v>
      </c>
      <c r="Q631" s="153" t="s">
        <v>433</v>
      </c>
      <c r="R631" s="153" t="s">
        <v>407</v>
      </c>
      <c r="S631" s="153" t="s">
        <v>1216</v>
      </c>
      <c r="T631" s="154">
        <v>2.9239999999999999</v>
      </c>
      <c r="U631" s="153" t="s">
        <v>1488</v>
      </c>
      <c r="V631" s="155">
        <v>5.373E-2</v>
      </c>
      <c r="W631" s="155">
        <v>4.6559999999999997E-2</v>
      </c>
      <c r="X631" s="153" t="s">
        <v>412</v>
      </c>
      <c r="Y631" s="153" t="s">
        <v>339</v>
      </c>
      <c r="Z631" s="154">
        <v>232000</v>
      </c>
      <c r="AA631" s="154">
        <v>3.71</v>
      </c>
      <c r="AB631" s="154">
        <v>106.401</v>
      </c>
      <c r="AD631" s="154">
        <v>915.81200000000001</v>
      </c>
      <c r="AG631" s="157" t="s">
        <v>15</v>
      </c>
      <c r="AH631" s="155">
        <v>2.3000000000000001E-4</v>
      </c>
      <c r="AI631" s="155">
        <f t="shared" si="9"/>
        <v>2.1880869520694578E-2</v>
      </c>
      <c r="AJ631" s="155">
        <v>2.4337058967585927E-3</v>
      </c>
    </row>
    <row r="632" spans="1:36" s="160" customFormat="1">
      <c r="A632" s="153" t="s">
        <v>1213</v>
      </c>
      <c r="B632" s="160">
        <v>15373</v>
      </c>
      <c r="C632" s="153" t="s">
        <v>2436</v>
      </c>
      <c r="D632" s="153" t="s">
        <v>2437</v>
      </c>
      <c r="E632" s="153" t="s">
        <v>309</v>
      </c>
      <c r="F632" s="153" t="s">
        <v>2438</v>
      </c>
      <c r="G632" s="153" t="s">
        <v>2439</v>
      </c>
      <c r="H632" s="153" t="s">
        <v>321</v>
      </c>
      <c r="I632" s="153" t="s">
        <v>754</v>
      </c>
      <c r="J632" s="153" t="s">
        <v>204</v>
      </c>
      <c r="K632" s="153" t="s">
        <v>204</v>
      </c>
      <c r="L632" s="153" t="s">
        <v>325</v>
      </c>
      <c r="M632" s="153" t="s">
        <v>340</v>
      </c>
      <c r="N632" s="153" t="s">
        <v>475</v>
      </c>
      <c r="O632" s="153" t="s">
        <v>339</v>
      </c>
      <c r="P632" s="153" t="s">
        <v>1538</v>
      </c>
      <c r="Q632" s="153" t="s">
        <v>413</v>
      </c>
      <c r="R632" s="153" t="s">
        <v>407</v>
      </c>
      <c r="S632" s="153" t="s">
        <v>1212</v>
      </c>
      <c r="T632" s="154">
        <v>2.44</v>
      </c>
      <c r="U632" s="153" t="s">
        <v>2440</v>
      </c>
      <c r="V632" s="155">
        <v>2.0930000000000001E-2</v>
      </c>
      <c r="W632" s="155">
        <v>2.3E-2</v>
      </c>
      <c r="X632" s="153" t="s">
        <v>412</v>
      </c>
      <c r="Y632" s="153" t="s">
        <v>339</v>
      </c>
      <c r="Z632" s="154">
        <v>42030.400000000001</v>
      </c>
      <c r="AA632" s="154">
        <v>1</v>
      </c>
      <c r="AB632" s="154">
        <v>120.79</v>
      </c>
      <c r="AC632" s="154">
        <v>14.723000000000001</v>
      </c>
      <c r="AD632" s="154">
        <v>65.491</v>
      </c>
      <c r="AG632" s="157" t="s">
        <v>15</v>
      </c>
      <c r="AH632" s="155">
        <v>1E-4</v>
      </c>
      <c r="AI632" s="155">
        <f t="shared" si="9"/>
        <v>8.800235421851231E-2</v>
      </c>
      <c r="AJ632" s="155">
        <v>3.3415053235521159E-3</v>
      </c>
    </row>
    <row r="633" spans="1:36" s="160" customFormat="1">
      <c r="A633" s="153" t="s">
        <v>1213</v>
      </c>
      <c r="B633" s="160">
        <v>15373</v>
      </c>
      <c r="C633" s="153" t="s">
        <v>1600</v>
      </c>
      <c r="D633" s="153" t="s">
        <v>1601</v>
      </c>
      <c r="E633" s="153" t="s">
        <v>309</v>
      </c>
      <c r="F633" s="153" t="s">
        <v>1954</v>
      </c>
      <c r="G633" s="153" t="s">
        <v>1955</v>
      </c>
      <c r="H633" s="153" t="s">
        <v>321</v>
      </c>
      <c r="I633" s="153" t="s">
        <v>754</v>
      </c>
      <c r="J633" s="153" t="s">
        <v>204</v>
      </c>
      <c r="K633" s="153" t="s">
        <v>204</v>
      </c>
      <c r="L633" s="153" t="s">
        <v>325</v>
      </c>
      <c r="M633" s="153" t="s">
        <v>340</v>
      </c>
      <c r="N633" s="153" t="s">
        <v>448</v>
      </c>
      <c r="O633" s="153" t="s">
        <v>339</v>
      </c>
      <c r="P633" s="153" t="s">
        <v>1215</v>
      </c>
      <c r="Q633" s="153" t="s">
        <v>413</v>
      </c>
      <c r="R633" s="153" t="s">
        <v>407</v>
      </c>
      <c r="S633" s="153" t="s">
        <v>1212</v>
      </c>
      <c r="T633" s="154">
        <v>3.02</v>
      </c>
      <c r="U633" s="153" t="s">
        <v>1956</v>
      </c>
      <c r="V633" s="155">
        <v>2.1080000000000002E-2</v>
      </c>
      <c r="W633" s="155">
        <v>2.35E-2</v>
      </c>
      <c r="X633" s="153" t="s">
        <v>412</v>
      </c>
      <c r="Y633" s="153" t="s">
        <v>339</v>
      </c>
      <c r="Z633" s="154">
        <v>57117</v>
      </c>
      <c r="AA633" s="154">
        <v>1</v>
      </c>
      <c r="AB633" s="154">
        <v>114.28</v>
      </c>
      <c r="AD633" s="154">
        <v>65.272999999999996</v>
      </c>
      <c r="AG633" s="157" t="s">
        <v>15</v>
      </c>
      <c r="AH633" s="155">
        <v>2.0000000000000002E-5</v>
      </c>
      <c r="AI633" s="155">
        <f t="shared" si="9"/>
        <v>8.7709420636498961E-2</v>
      </c>
      <c r="AJ633" s="155">
        <v>3.3303824492558862E-3</v>
      </c>
    </row>
    <row r="634" spans="1:36" s="160" customFormat="1">
      <c r="A634" s="153" t="s">
        <v>1213</v>
      </c>
      <c r="B634" s="160">
        <v>15373</v>
      </c>
      <c r="C634" s="153" t="s">
        <v>455</v>
      </c>
      <c r="D634" s="153" t="s">
        <v>2106</v>
      </c>
      <c r="E634" s="153" t="s">
        <v>309</v>
      </c>
      <c r="F634" s="153" t="s">
        <v>2255</v>
      </c>
      <c r="G634" s="153" t="s">
        <v>2256</v>
      </c>
      <c r="H634" s="153" t="s">
        <v>321</v>
      </c>
      <c r="I634" s="153" t="s">
        <v>754</v>
      </c>
      <c r="J634" s="153" t="s">
        <v>204</v>
      </c>
      <c r="K634" s="153" t="s">
        <v>204</v>
      </c>
      <c r="L634" s="153" t="s">
        <v>325</v>
      </c>
      <c r="M634" s="153" t="s">
        <v>340</v>
      </c>
      <c r="N634" s="153" t="s">
        <v>440</v>
      </c>
      <c r="O634" s="153" t="s">
        <v>339</v>
      </c>
      <c r="P634" s="153" t="s">
        <v>1923</v>
      </c>
      <c r="Q634" s="153" t="s">
        <v>415</v>
      </c>
      <c r="R634" s="153" t="s">
        <v>407</v>
      </c>
      <c r="S634" s="153" t="s">
        <v>1212</v>
      </c>
      <c r="T634" s="154">
        <v>5.8</v>
      </c>
      <c r="U634" s="153" t="s">
        <v>2257</v>
      </c>
      <c r="V634" s="155">
        <v>1.6000000000000001E-4</v>
      </c>
      <c r="W634" s="155">
        <v>2.92E-2</v>
      </c>
      <c r="X634" s="153" t="s">
        <v>412</v>
      </c>
      <c r="Y634" s="153" t="s">
        <v>339</v>
      </c>
      <c r="Z634" s="154">
        <v>57509</v>
      </c>
      <c r="AA634" s="154">
        <v>1</v>
      </c>
      <c r="AB634" s="154">
        <v>111.74</v>
      </c>
      <c r="AD634" s="154">
        <v>64.260999999999996</v>
      </c>
      <c r="AG634" s="157" t="s">
        <v>15</v>
      </c>
      <c r="AH634" s="155">
        <v>1.0000000000000001E-5</v>
      </c>
      <c r="AI634" s="155">
        <f t="shared" si="9"/>
        <v>8.6349563824583822E-2</v>
      </c>
      <c r="AJ634" s="155">
        <v>3.2787478217889865E-3</v>
      </c>
    </row>
    <row r="635" spans="1:36" s="160" customFormat="1">
      <c r="A635" s="153" t="s">
        <v>1213</v>
      </c>
      <c r="B635" s="160">
        <v>15373</v>
      </c>
      <c r="C635" s="153" t="s">
        <v>2454</v>
      </c>
      <c r="D635" s="153" t="s">
        <v>2455</v>
      </c>
      <c r="E635" s="153" t="s">
        <v>309</v>
      </c>
      <c r="F635" s="153" t="s">
        <v>2456</v>
      </c>
      <c r="G635" s="153" t="s">
        <v>2457</v>
      </c>
      <c r="H635" s="153" t="s">
        <v>321</v>
      </c>
      <c r="I635" s="153" t="s">
        <v>951</v>
      </c>
      <c r="J635" s="153" t="s">
        <v>204</v>
      </c>
      <c r="K635" s="153" t="s">
        <v>204</v>
      </c>
      <c r="L635" s="153" t="s">
        <v>325</v>
      </c>
      <c r="M635" s="153" t="s">
        <v>340</v>
      </c>
      <c r="N635" s="153" t="s">
        <v>478</v>
      </c>
      <c r="O635" s="153" t="s">
        <v>339</v>
      </c>
      <c r="P635" s="153" t="s">
        <v>2011</v>
      </c>
      <c r="Q635" s="153" t="s">
        <v>415</v>
      </c>
      <c r="R635" s="153" t="s">
        <v>407</v>
      </c>
      <c r="S635" s="153" t="s">
        <v>1212</v>
      </c>
      <c r="T635" s="154">
        <v>2.5499999999999998</v>
      </c>
      <c r="U635" s="153" t="s">
        <v>1851</v>
      </c>
      <c r="V635" s="155">
        <v>4.0070000000000001E-2</v>
      </c>
      <c r="W635" s="155">
        <v>5.1299999999999998E-2</v>
      </c>
      <c r="X635" s="153" t="s">
        <v>412</v>
      </c>
      <c r="Y635" s="153" t="s">
        <v>339</v>
      </c>
      <c r="Z635" s="154">
        <v>64432</v>
      </c>
      <c r="AA635" s="154">
        <v>1</v>
      </c>
      <c r="AB635" s="154">
        <v>98.54</v>
      </c>
      <c r="AD635" s="154">
        <v>63.491</v>
      </c>
      <c r="AG635" s="157" t="s">
        <v>15</v>
      </c>
      <c r="AH635" s="155">
        <v>2.3000000000000001E-4</v>
      </c>
      <c r="AI635" s="155">
        <f t="shared" si="9"/>
        <v>8.5314890163344051E-2</v>
      </c>
      <c r="AJ635" s="155">
        <v>3.2394606052380845E-3</v>
      </c>
    </row>
    <row r="636" spans="1:36" s="160" customFormat="1">
      <c r="A636" s="153" t="s">
        <v>1213</v>
      </c>
      <c r="B636" s="160">
        <v>15373</v>
      </c>
      <c r="C636" s="153" t="s">
        <v>1591</v>
      </c>
      <c r="D636" s="153" t="s">
        <v>1592</v>
      </c>
      <c r="E636" s="153" t="s">
        <v>309</v>
      </c>
      <c r="F636" s="153" t="s">
        <v>2175</v>
      </c>
      <c r="G636" s="153" t="s">
        <v>2176</v>
      </c>
      <c r="H636" s="153" t="s">
        <v>321</v>
      </c>
      <c r="I636" s="153" t="s">
        <v>754</v>
      </c>
      <c r="J636" s="153" t="s">
        <v>204</v>
      </c>
      <c r="K636" s="153" t="s">
        <v>204</v>
      </c>
      <c r="L636" s="153" t="s">
        <v>325</v>
      </c>
      <c r="M636" s="153" t="s">
        <v>340</v>
      </c>
      <c r="N636" s="153" t="s">
        <v>464</v>
      </c>
      <c r="O636" s="153" t="s">
        <v>339</v>
      </c>
      <c r="P636" s="153" t="s">
        <v>1538</v>
      </c>
      <c r="Q636" s="153" t="s">
        <v>413</v>
      </c>
      <c r="R636" s="153" t="s">
        <v>407</v>
      </c>
      <c r="S636" s="153" t="s">
        <v>1212</v>
      </c>
      <c r="T636" s="154">
        <v>3.97</v>
      </c>
      <c r="U636" s="153" t="s">
        <v>2177</v>
      </c>
      <c r="V636" s="155">
        <v>3.1419999999999997E-2</v>
      </c>
      <c r="W636" s="155">
        <v>3.1899999999999998E-2</v>
      </c>
      <c r="X636" s="153" t="s">
        <v>412</v>
      </c>
      <c r="Y636" s="153" t="s">
        <v>339</v>
      </c>
      <c r="Z636" s="154">
        <v>49000</v>
      </c>
      <c r="AA636" s="154">
        <v>1</v>
      </c>
      <c r="AB636" s="154">
        <v>103.53</v>
      </c>
      <c r="AD636" s="154">
        <v>50.73</v>
      </c>
      <c r="AG636" s="157" t="s">
        <v>15</v>
      </c>
      <c r="AH636" s="155">
        <v>3.0000000000000001E-5</v>
      </c>
      <c r="AI636" s="155">
        <f t="shared" si="9"/>
        <v>6.8167525759342956E-2</v>
      </c>
      <c r="AJ636" s="155">
        <v>2.5883642800354069E-3</v>
      </c>
    </row>
    <row r="637" spans="1:36" s="160" customFormat="1">
      <c r="A637" s="153" t="s">
        <v>1213</v>
      </c>
      <c r="B637" s="160">
        <v>15373</v>
      </c>
      <c r="C637" s="153" t="s">
        <v>1600</v>
      </c>
      <c r="D637" s="153" t="s">
        <v>1601</v>
      </c>
      <c r="E637" s="153" t="s">
        <v>309</v>
      </c>
      <c r="F637" s="153" t="s">
        <v>2333</v>
      </c>
      <c r="G637" s="153" t="s">
        <v>2334</v>
      </c>
      <c r="H637" s="153" t="s">
        <v>321</v>
      </c>
      <c r="I637" s="153" t="s">
        <v>754</v>
      </c>
      <c r="J637" s="153" t="s">
        <v>204</v>
      </c>
      <c r="K637" s="153" t="s">
        <v>204</v>
      </c>
      <c r="L637" s="153" t="s">
        <v>325</v>
      </c>
      <c r="M637" s="153" t="s">
        <v>340</v>
      </c>
      <c r="N637" s="153" t="s">
        <v>448</v>
      </c>
      <c r="O637" s="153" t="s">
        <v>339</v>
      </c>
      <c r="P637" s="153" t="s">
        <v>1215</v>
      </c>
      <c r="Q637" s="153" t="s">
        <v>413</v>
      </c>
      <c r="R637" s="153" t="s">
        <v>407</v>
      </c>
      <c r="S637" s="153" t="s">
        <v>1212</v>
      </c>
      <c r="T637" s="154">
        <v>3.56</v>
      </c>
      <c r="U637" s="153" t="s">
        <v>2335</v>
      </c>
      <c r="V637" s="155">
        <v>2.1940000000000001E-2</v>
      </c>
      <c r="W637" s="155">
        <v>2.4E-2</v>
      </c>
      <c r="X637" s="153" t="s">
        <v>412</v>
      </c>
      <c r="Y637" s="153" t="s">
        <v>339</v>
      </c>
      <c r="Z637" s="154">
        <v>48751</v>
      </c>
      <c r="AA637" s="154">
        <v>1</v>
      </c>
      <c r="AB637" s="154">
        <v>103.73</v>
      </c>
      <c r="AD637" s="154">
        <v>50.569000000000003</v>
      </c>
      <c r="AG637" s="157" t="s">
        <v>15</v>
      </c>
      <c r="AH637" s="155">
        <v>4.0000000000000003E-5</v>
      </c>
      <c r="AI637" s="155">
        <f t="shared" si="9"/>
        <v>6.7951184902901918E-2</v>
      </c>
      <c r="AJ637" s="155">
        <v>2.5801496802111278E-3</v>
      </c>
    </row>
    <row r="638" spans="1:36" s="160" customFormat="1">
      <c r="A638" s="153" t="s">
        <v>1213</v>
      </c>
      <c r="B638" s="160">
        <v>15373</v>
      </c>
      <c r="C638" s="153" t="s">
        <v>455</v>
      </c>
      <c r="D638" s="153" t="s">
        <v>2106</v>
      </c>
      <c r="E638" s="153" t="s">
        <v>309</v>
      </c>
      <c r="F638" s="153" t="s">
        <v>2289</v>
      </c>
      <c r="G638" s="153" t="s">
        <v>2290</v>
      </c>
      <c r="H638" s="153" t="s">
        <v>321</v>
      </c>
      <c r="I638" s="153" t="s">
        <v>754</v>
      </c>
      <c r="J638" s="153" t="s">
        <v>204</v>
      </c>
      <c r="K638" s="153" t="s">
        <v>204</v>
      </c>
      <c r="L638" s="153" t="s">
        <v>325</v>
      </c>
      <c r="M638" s="153" t="s">
        <v>340</v>
      </c>
      <c r="N638" s="153" t="s">
        <v>440</v>
      </c>
      <c r="O638" s="153" t="s">
        <v>339</v>
      </c>
      <c r="P638" s="153" t="s">
        <v>1923</v>
      </c>
      <c r="Q638" s="153" t="s">
        <v>415</v>
      </c>
      <c r="R638" s="153" t="s">
        <v>407</v>
      </c>
      <c r="S638" s="153" t="s">
        <v>1212</v>
      </c>
      <c r="T638" s="154">
        <v>3.44</v>
      </c>
      <c r="U638" s="153" t="s">
        <v>2291</v>
      </c>
      <c r="V638" s="155">
        <v>2.2349999999999998E-2</v>
      </c>
      <c r="W638" s="155">
        <v>2.5700000000000001E-2</v>
      </c>
      <c r="X638" s="153" t="s">
        <v>412</v>
      </c>
      <c r="Y638" s="153" t="s">
        <v>339</v>
      </c>
      <c r="Z638" s="154">
        <v>40876</v>
      </c>
      <c r="AA638" s="154">
        <v>1</v>
      </c>
      <c r="AB638" s="154">
        <v>121.2</v>
      </c>
      <c r="AC638" s="154">
        <v>0.91400000000000003</v>
      </c>
      <c r="AD638" s="154">
        <v>50.456000000000003</v>
      </c>
      <c r="AG638" s="157" t="s">
        <v>15</v>
      </c>
      <c r="AH638" s="155">
        <v>2.0000000000000002E-5</v>
      </c>
      <c r="AI638" s="155">
        <f t="shared" si="9"/>
        <v>6.7799343183784902E-2</v>
      </c>
      <c r="AJ638" s="155">
        <v>2.5743841536263849E-3</v>
      </c>
    </row>
    <row r="639" spans="1:36" s="160" customFormat="1">
      <c r="A639" s="153" t="s">
        <v>1213</v>
      </c>
      <c r="B639" s="160">
        <v>15373</v>
      </c>
      <c r="C639" s="153" t="s">
        <v>1512</v>
      </c>
      <c r="D639" s="153" t="s">
        <v>1513</v>
      </c>
      <c r="E639" s="153" t="s">
        <v>309</v>
      </c>
      <c r="F639" s="153" t="s">
        <v>2103</v>
      </c>
      <c r="G639" s="153" t="s">
        <v>2104</v>
      </c>
      <c r="H639" s="153" t="s">
        <v>321</v>
      </c>
      <c r="I639" s="153" t="s">
        <v>754</v>
      </c>
      <c r="J639" s="153" t="s">
        <v>204</v>
      </c>
      <c r="K639" s="153" t="s">
        <v>204</v>
      </c>
      <c r="L639" s="153" t="s">
        <v>325</v>
      </c>
      <c r="M639" s="153" t="s">
        <v>340</v>
      </c>
      <c r="N639" s="153" t="s">
        <v>448</v>
      </c>
      <c r="O639" s="153" t="s">
        <v>339</v>
      </c>
      <c r="P639" s="153" t="s">
        <v>1215</v>
      </c>
      <c r="Q639" s="153" t="s">
        <v>413</v>
      </c>
      <c r="R639" s="153" t="s">
        <v>407</v>
      </c>
      <c r="S639" s="153" t="s">
        <v>1212</v>
      </c>
      <c r="T639" s="154">
        <v>4.38</v>
      </c>
      <c r="U639" s="153" t="s">
        <v>2105</v>
      </c>
      <c r="V639" s="155">
        <v>1.968E-2</v>
      </c>
      <c r="W639" s="155">
        <v>2.5700000000000001E-2</v>
      </c>
      <c r="X639" s="153" t="s">
        <v>412</v>
      </c>
      <c r="Y639" s="153" t="s">
        <v>339</v>
      </c>
      <c r="Z639" s="154">
        <v>49169</v>
      </c>
      <c r="AA639" s="154">
        <v>1</v>
      </c>
      <c r="AB639" s="154">
        <v>102.5</v>
      </c>
      <c r="AD639" s="154">
        <v>50.398000000000003</v>
      </c>
      <c r="AG639" s="157" t="s">
        <v>15</v>
      </c>
      <c r="AH639" s="155">
        <v>2.0000000000000002E-5</v>
      </c>
      <c r="AI639" s="155">
        <f t="shared" si="9"/>
        <v>6.7721406726185027E-2</v>
      </c>
      <c r="AJ639" s="155">
        <v>2.5714248567952781E-3</v>
      </c>
    </row>
    <row r="640" spans="1:36" s="160" customFormat="1">
      <c r="A640" s="153" t="s">
        <v>1213</v>
      </c>
      <c r="B640" s="160">
        <v>15373</v>
      </c>
      <c r="C640" s="153" t="s">
        <v>1986</v>
      </c>
      <c r="D640" s="153" t="s">
        <v>1987</v>
      </c>
      <c r="E640" s="153" t="s">
        <v>309</v>
      </c>
      <c r="F640" s="153" t="s">
        <v>2504</v>
      </c>
      <c r="G640" s="153" t="s">
        <v>2505</v>
      </c>
      <c r="H640" s="153" t="s">
        <v>321</v>
      </c>
      <c r="I640" s="153" t="s">
        <v>951</v>
      </c>
      <c r="J640" s="153" t="s">
        <v>204</v>
      </c>
      <c r="K640" s="153" t="s">
        <v>204</v>
      </c>
      <c r="L640" s="153" t="s">
        <v>325</v>
      </c>
      <c r="M640" s="153" t="s">
        <v>340</v>
      </c>
      <c r="N640" s="153" t="s">
        <v>484</v>
      </c>
      <c r="O640" s="153" t="s">
        <v>339</v>
      </c>
      <c r="P640" s="153" t="s">
        <v>1538</v>
      </c>
      <c r="Q640" s="153" t="s">
        <v>413</v>
      </c>
      <c r="R640" s="153" t="s">
        <v>407</v>
      </c>
      <c r="S640" s="153" t="s">
        <v>1212</v>
      </c>
      <c r="T640" s="154">
        <v>0.65</v>
      </c>
      <c r="U640" s="153" t="s">
        <v>2372</v>
      </c>
      <c r="V640" s="155">
        <v>4.6789999999999998E-2</v>
      </c>
      <c r="W640" s="155">
        <v>5.0500000000000003E-2</v>
      </c>
      <c r="X640" s="153" t="s">
        <v>412</v>
      </c>
      <c r="Y640" s="153" t="s">
        <v>339</v>
      </c>
      <c r="Z640" s="154">
        <v>50075</v>
      </c>
      <c r="AA640" s="154">
        <v>1</v>
      </c>
      <c r="AB640" s="154">
        <v>100.35</v>
      </c>
      <c r="AD640" s="154">
        <v>50.25</v>
      </c>
      <c r="AG640" s="157" t="s">
        <v>15</v>
      </c>
      <c r="AH640" s="155">
        <v>5.0000000000000002E-5</v>
      </c>
      <c r="AI640" s="155">
        <f t="shared" si="9"/>
        <v>6.7522534386102576E-2</v>
      </c>
      <c r="AJ640" s="155">
        <v>2.5638735476400396E-3</v>
      </c>
    </row>
    <row r="641" spans="1:36" s="160" customFormat="1">
      <c r="A641" s="153" t="s">
        <v>1213</v>
      </c>
      <c r="B641" s="160">
        <v>15373</v>
      </c>
      <c r="C641" s="153" t="s">
        <v>1573</v>
      </c>
      <c r="D641" s="153" t="s">
        <v>1574</v>
      </c>
      <c r="E641" s="153" t="s">
        <v>309</v>
      </c>
      <c r="F641" s="153" t="s">
        <v>2536</v>
      </c>
      <c r="G641" s="153" t="s">
        <v>2537</v>
      </c>
      <c r="H641" s="153" t="s">
        <v>321</v>
      </c>
      <c r="I641" s="153" t="s">
        <v>754</v>
      </c>
      <c r="J641" s="153" t="s">
        <v>204</v>
      </c>
      <c r="K641" s="153" t="s">
        <v>204</v>
      </c>
      <c r="L641" s="153" t="s">
        <v>325</v>
      </c>
      <c r="M641" s="153" t="s">
        <v>340</v>
      </c>
      <c r="N641" s="153" t="s">
        <v>448</v>
      </c>
      <c r="O641" s="153" t="s">
        <v>339</v>
      </c>
      <c r="P641" s="153" t="s">
        <v>1215</v>
      </c>
      <c r="Q641" s="153" t="s">
        <v>413</v>
      </c>
      <c r="R641" s="153" t="s">
        <v>407</v>
      </c>
      <c r="S641" s="153" t="s">
        <v>1212</v>
      </c>
      <c r="T641" s="154">
        <v>5.14</v>
      </c>
      <c r="U641" s="153" t="s">
        <v>2538</v>
      </c>
      <c r="V641" s="155">
        <v>2.2880000000000001E-2</v>
      </c>
      <c r="W641" s="155">
        <v>2.6200000000000001E-2</v>
      </c>
      <c r="X641" s="153" t="s">
        <v>412</v>
      </c>
      <c r="Y641" s="153" t="s">
        <v>339</v>
      </c>
      <c r="Z641" s="154">
        <v>50571</v>
      </c>
      <c r="AA641" s="154">
        <v>1</v>
      </c>
      <c r="AB641" s="154">
        <v>99.1</v>
      </c>
      <c r="AD641" s="154">
        <v>50.116</v>
      </c>
      <c r="AG641" s="157" t="s">
        <v>15</v>
      </c>
      <c r="AH641" s="155">
        <v>2.0000000000000002E-5</v>
      </c>
      <c r="AI641" s="155">
        <f t="shared" si="9"/>
        <v>6.7342474294406304E-2</v>
      </c>
      <c r="AJ641" s="155">
        <v>2.5570365515129993E-3</v>
      </c>
    </row>
    <row r="642" spans="1:36" s="160" customFormat="1">
      <c r="A642" s="153" t="s">
        <v>1213</v>
      </c>
      <c r="B642" s="160">
        <v>15373</v>
      </c>
      <c r="C642" s="153" t="s">
        <v>2566</v>
      </c>
      <c r="D642" s="153" t="s">
        <v>2567</v>
      </c>
      <c r="E642" s="153" t="s">
        <v>309</v>
      </c>
      <c r="F642" s="153" t="s">
        <v>2568</v>
      </c>
      <c r="G642" s="153" t="s">
        <v>2569</v>
      </c>
      <c r="H642" s="153" t="s">
        <v>321</v>
      </c>
      <c r="I642" s="153" t="s">
        <v>951</v>
      </c>
      <c r="J642" s="153" t="s">
        <v>204</v>
      </c>
      <c r="K642" s="153" t="s">
        <v>204</v>
      </c>
      <c r="L642" s="153" t="s">
        <v>325</v>
      </c>
      <c r="M642" s="153" t="s">
        <v>340</v>
      </c>
      <c r="N642" s="153" t="s">
        <v>476</v>
      </c>
      <c r="O642" s="153" t="s">
        <v>339</v>
      </c>
      <c r="P642" s="153" t="s">
        <v>1982</v>
      </c>
      <c r="Q642" s="153" t="s">
        <v>415</v>
      </c>
      <c r="R642" s="153" t="s">
        <v>407</v>
      </c>
      <c r="S642" s="153" t="s">
        <v>1212</v>
      </c>
      <c r="T642" s="154">
        <v>2.62</v>
      </c>
      <c r="U642" s="153" t="s">
        <v>2570</v>
      </c>
      <c r="V642" s="155">
        <v>3.4270000000000002E-2</v>
      </c>
      <c r="W642" s="155">
        <v>5.2900000000000003E-2</v>
      </c>
      <c r="X642" s="153" t="s">
        <v>412</v>
      </c>
      <c r="Y642" s="153" t="s">
        <v>339</v>
      </c>
      <c r="Z642" s="154">
        <v>51041</v>
      </c>
      <c r="AA642" s="154">
        <v>1</v>
      </c>
      <c r="AB642" s="154">
        <v>97.79</v>
      </c>
      <c r="AD642" s="154">
        <v>49.912999999999997</v>
      </c>
      <c r="AG642" s="157" t="s">
        <v>15</v>
      </c>
      <c r="AH642" s="155">
        <v>1.3999999999999999E-4</v>
      </c>
      <c r="AI642" s="155">
        <f t="shared" si="9"/>
        <v>6.7069696692806713E-2</v>
      </c>
      <c r="AJ642" s="155">
        <v>2.5466790126041248E-3</v>
      </c>
    </row>
    <row r="643" spans="1:36" s="160" customFormat="1">
      <c r="A643" s="153" t="s">
        <v>1213</v>
      </c>
      <c r="B643" s="160">
        <v>15373</v>
      </c>
      <c r="C643" s="153" t="s">
        <v>2361</v>
      </c>
      <c r="D643" s="153" t="s">
        <v>2362</v>
      </c>
      <c r="E643" s="153" t="s">
        <v>309</v>
      </c>
      <c r="F643" s="153" t="s">
        <v>2363</v>
      </c>
      <c r="G643" s="153" t="s">
        <v>2364</v>
      </c>
      <c r="H643" s="153" t="s">
        <v>321</v>
      </c>
      <c r="I643" s="153" t="s">
        <v>951</v>
      </c>
      <c r="J643" s="153" t="s">
        <v>204</v>
      </c>
      <c r="K643" s="153" t="s">
        <v>204</v>
      </c>
      <c r="L643" s="153" t="s">
        <v>325</v>
      </c>
      <c r="M643" s="153" t="s">
        <v>340</v>
      </c>
      <c r="N643" s="153" t="s">
        <v>446</v>
      </c>
      <c r="O643" s="153" t="s">
        <v>339</v>
      </c>
      <c r="P643" s="153" t="s">
        <v>1538</v>
      </c>
      <c r="Q643" s="153" t="s">
        <v>413</v>
      </c>
      <c r="R643" s="153" t="s">
        <v>407</v>
      </c>
      <c r="S643" s="153" t="s">
        <v>1212</v>
      </c>
      <c r="T643" s="154">
        <v>2.62</v>
      </c>
      <c r="U643" s="153" t="s">
        <v>1587</v>
      </c>
      <c r="V643" s="155">
        <v>4.6050000000000001E-2</v>
      </c>
      <c r="W643" s="155">
        <v>5.2200000000000003E-2</v>
      </c>
      <c r="X643" s="153" t="s">
        <v>412</v>
      </c>
      <c r="Y643" s="153" t="s">
        <v>339</v>
      </c>
      <c r="Z643" s="154">
        <v>55035</v>
      </c>
      <c r="AA643" s="154">
        <v>1</v>
      </c>
      <c r="AB643" s="154">
        <v>90.15</v>
      </c>
      <c r="AD643" s="154">
        <v>49.613999999999997</v>
      </c>
      <c r="AG643" s="157" t="s">
        <v>15</v>
      </c>
      <c r="AH643" s="155">
        <v>6.0000000000000002E-5</v>
      </c>
      <c r="AI643" s="155">
        <f t="shared" ref="AI643:AI706" si="10">AD643/SUMIF(B:B,B643,AD:AD)</f>
        <v>6.6667920816559062E-2</v>
      </c>
      <c r="AJ643" s="155">
        <v>2.5314233272161774E-3</v>
      </c>
    </row>
    <row r="644" spans="1:36" s="160" customFormat="1">
      <c r="A644" s="153" t="s">
        <v>1213</v>
      </c>
      <c r="B644" s="160">
        <v>15373</v>
      </c>
      <c r="C644" s="153" t="s">
        <v>1904</v>
      </c>
      <c r="D644" s="153" t="s">
        <v>1905</v>
      </c>
      <c r="E644" s="153" t="s">
        <v>309</v>
      </c>
      <c r="F644" s="153" t="s">
        <v>1906</v>
      </c>
      <c r="G644" s="153" t="s">
        <v>1907</v>
      </c>
      <c r="H644" s="153" t="s">
        <v>321</v>
      </c>
      <c r="I644" s="153" t="s">
        <v>754</v>
      </c>
      <c r="J644" s="153" t="s">
        <v>204</v>
      </c>
      <c r="K644" s="153" t="s">
        <v>204</v>
      </c>
      <c r="L644" s="153" t="s">
        <v>325</v>
      </c>
      <c r="M644" s="153" t="s">
        <v>340</v>
      </c>
      <c r="N644" s="153" t="s">
        <v>448</v>
      </c>
      <c r="O644" s="153" t="s">
        <v>339</v>
      </c>
      <c r="P644" s="153" t="s">
        <v>1215</v>
      </c>
      <c r="Q644" s="153" t="s">
        <v>413</v>
      </c>
      <c r="R644" s="153" t="s">
        <v>407</v>
      </c>
      <c r="S644" s="153" t="s">
        <v>1212</v>
      </c>
      <c r="T644" s="154">
        <v>3.98</v>
      </c>
      <c r="U644" s="153" t="s">
        <v>1908</v>
      </c>
      <c r="V644" s="155">
        <v>2.213E-2</v>
      </c>
      <c r="W644" s="155">
        <v>2.52E-2</v>
      </c>
      <c r="X644" s="153" t="s">
        <v>412</v>
      </c>
      <c r="Y644" s="153" t="s">
        <v>339</v>
      </c>
      <c r="Z644" s="154">
        <v>45951.06</v>
      </c>
      <c r="AA644" s="154">
        <v>1</v>
      </c>
      <c r="AB644" s="154">
        <v>102.6</v>
      </c>
      <c r="AD644" s="154">
        <v>47.146000000000001</v>
      </c>
      <c r="AG644" s="157" t="s">
        <v>15</v>
      </c>
      <c r="AH644" s="155">
        <v>1.0000000000000001E-5</v>
      </c>
      <c r="AI644" s="155">
        <f t="shared" si="10"/>
        <v>6.3351590172481431E-2</v>
      </c>
      <c r="AJ644" s="155">
        <v>2.4055001448166627E-3</v>
      </c>
    </row>
    <row r="645" spans="1:36" s="160" customFormat="1">
      <c r="A645" s="153" t="s">
        <v>1213</v>
      </c>
      <c r="B645" s="160">
        <v>15373</v>
      </c>
      <c r="C645" s="153" t="s">
        <v>2445</v>
      </c>
      <c r="D645" s="153" t="s">
        <v>2446</v>
      </c>
      <c r="E645" s="153" t="s">
        <v>309</v>
      </c>
      <c r="F645" s="153" t="s">
        <v>2447</v>
      </c>
      <c r="G645" s="153" t="s">
        <v>2448</v>
      </c>
      <c r="H645" s="153" t="s">
        <v>321</v>
      </c>
      <c r="I645" s="153" t="s">
        <v>951</v>
      </c>
      <c r="J645" s="153" t="s">
        <v>204</v>
      </c>
      <c r="K645" s="153" t="s">
        <v>204</v>
      </c>
      <c r="L645" s="153" t="s">
        <v>325</v>
      </c>
      <c r="M645" s="153" t="s">
        <v>340</v>
      </c>
      <c r="N645" s="153" t="s">
        <v>440</v>
      </c>
      <c r="O645" s="153" t="s">
        <v>339</v>
      </c>
      <c r="P645" s="153" t="s">
        <v>1614</v>
      </c>
      <c r="Q645" s="153" t="s">
        <v>415</v>
      </c>
      <c r="R645" s="153" t="s">
        <v>407</v>
      </c>
      <c r="S645" s="153" t="s">
        <v>1212</v>
      </c>
      <c r="T645" s="154">
        <v>1.92</v>
      </c>
      <c r="U645" s="153" t="s">
        <v>1370</v>
      </c>
      <c r="V645" s="155">
        <v>5.2720000000000003E-2</v>
      </c>
      <c r="W645" s="155">
        <v>5.7599999999999998E-2</v>
      </c>
      <c r="X645" s="153" t="s">
        <v>412</v>
      </c>
      <c r="Y645" s="153" t="s">
        <v>339</v>
      </c>
      <c r="Z645" s="154">
        <v>38167.5</v>
      </c>
      <c r="AA645" s="154">
        <v>1</v>
      </c>
      <c r="AB645" s="154">
        <v>95.6</v>
      </c>
      <c r="AD645" s="154">
        <v>36.488</v>
      </c>
      <c r="AG645" s="157" t="s">
        <v>15</v>
      </c>
      <c r="AH645" s="155">
        <v>5.0000000000000002E-5</v>
      </c>
      <c r="AI645" s="155">
        <f t="shared" si="10"/>
        <v>4.9030094222489766E-2</v>
      </c>
      <c r="AJ645" s="155">
        <v>1.8617038409211892E-3</v>
      </c>
    </row>
    <row r="646" spans="1:36" s="160" customFormat="1">
      <c r="A646" s="153" t="s">
        <v>1213</v>
      </c>
      <c r="B646" s="160">
        <v>35011</v>
      </c>
      <c r="C646" s="153" t="s">
        <v>1573</v>
      </c>
      <c r="D646" s="153" t="s">
        <v>1574</v>
      </c>
      <c r="E646" s="153" t="s">
        <v>309</v>
      </c>
      <c r="F646" s="153" t="s">
        <v>2277</v>
      </c>
      <c r="G646" s="153" t="s">
        <v>2278</v>
      </c>
      <c r="H646" s="153" t="s">
        <v>321</v>
      </c>
      <c r="I646" s="153" t="s">
        <v>754</v>
      </c>
      <c r="J646" s="153" t="s">
        <v>204</v>
      </c>
      <c r="K646" s="153" t="s">
        <v>204</v>
      </c>
      <c r="L646" s="153" t="s">
        <v>325</v>
      </c>
      <c r="M646" s="153" t="s">
        <v>340</v>
      </c>
      <c r="N646" s="153" t="s">
        <v>448</v>
      </c>
      <c r="O646" s="153" t="s">
        <v>339</v>
      </c>
      <c r="P646" s="153" t="s">
        <v>1215</v>
      </c>
      <c r="Q646" s="153" t="s">
        <v>413</v>
      </c>
      <c r="R646" s="153" t="s">
        <v>407</v>
      </c>
      <c r="S646" s="153" t="s">
        <v>1212</v>
      </c>
      <c r="T646" s="154">
        <v>3.14</v>
      </c>
      <c r="U646" s="153" t="s">
        <v>2279</v>
      </c>
      <c r="V646" s="155">
        <v>1.49E-2</v>
      </c>
      <c r="W646" s="155">
        <v>2.3099999999999999E-2</v>
      </c>
      <c r="X646" s="153" t="s">
        <v>412</v>
      </c>
      <c r="Y646" s="153" t="s">
        <v>339</v>
      </c>
      <c r="Z646" s="154">
        <v>119914</v>
      </c>
      <c r="AA646" s="154">
        <v>1</v>
      </c>
      <c r="AB646" s="154">
        <v>105.15</v>
      </c>
      <c r="AD646" s="154">
        <v>126.09</v>
      </c>
      <c r="AG646" s="157" t="s">
        <v>15</v>
      </c>
      <c r="AH646" s="155">
        <v>4.0000000000000003E-5</v>
      </c>
      <c r="AI646" s="155">
        <f t="shared" si="10"/>
        <v>6.5150232022457691E-2</v>
      </c>
      <c r="AJ646" s="155">
        <v>1.8269608881590314E-3</v>
      </c>
    </row>
    <row r="647" spans="1:36" s="160" customFormat="1">
      <c r="A647" s="153" t="s">
        <v>1213</v>
      </c>
      <c r="B647" s="160">
        <v>35011</v>
      </c>
      <c r="C647" s="153" t="s">
        <v>1529</v>
      </c>
      <c r="D647" s="153" t="s">
        <v>1530</v>
      </c>
      <c r="E647" s="153" t="s">
        <v>309</v>
      </c>
      <c r="F647" s="153" t="s">
        <v>1960</v>
      </c>
      <c r="G647" s="153" t="s">
        <v>1961</v>
      </c>
      <c r="H647" s="153" t="s">
        <v>321</v>
      </c>
      <c r="I647" s="153" t="s">
        <v>754</v>
      </c>
      <c r="J647" s="153" t="s">
        <v>204</v>
      </c>
      <c r="K647" s="153" t="s">
        <v>204</v>
      </c>
      <c r="L647" s="153" t="s">
        <v>325</v>
      </c>
      <c r="M647" s="153" t="s">
        <v>340</v>
      </c>
      <c r="N647" s="153" t="s">
        <v>440</v>
      </c>
      <c r="O647" s="153" t="s">
        <v>339</v>
      </c>
      <c r="P647" s="153" t="s">
        <v>1527</v>
      </c>
      <c r="Q647" s="153" t="s">
        <v>415</v>
      </c>
      <c r="R647" s="153" t="s">
        <v>407</v>
      </c>
      <c r="S647" s="153" t="s">
        <v>1212</v>
      </c>
      <c r="T647" s="154">
        <v>3.67</v>
      </c>
      <c r="U647" s="153" t="s">
        <v>1962</v>
      </c>
      <c r="V647" s="155">
        <v>1.7999999999999999E-2</v>
      </c>
      <c r="W647" s="155">
        <v>3.6600000000000001E-2</v>
      </c>
      <c r="X647" s="153" t="s">
        <v>412</v>
      </c>
      <c r="Y647" s="153" t="s">
        <v>339</v>
      </c>
      <c r="Z647" s="154">
        <v>114750</v>
      </c>
      <c r="AA647" s="154">
        <v>1</v>
      </c>
      <c r="AB647" s="154">
        <v>107.89</v>
      </c>
      <c r="AD647" s="154">
        <v>123.804</v>
      </c>
      <c r="AG647" s="157" t="s">
        <v>15</v>
      </c>
      <c r="AH647" s="155">
        <v>1.2E-4</v>
      </c>
      <c r="AI647" s="155">
        <f t="shared" si="10"/>
        <v>6.3969064361236824E-2</v>
      </c>
      <c r="AJ647" s="155">
        <v>1.7938382567819868E-3</v>
      </c>
    </row>
    <row r="648" spans="1:36" s="160" customFormat="1">
      <c r="A648" s="153" t="s">
        <v>1213</v>
      </c>
      <c r="B648" s="160">
        <v>35011</v>
      </c>
      <c r="C648" s="153" t="s">
        <v>455</v>
      </c>
      <c r="D648" s="153" t="s">
        <v>2106</v>
      </c>
      <c r="E648" s="153" t="s">
        <v>309</v>
      </c>
      <c r="F648" s="153" t="s">
        <v>2289</v>
      </c>
      <c r="G648" s="153" t="s">
        <v>2290</v>
      </c>
      <c r="H648" s="153" t="s">
        <v>321</v>
      </c>
      <c r="I648" s="153" t="s">
        <v>754</v>
      </c>
      <c r="J648" s="153" t="s">
        <v>204</v>
      </c>
      <c r="K648" s="153" t="s">
        <v>204</v>
      </c>
      <c r="L648" s="153" t="s">
        <v>325</v>
      </c>
      <c r="M648" s="153" t="s">
        <v>340</v>
      </c>
      <c r="N648" s="153" t="s">
        <v>440</v>
      </c>
      <c r="O648" s="153" t="s">
        <v>339</v>
      </c>
      <c r="P648" s="153" t="s">
        <v>1923</v>
      </c>
      <c r="Q648" s="153" t="s">
        <v>415</v>
      </c>
      <c r="R648" s="153" t="s">
        <v>407</v>
      </c>
      <c r="S648" s="153" t="s">
        <v>1212</v>
      </c>
      <c r="T648" s="154">
        <v>3.44</v>
      </c>
      <c r="U648" s="153" t="s">
        <v>2291</v>
      </c>
      <c r="V648" s="155">
        <v>1.7399999999999999E-2</v>
      </c>
      <c r="W648" s="155">
        <v>2.5700000000000001E-2</v>
      </c>
      <c r="X648" s="153" t="s">
        <v>412</v>
      </c>
      <c r="Y648" s="153" t="s">
        <v>339</v>
      </c>
      <c r="Z648" s="154">
        <v>93413.28</v>
      </c>
      <c r="AA648" s="154">
        <v>1</v>
      </c>
      <c r="AB648" s="154">
        <v>121.2</v>
      </c>
      <c r="AC648" s="154">
        <v>2.0880000000000001</v>
      </c>
      <c r="AD648" s="154">
        <v>115.30500000000001</v>
      </c>
      <c r="AG648" s="157" t="s">
        <v>15</v>
      </c>
      <c r="AH648" s="155">
        <v>4.0000000000000003E-5</v>
      </c>
      <c r="AI648" s="155">
        <f t="shared" si="10"/>
        <v>5.9577662807117807E-2</v>
      </c>
      <c r="AJ648" s="155">
        <v>1.6706933556124763E-3</v>
      </c>
    </row>
    <row r="649" spans="1:36" s="160" customFormat="1">
      <c r="A649" s="153" t="s">
        <v>1213</v>
      </c>
      <c r="B649" s="160">
        <v>35011</v>
      </c>
      <c r="C649" s="153" t="s">
        <v>2273</v>
      </c>
      <c r="D649" s="153" t="s">
        <v>2274</v>
      </c>
      <c r="E649" s="153" t="s">
        <v>309</v>
      </c>
      <c r="F649" s="153" t="s">
        <v>2303</v>
      </c>
      <c r="G649" s="153" t="s">
        <v>2304</v>
      </c>
      <c r="H649" s="153" t="s">
        <v>321</v>
      </c>
      <c r="I649" s="153" t="s">
        <v>754</v>
      </c>
      <c r="J649" s="153" t="s">
        <v>204</v>
      </c>
      <c r="K649" s="153" t="s">
        <v>204</v>
      </c>
      <c r="L649" s="153" t="s">
        <v>325</v>
      </c>
      <c r="M649" s="153" t="s">
        <v>340</v>
      </c>
      <c r="N649" s="153" t="s">
        <v>477</v>
      </c>
      <c r="O649" s="153" t="s">
        <v>339</v>
      </c>
      <c r="P649" s="153" t="s">
        <v>1215</v>
      </c>
      <c r="Q649" s="153" t="s">
        <v>413</v>
      </c>
      <c r="R649" s="153" t="s">
        <v>407</v>
      </c>
      <c r="S649" s="153" t="s">
        <v>1212</v>
      </c>
      <c r="T649" s="154">
        <v>11.44</v>
      </c>
      <c r="U649" s="153" t="s">
        <v>2305</v>
      </c>
      <c r="V649" s="155">
        <v>6.0099999999999997E-3</v>
      </c>
      <c r="W649" s="155">
        <v>3.2899999999999999E-2</v>
      </c>
      <c r="X649" s="153" t="s">
        <v>412</v>
      </c>
      <c r="Y649" s="153" t="s">
        <v>339</v>
      </c>
      <c r="Z649" s="154">
        <v>112901.88</v>
      </c>
      <c r="AA649" s="154">
        <v>1</v>
      </c>
      <c r="AB649" s="154">
        <v>99.37</v>
      </c>
      <c r="AD649" s="154">
        <v>112.191</v>
      </c>
      <c r="AG649" s="157" t="s">
        <v>15</v>
      </c>
      <c r="AH649" s="155">
        <v>2.0000000000000002E-5</v>
      </c>
      <c r="AI649" s="155">
        <f t="shared" si="10"/>
        <v>5.7968670638683086E-2</v>
      </c>
      <c r="AJ649" s="155">
        <v>1.6255735506657935E-3</v>
      </c>
    </row>
    <row r="650" spans="1:36" s="160" customFormat="1">
      <c r="A650" s="153" t="s">
        <v>1213</v>
      </c>
      <c r="B650" s="160">
        <v>35011</v>
      </c>
      <c r="C650" s="153" t="s">
        <v>1600</v>
      </c>
      <c r="D650" s="153" t="s">
        <v>1601</v>
      </c>
      <c r="E650" s="153" t="s">
        <v>309</v>
      </c>
      <c r="F650" s="153" t="s">
        <v>2701</v>
      </c>
      <c r="G650" s="153" t="s">
        <v>2702</v>
      </c>
      <c r="H650" s="153" t="s">
        <v>321</v>
      </c>
      <c r="I650" s="153" t="s">
        <v>754</v>
      </c>
      <c r="J650" s="153" t="s">
        <v>204</v>
      </c>
      <c r="K650" s="153" t="s">
        <v>204</v>
      </c>
      <c r="L650" s="153" t="s">
        <v>325</v>
      </c>
      <c r="M650" s="153" t="s">
        <v>340</v>
      </c>
      <c r="N650" s="153" t="s">
        <v>448</v>
      </c>
      <c r="O650" s="153" t="s">
        <v>339</v>
      </c>
      <c r="P650" s="153" t="s">
        <v>1566</v>
      </c>
      <c r="Q650" s="153" t="s">
        <v>413</v>
      </c>
      <c r="R650" s="153" t="s">
        <v>407</v>
      </c>
      <c r="S650" s="153" t="s">
        <v>1212</v>
      </c>
      <c r="T650" s="154">
        <v>4.68</v>
      </c>
      <c r="U650" s="153" t="s">
        <v>2703</v>
      </c>
      <c r="V650" s="155">
        <v>3.7100000000000001E-2</v>
      </c>
      <c r="W650" s="155">
        <v>3.1600000000000003E-2</v>
      </c>
      <c r="X650" s="153" t="s">
        <v>411</v>
      </c>
      <c r="Y650" s="153" t="s">
        <v>339</v>
      </c>
      <c r="Z650" s="154">
        <v>100000</v>
      </c>
      <c r="AA650" s="154">
        <v>1</v>
      </c>
      <c r="AB650" s="154">
        <v>108.99</v>
      </c>
      <c r="AD650" s="154">
        <v>108.99</v>
      </c>
      <c r="AG650" s="157" t="s">
        <v>15</v>
      </c>
      <c r="AH650" s="155">
        <v>2.5999999999999998E-4</v>
      </c>
      <c r="AI650" s="155">
        <f t="shared" si="10"/>
        <v>5.631472589521503E-2</v>
      </c>
      <c r="AJ650" s="155">
        <v>1.579193173133895E-3</v>
      </c>
    </row>
    <row r="651" spans="1:36" s="160" customFormat="1">
      <c r="A651" s="153" t="s">
        <v>1213</v>
      </c>
      <c r="B651" s="160">
        <v>35011</v>
      </c>
      <c r="C651" s="153" t="s">
        <v>455</v>
      </c>
      <c r="D651" s="153" t="s">
        <v>2106</v>
      </c>
      <c r="E651" s="153" t="s">
        <v>309</v>
      </c>
      <c r="F651" s="153" t="s">
        <v>2160</v>
      </c>
      <c r="G651" s="153" t="s">
        <v>2161</v>
      </c>
      <c r="H651" s="153" t="s">
        <v>321</v>
      </c>
      <c r="I651" s="153" t="s">
        <v>754</v>
      </c>
      <c r="J651" s="153" t="s">
        <v>204</v>
      </c>
      <c r="K651" s="153" t="s">
        <v>204</v>
      </c>
      <c r="L651" s="153" t="s">
        <v>325</v>
      </c>
      <c r="M651" s="153" t="s">
        <v>340</v>
      </c>
      <c r="N651" s="153" t="s">
        <v>440</v>
      </c>
      <c r="O651" s="153" t="s">
        <v>339</v>
      </c>
      <c r="P651" s="153" t="s">
        <v>1923</v>
      </c>
      <c r="Q651" s="153" t="s">
        <v>415</v>
      </c>
      <c r="R651" s="153" t="s">
        <v>407</v>
      </c>
      <c r="S651" s="153" t="s">
        <v>1212</v>
      </c>
      <c r="T651" s="154">
        <v>0.9</v>
      </c>
      <c r="U651" s="153" t="s">
        <v>2162</v>
      </c>
      <c r="V651" s="155">
        <v>1.908E-2</v>
      </c>
      <c r="W651" s="155">
        <v>2.6100000000000002E-2</v>
      </c>
      <c r="X651" s="153" t="s">
        <v>412</v>
      </c>
      <c r="Y651" s="153" t="s">
        <v>339</v>
      </c>
      <c r="Z651" s="154">
        <v>88306</v>
      </c>
      <c r="AA651" s="154">
        <v>1</v>
      </c>
      <c r="AB651" s="154">
        <v>119.4</v>
      </c>
      <c r="AD651" s="154">
        <v>105.437</v>
      </c>
      <c r="AG651" s="157" t="s">
        <v>15</v>
      </c>
      <c r="AH651" s="155">
        <v>3.0000000000000001E-5</v>
      </c>
      <c r="AI651" s="155">
        <f t="shared" si="10"/>
        <v>5.4478904066554611E-2</v>
      </c>
      <c r="AJ651" s="155">
        <v>1.5277125479008944E-3</v>
      </c>
    </row>
    <row r="652" spans="1:36" s="160" customFormat="1">
      <c r="A652" s="153" t="s">
        <v>1213</v>
      </c>
      <c r="B652" s="160">
        <v>35011</v>
      </c>
      <c r="C652" s="153" t="s">
        <v>1577</v>
      </c>
      <c r="D652" s="153" t="s">
        <v>1578</v>
      </c>
      <c r="E652" s="153" t="s">
        <v>309</v>
      </c>
      <c r="F652" s="153" t="s">
        <v>1579</v>
      </c>
      <c r="G652" s="153" t="s">
        <v>1580</v>
      </c>
      <c r="H652" s="153" t="s">
        <v>321</v>
      </c>
      <c r="I652" s="153" t="s">
        <v>754</v>
      </c>
      <c r="J652" s="153" t="s">
        <v>204</v>
      </c>
      <c r="K652" s="153" t="s">
        <v>204</v>
      </c>
      <c r="L652" s="153" t="s">
        <v>325</v>
      </c>
      <c r="M652" s="153" t="s">
        <v>340</v>
      </c>
      <c r="N652" s="153" t="s">
        <v>456</v>
      </c>
      <c r="O652" s="153" t="s">
        <v>339</v>
      </c>
      <c r="P652" s="153" t="s">
        <v>1566</v>
      </c>
      <c r="Q652" s="153" t="s">
        <v>413</v>
      </c>
      <c r="R652" s="153" t="s">
        <v>407</v>
      </c>
      <c r="S652" s="153" t="s">
        <v>1212</v>
      </c>
      <c r="T652" s="154">
        <v>5.0199999999999996</v>
      </c>
      <c r="U652" s="153" t="s">
        <v>1581</v>
      </c>
      <c r="V652" s="155">
        <v>5.7329999999999999E-2</v>
      </c>
      <c r="W652" s="155">
        <v>5.1499999999999997E-2</v>
      </c>
      <c r="X652" s="153" t="s">
        <v>412</v>
      </c>
      <c r="Y652" s="153" t="s">
        <v>339</v>
      </c>
      <c r="Z652" s="154">
        <v>64171.839999999997</v>
      </c>
      <c r="AA652" s="154">
        <v>1</v>
      </c>
      <c r="AB652" s="154">
        <v>141.9</v>
      </c>
      <c r="AD652" s="154">
        <v>91.06</v>
      </c>
      <c r="AG652" s="157" t="s">
        <v>15</v>
      </c>
      <c r="AH652" s="155">
        <v>2.0000000000000002E-5</v>
      </c>
      <c r="AI652" s="155">
        <f t="shared" si="10"/>
        <v>4.7050361868229015E-2</v>
      </c>
      <c r="AJ652" s="155">
        <v>1.3193993058590008E-3</v>
      </c>
    </row>
    <row r="653" spans="1:36" s="160" customFormat="1">
      <c r="A653" s="153" t="s">
        <v>1213</v>
      </c>
      <c r="B653" s="160">
        <v>35011</v>
      </c>
      <c r="C653" s="153" t="s">
        <v>1718</v>
      </c>
      <c r="D653" s="153" t="s">
        <v>1719</v>
      </c>
      <c r="E653" s="153" t="s">
        <v>309</v>
      </c>
      <c r="F653" s="153" t="s">
        <v>1720</v>
      </c>
      <c r="G653" s="153" t="s">
        <v>1721</v>
      </c>
      <c r="H653" s="153" t="s">
        <v>321</v>
      </c>
      <c r="I653" s="153" t="s">
        <v>951</v>
      </c>
      <c r="J653" s="153" t="s">
        <v>204</v>
      </c>
      <c r="K653" s="153" t="s">
        <v>204</v>
      </c>
      <c r="L653" s="153" t="s">
        <v>325</v>
      </c>
      <c r="M653" s="153" t="s">
        <v>340</v>
      </c>
      <c r="N653" s="153" t="s">
        <v>440</v>
      </c>
      <c r="O653" s="153" t="s">
        <v>339</v>
      </c>
      <c r="P653" s="153" t="s">
        <v>1527</v>
      </c>
      <c r="Q653" s="153" t="s">
        <v>415</v>
      </c>
      <c r="R653" s="153" t="s">
        <v>407</v>
      </c>
      <c r="S653" s="153" t="s">
        <v>1212</v>
      </c>
      <c r="T653" s="154">
        <v>3</v>
      </c>
      <c r="U653" s="153" t="s">
        <v>1722</v>
      </c>
      <c r="V653" s="155">
        <v>7.2499999999999995E-2</v>
      </c>
      <c r="W653" s="155">
        <v>6.4000000000000001E-2</v>
      </c>
      <c r="X653" s="153" t="s">
        <v>412</v>
      </c>
      <c r="Y653" s="153" t="s">
        <v>339</v>
      </c>
      <c r="Z653" s="154">
        <v>82800</v>
      </c>
      <c r="AA653" s="154">
        <v>1</v>
      </c>
      <c r="AB653" s="154">
        <v>105.92</v>
      </c>
      <c r="AD653" s="154">
        <v>87.701999999999998</v>
      </c>
      <c r="AG653" s="157" t="s">
        <v>15</v>
      </c>
      <c r="AH653" s="155">
        <v>1.2E-4</v>
      </c>
      <c r="AI653" s="155">
        <f t="shared" si="10"/>
        <v>4.5315295811195047E-2</v>
      </c>
      <c r="AJ653" s="155">
        <v>1.2707441019376904E-3</v>
      </c>
    </row>
    <row r="654" spans="1:36" s="160" customFormat="1">
      <c r="A654" s="153" t="s">
        <v>1213</v>
      </c>
      <c r="B654" s="160">
        <v>35011</v>
      </c>
      <c r="C654" s="153" t="s">
        <v>2748</v>
      </c>
      <c r="D654" s="153" t="s">
        <v>2749</v>
      </c>
      <c r="E654" s="153" t="s">
        <v>309</v>
      </c>
      <c r="F654" s="153" t="s">
        <v>2750</v>
      </c>
      <c r="G654" s="153" t="s">
        <v>2751</v>
      </c>
      <c r="H654" s="153" t="s">
        <v>321</v>
      </c>
      <c r="I654" s="153" t="s">
        <v>754</v>
      </c>
      <c r="J654" s="153" t="s">
        <v>204</v>
      </c>
      <c r="K654" s="153" t="s">
        <v>204</v>
      </c>
      <c r="L654" s="153" t="s">
        <v>325</v>
      </c>
      <c r="M654" s="153" t="s">
        <v>340</v>
      </c>
      <c r="N654" s="153" t="s">
        <v>464</v>
      </c>
      <c r="O654" s="153" t="s">
        <v>339</v>
      </c>
      <c r="P654" s="153" t="s">
        <v>1560</v>
      </c>
      <c r="Q654" s="153" t="s">
        <v>413</v>
      </c>
      <c r="R654" s="153" t="s">
        <v>407</v>
      </c>
      <c r="S654" s="153" t="s">
        <v>1212</v>
      </c>
      <c r="T654" s="154">
        <v>4.3600000000000003</v>
      </c>
      <c r="U654" s="153" t="s">
        <v>2752</v>
      </c>
      <c r="V654" s="155">
        <v>3.9379999999999998E-2</v>
      </c>
      <c r="W654" s="155">
        <v>3.5099999999999999E-2</v>
      </c>
      <c r="X654" s="153" t="s">
        <v>412</v>
      </c>
      <c r="Y654" s="153" t="s">
        <v>339</v>
      </c>
      <c r="Z654" s="154">
        <v>73075</v>
      </c>
      <c r="AA654" s="154">
        <v>1</v>
      </c>
      <c r="AB654" s="154">
        <v>108.78</v>
      </c>
      <c r="AD654" s="154">
        <v>79.491</v>
      </c>
      <c r="AG654" s="157" t="s">
        <v>15</v>
      </c>
      <c r="AH654" s="155">
        <v>1.8000000000000001E-4</v>
      </c>
      <c r="AI654" s="155">
        <f t="shared" si="10"/>
        <v>4.107270278132432E-2</v>
      </c>
      <c r="AJ654" s="155">
        <v>1.1517721307054451E-3</v>
      </c>
    </row>
    <row r="655" spans="1:36" s="160" customFormat="1">
      <c r="A655" s="153" t="s">
        <v>1213</v>
      </c>
      <c r="B655" s="160">
        <v>35011</v>
      </c>
      <c r="C655" s="153" t="s">
        <v>2391</v>
      </c>
      <c r="D655" s="153" t="s">
        <v>2392</v>
      </c>
      <c r="E655" s="153" t="s">
        <v>309</v>
      </c>
      <c r="F655" s="153" t="s">
        <v>2528</v>
      </c>
      <c r="G655" s="153" t="s">
        <v>2529</v>
      </c>
      <c r="H655" s="153" t="s">
        <v>321</v>
      </c>
      <c r="I655" s="153" t="s">
        <v>754</v>
      </c>
      <c r="J655" s="153" t="s">
        <v>204</v>
      </c>
      <c r="K655" s="153" t="s">
        <v>204</v>
      </c>
      <c r="L655" s="153" t="s">
        <v>325</v>
      </c>
      <c r="M655" s="153" t="s">
        <v>340</v>
      </c>
      <c r="N655" s="153" t="s">
        <v>464</v>
      </c>
      <c r="O655" s="153" t="s">
        <v>339</v>
      </c>
      <c r="P655" s="153" t="s">
        <v>1566</v>
      </c>
      <c r="Q655" s="153" t="s">
        <v>413</v>
      </c>
      <c r="R655" s="153" t="s">
        <v>407</v>
      </c>
      <c r="S655" s="153" t="s">
        <v>1212</v>
      </c>
      <c r="T655" s="154">
        <v>1.21</v>
      </c>
      <c r="U655" s="153" t="s">
        <v>2530</v>
      </c>
      <c r="V655" s="155">
        <v>1.555E-2</v>
      </c>
      <c r="W655" s="155">
        <v>2.6499999999999999E-2</v>
      </c>
      <c r="X655" s="153" t="s">
        <v>412</v>
      </c>
      <c r="Y655" s="153" t="s">
        <v>339</v>
      </c>
      <c r="Z655" s="154">
        <v>66288.600000000006</v>
      </c>
      <c r="AA655" s="154">
        <v>1</v>
      </c>
      <c r="AB655" s="154">
        <v>117.11</v>
      </c>
      <c r="AD655" s="154">
        <v>77.631</v>
      </c>
      <c r="AG655" s="157" t="s">
        <v>15</v>
      </c>
      <c r="AH655" s="155">
        <v>3.0000000000000001E-5</v>
      </c>
      <c r="AI655" s="155">
        <f t="shared" si="10"/>
        <v>4.0111647728887402E-2</v>
      </c>
      <c r="AJ655" s="155">
        <v>1.1248219581939389E-3</v>
      </c>
    </row>
    <row r="656" spans="1:36" s="160" customFormat="1">
      <c r="A656" s="153" t="s">
        <v>1213</v>
      </c>
      <c r="B656" s="160">
        <v>35011</v>
      </c>
      <c r="C656" s="153" t="s">
        <v>1904</v>
      </c>
      <c r="D656" s="153" t="s">
        <v>1905</v>
      </c>
      <c r="E656" s="153" t="s">
        <v>309</v>
      </c>
      <c r="F656" s="153" t="s">
        <v>1906</v>
      </c>
      <c r="G656" s="153" t="s">
        <v>1907</v>
      </c>
      <c r="H656" s="153" t="s">
        <v>321</v>
      </c>
      <c r="I656" s="153" t="s">
        <v>754</v>
      </c>
      <c r="J656" s="153" t="s">
        <v>204</v>
      </c>
      <c r="K656" s="153" t="s">
        <v>204</v>
      </c>
      <c r="L656" s="153" t="s">
        <v>325</v>
      </c>
      <c r="M656" s="153" t="s">
        <v>340</v>
      </c>
      <c r="N656" s="153" t="s">
        <v>448</v>
      </c>
      <c r="O656" s="153" t="s">
        <v>339</v>
      </c>
      <c r="P656" s="153" t="s">
        <v>1215</v>
      </c>
      <c r="Q656" s="153" t="s">
        <v>413</v>
      </c>
      <c r="R656" s="153" t="s">
        <v>407</v>
      </c>
      <c r="S656" s="153" t="s">
        <v>1212</v>
      </c>
      <c r="T656" s="154">
        <v>3.98</v>
      </c>
      <c r="U656" s="153" t="s">
        <v>1908</v>
      </c>
      <c r="V656" s="155">
        <v>2.7040000000000002E-2</v>
      </c>
      <c r="W656" s="155">
        <v>2.52E-2</v>
      </c>
      <c r="X656" s="153" t="s">
        <v>412</v>
      </c>
      <c r="Y656" s="153" t="s">
        <v>339</v>
      </c>
      <c r="Z656" s="154">
        <v>66174.22</v>
      </c>
      <c r="AA656" s="154">
        <v>1</v>
      </c>
      <c r="AB656" s="154">
        <v>102.6</v>
      </c>
      <c r="AD656" s="154">
        <v>67.894999999999996</v>
      </c>
      <c r="AG656" s="157" t="s">
        <v>15</v>
      </c>
      <c r="AH656" s="155">
        <v>2.0000000000000002E-5</v>
      </c>
      <c r="AI656" s="155">
        <f t="shared" si="10"/>
        <v>3.5081092895271351E-2</v>
      </c>
      <c r="AJ656" s="155">
        <v>9.8375374337027069E-4</v>
      </c>
    </row>
    <row r="657" spans="1:36" s="160" customFormat="1">
      <c r="A657" s="153" t="s">
        <v>1213</v>
      </c>
      <c r="B657" s="160">
        <v>35011</v>
      </c>
      <c r="C657" s="153" t="s">
        <v>2780</v>
      </c>
      <c r="D657" s="153" t="s">
        <v>2781</v>
      </c>
      <c r="E657" s="153" t="s">
        <v>309</v>
      </c>
      <c r="F657" s="153" t="s">
        <v>2782</v>
      </c>
      <c r="G657" s="153" t="s">
        <v>2783</v>
      </c>
      <c r="H657" s="153" t="s">
        <v>321</v>
      </c>
      <c r="I657" s="153" t="s">
        <v>754</v>
      </c>
      <c r="J657" s="153" t="s">
        <v>204</v>
      </c>
      <c r="K657" s="153" t="s">
        <v>204</v>
      </c>
      <c r="L657" s="153" t="s">
        <v>325</v>
      </c>
      <c r="M657" s="153" t="s">
        <v>340</v>
      </c>
      <c r="N657" s="153" t="s">
        <v>464</v>
      </c>
      <c r="O657" s="153" t="s">
        <v>339</v>
      </c>
      <c r="P657" s="153" t="s">
        <v>1560</v>
      </c>
      <c r="Q657" s="153" t="s">
        <v>413</v>
      </c>
      <c r="R657" s="153" t="s">
        <v>407</v>
      </c>
      <c r="S657" s="153" t="s">
        <v>1212</v>
      </c>
      <c r="T657" s="154">
        <v>1.44</v>
      </c>
      <c r="U657" s="153" t="s">
        <v>1741</v>
      </c>
      <c r="V657" s="155">
        <v>2.2880000000000001E-2</v>
      </c>
      <c r="W657" s="155">
        <v>2.7900000000000001E-2</v>
      </c>
      <c r="X657" s="153" t="s">
        <v>412</v>
      </c>
      <c r="Y657" s="153" t="s">
        <v>339</v>
      </c>
      <c r="Z657" s="154">
        <v>54083.92</v>
      </c>
      <c r="AA657" s="154">
        <v>1</v>
      </c>
      <c r="AB657" s="154">
        <v>118.52</v>
      </c>
      <c r="AD657" s="154">
        <v>64.099999999999994</v>
      </c>
      <c r="AG657" s="157" t="s">
        <v>15</v>
      </c>
      <c r="AH657" s="155">
        <v>1.4999999999999999E-4</v>
      </c>
      <c r="AI657" s="155">
        <f t="shared" si="10"/>
        <v>3.3120230570541177E-2</v>
      </c>
      <c r="AJ657" s="155">
        <v>9.2876669784276234E-4</v>
      </c>
    </row>
    <row r="658" spans="1:36" s="160" customFormat="1">
      <c r="A658" s="153" t="s">
        <v>1213</v>
      </c>
      <c r="B658" s="160">
        <v>35011</v>
      </c>
      <c r="C658" s="153" t="s">
        <v>2757</v>
      </c>
      <c r="D658" s="153" t="s">
        <v>2758</v>
      </c>
      <c r="E658" s="153" t="s">
        <v>309</v>
      </c>
      <c r="F658" s="153" t="s">
        <v>2784</v>
      </c>
      <c r="G658" s="153" t="s">
        <v>2785</v>
      </c>
      <c r="H658" s="153" t="s">
        <v>321</v>
      </c>
      <c r="I658" s="153" t="s">
        <v>951</v>
      </c>
      <c r="J658" s="153" t="s">
        <v>204</v>
      </c>
      <c r="K658" s="153" t="s">
        <v>204</v>
      </c>
      <c r="L658" s="153" t="s">
        <v>325</v>
      </c>
      <c r="M658" s="153" t="s">
        <v>340</v>
      </c>
      <c r="N658" s="153" t="s">
        <v>440</v>
      </c>
      <c r="O658" s="153" t="s">
        <v>339</v>
      </c>
      <c r="P658" s="153" t="s">
        <v>1521</v>
      </c>
      <c r="Q658" s="153" t="s">
        <v>413</v>
      </c>
      <c r="R658" s="153" t="s">
        <v>407</v>
      </c>
      <c r="S658" s="153" t="s">
        <v>1212</v>
      </c>
      <c r="T658" s="154">
        <v>2.31</v>
      </c>
      <c r="U658" s="153" t="s">
        <v>2786</v>
      </c>
      <c r="V658" s="155">
        <v>5.713E-2</v>
      </c>
      <c r="W658" s="155">
        <v>5.8999999999999997E-2</v>
      </c>
      <c r="X658" s="153" t="s">
        <v>412</v>
      </c>
      <c r="Y658" s="153" t="s">
        <v>339</v>
      </c>
      <c r="Z658" s="154">
        <v>65125.57</v>
      </c>
      <c r="AA658" s="154">
        <v>1</v>
      </c>
      <c r="AB658" s="154">
        <v>93.07</v>
      </c>
      <c r="AD658" s="154">
        <v>60.612000000000002</v>
      </c>
      <c r="AG658" s="157" t="s">
        <v>15</v>
      </c>
      <c r="AH658" s="155">
        <v>1E-4</v>
      </c>
      <c r="AI658" s="155">
        <f t="shared" si="10"/>
        <v>3.1317993999089584E-2</v>
      </c>
      <c r="AJ658" s="155">
        <v>8.7822787971365867E-4</v>
      </c>
    </row>
    <row r="659" spans="1:36" s="160" customFormat="1">
      <c r="A659" s="153" t="s">
        <v>1213</v>
      </c>
      <c r="B659" s="160">
        <v>35011</v>
      </c>
      <c r="C659" s="153" t="s">
        <v>1600</v>
      </c>
      <c r="D659" s="153" t="s">
        <v>1601</v>
      </c>
      <c r="E659" s="153" t="s">
        <v>309</v>
      </c>
      <c r="F659" s="153" t="s">
        <v>2706</v>
      </c>
      <c r="G659" s="153" t="s">
        <v>2707</v>
      </c>
      <c r="H659" s="153" t="s">
        <v>321</v>
      </c>
      <c r="I659" s="153" t="s">
        <v>754</v>
      </c>
      <c r="J659" s="153" t="s">
        <v>204</v>
      </c>
      <c r="K659" s="153" t="s">
        <v>204</v>
      </c>
      <c r="L659" s="153" t="s">
        <v>325</v>
      </c>
      <c r="M659" s="153" t="s">
        <v>340</v>
      </c>
      <c r="N659" s="153" t="s">
        <v>448</v>
      </c>
      <c r="O659" s="153" t="s">
        <v>339</v>
      </c>
      <c r="P659" s="153" t="s">
        <v>1566</v>
      </c>
      <c r="Q659" s="153" t="s">
        <v>413</v>
      </c>
      <c r="R659" s="153" t="s">
        <v>407</v>
      </c>
      <c r="S659" s="153" t="s">
        <v>1212</v>
      </c>
      <c r="T659" s="154">
        <v>1.6</v>
      </c>
      <c r="U659" s="153" t="s">
        <v>2708</v>
      </c>
      <c r="V659" s="155">
        <v>2.6519999999999998E-2</v>
      </c>
      <c r="W659" s="155">
        <v>2.3800000000000002E-2</v>
      </c>
      <c r="X659" s="153" t="s">
        <v>411</v>
      </c>
      <c r="Y659" s="153" t="s">
        <v>339</v>
      </c>
      <c r="Z659" s="154">
        <v>49431</v>
      </c>
      <c r="AA659" s="154">
        <v>1</v>
      </c>
      <c r="AB659" s="154">
        <v>116.6</v>
      </c>
      <c r="AD659" s="154">
        <v>57.637</v>
      </c>
      <c r="AG659" s="157" t="s">
        <v>15</v>
      </c>
      <c r="AH659" s="155">
        <v>5.0000000000000002E-5</v>
      </c>
      <c r="AI659" s="155">
        <f t="shared" si="10"/>
        <v>2.978082261145526E-2</v>
      </c>
      <c r="AJ659" s="155">
        <v>8.3512209303530883E-4</v>
      </c>
    </row>
    <row r="660" spans="1:36" s="160" customFormat="1">
      <c r="A660" s="153" t="s">
        <v>1213</v>
      </c>
      <c r="B660" s="160">
        <v>35011</v>
      </c>
      <c r="C660" s="153" t="s">
        <v>2250</v>
      </c>
      <c r="D660" s="153" t="s">
        <v>2251</v>
      </c>
      <c r="E660" s="153" t="s">
        <v>309</v>
      </c>
      <c r="F660" s="153" t="s">
        <v>2704</v>
      </c>
      <c r="G660" s="153" t="s">
        <v>2705</v>
      </c>
      <c r="H660" s="153" t="s">
        <v>321</v>
      </c>
      <c r="I660" s="153" t="s">
        <v>754</v>
      </c>
      <c r="J660" s="153" t="s">
        <v>204</v>
      </c>
      <c r="K660" s="153" t="s">
        <v>204</v>
      </c>
      <c r="L660" s="153" t="s">
        <v>325</v>
      </c>
      <c r="M660" s="153" t="s">
        <v>340</v>
      </c>
      <c r="N660" s="153" t="s">
        <v>448</v>
      </c>
      <c r="O660" s="153" t="s">
        <v>339</v>
      </c>
      <c r="P660" s="153" t="s">
        <v>1566</v>
      </c>
      <c r="Q660" s="153" t="s">
        <v>413</v>
      </c>
      <c r="R660" s="153" t="s">
        <v>407</v>
      </c>
      <c r="S660" s="153" t="s">
        <v>1212</v>
      </c>
      <c r="T660" s="154">
        <v>3.43</v>
      </c>
      <c r="U660" s="153" t="s">
        <v>1851</v>
      </c>
      <c r="V660" s="155">
        <v>2.707E-2</v>
      </c>
      <c r="W660" s="155">
        <v>2.98E-2</v>
      </c>
      <c r="X660" s="153" t="s">
        <v>411</v>
      </c>
      <c r="Y660" s="153" t="s">
        <v>339</v>
      </c>
      <c r="Z660" s="154">
        <v>52317</v>
      </c>
      <c r="AA660" s="154">
        <v>1</v>
      </c>
      <c r="AB660" s="154">
        <v>105.03</v>
      </c>
      <c r="AD660" s="154">
        <v>54.948999999999998</v>
      </c>
      <c r="AG660" s="157" t="s">
        <v>15</v>
      </c>
      <c r="AH660" s="155">
        <v>6.0000000000000002E-5</v>
      </c>
      <c r="AI660" s="155">
        <f t="shared" si="10"/>
        <v>2.8391943051804484E-2</v>
      </c>
      <c r="AJ660" s="155">
        <v>7.9617474695416462E-4</v>
      </c>
    </row>
    <row r="661" spans="1:36" s="160" customFormat="1">
      <c r="A661" s="153" t="s">
        <v>1213</v>
      </c>
      <c r="B661" s="160">
        <v>35011</v>
      </c>
      <c r="C661" s="153" t="s">
        <v>1904</v>
      </c>
      <c r="D661" s="153" t="s">
        <v>1905</v>
      </c>
      <c r="E661" s="153" t="s">
        <v>309</v>
      </c>
      <c r="F661" s="153" t="s">
        <v>2709</v>
      </c>
      <c r="G661" s="153" t="s">
        <v>2710</v>
      </c>
      <c r="H661" s="153" t="s">
        <v>321</v>
      </c>
      <c r="I661" s="153" t="s">
        <v>754</v>
      </c>
      <c r="J661" s="153" t="s">
        <v>204</v>
      </c>
      <c r="K661" s="153" t="s">
        <v>204</v>
      </c>
      <c r="L661" s="153" t="s">
        <v>325</v>
      </c>
      <c r="M661" s="153" t="s">
        <v>340</v>
      </c>
      <c r="N661" s="153" t="s">
        <v>448</v>
      </c>
      <c r="O661" s="153" t="s">
        <v>339</v>
      </c>
      <c r="P661" s="153" t="s">
        <v>1566</v>
      </c>
      <c r="Q661" s="153" t="s">
        <v>413</v>
      </c>
      <c r="R661" s="153" t="s">
        <v>407</v>
      </c>
      <c r="S661" s="153" t="s">
        <v>1212</v>
      </c>
      <c r="T661" s="154">
        <v>1.06</v>
      </c>
      <c r="U661" s="153" t="s">
        <v>2711</v>
      </c>
      <c r="V661" s="155">
        <v>2.6120000000000001E-2</v>
      </c>
      <c r="W661" s="155">
        <v>2.9600000000000001E-2</v>
      </c>
      <c r="X661" s="153" t="s">
        <v>411</v>
      </c>
      <c r="Y661" s="153" t="s">
        <v>339</v>
      </c>
      <c r="Z661" s="154">
        <v>48021</v>
      </c>
      <c r="AA661" s="154">
        <v>1</v>
      </c>
      <c r="AB661" s="154">
        <v>114.39</v>
      </c>
      <c r="AD661" s="154">
        <v>54.930999999999997</v>
      </c>
      <c r="AG661" s="157" t="s">
        <v>15</v>
      </c>
      <c r="AH661" s="155">
        <v>4.0000000000000003E-5</v>
      </c>
      <c r="AI661" s="155">
        <f t="shared" si="10"/>
        <v>2.8382642519038964E-2</v>
      </c>
      <c r="AJ661" s="155">
        <v>7.9591393883308547E-4</v>
      </c>
    </row>
    <row r="662" spans="1:36" s="160" customFormat="1">
      <c r="A662" s="153" t="s">
        <v>1213</v>
      </c>
      <c r="B662" s="160">
        <v>35011</v>
      </c>
      <c r="C662" s="153" t="s">
        <v>1769</v>
      </c>
      <c r="D662" s="153" t="s">
        <v>1770</v>
      </c>
      <c r="E662" s="153" t="s">
        <v>309</v>
      </c>
      <c r="F662" s="153" t="s">
        <v>1771</v>
      </c>
      <c r="G662" s="153" t="s">
        <v>1772</v>
      </c>
      <c r="H662" s="153" t="s">
        <v>321</v>
      </c>
      <c r="I662" s="153" t="s">
        <v>754</v>
      </c>
      <c r="J662" s="153" t="s">
        <v>204</v>
      </c>
      <c r="K662" s="153" t="s">
        <v>204</v>
      </c>
      <c r="L662" s="153" t="s">
        <v>325</v>
      </c>
      <c r="M662" s="153" t="s">
        <v>340</v>
      </c>
      <c r="N662" s="153" t="s">
        <v>464</v>
      </c>
      <c r="O662" s="153" t="s">
        <v>339</v>
      </c>
      <c r="P662" s="153" t="s">
        <v>1560</v>
      </c>
      <c r="Q662" s="153" t="s">
        <v>413</v>
      </c>
      <c r="R662" s="153" t="s">
        <v>407</v>
      </c>
      <c r="S662" s="153" t="s">
        <v>1212</v>
      </c>
      <c r="T662" s="154">
        <v>4.05</v>
      </c>
      <c r="U662" s="153" t="s">
        <v>1587</v>
      </c>
      <c r="V662" s="155">
        <v>3.5400000000000001E-2</v>
      </c>
      <c r="W662" s="155">
        <v>3.9E-2</v>
      </c>
      <c r="X662" s="153" t="s">
        <v>412</v>
      </c>
      <c r="Y662" s="153" t="s">
        <v>339</v>
      </c>
      <c r="Z662" s="154">
        <v>50615</v>
      </c>
      <c r="AA662" s="154">
        <v>1</v>
      </c>
      <c r="AB662" s="154">
        <v>106.27</v>
      </c>
      <c r="AD662" s="154">
        <v>53.789000000000001</v>
      </c>
      <c r="AG662" s="157" t="s">
        <v>15</v>
      </c>
      <c r="AH662" s="155">
        <v>3.0000000000000001E-5</v>
      </c>
      <c r="AI662" s="155">
        <f t="shared" si="10"/>
        <v>2.7792575384693288E-2</v>
      </c>
      <c r="AJ662" s="155">
        <v>7.7936711248462328E-4</v>
      </c>
    </row>
    <row r="663" spans="1:36" s="160" customFormat="1">
      <c r="A663" s="153" t="s">
        <v>1213</v>
      </c>
      <c r="B663" s="160">
        <v>35011</v>
      </c>
      <c r="C663" s="153" t="s">
        <v>2298</v>
      </c>
      <c r="D663" s="153" t="s">
        <v>2299</v>
      </c>
      <c r="E663" s="153" t="s">
        <v>309</v>
      </c>
      <c r="F663" s="153" t="s">
        <v>2712</v>
      </c>
      <c r="G663" s="153" t="s">
        <v>2713</v>
      </c>
      <c r="H663" s="153" t="s">
        <v>321</v>
      </c>
      <c r="I663" s="153" t="s">
        <v>951</v>
      </c>
      <c r="J663" s="153" t="s">
        <v>204</v>
      </c>
      <c r="K663" s="153" t="s">
        <v>204</v>
      </c>
      <c r="L663" s="153" t="s">
        <v>325</v>
      </c>
      <c r="M663" s="153" t="s">
        <v>340</v>
      </c>
      <c r="N663" s="153" t="s">
        <v>462</v>
      </c>
      <c r="O663" s="153" t="s">
        <v>339</v>
      </c>
      <c r="P663" s="153" t="s">
        <v>1566</v>
      </c>
      <c r="Q663" s="153" t="s">
        <v>413</v>
      </c>
      <c r="R663" s="153" t="s">
        <v>407</v>
      </c>
      <c r="S663" s="153" t="s">
        <v>1212</v>
      </c>
      <c r="T663" s="154">
        <v>3.09</v>
      </c>
      <c r="U663" s="153" t="s">
        <v>2714</v>
      </c>
      <c r="V663" s="155">
        <v>4.897E-2</v>
      </c>
      <c r="W663" s="155">
        <v>5.8900000000000001E-2</v>
      </c>
      <c r="X663" s="153" t="s">
        <v>412</v>
      </c>
      <c r="Y663" s="153" t="s">
        <v>339</v>
      </c>
      <c r="Z663" s="154">
        <v>54137.2</v>
      </c>
      <c r="AA663" s="154">
        <v>1</v>
      </c>
      <c r="AB663" s="154">
        <v>99.02</v>
      </c>
      <c r="AD663" s="154">
        <v>53.606999999999999</v>
      </c>
      <c r="AG663" s="157" t="s">
        <v>15</v>
      </c>
      <c r="AH663" s="155">
        <v>2.3000000000000001E-4</v>
      </c>
      <c r="AI663" s="155">
        <f t="shared" si="10"/>
        <v>2.7698536664508597E-2</v>
      </c>
      <c r="AJ663" s="155">
        <v>7.7673005259371237E-4</v>
      </c>
    </row>
    <row r="664" spans="1:36" s="160" customFormat="1">
      <c r="A664" s="153" t="s">
        <v>1213</v>
      </c>
      <c r="B664" s="160">
        <v>35011</v>
      </c>
      <c r="C664" s="153" t="s">
        <v>1591</v>
      </c>
      <c r="D664" s="153" t="s">
        <v>1592</v>
      </c>
      <c r="E664" s="153" t="s">
        <v>309</v>
      </c>
      <c r="F664" s="153" t="s">
        <v>2175</v>
      </c>
      <c r="G664" s="153" t="s">
        <v>2176</v>
      </c>
      <c r="H664" s="153" t="s">
        <v>321</v>
      </c>
      <c r="I664" s="153" t="s">
        <v>754</v>
      </c>
      <c r="J664" s="153" t="s">
        <v>204</v>
      </c>
      <c r="K664" s="153" t="s">
        <v>204</v>
      </c>
      <c r="L664" s="153" t="s">
        <v>325</v>
      </c>
      <c r="M664" s="153" t="s">
        <v>340</v>
      </c>
      <c r="N664" s="153" t="s">
        <v>464</v>
      </c>
      <c r="O664" s="153" t="s">
        <v>339</v>
      </c>
      <c r="P664" s="153" t="s">
        <v>1538</v>
      </c>
      <c r="Q664" s="153" t="s">
        <v>413</v>
      </c>
      <c r="R664" s="153" t="s">
        <v>407</v>
      </c>
      <c r="S664" s="153" t="s">
        <v>1212</v>
      </c>
      <c r="T664" s="154">
        <v>3.97</v>
      </c>
      <c r="U664" s="153" t="s">
        <v>2177</v>
      </c>
      <c r="V664" s="155">
        <v>3.5290000000000002E-2</v>
      </c>
      <c r="W664" s="155">
        <v>3.1899999999999998E-2</v>
      </c>
      <c r="X664" s="153" t="s">
        <v>412</v>
      </c>
      <c r="Y664" s="153" t="s">
        <v>339</v>
      </c>
      <c r="Z664" s="154">
        <v>47636.74</v>
      </c>
      <c r="AA664" s="154">
        <v>1</v>
      </c>
      <c r="AB664" s="154">
        <v>103.53</v>
      </c>
      <c r="AD664" s="154">
        <v>49.317999999999998</v>
      </c>
      <c r="AG664" s="157" t="s">
        <v>15</v>
      </c>
      <c r="AH664" s="155">
        <v>3.0000000000000001E-5</v>
      </c>
      <c r="AI664" s="155">
        <f t="shared" si="10"/>
        <v>2.548242638499142E-2</v>
      </c>
      <c r="AJ664" s="155">
        <v>7.1458527307658901E-4</v>
      </c>
    </row>
    <row r="665" spans="1:36" s="160" customFormat="1">
      <c r="A665" s="153" t="s">
        <v>1213</v>
      </c>
      <c r="B665" s="160">
        <v>35011</v>
      </c>
      <c r="C665" s="153" t="s">
        <v>1825</v>
      </c>
      <c r="D665" s="153" t="s">
        <v>1826</v>
      </c>
      <c r="E665" s="153" t="s">
        <v>309</v>
      </c>
      <c r="F665" s="153" t="s">
        <v>2787</v>
      </c>
      <c r="G665" s="153" t="s">
        <v>2788</v>
      </c>
      <c r="H665" s="153" t="s">
        <v>321</v>
      </c>
      <c r="I665" s="153" t="s">
        <v>951</v>
      </c>
      <c r="J665" s="153" t="s">
        <v>204</v>
      </c>
      <c r="K665" s="153" t="s">
        <v>204</v>
      </c>
      <c r="L665" s="153" t="s">
        <v>325</v>
      </c>
      <c r="M665" s="153" t="s">
        <v>340</v>
      </c>
      <c r="N665" s="153" t="s">
        <v>441</v>
      </c>
      <c r="O665" s="153" t="s">
        <v>339</v>
      </c>
      <c r="Q665" s="153" t="s">
        <v>410</v>
      </c>
      <c r="R665" s="153" t="s">
        <v>410</v>
      </c>
      <c r="S665" s="153" t="s">
        <v>1212</v>
      </c>
      <c r="T665" s="154">
        <v>2.76</v>
      </c>
      <c r="U665" s="153" t="s">
        <v>1669</v>
      </c>
      <c r="V665" s="155">
        <v>5.101E-2</v>
      </c>
      <c r="W665" s="155">
        <v>5.9299999999999999E-2</v>
      </c>
      <c r="X665" s="153" t="s">
        <v>412</v>
      </c>
      <c r="Y665" s="153" t="s">
        <v>339</v>
      </c>
      <c r="Z665" s="154">
        <v>49000</v>
      </c>
      <c r="AA665" s="154">
        <v>1</v>
      </c>
      <c r="AB665" s="154">
        <v>100.56</v>
      </c>
      <c r="AD665" s="154">
        <v>49.274000000000001</v>
      </c>
      <c r="AG665" s="157" t="s">
        <v>15</v>
      </c>
      <c r="AH665" s="155">
        <v>2.2000000000000001E-4</v>
      </c>
      <c r="AI665" s="155">
        <f t="shared" si="10"/>
        <v>2.5459691749342376E-2</v>
      </c>
      <c r="AJ665" s="155">
        <v>7.1394774211395128E-4</v>
      </c>
    </row>
    <row r="666" spans="1:36" s="160" customFormat="1">
      <c r="A666" s="153" t="s">
        <v>1213</v>
      </c>
      <c r="B666" s="160">
        <v>35011</v>
      </c>
      <c r="C666" s="153" t="s">
        <v>2789</v>
      </c>
      <c r="D666" s="153" t="s">
        <v>2790</v>
      </c>
      <c r="E666" s="153" t="s">
        <v>309</v>
      </c>
      <c r="F666" s="153" t="s">
        <v>2791</v>
      </c>
      <c r="G666" s="153" t="s">
        <v>2792</v>
      </c>
      <c r="H666" s="153" t="s">
        <v>321</v>
      </c>
      <c r="I666" s="153" t="s">
        <v>951</v>
      </c>
      <c r="J666" s="153" t="s">
        <v>204</v>
      </c>
      <c r="K666" s="153" t="s">
        <v>204</v>
      </c>
      <c r="L666" s="153" t="s">
        <v>325</v>
      </c>
      <c r="M666" s="153" t="s">
        <v>340</v>
      </c>
      <c r="N666" s="153" t="s">
        <v>441</v>
      </c>
      <c r="O666" s="153" t="s">
        <v>339</v>
      </c>
      <c r="P666" s="153" t="s">
        <v>1614</v>
      </c>
      <c r="Q666" s="153" t="s">
        <v>415</v>
      </c>
      <c r="R666" s="153" t="s">
        <v>407</v>
      </c>
      <c r="S666" s="153" t="s">
        <v>1212</v>
      </c>
      <c r="T666" s="154">
        <v>2.86</v>
      </c>
      <c r="U666" s="153" t="s">
        <v>2793</v>
      </c>
      <c r="V666" s="155">
        <v>1.6740000000000001E-2</v>
      </c>
      <c r="W666" s="155">
        <v>5.9200000000000003E-2</v>
      </c>
      <c r="X666" s="153" t="s">
        <v>412</v>
      </c>
      <c r="Y666" s="153" t="s">
        <v>339</v>
      </c>
      <c r="Z666" s="154">
        <v>51664.02</v>
      </c>
      <c r="AA666" s="154">
        <v>1</v>
      </c>
      <c r="AB666" s="154">
        <v>90.04</v>
      </c>
      <c r="AD666" s="154">
        <v>46.518000000000001</v>
      </c>
      <c r="AG666" s="157" t="s">
        <v>15</v>
      </c>
      <c r="AH666" s="155">
        <v>1.2E-4</v>
      </c>
      <c r="AI666" s="155">
        <f t="shared" si="10"/>
        <v>2.4035676843688528E-2</v>
      </c>
      <c r="AJ666" s="155">
        <v>6.7401512090873043E-4</v>
      </c>
    </row>
    <row r="667" spans="1:36" s="160" customFormat="1">
      <c r="A667" s="153" t="s">
        <v>1213</v>
      </c>
      <c r="B667" s="160">
        <v>35011</v>
      </c>
      <c r="C667" s="153" t="s">
        <v>1820</v>
      </c>
      <c r="D667" s="153" t="s">
        <v>1821</v>
      </c>
      <c r="E667" s="153" t="s">
        <v>309</v>
      </c>
      <c r="F667" s="153" t="s">
        <v>1822</v>
      </c>
      <c r="G667" s="153" t="s">
        <v>1823</v>
      </c>
      <c r="H667" s="153" t="s">
        <v>321</v>
      </c>
      <c r="I667" s="153" t="s">
        <v>754</v>
      </c>
      <c r="J667" s="153" t="s">
        <v>204</v>
      </c>
      <c r="K667" s="153" t="s">
        <v>204</v>
      </c>
      <c r="L667" s="153" t="s">
        <v>325</v>
      </c>
      <c r="M667" s="153" t="s">
        <v>340</v>
      </c>
      <c r="N667" s="153" t="s">
        <v>464</v>
      </c>
      <c r="O667" s="153" t="s">
        <v>339</v>
      </c>
      <c r="P667" s="153" t="s">
        <v>1538</v>
      </c>
      <c r="Q667" s="153" t="s">
        <v>413</v>
      </c>
      <c r="R667" s="153" t="s">
        <v>407</v>
      </c>
      <c r="S667" s="153" t="s">
        <v>1212</v>
      </c>
      <c r="T667" s="154">
        <v>5.36</v>
      </c>
      <c r="U667" s="153" t="s">
        <v>1824</v>
      </c>
      <c r="V667" s="155">
        <v>2.6030000000000001E-2</v>
      </c>
      <c r="W667" s="155">
        <v>3.3099999999999997E-2</v>
      </c>
      <c r="X667" s="153" t="s">
        <v>412</v>
      </c>
      <c r="Y667" s="153" t="s">
        <v>339</v>
      </c>
      <c r="Z667" s="154">
        <v>41554.04</v>
      </c>
      <c r="AA667" s="154">
        <v>1</v>
      </c>
      <c r="AB667" s="154">
        <v>99.45</v>
      </c>
      <c r="AD667" s="154">
        <v>41.325000000000003</v>
      </c>
      <c r="AG667" s="157" t="s">
        <v>15</v>
      </c>
      <c r="AH667" s="155">
        <v>2.0000000000000002E-5</v>
      </c>
      <c r="AI667" s="155">
        <f t="shared" si="10"/>
        <v>2.1352473140836419E-2</v>
      </c>
      <c r="AJ667" s="155">
        <v>5.9877197797741282E-4</v>
      </c>
    </row>
    <row r="668" spans="1:36" s="160" customFormat="1">
      <c r="A668" s="153" t="s">
        <v>1213</v>
      </c>
      <c r="B668" s="160">
        <v>35011</v>
      </c>
      <c r="C668" s="153" t="s">
        <v>1573</v>
      </c>
      <c r="D668" s="153" t="s">
        <v>1574</v>
      </c>
      <c r="E668" s="153" t="s">
        <v>309</v>
      </c>
      <c r="F668" s="153" t="s">
        <v>2310</v>
      </c>
      <c r="G668" s="153" t="s">
        <v>2311</v>
      </c>
      <c r="H668" s="153" t="s">
        <v>321</v>
      </c>
      <c r="I668" s="153" t="s">
        <v>754</v>
      </c>
      <c r="J668" s="153" t="s">
        <v>204</v>
      </c>
      <c r="K668" s="153" t="s">
        <v>204</v>
      </c>
      <c r="L668" s="153" t="s">
        <v>325</v>
      </c>
      <c r="M668" s="153" t="s">
        <v>340</v>
      </c>
      <c r="N668" s="153" t="s">
        <v>448</v>
      </c>
      <c r="O668" s="153" t="s">
        <v>339</v>
      </c>
      <c r="P668" s="153" t="s">
        <v>1215</v>
      </c>
      <c r="Q668" s="153" t="s">
        <v>413</v>
      </c>
      <c r="R668" s="153" t="s">
        <v>407</v>
      </c>
      <c r="S668" s="153" t="s">
        <v>1212</v>
      </c>
      <c r="T668" s="154">
        <v>1.74</v>
      </c>
      <c r="U668" s="153" t="s">
        <v>1833</v>
      </c>
      <c r="V668" s="155">
        <v>1.6250000000000001E-2</v>
      </c>
      <c r="W668" s="155">
        <v>2.0400000000000001E-2</v>
      </c>
      <c r="X668" s="153" t="s">
        <v>412</v>
      </c>
      <c r="Y668" s="153" t="s">
        <v>339</v>
      </c>
      <c r="Z668" s="154">
        <v>25641</v>
      </c>
      <c r="AA668" s="154">
        <v>1</v>
      </c>
      <c r="AB668" s="154">
        <v>113.2</v>
      </c>
      <c r="AD668" s="154">
        <v>29.026</v>
      </c>
      <c r="AG668" s="157" t="s">
        <v>15</v>
      </c>
      <c r="AH668" s="155">
        <v>2.0000000000000002E-5</v>
      </c>
      <c r="AI668" s="155">
        <f t="shared" si="10"/>
        <v>1.4997625780663468E-2</v>
      </c>
      <c r="AJ668" s="155">
        <v>4.2056758458009397E-4</v>
      </c>
    </row>
    <row r="669" spans="1:36" s="160" customFormat="1">
      <c r="A669" s="153" t="s">
        <v>1213</v>
      </c>
      <c r="B669" s="160">
        <v>35011</v>
      </c>
      <c r="C669" s="153" t="s">
        <v>1917</v>
      </c>
      <c r="D669" s="153" t="s">
        <v>1918</v>
      </c>
      <c r="E669" s="153" t="s">
        <v>309</v>
      </c>
      <c r="F669" s="153" t="s">
        <v>2720</v>
      </c>
      <c r="G669" s="153" t="s">
        <v>2721</v>
      </c>
      <c r="H669" s="153" t="s">
        <v>321</v>
      </c>
      <c r="I669" s="153" t="s">
        <v>754</v>
      </c>
      <c r="J669" s="153" t="s">
        <v>204</v>
      </c>
      <c r="K669" s="153" t="s">
        <v>204</v>
      </c>
      <c r="L669" s="153" t="s">
        <v>325</v>
      </c>
      <c r="M669" s="153" t="s">
        <v>340</v>
      </c>
      <c r="N669" s="153" t="s">
        <v>447</v>
      </c>
      <c r="O669" s="153" t="s">
        <v>339</v>
      </c>
      <c r="P669" s="153" t="s">
        <v>1560</v>
      </c>
      <c r="Q669" s="153" t="s">
        <v>413</v>
      </c>
      <c r="R669" s="153" t="s">
        <v>407</v>
      </c>
      <c r="S669" s="153" t="s">
        <v>1212</v>
      </c>
      <c r="T669" s="154">
        <v>5.47</v>
      </c>
      <c r="U669" s="153" t="s">
        <v>1732</v>
      </c>
      <c r="V669" s="155">
        <v>4.0390000000000002E-2</v>
      </c>
      <c r="W669" s="155">
        <v>3.9800000000000002E-2</v>
      </c>
      <c r="X669" s="153" t="s">
        <v>412</v>
      </c>
      <c r="Y669" s="153" t="s">
        <v>339</v>
      </c>
      <c r="Z669" s="154">
        <v>25000</v>
      </c>
      <c r="AA669" s="154">
        <v>1</v>
      </c>
      <c r="AB669" s="154">
        <v>105.93</v>
      </c>
      <c r="AD669" s="154">
        <v>26.483000000000001</v>
      </c>
      <c r="AG669" s="157" t="s">
        <v>15</v>
      </c>
      <c r="AH669" s="155">
        <v>6.9999999999999994E-5</v>
      </c>
      <c r="AI669" s="155">
        <f t="shared" si="10"/>
        <v>1.3683667179401593E-2</v>
      </c>
      <c r="AJ669" s="155">
        <v>3.8372119280764242E-4</v>
      </c>
    </row>
    <row r="670" spans="1:36" s="160" customFormat="1">
      <c r="A670" s="153" t="s">
        <v>1213</v>
      </c>
      <c r="B670" s="160">
        <v>35011</v>
      </c>
      <c r="C670" s="153" t="s">
        <v>2238</v>
      </c>
      <c r="D670" s="153" t="s">
        <v>2239</v>
      </c>
      <c r="E670" s="153" t="s">
        <v>309</v>
      </c>
      <c r="F670" s="153" t="s">
        <v>2794</v>
      </c>
      <c r="G670" s="153" t="s">
        <v>2795</v>
      </c>
      <c r="H670" s="153" t="s">
        <v>321</v>
      </c>
      <c r="I670" s="153" t="s">
        <v>951</v>
      </c>
      <c r="J670" s="153" t="s">
        <v>204</v>
      </c>
      <c r="K670" s="153" t="s">
        <v>204</v>
      </c>
      <c r="L670" s="153" t="s">
        <v>325</v>
      </c>
      <c r="M670" s="153" t="s">
        <v>340</v>
      </c>
      <c r="N670" s="153" t="s">
        <v>447</v>
      </c>
      <c r="O670" s="153" t="s">
        <v>339</v>
      </c>
      <c r="P670" s="153" t="s">
        <v>1544</v>
      </c>
      <c r="Q670" s="153" t="s">
        <v>415</v>
      </c>
      <c r="R670" s="153" t="s">
        <v>407</v>
      </c>
      <c r="S670" s="153" t="s">
        <v>1212</v>
      </c>
      <c r="T670" s="154">
        <v>0.74</v>
      </c>
      <c r="U670" s="153" t="s">
        <v>1848</v>
      </c>
      <c r="V670" s="155">
        <v>5.2380000000000003E-2</v>
      </c>
      <c r="W670" s="155">
        <v>5.4600000000000003E-2</v>
      </c>
      <c r="X670" s="153" t="s">
        <v>412</v>
      </c>
      <c r="Y670" s="153" t="s">
        <v>339</v>
      </c>
      <c r="Z670" s="154">
        <v>20331.3</v>
      </c>
      <c r="AA670" s="154">
        <v>1</v>
      </c>
      <c r="AB670" s="154">
        <v>100.18</v>
      </c>
      <c r="AD670" s="154">
        <v>20.367999999999999</v>
      </c>
      <c r="AG670" s="157" t="s">
        <v>15</v>
      </c>
      <c r="AH670" s="155">
        <v>1.9000000000000001E-4</v>
      </c>
      <c r="AI670" s="155">
        <f t="shared" si="10"/>
        <v>1.0524069520449028E-2</v>
      </c>
      <c r="AJ670" s="155">
        <v>2.9511887834105123E-4</v>
      </c>
    </row>
    <row r="671" spans="1:36" s="160" customFormat="1">
      <c r="A671" s="153" t="s">
        <v>1213</v>
      </c>
      <c r="B671" s="160">
        <v>35011</v>
      </c>
      <c r="C671" s="153" t="s">
        <v>2356</v>
      </c>
      <c r="D671" s="153" t="s">
        <v>2357</v>
      </c>
      <c r="E671" s="153" t="s">
        <v>309</v>
      </c>
      <c r="F671" s="153" t="s">
        <v>2724</v>
      </c>
      <c r="G671" s="153" t="s">
        <v>2725</v>
      </c>
      <c r="H671" s="153" t="s">
        <v>321</v>
      </c>
      <c r="I671" s="153" t="s">
        <v>754</v>
      </c>
      <c r="J671" s="153" t="s">
        <v>204</v>
      </c>
      <c r="K671" s="153" t="s">
        <v>204</v>
      </c>
      <c r="L671" s="153" t="s">
        <v>325</v>
      </c>
      <c r="M671" s="153" t="s">
        <v>340</v>
      </c>
      <c r="N671" s="153" t="s">
        <v>447</v>
      </c>
      <c r="O671" s="153" t="s">
        <v>339</v>
      </c>
      <c r="P671" s="153" t="s">
        <v>1560</v>
      </c>
      <c r="Q671" s="153" t="s">
        <v>413</v>
      </c>
      <c r="R671" s="153" t="s">
        <v>407</v>
      </c>
      <c r="S671" s="153" t="s">
        <v>1212</v>
      </c>
      <c r="T671" s="154">
        <v>0.5</v>
      </c>
      <c r="U671" s="153" t="s">
        <v>1965</v>
      </c>
      <c r="V671" s="155">
        <v>5.0200000000000002E-2</v>
      </c>
      <c r="W671" s="155">
        <v>3.4700000000000002E-2</v>
      </c>
      <c r="X671" s="153" t="s">
        <v>412</v>
      </c>
      <c r="Y671" s="153" t="s">
        <v>339</v>
      </c>
      <c r="Z671" s="154">
        <v>16748</v>
      </c>
      <c r="AA671" s="154">
        <v>1</v>
      </c>
      <c r="AB671" s="154">
        <v>115.84</v>
      </c>
      <c r="AC671" s="154">
        <v>0.41899999999999998</v>
      </c>
      <c r="AD671" s="154">
        <v>19.82</v>
      </c>
      <c r="AG671" s="157" t="s">
        <v>15</v>
      </c>
      <c r="AH671" s="155">
        <v>4.0000000000000003E-5</v>
      </c>
      <c r="AI671" s="155">
        <f t="shared" si="10"/>
        <v>1.0240919967365463E-2</v>
      </c>
      <c r="AJ671" s="155">
        <v>2.8717871998819891E-4</v>
      </c>
    </row>
    <row r="672" spans="1:36" s="160" customFormat="1">
      <c r="A672" s="153" t="s">
        <v>1213</v>
      </c>
      <c r="B672" s="160">
        <v>35011</v>
      </c>
      <c r="C672" s="153" t="s">
        <v>2428</v>
      </c>
      <c r="D672" s="153" t="s">
        <v>2429</v>
      </c>
      <c r="E672" s="153" t="s">
        <v>309</v>
      </c>
      <c r="F672" s="153" t="s">
        <v>2430</v>
      </c>
      <c r="G672" s="153" t="s">
        <v>2431</v>
      </c>
      <c r="H672" s="153" t="s">
        <v>321</v>
      </c>
      <c r="I672" s="153" t="s">
        <v>755</v>
      </c>
      <c r="J672" s="153" t="s">
        <v>204</v>
      </c>
      <c r="K672" s="153" t="s">
        <v>204</v>
      </c>
      <c r="L672" s="153" t="s">
        <v>325</v>
      </c>
      <c r="M672" s="153" t="s">
        <v>340</v>
      </c>
      <c r="N672" s="153" t="s">
        <v>454</v>
      </c>
      <c r="O672" s="153" t="s">
        <v>339</v>
      </c>
      <c r="P672" s="153" t="s">
        <v>1538</v>
      </c>
      <c r="Q672" s="153" t="s">
        <v>413</v>
      </c>
      <c r="R672" s="153" t="s">
        <v>407</v>
      </c>
      <c r="S672" s="153" t="s">
        <v>1212</v>
      </c>
      <c r="T672" s="154">
        <v>0.5</v>
      </c>
      <c r="U672" s="153" t="s">
        <v>2432</v>
      </c>
      <c r="V672" s="155">
        <v>5.8270000000000002E-2</v>
      </c>
      <c r="W672" s="155">
        <v>8.8599999999999998E-2</v>
      </c>
      <c r="X672" s="153" t="s">
        <v>412</v>
      </c>
      <c r="Y672" s="153" t="s">
        <v>339</v>
      </c>
      <c r="Z672" s="154">
        <v>18409.2</v>
      </c>
      <c r="AA672" s="154">
        <v>1</v>
      </c>
      <c r="AB672" s="154">
        <v>102.3</v>
      </c>
      <c r="AD672" s="154">
        <v>18.832999999999998</v>
      </c>
      <c r="AG672" s="157" t="s">
        <v>15</v>
      </c>
      <c r="AH672" s="155">
        <v>4.0000000000000003E-5</v>
      </c>
      <c r="AI672" s="155">
        <f t="shared" si="10"/>
        <v>9.7309407540561946E-3</v>
      </c>
      <c r="AJ672" s="155">
        <v>2.7287774134902875E-4</v>
      </c>
    </row>
    <row r="673" spans="1:36" s="160" customFormat="1">
      <c r="A673" s="153" t="s">
        <v>1213</v>
      </c>
      <c r="B673" s="160">
        <v>35011</v>
      </c>
      <c r="C673" s="153" t="s">
        <v>2178</v>
      </c>
      <c r="D673" s="153" t="s">
        <v>2179</v>
      </c>
      <c r="E673" s="153" t="s">
        <v>309</v>
      </c>
      <c r="F673" s="153" t="s">
        <v>2762</v>
      </c>
      <c r="G673" s="153" t="s">
        <v>2763</v>
      </c>
      <c r="H673" s="153" t="s">
        <v>321</v>
      </c>
      <c r="I673" s="153" t="s">
        <v>951</v>
      </c>
      <c r="J673" s="153" t="s">
        <v>204</v>
      </c>
      <c r="K673" s="153" t="s">
        <v>204</v>
      </c>
      <c r="L673" s="153" t="s">
        <v>325</v>
      </c>
      <c r="M673" s="153" t="s">
        <v>340</v>
      </c>
      <c r="N673" s="153" t="s">
        <v>464</v>
      </c>
      <c r="O673" s="153" t="s">
        <v>339</v>
      </c>
      <c r="P673" s="153" t="s">
        <v>1566</v>
      </c>
      <c r="Q673" s="153" t="s">
        <v>413</v>
      </c>
      <c r="R673" s="153" t="s">
        <v>407</v>
      </c>
      <c r="S673" s="153" t="s">
        <v>1212</v>
      </c>
      <c r="T673" s="154">
        <v>1.34</v>
      </c>
      <c r="U673" s="153" t="s">
        <v>2764</v>
      </c>
      <c r="V673" s="155">
        <v>-9.0799999999999995E-3</v>
      </c>
      <c r="W673" s="155">
        <v>6.1800000000000001E-2</v>
      </c>
      <c r="X673" s="153" t="s">
        <v>412</v>
      </c>
      <c r="Y673" s="153" t="s">
        <v>339</v>
      </c>
      <c r="Z673" s="154">
        <v>14993.25</v>
      </c>
      <c r="AA673" s="154">
        <v>1</v>
      </c>
      <c r="AB673" s="154">
        <v>101.51</v>
      </c>
      <c r="AD673" s="154">
        <v>15.22</v>
      </c>
      <c r="AG673" s="157" t="s">
        <v>15</v>
      </c>
      <c r="AH673" s="155">
        <v>1.0000000000000001E-5</v>
      </c>
      <c r="AI673" s="155">
        <f t="shared" si="10"/>
        <v>7.8641171495107149E-3</v>
      </c>
      <c r="AJ673" s="155">
        <v>2.2052775571243128E-4</v>
      </c>
    </row>
    <row r="674" spans="1:36" s="160" customFormat="1">
      <c r="A674" s="153" t="s">
        <v>1213</v>
      </c>
      <c r="B674" s="160">
        <v>35011</v>
      </c>
      <c r="C674" s="153" t="s">
        <v>2576</v>
      </c>
      <c r="D674" s="153" t="s">
        <v>2577</v>
      </c>
      <c r="E674" s="153" t="s">
        <v>309</v>
      </c>
      <c r="F674" s="153" t="s">
        <v>2578</v>
      </c>
      <c r="G674" s="153" t="s">
        <v>2579</v>
      </c>
      <c r="H674" s="153" t="s">
        <v>321</v>
      </c>
      <c r="I674" s="153" t="s">
        <v>755</v>
      </c>
      <c r="J674" s="153" t="s">
        <v>204</v>
      </c>
      <c r="K674" s="153" t="s">
        <v>204</v>
      </c>
      <c r="L674" s="153" t="s">
        <v>325</v>
      </c>
      <c r="M674" s="153" t="s">
        <v>340</v>
      </c>
      <c r="N674" s="153" t="s">
        <v>451</v>
      </c>
      <c r="O674" s="153" t="s">
        <v>339</v>
      </c>
      <c r="P674" s="153" t="s">
        <v>1521</v>
      </c>
      <c r="Q674" s="153" t="s">
        <v>413</v>
      </c>
      <c r="R674" s="153" t="s">
        <v>407</v>
      </c>
      <c r="S674" s="153" t="s">
        <v>1212</v>
      </c>
      <c r="T674" s="154">
        <v>1.48</v>
      </c>
      <c r="U674" s="153" t="s">
        <v>1522</v>
      </c>
      <c r="V674" s="155">
        <v>5.4469999999999998E-2</v>
      </c>
      <c r="W674" s="155">
        <v>7.0099999999999996E-2</v>
      </c>
      <c r="X674" s="153" t="s">
        <v>412</v>
      </c>
      <c r="Y674" s="153" t="s">
        <v>339</v>
      </c>
      <c r="Z674" s="154">
        <v>12907.88</v>
      </c>
      <c r="AA674" s="154">
        <v>1</v>
      </c>
      <c r="AB674" s="154">
        <v>105.21</v>
      </c>
      <c r="AD674" s="154">
        <v>13.58</v>
      </c>
      <c r="AG674" s="157" t="s">
        <v>15</v>
      </c>
      <c r="AH674" s="155">
        <v>1.2E-4</v>
      </c>
      <c r="AI674" s="155">
        <f t="shared" si="10"/>
        <v>7.0167352753190207E-3</v>
      </c>
      <c r="AJ674" s="155">
        <v>1.9676523801411409E-4</v>
      </c>
    </row>
    <row r="675" spans="1:36" s="160" customFormat="1">
      <c r="A675" s="153" t="s">
        <v>1213</v>
      </c>
      <c r="B675" s="160">
        <v>35011</v>
      </c>
      <c r="C675" s="153" t="s">
        <v>2032</v>
      </c>
      <c r="D675" s="153" t="s">
        <v>2033</v>
      </c>
      <c r="E675" s="153" t="s">
        <v>309</v>
      </c>
      <c r="F675" s="153" t="s">
        <v>2765</v>
      </c>
      <c r="G675" s="153" t="s">
        <v>2766</v>
      </c>
      <c r="H675" s="153" t="s">
        <v>321</v>
      </c>
      <c r="I675" s="153" t="s">
        <v>754</v>
      </c>
      <c r="J675" s="153" t="s">
        <v>204</v>
      </c>
      <c r="K675" s="153" t="s">
        <v>204</v>
      </c>
      <c r="L675" s="153" t="s">
        <v>325</v>
      </c>
      <c r="M675" s="153" t="s">
        <v>340</v>
      </c>
      <c r="N675" s="153" t="s">
        <v>445</v>
      </c>
      <c r="O675" s="153" t="s">
        <v>339</v>
      </c>
      <c r="P675" s="153" t="s">
        <v>1538</v>
      </c>
      <c r="Q675" s="153" t="s">
        <v>413</v>
      </c>
      <c r="R675" s="153" t="s">
        <v>407</v>
      </c>
      <c r="S675" s="153" t="s">
        <v>1212</v>
      </c>
      <c r="T675" s="154">
        <v>5.09</v>
      </c>
      <c r="U675" s="153" t="s">
        <v>2210</v>
      </c>
      <c r="V675" s="155">
        <v>2.2360000000000001E-2</v>
      </c>
      <c r="W675" s="155">
        <v>2.8899999999999999E-2</v>
      </c>
      <c r="X675" s="153" t="s">
        <v>412</v>
      </c>
      <c r="Y675" s="153" t="s">
        <v>339</v>
      </c>
      <c r="Z675" s="154">
        <v>12258</v>
      </c>
      <c r="AA675" s="154">
        <v>1</v>
      </c>
      <c r="AB675" s="154">
        <v>100.89</v>
      </c>
      <c r="AD675" s="154">
        <v>12.367000000000001</v>
      </c>
      <c r="AG675" s="157" t="s">
        <v>15</v>
      </c>
      <c r="AH675" s="155">
        <v>4.0000000000000003E-5</v>
      </c>
      <c r="AI675" s="155">
        <f t="shared" si="10"/>
        <v>6.3899827061760194E-3</v>
      </c>
      <c r="AJ675" s="155">
        <v>1.7918966852139537E-4</v>
      </c>
    </row>
    <row r="676" spans="1:36" s="160" customFormat="1">
      <c r="A676" s="153" t="s">
        <v>1213</v>
      </c>
      <c r="B676" s="160">
        <v>35011</v>
      </c>
      <c r="C676" s="153" t="s">
        <v>2361</v>
      </c>
      <c r="D676" s="153" t="s">
        <v>2362</v>
      </c>
      <c r="E676" s="153" t="s">
        <v>309</v>
      </c>
      <c r="F676" s="153" t="s">
        <v>2363</v>
      </c>
      <c r="G676" s="153" t="s">
        <v>2364</v>
      </c>
      <c r="H676" s="153" t="s">
        <v>321</v>
      </c>
      <c r="I676" s="153" t="s">
        <v>951</v>
      </c>
      <c r="J676" s="153" t="s">
        <v>204</v>
      </c>
      <c r="K676" s="153" t="s">
        <v>204</v>
      </c>
      <c r="L676" s="153" t="s">
        <v>325</v>
      </c>
      <c r="M676" s="153" t="s">
        <v>340</v>
      </c>
      <c r="N676" s="153" t="s">
        <v>446</v>
      </c>
      <c r="O676" s="153" t="s">
        <v>339</v>
      </c>
      <c r="P676" s="153" t="s">
        <v>1538</v>
      </c>
      <c r="Q676" s="153" t="s">
        <v>413</v>
      </c>
      <c r="R676" s="153" t="s">
        <v>407</v>
      </c>
      <c r="S676" s="153" t="s">
        <v>1212</v>
      </c>
      <c r="T676" s="154">
        <v>2.62</v>
      </c>
      <c r="U676" s="153" t="s">
        <v>1587</v>
      </c>
      <c r="V676" s="155">
        <v>4.8869999999999997E-2</v>
      </c>
      <c r="W676" s="155">
        <v>5.2200000000000003E-2</v>
      </c>
      <c r="X676" s="153" t="s">
        <v>412</v>
      </c>
      <c r="Y676" s="153" t="s">
        <v>339</v>
      </c>
      <c r="Z676" s="154">
        <v>8483.58</v>
      </c>
      <c r="AA676" s="154">
        <v>1</v>
      </c>
      <c r="AB676" s="154">
        <v>90.15</v>
      </c>
      <c r="AD676" s="154">
        <v>7.6479999999999997</v>
      </c>
      <c r="AG676" s="157" t="s">
        <v>15</v>
      </c>
      <c r="AH676" s="155">
        <v>1.0000000000000001E-5</v>
      </c>
      <c r="AI676" s="155">
        <f t="shared" si="10"/>
        <v>3.9516930328158959E-3</v>
      </c>
      <c r="AJ676" s="155">
        <v>1.1081447277849371E-4</v>
      </c>
    </row>
    <row r="677" spans="1:36" s="160" customFormat="1">
      <c r="A677" s="153" t="s">
        <v>1213</v>
      </c>
      <c r="B677" s="160">
        <v>35011</v>
      </c>
      <c r="C677" s="153" t="s">
        <v>2336</v>
      </c>
      <c r="D677" s="153" t="s">
        <v>2337</v>
      </c>
      <c r="E677" s="153" t="s">
        <v>309</v>
      </c>
      <c r="F677" s="153" t="s">
        <v>2796</v>
      </c>
      <c r="G677" s="153" t="s">
        <v>2797</v>
      </c>
      <c r="H677" s="153" t="s">
        <v>321</v>
      </c>
      <c r="I677" s="153" t="s">
        <v>754</v>
      </c>
      <c r="J677" s="153" t="s">
        <v>204</v>
      </c>
      <c r="K677" s="153" t="s">
        <v>204</v>
      </c>
      <c r="L677" s="153" t="s">
        <v>325</v>
      </c>
      <c r="M677" s="153" t="s">
        <v>340</v>
      </c>
      <c r="N677" s="153" t="s">
        <v>464</v>
      </c>
      <c r="O677" s="153" t="s">
        <v>339</v>
      </c>
      <c r="P677" s="153" t="s">
        <v>1982</v>
      </c>
      <c r="Q677" s="153" t="s">
        <v>415</v>
      </c>
      <c r="R677" s="153" t="s">
        <v>407</v>
      </c>
      <c r="S677" s="153" t="s">
        <v>1212</v>
      </c>
      <c r="T677" s="154">
        <v>2.91</v>
      </c>
      <c r="U677" s="153" t="s">
        <v>2798</v>
      </c>
      <c r="V677" s="155">
        <v>6.3099999999999996E-3</v>
      </c>
      <c r="W677" s="155">
        <v>2.76E-2</v>
      </c>
      <c r="X677" s="153" t="s">
        <v>412</v>
      </c>
      <c r="Y677" s="153" t="s">
        <v>339</v>
      </c>
      <c r="Z677" s="154">
        <v>4913</v>
      </c>
      <c r="AA677" s="154">
        <v>1</v>
      </c>
      <c r="AB677" s="154">
        <v>114.46</v>
      </c>
      <c r="AD677" s="154">
        <v>5.6230000000000002</v>
      </c>
      <c r="AG677" s="157" t="s">
        <v>15</v>
      </c>
      <c r="AH677" s="155">
        <v>0</v>
      </c>
      <c r="AI677" s="155">
        <f t="shared" si="10"/>
        <v>2.9053830966950557E-3</v>
      </c>
      <c r="AJ677" s="155">
        <v>8.1473559157095989E-5</v>
      </c>
    </row>
    <row r="678" spans="1:36" s="160" customFormat="1">
      <c r="A678" s="153" t="s">
        <v>1213</v>
      </c>
      <c r="B678" s="160">
        <v>35011</v>
      </c>
      <c r="C678" s="153" t="s">
        <v>1973</v>
      </c>
      <c r="D678" s="153" t="s">
        <v>1974</v>
      </c>
      <c r="E678" s="153" t="s">
        <v>309</v>
      </c>
      <c r="F678" s="153" t="s">
        <v>2004</v>
      </c>
      <c r="G678" s="153" t="s">
        <v>2005</v>
      </c>
      <c r="H678" s="153" t="s">
        <v>321</v>
      </c>
      <c r="I678" s="153" t="s">
        <v>754</v>
      </c>
      <c r="J678" s="153" t="s">
        <v>204</v>
      </c>
      <c r="K678" s="153" t="s">
        <v>204</v>
      </c>
      <c r="L678" s="153" t="s">
        <v>325</v>
      </c>
      <c r="M678" s="153" t="s">
        <v>340</v>
      </c>
      <c r="N678" s="153" t="s">
        <v>464</v>
      </c>
      <c r="O678" s="153" t="s">
        <v>339</v>
      </c>
      <c r="P678" s="153" t="s">
        <v>1538</v>
      </c>
      <c r="Q678" s="153" t="s">
        <v>413</v>
      </c>
      <c r="R678" s="153" t="s">
        <v>407</v>
      </c>
      <c r="S678" s="153" t="s">
        <v>1212</v>
      </c>
      <c r="T678" s="154">
        <v>3.44</v>
      </c>
      <c r="U678" s="153" t="s">
        <v>1913</v>
      </c>
      <c r="V678" s="155">
        <v>4.4319999999999998E-2</v>
      </c>
      <c r="W678" s="155">
        <v>2.93E-2</v>
      </c>
      <c r="X678" s="153" t="s">
        <v>412</v>
      </c>
      <c r="Y678" s="153" t="s">
        <v>339</v>
      </c>
      <c r="Z678" s="154">
        <v>2781</v>
      </c>
      <c r="AA678" s="154">
        <v>1</v>
      </c>
      <c r="AB678" s="154">
        <v>117.13</v>
      </c>
      <c r="AD678" s="154">
        <v>3.2570000000000001</v>
      </c>
      <c r="AG678" s="157" t="s">
        <v>15</v>
      </c>
      <c r="AH678" s="155">
        <v>0</v>
      </c>
      <c r="AI678" s="155">
        <f t="shared" si="10"/>
        <v>1.6828797342941129E-3</v>
      </c>
      <c r="AJ678" s="155">
        <v>4.7191780575255497E-5</v>
      </c>
    </row>
    <row r="679" spans="1:36" s="160" customFormat="1">
      <c r="A679" s="153" t="s">
        <v>1213</v>
      </c>
      <c r="B679" s="160">
        <v>35011</v>
      </c>
      <c r="C679" s="153" t="s">
        <v>1917</v>
      </c>
      <c r="D679" s="153" t="s">
        <v>1918</v>
      </c>
      <c r="E679" s="153" t="s">
        <v>309</v>
      </c>
      <c r="F679" s="153" t="s">
        <v>2799</v>
      </c>
      <c r="G679" s="153" t="s">
        <v>2800</v>
      </c>
      <c r="H679" s="153" t="s">
        <v>321</v>
      </c>
      <c r="I679" s="153" t="s">
        <v>951</v>
      </c>
      <c r="J679" s="153" t="s">
        <v>204</v>
      </c>
      <c r="K679" s="153" t="s">
        <v>204</v>
      </c>
      <c r="L679" s="153" t="s">
        <v>325</v>
      </c>
      <c r="M679" s="153" t="s">
        <v>340</v>
      </c>
      <c r="N679" s="153" t="s">
        <v>447</v>
      </c>
      <c r="O679" s="153" t="s">
        <v>339</v>
      </c>
      <c r="P679" s="153" t="s">
        <v>1560</v>
      </c>
      <c r="Q679" s="153" t="s">
        <v>413</v>
      </c>
      <c r="R679" s="153" t="s">
        <v>407</v>
      </c>
      <c r="S679" s="153" t="s">
        <v>1212</v>
      </c>
      <c r="T679" s="154">
        <v>0.6</v>
      </c>
      <c r="U679" s="153" t="s">
        <v>2801</v>
      </c>
      <c r="V679" s="155">
        <v>3.8249999999999999E-2</v>
      </c>
      <c r="W679" s="155">
        <v>6.13E-2</v>
      </c>
      <c r="X679" s="153" t="s">
        <v>412</v>
      </c>
      <c r="Y679" s="153" t="s">
        <v>339</v>
      </c>
      <c r="Z679" s="154">
        <v>1906.83</v>
      </c>
      <c r="AA679" s="154">
        <v>1</v>
      </c>
      <c r="AB679" s="154">
        <v>100.56</v>
      </c>
      <c r="AD679" s="154">
        <v>1.9179999999999999</v>
      </c>
      <c r="AG679" s="157" t="s">
        <v>15</v>
      </c>
      <c r="AH679" s="155">
        <v>2.0000000000000002E-5</v>
      </c>
      <c r="AI679" s="155">
        <f t="shared" si="10"/>
        <v>9.9102343579248017E-4</v>
      </c>
      <c r="AJ679" s="155">
        <v>2.7790554234983123E-5</v>
      </c>
    </row>
    <row r="680" spans="1:36" s="160" customFormat="1">
      <c r="A680" s="153" t="s">
        <v>1213</v>
      </c>
      <c r="B680" s="160">
        <v>35011</v>
      </c>
      <c r="C680" s="153" t="s">
        <v>1986</v>
      </c>
      <c r="D680" s="153" t="s">
        <v>1987</v>
      </c>
      <c r="E680" s="153" t="s">
        <v>309</v>
      </c>
      <c r="F680" s="153" t="s">
        <v>2504</v>
      </c>
      <c r="G680" s="153" t="s">
        <v>2505</v>
      </c>
      <c r="H680" s="153" t="s">
        <v>321</v>
      </c>
      <c r="I680" s="153" t="s">
        <v>951</v>
      </c>
      <c r="J680" s="153" t="s">
        <v>204</v>
      </c>
      <c r="K680" s="153" t="s">
        <v>204</v>
      </c>
      <c r="L680" s="153" t="s">
        <v>325</v>
      </c>
      <c r="M680" s="153" t="s">
        <v>340</v>
      </c>
      <c r="N680" s="153" t="s">
        <v>484</v>
      </c>
      <c r="O680" s="153" t="s">
        <v>339</v>
      </c>
      <c r="P680" s="153" t="s">
        <v>1538</v>
      </c>
      <c r="Q680" s="153" t="s">
        <v>413</v>
      </c>
      <c r="R680" s="153" t="s">
        <v>407</v>
      </c>
      <c r="S680" s="153" t="s">
        <v>1212</v>
      </c>
      <c r="T680" s="154">
        <v>0.65</v>
      </c>
      <c r="U680" s="153" t="s">
        <v>2372</v>
      </c>
      <c r="V680" s="155">
        <v>3.066E-2</v>
      </c>
      <c r="W680" s="155">
        <v>5.0500000000000003E-2</v>
      </c>
      <c r="X680" s="153" t="s">
        <v>412</v>
      </c>
      <c r="Y680" s="153" t="s">
        <v>339</v>
      </c>
      <c r="Z680" s="154">
        <v>622.61</v>
      </c>
      <c r="AA680" s="154">
        <v>1</v>
      </c>
      <c r="AB680" s="154">
        <v>100.35</v>
      </c>
      <c r="AD680" s="154">
        <v>0.625</v>
      </c>
      <c r="AG680" s="157" t="s">
        <v>15</v>
      </c>
      <c r="AH680" s="155">
        <v>0</v>
      </c>
      <c r="AI680" s="155">
        <f t="shared" si="10"/>
        <v>3.2293516546939529E-4</v>
      </c>
      <c r="AJ680" s="155">
        <v>9.0558375374684328E-6</v>
      </c>
    </row>
    <row r="681" spans="1:36" s="160" customFormat="1">
      <c r="A681" s="153" t="s">
        <v>1213</v>
      </c>
      <c r="B681" s="160">
        <v>35011</v>
      </c>
      <c r="C681" s="153" t="s">
        <v>2775</v>
      </c>
      <c r="D681" s="153" t="s">
        <v>2776</v>
      </c>
      <c r="E681" s="153" t="s">
        <v>80</v>
      </c>
      <c r="F681" s="153" t="s">
        <v>2777</v>
      </c>
      <c r="G681" s="153" t="s">
        <v>2778</v>
      </c>
      <c r="H681" s="153" t="s">
        <v>321</v>
      </c>
      <c r="I681" s="153" t="s">
        <v>755</v>
      </c>
      <c r="J681" s="153" t="s">
        <v>205</v>
      </c>
      <c r="K681" s="153" t="s">
        <v>224</v>
      </c>
      <c r="L681" s="153" t="s">
        <v>325</v>
      </c>
      <c r="M681" s="153" t="s">
        <v>314</v>
      </c>
      <c r="N681" s="153" t="s">
        <v>546</v>
      </c>
      <c r="O681" s="153" t="s">
        <v>339</v>
      </c>
      <c r="P681" s="153" t="s">
        <v>2779</v>
      </c>
      <c r="Q681" s="153" t="s">
        <v>433</v>
      </c>
      <c r="R681" s="153" t="s">
        <v>407</v>
      </c>
      <c r="S681" s="153" t="s">
        <v>1216</v>
      </c>
      <c r="T681" s="154">
        <v>2.9239999999999999</v>
      </c>
      <c r="U681" s="153" t="s">
        <v>1488</v>
      </c>
      <c r="V681" s="155">
        <v>5.373E-2</v>
      </c>
      <c r="W681" s="155">
        <v>4.6559999999999997E-2</v>
      </c>
      <c r="X681" s="153" t="s">
        <v>412</v>
      </c>
      <c r="Y681" s="153" t="s">
        <v>339</v>
      </c>
      <c r="Z681" s="154">
        <v>20000</v>
      </c>
      <c r="AA681" s="154">
        <v>3.71</v>
      </c>
      <c r="AB681" s="154">
        <v>106.401</v>
      </c>
      <c r="AD681" s="154">
        <v>78.948999999999998</v>
      </c>
      <c r="AG681" s="157" t="s">
        <v>15</v>
      </c>
      <c r="AH681" s="155">
        <v>2.0000000000000002E-5</v>
      </c>
      <c r="AI681" s="155">
        <f t="shared" si="10"/>
        <v>4.0792653405829264E-2</v>
      </c>
      <c r="AJ681" s="155">
        <v>1.1439189083929525E-3</v>
      </c>
    </row>
    <row r="682" spans="1:36" s="160" customFormat="1">
      <c r="A682" s="153" t="s">
        <v>1213</v>
      </c>
      <c r="B682" s="160">
        <v>35012</v>
      </c>
      <c r="C682" s="153" t="s">
        <v>1573</v>
      </c>
      <c r="D682" s="153" t="s">
        <v>1574</v>
      </c>
      <c r="E682" s="153" t="s">
        <v>309</v>
      </c>
      <c r="F682" s="153" t="s">
        <v>2277</v>
      </c>
      <c r="G682" s="153" t="s">
        <v>2278</v>
      </c>
      <c r="H682" s="153" t="s">
        <v>321</v>
      </c>
      <c r="I682" s="153" t="s">
        <v>754</v>
      </c>
      <c r="J682" s="153" t="s">
        <v>204</v>
      </c>
      <c r="K682" s="153" t="s">
        <v>204</v>
      </c>
      <c r="L682" s="153" t="s">
        <v>325</v>
      </c>
      <c r="M682" s="153" t="s">
        <v>340</v>
      </c>
      <c r="N682" s="153" t="s">
        <v>448</v>
      </c>
      <c r="O682" s="153" t="s">
        <v>339</v>
      </c>
      <c r="P682" s="153" t="s">
        <v>1215</v>
      </c>
      <c r="Q682" s="153" t="s">
        <v>413</v>
      </c>
      <c r="R682" s="153" t="s">
        <v>407</v>
      </c>
      <c r="S682" s="153" t="s">
        <v>1212</v>
      </c>
      <c r="T682" s="154">
        <v>3.14</v>
      </c>
      <c r="U682" s="153" t="s">
        <v>2279</v>
      </c>
      <c r="V682" s="155">
        <v>1.49E-2</v>
      </c>
      <c r="W682" s="155">
        <v>2.3099999999999999E-2</v>
      </c>
      <c r="X682" s="153" t="s">
        <v>412</v>
      </c>
      <c r="Y682" s="153" t="s">
        <v>339</v>
      </c>
      <c r="Z682" s="154">
        <v>5991455</v>
      </c>
      <c r="AA682" s="154">
        <v>1</v>
      </c>
      <c r="AB682" s="154">
        <v>105.15</v>
      </c>
      <c r="AD682" s="154">
        <v>6300.0150000000003</v>
      </c>
      <c r="AG682" s="157" t="s">
        <v>15</v>
      </c>
      <c r="AH682" s="155">
        <v>1.91E-3</v>
      </c>
      <c r="AI682" s="155">
        <f t="shared" si="10"/>
        <v>4.1300486553317993E-2</v>
      </c>
      <c r="AJ682" s="155">
        <v>3.4830411103712023E-3</v>
      </c>
    </row>
    <row r="683" spans="1:36" s="160" customFormat="1">
      <c r="A683" s="153" t="s">
        <v>1213</v>
      </c>
      <c r="B683" s="160">
        <v>35012</v>
      </c>
      <c r="C683" s="153" t="s">
        <v>455</v>
      </c>
      <c r="D683" s="153" t="s">
        <v>2106</v>
      </c>
      <c r="E683" s="153" t="s">
        <v>309</v>
      </c>
      <c r="F683" s="153" t="s">
        <v>2289</v>
      </c>
      <c r="G683" s="153" t="s">
        <v>2290</v>
      </c>
      <c r="H683" s="153" t="s">
        <v>321</v>
      </c>
      <c r="I683" s="153" t="s">
        <v>754</v>
      </c>
      <c r="J683" s="153" t="s">
        <v>204</v>
      </c>
      <c r="K683" s="153" t="s">
        <v>204</v>
      </c>
      <c r="L683" s="153" t="s">
        <v>325</v>
      </c>
      <c r="M683" s="153" t="s">
        <v>340</v>
      </c>
      <c r="N683" s="153" t="s">
        <v>440</v>
      </c>
      <c r="O683" s="153" t="s">
        <v>339</v>
      </c>
      <c r="P683" s="153" t="s">
        <v>1923</v>
      </c>
      <c r="Q683" s="153" t="s">
        <v>415</v>
      </c>
      <c r="R683" s="153" t="s">
        <v>407</v>
      </c>
      <c r="S683" s="153" t="s">
        <v>1212</v>
      </c>
      <c r="T683" s="154">
        <v>3.44</v>
      </c>
      <c r="U683" s="153" t="s">
        <v>2291</v>
      </c>
      <c r="V683" s="155">
        <v>1.2290000000000001E-2</v>
      </c>
      <c r="W683" s="155">
        <v>2.5700000000000001E-2</v>
      </c>
      <c r="X683" s="153" t="s">
        <v>412</v>
      </c>
      <c r="Y683" s="153" t="s">
        <v>339</v>
      </c>
      <c r="Z683" s="154">
        <v>4847897.99</v>
      </c>
      <c r="AA683" s="154">
        <v>1</v>
      </c>
      <c r="AB683" s="154">
        <v>121.2</v>
      </c>
      <c r="AC683" s="154">
        <v>108.378</v>
      </c>
      <c r="AD683" s="154">
        <v>5984.03</v>
      </c>
      <c r="AG683" s="157" t="s">
        <v>15</v>
      </c>
      <c r="AH683" s="155">
        <v>1.9E-3</v>
      </c>
      <c r="AI683" s="155">
        <f t="shared" si="10"/>
        <v>3.9229009859445003E-2</v>
      </c>
      <c r="AJ683" s="155">
        <v>3.3083449000827114E-3</v>
      </c>
    </row>
    <row r="684" spans="1:36" s="160" customFormat="1">
      <c r="A684" s="153" t="s">
        <v>1213</v>
      </c>
      <c r="B684" s="160">
        <v>35012</v>
      </c>
      <c r="C684" s="153" t="s">
        <v>455</v>
      </c>
      <c r="D684" s="153" t="s">
        <v>2106</v>
      </c>
      <c r="E684" s="153" t="s">
        <v>309</v>
      </c>
      <c r="F684" s="153" t="s">
        <v>2160</v>
      </c>
      <c r="G684" s="153" t="s">
        <v>2161</v>
      </c>
      <c r="H684" s="153" t="s">
        <v>321</v>
      </c>
      <c r="I684" s="153" t="s">
        <v>754</v>
      </c>
      <c r="J684" s="153" t="s">
        <v>204</v>
      </c>
      <c r="K684" s="153" t="s">
        <v>204</v>
      </c>
      <c r="L684" s="153" t="s">
        <v>325</v>
      </c>
      <c r="M684" s="153" t="s">
        <v>340</v>
      </c>
      <c r="N684" s="153" t="s">
        <v>440</v>
      </c>
      <c r="O684" s="153" t="s">
        <v>339</v>
      </c>
      <c r="P684" s="153" t="s">
        <v>1923</v>
      </c>
      <c r="Q684" s="153" t="s">
        <v>415</v>
      </c>
      <c r="R684" s="153" t="s">
        <v>407</v>
      </c>
      <c r="S684" s="153" t="s">
        <v>1212</v>
      </c>
      <c r="T684" s="154">
        <v>0.9</v>
      </c>
      <c r="U684" s="153" t="s">
        <v>2162</v>
      </c>
      <c r="V684" s="155">
        <v>1.908E-2</v>
      </c>
      <c r="W684" s="155">
        <v>2.6100000000000002E-2</v>
      </c>
      <c r="X684" s="153" t="s">
        <v>412</v>
      </c>
      <c r="Y684" s="153" t="s">
        <v>339</v>
      </c>
      <c r="Z684" s="154">
        <v>4369251</v>
      </c>
      <c r="AA684" s="154">
        <v>1</v>
      </c>
      <c r="AB684" s="154">
        <v>119.4</v>
      </c>
      <c r="AD684" s="154">
        <v>5216.8860000000004</v>
      </c>
      <c r="AG684" s="157" t="s">
        <v>15</v>
      </c>
      <c r="AH684" s="155">
        <v>1.48E-3</v>
      </c>
      <c r="AI684" s="155">
        <f t="shared" si="10"/>
        <v>3.4199907475330277E-2</v>
      </c>
      <c r="AJ684" s="155">
        <v>2.8842198639400032E-3</v>
      </c>
    </row>
    <row r="685" spans="1:36" s="160" customFormat="1">
      <c r="A685" s="153" t="s">
        <v>1213</v>
      </c>
      <c r="B685" s="160">
        <v>35012</v>
      </c>
      <c r="C685" s="153" t="s">
        <v>1600</v>
      </c>
      <c r="D685" s="153" t="s">
        <v>1601</v>
      </c>
      <c r="E685" s="153" t="s">
        <v>309</v>
      </c>
      <c r="F685" s="153" t="s">
        <v>2701</v>
      </c>
      <c r="G685" s="153" t="s">
        <v>2702</v>
      </c>
      <c r="H685" s="153" t="s">
        <v>321</v>
      </c>
      <c r="I685" s="153" t="s">
        <v>754</v>
      </c>
      <c r="J685" s="153" t="s">
        <v>204</v>
      </c>
      <c r="K685" s="153" t="s">
        <v>204</v>
      </c>
      <c r="L685" s="153" t="s">
        <v>325</v>
      </c>
      <c r="M685" s="153" t="s">
        <v>340</v>
      </c>
      <c r="N685" s="153" t="s">
        <v>448</v>
      </c>
      <c r="O685" s="153" t="s">
        <v>339</v>
      </c>
      <c r="P685" s="153" t="s">
        <v>1566</v>
      </c>
      <c r="Q685" s="153" t="s">
        <v>413</v>
      </c>
      <c r="R685" s="153" t="s">
        <v>407</v>
      </c>
      <c r="S685" s="153" t="s">
        <v>1212</v>
      </c>
      <c r="T685" s="154">
        <v>4.68</v>
      </c>
      <c r="U685" s="153" t="s">
        <v>2703</v>
      </c>
      <c r="V685" s="155">
        <v>3.7100000000000001E-2</v>
      </c>
      <c r="W685" s="155">
        <v>3.1600000000000003E-2</v>
      </c>
      <c r="X685" s="153" t="s">
        <v>411</v>
      </c>
      <c r="Y685" s="153" t="s">
        <v>339</v>
      </c>
      <c r="Z685" s="154">
        <v>4650000</v>
      </c>
      <c r="AA685" s="154">
        <v>1</v>
      </c>
      <c r="AB685" s="154">
        <v>108.99</v>
      </c>
      <c r="AD685" s="154">
        <v>5068.0349999999999</v>
      </c>
      <c r="AG685" s="157" t="s">
        <v>15</v>
      </c>
      <c r="AH685" s="155">
        <v>1.21E-2</v>
      </c>
      <c r="AI685" s="155">
        <f t="shared" si="10"/>
        <v>3.3224097302823073E-2</v>
      </c>
      <c r="AJ685" s="155">
        <v>2.8019257499863276E-3</v>
      </c>
    </row>
    <row r="686" spans="1:36" s="160" customFormat="1">
      <c r="A686" s="153" t="s">
        <v>1213</v>
      </c>
      <c r="B686" s="160">
        <v>35012</v>
      </c>
      <c r="C686" s="153" t="s">
        <v>1718</v>
      </c>
      <c r="D686" s="153" t="s">
        <v>1719</v>
      </c>
      <c r="E686" s="153" t="s">
        <v>309</v>
      </c>
      <c r="F686" s="153" t="s">
        <v>1720</v>
      </c>
      <c r="G686" s="153" t="s">
        <v>1721</v>
      </c>
      <c r="H686" s="153" t="s">
        <v>321</v>
      </c>
      <c r="I686" s="153" t="s">
        <v>951</v>
      </c>
      <c r="J686" s="153" t="s">
        <v>204</v>
      </c>
      <c r="K686" s="153" t="s">
        <v>204</v>
      </c>
      <c r="L686" s="153" t="s">
        <v>325</v>
      </c>
      <c r="M686" s="153" t="s">
        <v>340</v>
      </c>
      <c r="N686" s="153" t="s">
        <v>440</v>
      </c>
      <c r="O686" s="153" t="s">
        <v>339</v>
      </c>
      <c r="P686" s="153" t="s">
        <v>1527</v>
      </c>
      <c r="Q686" s="153" t="s">
        <v>415</v>
      </c>
      <c r="R686" s="153" t="s">
        <v>407</v>
      </c>
      <c r="S686" s="153" t="s">
        <v>1212</v>
      </c>
      <c r="T686" s="154">
        <v>3</v>
      </c>
      <c r="U686" s="153" t="s">
        <v>1722</v>
      </c>
      <c r="V686" s="155">
        <v>7.2499999999999995E-2</v>
      </c>
      <c r="W686" s="155">
        <v>6.4000000000000001E-2</v>
      </c>
      <c r="X686" s="153" t="s">
        <v>412</v>
      </c>
      <c r="Y686" s="153" t="s">
        <v>339</v>
      </c>
      <c r="Z686" s="154">
        <v>4140000</v>
      </c>
      <c r="AA686" s="154">
        <v>1</v>
      </c>
      <c r="AB686" s="154">
        <v>105.92</v>
      </c>
      <c r="AD686" s="154">
        <v>4385.0879999999997</v>
      </c>
      <c r="AG686" s="157" t="s">
        <v>15</v>
      </c>
      <c r="AH686" s="155">
        <v>5.7499999999999999E-3</v>
      </c>
      <c r="AI686" s="155">
        <f t="shared" si="10"/>
        <v>2.8746958218213142E-2</v>
      </c>
      <c r="AJ686" s="155">
        <v>2.4243500652927704E-3</v>
      </c>
    </row>
    <row r="687" spans="1:36" s="160" customFormat="1">
      <c r="A687" s="153" t="s">
        <v>1213</v>
      </c>
      <c r="B687" s="160">
        <v>35012</v>
      </c>
      <c r="C687" s="153" t="s">
        <v>1529</v>
      </c>
      <c r="D687" s="153" t="s">
        <v>1530</v>
      </c>
      <c r="E687" s="153" t="s">
        <v>309</v>
      </c>
      <c r="F687" s="153" t="s">
        <v>1960</v>
      </c>
      <c r="G687" s="153" t="s">
        <v>1961</v>
      </c>
      <c r="H687" s="153" t="s">
        <v>321</v>
      </c>
      <c r="I687" s="153" t="s">
        <v>754</v>
      </c>
      <c r="J687" s="153" t="s">
        <v>204</v>
      </c>
      <c r="K687" s="153" t="s">
        <v>204</v>
      </c>
      <c r="L687" s="153" t="s">
        <v>325</v>
      </c>
      <c r="M687" s="153" t="s">
        <v>340</v>
      </c>
      <c r="N687" s="153" t="s">
        <v>440</v>
      </c>
      <c r="O687" s="153" t="s">
        <v>339</v>
      </c>
      <c r="P687" s="153" t="s">
        <v>1527</v>
      </c>
      <c r="Q687" s="153" t="s">
        <v>415</v>
      </c>
      <c r="R687" s="153" t="s">
        <v>407</v>
      </c>
      <c r="S687" s="153" t="s">
        <v>1212</v>
      </c>
      <c r="T687" s="154">
        <v>3.67</v>
      </c>
      <c r="U687" s="153" t="s">
        <v>1962</v>
      </c>
      <c r="V687" s="155">
        <v>1.7999999999999999E-2</v>
      </c>
      <c r="W687" s="155">
        <v>3.6600000000000001E-2</v>
      </c>
      <c r="X687" s="153" t="s">
        <v>412</v>
      </c>
      <c r="Y687" s="153" t="s">
        <v>339</v>
      </c>
      <c r="Z687" s="154">
        <v>4000500</v>
      </c>
      <c r="AA687" s="154">
        <v>1</v>
      </c>
      <c r="AB687" s="154">
        <v>107.89</v>
      </c>
      <c r="AD687" s="154">
        <v>4316.1390000000001</v>
      </c>
      <c r="AG687" s="157" t="s">
        <v>15</v>
      </c>
      <c r="AH687" s="155">
        <v>4.2399999999999998E-3</v>
      </c>
      <c r="AI687" s="155">
        <f t="shared" si="10"/>
        <v>2.8294954969432826E-2</v>
      </c>
      <c r="AJ687" s="155">
        <v>2.3862307589865182E-3</v>
      </c>
    </row>
    <row r="688" spans="1:36" s="160" customFormat="1">
      <c r="A688" s="153" t="s">
        <v>1213</v>
      </c>
      <c r="B688" s="160">
        <v>35012</v>
      </c>
      <c r="C688" s="153" t="s">
        <v>1600</v>
      </c>
      <c r="D688" s="153" t="s">
        <v>1601</v>
      </c>
      <c r="E688" s="153" t="s">
        <v>309</v>
      </c>
      <c r="F688" s="153" t="s">
        <v>2333</v>
      </c>
      <c r="G688" s="153" t="s">
        <v>2334</v>
      </c>
      <c r="H688" s="153" t="s">
        <v>321</v>
      </c>
      <c r="I688" s="153" t="s">
        <v>754</v>
      </c>
      <c r="J688" s="153" t="s">
        <v>204</v>
      </c>
      <c r="K688" s="153" t="s">
        <v>204</v>
      </c>
      <c r="L688" s="153" t="s">
        <v>325</v>
      </c>
      <c r="M688" s="153" t="s">
        <v>340</v>
      </c>
      <c r="N688" s="153" t="s">
        <v>448</v>
      </c>
      <c r="O688" s="153" t="s">
        <v>339</v>
      </c>
      <c r="P688" s="153" t="s">
        <v>1215</v>
      </c>
      <c r="Q688" s="153" t="s">
        <v>413</v>
      </c>
      <c r="R688" s="153" t="s">
        <v>407</v>
      </c>
      <c r="S688" s="153" t="s">
        <v>1212</v>
      </c>
      <c r="T688" s="154">
        <v>3.56</v>
      </c>
      <c r="U688" s="153" t="s">
        <v>2335</v>
      </c>
      <c r="V688" s="155">
        <v>-5.3200000000000001E-3</v>
      </c>
      <c r="W688" s="155">
        <v>2.4E-2</v>
      </c>
      <c r="X688" s="153" t="s">
        <v>412</v>
      </c>
      <c r="Y688" s="153" t="s">
        <v>339</v>
      </c>
      <c r="Z688" s="154">
        <v>4115200</v>
      </c>
      <c r="AA688" s="154">
        <v>1</v>
      </c>
      <c r="AB688" s="154">
        <v>103.73</v>
      </c>
      <c r="AD688" s="154">
        <v>4268.6970000000001</v>
      </c>
      <c r="AG688" s="157" t="s">
        <v>15</v>
      </c>
      <c r="AH688" s="155">
        <v>3.6600000000000001E-3</v>
      </c>
      <c r="AI688" s="155">
        <f t="shared" si="10"/>
        <v>2.7983943379291769E-2</v>
      </c>
      <c r="AJ688" s="155">
        <v>2.3600018632841699E-3</v>
      </c>
    </row>
    <row r="689" spans="1:36" s="160" customFormat="1">
      <c r="A689" s="153" t="s">
        <v>1213</v>
      </c>
      <c r="B689" s="160">
        <v>35012</v>
      </c>
      <c r="C689" s="153" t="s">
        <v>2273</v>
      </c>
      <c r="D689" s="153" t="s">
        <v>2274</v>
      </c>
      <c r="E689" s="153" t="s">
        <v>309</v>
      </c>
      <c r="F689" s="153" t="s">
        <v>2303</v>
      </c>
      <c r="G689" s="153" t="s">
        <v>2304</v>
      </c>
      <c r="H689" s="153" t="s">
        <v>321</v>
      </c>
      <c r="I689" s="153" t="s">
        <v>754</v>
      </c>
      <c r="J689" s="153" t="s">
        <v>204</v>
      </c>
      <c r="K689" s="153" t="s">
        <v>204</v>
      </c>
      <c r="L689" s="153" t="s">
        <v>325</v>
      </c>
      <c r="M689" s="153" t="s">
        <v>340</v>
      </c>
      <c r="N689" s="153" t="s">
        <v>477</v>
      </c>
      <c r="O689" s="153" t="s">
        <v>339</v>
      </c>
      <c r="P689" s="153" t="s">
        <v>1215</v>
      </c>
      <c r="Q689" s="153" t="s">
        <v>413</v>
      </c>
      <c r="R689" s="153" t="s">
        <v>407</v>
      </c>
      <c r="S689" s="153" t="s">
        <v>1212</v>
      </c>
      <c r="T689" s="154">
        <v>11.44</v>
      </c>
      <c r="U689" s="153" t="s">
        <v>2305</v>
      </c>
      <c r="V689" s="155">
        <v>6.0099999999999997E-3</v>
      </c>
      <c r="W689" s="155">
        <v>3.2899999999999999E-2</v>
      </c>
      <c r="X689" s="153" t="s">
        <v>412</v>
      </c>
      <c r="Y689" s="153" t="s">
        <v>339</v>
      </c>
      <c r="Z689" s="154">
        <v>4111387.28</v>
      </c>
      <c r="AA689" s="154">
        <v>1</v>
      </c>
      <c r="AB689" s="154">
        <v>99.37</v>
      </c>
      <c r="AD689" s="154">
        <v>4085.4859999999999</v>
      </c>
      <c r="AG689" s="157" t="s">
        <v>15</v>
      </c>
      <c r="AH689" s="155">
        <v>8.9999999999999998E-4</v>
      </c>
      <c r="AI689" s="155">
        <f t="shared" si="10"/>
        <v>2.6782882200561253E-2</v>
      </c>
      <c r="AJ689" s="155">
        <v>2.2587113989166693E-3</v>
      </c>
    </row>
    <row r="690" spans="1:36" s="160" customFormat="1">
      <c r="A690" s="153" t="s">
        <v>1213</v>
      </c>
      <c r="B690" s="160">
        <v>35012</v>
      </c>
      <c r="C690" s="153" t="s">
        <v>2748</v>
      </c>
      <c r="D690" s="153" t="s">
        <v>2749</v>
      </c>
      <c r="E690" s="153" t="s">
        <v>309</v>
      </c>
      <c r="F690" s="153" t="s">
        <v>2750</v>
      </c>
      <c r="G690" s="153" t="s">
        <v>2751</v>
      </c>
      <c r="H690" s="153" t="s">
        <v>321</v>
      </c>
      <c r="I690" s="153" t="s">
        <v>754</v>
      </c>
      <c r="J690" s="153" t="s">
        <v>204</v>
      </c>
      <c r="K690" s="153" t="s">
        <v>204</v>
      </c>
      <c r="L690" s="153" t="s">
        <v>325</v>
      </c>
      <c r="M690" s="153" t="s">
        <v>340</v>
      </c>
      <c r="N690" s="153" t="s">
        <v>464</v>
      </c>
      <c r="O690" s="153" t="s">
        <v>339</v>
      </c>
      <c r="P690" s="153" t="s">
        <v>1560</v>
      </c>
      <c r="Q690" s="153" t="s">
        <v>413</v>
      </c>
      <c r="R690" s="153" t="s">
        <v>407</v>
      </c>
      <c r="S690" s="153" t="s">
        <v>1212</v>
      </c>
      <c r="T690" s="154">
        <v>4.3600000000000003</v>
      </c>
      <c r="U690" s="153" t="s">
        <v>2752</v>
      </c>
      <c r="V690" s="155">
        <v>3.9379999999999998E-2</v>
      </c>
      <c r="W690" s="155">
        <v>3.5099999999999999E-2</v>
      </c>
      <c r="X690" s="153" t="s">
        <v>412</v>
      </c>
      <c r="Y690" s="153" t="s">
        <v>339</v>
      </c>
      <c r="Z690" s="154">
        <v>3644862.5</v>
      </c>
      <c r="AA690" s="154">
        <v>1</v>
      </c>
      <c r="AB690" s="154">
        <v>108.78</v>
      </c>
      <c r="AD690" s="154">
        <v>3964.8809999999999</v>
      </c>
      <c r="AG690" s="157" t="s">
        <v>15</v>
      </c>
      <c r="AH690" s="155">
        <v>8.8299999999999993E-3</v>
      </c>
      <c r="AI690" s="155">
        <f t="shared" si="10"/>
        <v>2.599224199085335E-2</v>
      </c>
      <c r="AJ690" s="155">
        <v>2.1920334349568504E-3</v>
      </c>
    </row>
    <row r="691" spans="1:36" s="160" customFormat="1">
      <c r="A691" s="153" t="s">
        <v>1213</v>
      </c>
      <c r="B691" s="160">
        <v>35012</v>
      </c>
      <c r="C691" s="153" t="s">
        <v>1512</v>
      </c>
      <c r="D691" s="153" t="s">
        <v>1513</v>
      </c>
      <c r="E691" s="153" t="s">
        <v>309</v>
      </c>
      <c r="F691" s="153" t="s">
        <v>1898</v>
      </c>
      <c r="G691" s="153" t="s">
        <v>1899</v>
      </c>
      <c r="H691" s="153" t="s">
        <v>321</v>
      </c>
      <c r="I691" s="153" t="s">
        <v>754</v>
      </c>
      <c r="J691" s="153" t="s">
        <v>204</v>
      </c>
      <c r="K691" s="153" t="s">
        <v>204</v>
      </c>
      <c r="L691" s="153" t="s">
        <v>325</v>
      </c>
      <c r="M691" s="153" t="s">
        <v>340</v>
      </c>
      <c r="N691" s="153" t="s">
        <v>448</v>
      </c>
      <c r="O691" s="153" t="s">
        <v>339</v>
      </c>
      <c r="P691" s="153" t="s">
        <v>1215</v>
      </c>
      <c r="Q691" s="153" t="s">
        <v>413</v>
      </c>
      <c r="R691" s="153" t="s">
        <v>407</v>
      </c>
      <c r="S691" s="153" t="s">
        <v>1212</v>
      </c>
      <c r="T691" s="154">
        <v>3.43</v>
      </c>
      <c r="U691" s="153" t="s">
        <v>1900</v>
      </c>
      <c r="V691" s="155">
        <v>-3.5899999999999999E-3</v>
      </c>
      <c r="W691" s="155">
        <v>2.4799999999999999E-2</v>
      </c>
      <c r="X691" s="153" t="s">
        <v>412</v>
      </c>
      <c r="Y691" s="153" t="s">
        <v>339</v>
      </c>
      <c r="Z691" s="154">
        <v>3453432</v>
      </c>
      <c r="AA691" s="154">
        <v>1</v>
      </c>
      <c r="AB691" s="154">
        <v>102.63</v>
      </c>
      <c r="AD691" s="154">
        <v>3544.2570000000001</v>
      </c>
      <c r="AG691" s="157" t="s">
        <v>15</v>
      </c>
      <c r="AH691" s="155">
        <v>1.33E-3</v>
      </c>
      <c r="AI691" s="155">
        <f t="shared" si="10"/>
        <v>2.3234792071130491E-2</v>
      </c>
      <c r="AJ691" s="155">
        <v>1.9594862610201572E-3</v>
      </c>
    </row>
    <row r="692" spans="1:36" s="160" customFormat="1">
      <c r="A692" s="153" t="s">
        <v>1213</v>
      </c>
      <c r="B692" s="160">
        <v>35012</v>
      </c>
      <c r="C692" s="153" t="s">
        <v>455</v>
      </c>
      <c r="D692" s="153" t="s">
        <v>2106</v>
      </c>
      <c r="E692" s="153" t="s">
        <v>309</v>
      </c>
      <c r="F692" s="153" t="s">
        <v>2255</v>
      </c>
      <c r="G692" s="153" t="s">
        <v>2256</v>
      </c>
      <c r="H692" s="153" t="s">
        <v>321</v>
      </c>
      <c r="I692" s="153" t="s">
        <v>754</v>
      </c>
      <c r="J692" s="153" t="s">
        <v>204</v>
      </c>
      <c r="K692" s="153" t="s">
        <v>204</v>
      </c>
      <c r="L692" s="153" t="s">
        <v>325</v>
      </c>
      <c r="M692" s="153" t="s">
        <v>340</v>
      </c>
      <c r="N692" s="153" t="s">
        <v>440</v>
      </c>
      <c r="O692" s="153" t="s">
        <v>339</v>
      </c>
      <c r="P692" s="153" t="s">
        <v>1923</v>
      </c>
      <c r="Q692" s="153" t="s">
        <v>415</v>
      </c>
      <c r="R692" s="153" t="s">
        <v>407</v>
      </c>
      <c r="S692" s="153" t="s">
        <v>1212</v>
      </c>
      <c r="T692" s="154">
        <v>5.8</v>
      </c>
      <c r="U692" s="153" t="s">
        <v>2257</v>
      </c>
      <c r="V692" s="155">
        <v>6.8100000000000001E-3</v>
      </c>
      <c r="W692" s="155">
        <v>2.92E-2</v>
      </c>
      <c r="X692" s="153" t="s">
        <v>412</v>
      </c>
      <c r="Y692" s="153" t="s">
        <v>339</v>
      </c>
      <c r="Z692" s="154">
        <v>3030000</v>
      </c>
      <c r="AA692" s="154">
        <v>1</v>
      </c>
      <c r="AB692" s="154">
        <v>111.74</v>
      </c>
      <c r="AD692" s="154">
        <v>3385.7220000000002</v>
      </c>
      <c r="AG692" s="157" t="s">
        <v>15</v>
      </c>
      <c r="AH692" s="155">
        <v>7.7999999999999999E-4</v>
      </c>
      <c r="AI692" s="155">
        <f t="shared" si="10"/>
        <v>2.2195497301875138E-2</v>
      </c>
      <c r="AJ692" s="155">
        <v>1.8718382280499661E-3</v>
      </c>
    </row>
    <row r="693" spans="1:36" s="160" customFormat="1">
      <c r="A693" s="153" t="s">
        <v>1213</v>
      </c>
      <c r="B693" s="160">
        <v>35012</v>
      </c>
      <c r="C693" s="153" t="s">
        <v>1904</v>
      </c>
      <c r="D693" s="153" t="s">
        <v>1905</v>
      </c>
      <c r="E693" s="153" t="s">
        <v>309</v>
      </c>
      <c r="F693" s="153" t="s">
        <v>1906</v>
      </c>
      <c r="G693" s="153" t="s">
        <v>1907</v>
      </c>
      <c r="H693" s="153" t="s">
        <v>321</v>
      </c>
      <c r="I693" s="153" t="s">
        <v>754</v>
      </c>
      <c r="J693" s="153" t="s">
        <v>204</v>
      </c>
      <c r="K693" s="153" t="s">
        <v>204</v>
      </c>
      <c r="L693" s="153" t="s">
        <v>325</v>
      </c>
      <c r="M693" s="153" t="s">
        <v>340</v>
      </c>
      <c r="N693" s="153" t="s">
        <v>448</v>
      </c>
      <c r="O693" s="153" t="s">
        <v>339</v>
      </c>
      <c r="P693" s="153" t="s">
        <v>1215</v>
      </c>
      <c r="Q693" s="153" t="s">
        <v>413</v>
      </c>
      <c r="R693" s="153" t="s">
        <v>407</v>
      </c>
      <c r="S693" s="153" t="s">
        <v>1212</v>
      </c>
      <c r="T693" s="154">
        <v>3.98</v>
      </c>
      <c r="U693" s="153" t="s">
        <v>1908</v>
      </c>
      <c r="V693" s="155">
        <v>2.7040000000000002E-2</v>
      </c>
      <c r="W693" s="155">
        <v>2.52E-2</v>
      </c>
      <c r="X693" s="153" t="s">
        <v>412</v>
      </c>
      <c r="Y693" s="153" t="s">
        <v>339</v>
      </c>
      <c r="Z693" s="154">
        <v>3288447.12</v>
      </c>
      <c r="AA693" s="154">
        <v>1</v>
      </c>
      <c r="AB693" s="154">
        <v>102.6</v>
      </c>
      <c r="AD693" s="154">
        <v>3373.9470000000001</v>
      </c>
      <c r="AG693" s="157" t="s">
        <v>15</v>
      </c>
      <c r="AH693" s="155">
        <v>8.9999999999999998E-4</v>
      </c>
      <c r="AI693" s="155">
        <f t="shared" si="10"/>
        <v>2.211830490960856E-2</v>
      </c>
      <c r="AJ693" s="155">
        <v>1.8653282738554727E-3</v>
      </c>
    </row>
    <row r="694" spans="1:36" s="160" customFormat="1">
      <c r="A694" s="153" t="s">
        <v>1213</v>
      </c>
      <c r="B694" s="160">
        <v>35012</v>
      </c>
      <c r="C694" s="153" t="s">
        <v>1600</v>
      </c>
      <c r="D694" s="153" t="s">
        <v>1601</v>
      </c>
      <c r="E694" s="153" t="s">
        <v>309</v>
      </c>
      <c r="F694" s="153" t="s">
        <v>2706</v>
      </c>
      <c r="G694" s="153" t="s">
        <v>2707</v>
      </c>
      <c r="H694" s="153" t="s">
        <v>321</v>
      </c>
      <c r="I694" s="153" t="s">
        <v>754</v>
      </c>
      <c r="J694" s="153" t="s">
        <v>204</v>
      </c>
      <c r="K694" s="153" t="s">
        <v>204</v>
      </c>
      <c r="L694" s="153" t="s">
        <v>325</v>
      </c>
      <c r="M694" s="153" t="s">
        <v>340</v>
      </c>
      <c r="N694" s="153" t="s">
        <v>448</v>
      </c>
      <c r="O694" s="153" t="s">
        <v>339</v>
      </c>
      <c r="P694" s="153" t="s">
        <v>1566</v>
      </c>
      <c r="Q694" s="153" t="s">
        <v>413</v>
      </c>
      <c r="R694" s="153" t="s">
        <v>407</v>
      </c>
      <c r="S694" s="153" t="s">
        <v>1212</v>
      </c>
      <c r="T694" s="154">
        <v>1.6</v>
      </c>
      <c r="U694" s="153" t="s">
        <v>2708</v>
      </c>
      <c r="V694" s="155">
        <v>2.6519999999999998E-2</v>
      </c>
      <c r="W694" s="155">
        <v>2.3800000000000002E-2</v>
      </c>
      <c r="X694" s="153" t="s">
        <v>411</v>
      </c>
      <c r="Y694" s="153" t="s">
        <v>339</v>
      </c>
      <c r="Z694" s="154">
        <v>2426667</v>
      </c>
      <c r="AA694" s="154">
        <v>1</v>
      </c>
      <c r="AB694" s="154">
        <v>116.6</v>
      </c>
      <c r="AD694" s="154">
        <v>2829.4940000000001</v>
      </c>
      <c r="AG694" s="157" t="s">
        <v>15</v>
      </c>
      <c r="AH694" s="155">
        <v>2.3E-3</v>
      </c>
      <c r="AI694" s="155">
        <f t="shared" si="10"/>
        <v>1.8549079470397124E-2</v>
      </c>
      <c r="AJ694" s="155">
        <v>1.5643207077361966E-3</v>
      </c>
    </row>
    <row r="695" spans="1:36" s="160" customFormat="1">
      <c r="A695" s="153" t="s">
        <v>1213</v>
      </c>
      <c r="B695" s="160">
        <v>35012</v>
      </c>
      <c r="C695" s="153" t="s">
        <v>2250</v>
      </c>
      <c r="D695" s="153" t="s">
        <v>2251</v>
      </c>
      <c r="E695" s="153" t="s">
        <v>309</v>
      </c>
      <c r="F695" s="153" t="s">
        <v>2704</v>
      </c>
      <c r="G695" s="153" t="s">
        <v>2705</v>
      </c>
      <c r="H695" s="153" t="s">
        <v>321</v>
      </c>
      <c r="I695" s="153" t="s">
        <v>754</v>
      </c>
      <c r="J695" s="153" t="s">
        <v>204</v>
      </c>
      <c r="K695" s="153" t="s">
        <v>204</v>
      </c>
      <c r="L695" s="153" t="s">
        <v>325</v>
      </c>
      <c r="M695" s="153" t="s">
        <v>340</v>
      </c>
      <c r="N695" s="153" t="s">
        <v>448</v>
      </c>
      <c r="O695" s="153" t="s">
        <v>339</v>
      </c>
      <c r="P695" s="153" t="s">
        <v>1566</v>
      </c>
      <c r="Q695" s="153" t="s">
        <v>413</v>
      </c>
      <c r="R695" s="153" t="s">
        <v>407</v>
      </c>
      <c r="S695" s="153" t="s">
        <v>1212</v>
      </c>
      <c r="T695" s="154">
        <v>3.43</v>
      </c>
      <c r="U695" s="153" t="s">
        <v>1851</v>
      </c>
      <c r="V695" s="155">
        <v>2.707E-2</v>
      </c>
      <c r="W695" s="155">
        <v>2.98E-2</v>
      </c>
      <c r="X695" s="153" t="s">
        <v>411</v>
      </c>
      <c r="Y695" s="153" t="s">
        <v>339</v>
      </c>
      <c r="Z695" s="154">
        <v>2665774</v>
      </c>
      <c r="AA695" s="154">
        <v>1</v>
      </c>
      <c r="AB695" s="154">
        <v>105.03</v>
      </c>
      <c r="AD695" s="154">
        <v>2799.8620000000001</v>
      </c>
      <c r="AG695" s="157" t="s">
        <v>15</v>
      </c>
      <c r="AH695" s="155">
        <v>2.9399999999999999E-3</v>
      </c>
      <c r="AI695" s="155">
        <f t="shared" si="10"/>
        <v>1.8354823422189633E-2</v>
      </c>
      <c r="AJ695" s="155">
        <v>1.5479382905225043E-3</v>
      </c>
    </row>
    <row r="696" spans="1:36" s="160" customFormat="1">
      <c r="A696" s="153" t="s">
        <v>1213</v>
      </c>
      <c r="B696" s="160">
        <v>35012</v>
      </c>
      <c r="C696" s="153" t="s">
        <v>1577</v>
      </c>
      <c r="D696" s="153" t="s">
        <v>1578</v>
      </c>
      <c r="E696" s="153" t="s">
        <v>309</v>
      </c>
      <c r="F696" s="153" t="s">
        <v>1579</v>
      </c>
      <c r="G696" s="153" t="s">
        <v>1580</v>
      </c>
      <c r="H696" s="153" t="s">
        <v>321</v>
      </c>
      <c r="I696" s="153" t="s">
        <v>754</v>
      </c>
      <c r="J696" s="153" t="s">
        <v>204</v>
      </c>
      <c r="K696" s="153" t="s">
        <v>204</v>
      </c>
      <c r="L696" s="153" t="s">
        <v>325</v>
      </c>
      <c r="M696" s="153" t="s">
        <v>340</v>
      </c>
      <c r="N696" s="153" t="s">
        <v>456</v>
      </c>
      <c r="O696" s="153" t="s">
        <v>339</v>
      </c>
      <c r="P696" s="153" t="s">
        <v>1566</v>
      </c>
      <c r="Q696" s="153" t="s">
        <v>413</v>
      </c>
      <c r="R696" s="153" t="s">
        <v>407</v>
      </c>
      <c r="S696" s="153" t="s">
        <v>1212</v>
      </c>
      <c r="T696" s="154">
        <v>5.0199999999999996</v>
      </c>
      <c r="U696" s="153" t="s">
        <v>1581</v>
      </c>
      <c r="V696" s="155">
        <v>4.351E-2</v>
      </c>
      <c r="W696" s="155">
        <v>5.1499999999999997E-2</v>
      </c>
      <c r="X696" s="153" t="s">
        <v>412</v>
      </c>
      <c r="Y696" s="153" t="s">
        <v>339</v>
      </c>
      <c r="Z696" s="154">
        <v>1909422.72</v>
      </c>
      <c r="AA696" s="154">
        <v>1</v>
      </c>
      <c r="AB696" s="154">
        <v>141.9</v>
      </c>
      <c r="AD696" s="154">
        <v>2709.471</v>
      </c>
      <c r="AG696" s="157" t="s">
        <v>15</v>
      </c>
      <c r="AH696" s="155">
        <v>6.8999999999999997E-4</v>
      </c>
      <c r="AI696" s="155">
        <f t="shared" si="10"/>
        <v>1.7762254629886603E-2</v>
      </c>
      <c r="AJ696" s="155">
        <v>1.4979645096652263E-3</v>
      </c>
    </row>
    <row r="697" spans="1:36" s="160" customFormat="1">
      <c r="A697" s="153" t="s">
        <v>1213</v>
      </c>
      <c r="B697" s="160">
        <v>35012</v>
      </c>
      <c r="C697" s="153" t="s">
        <v>2391</v>
      </c>
      <c r="D697" s="153" t="s">
        <v>2392</v>
      </c>
      <c r="E697" s="153" t="s">
        <v>309</v>
      </c>
      <c r="F697" s="153" t="s">
        <v>2528</v>
      </c>
      <c r="G697" s="153" t="s">
        <v>2529</v>
      </c>
      <c r="H697" s="153" t="s">
        <v>321</v>
      </c>
      <c r="I697" s="153" t="s">
        <v>754</v>
      </c>
      <c r="J697" s="153" t="s">
        <v>204</v>
      </c>
      <c r="K697" s="153" t="s">
        <v>204</v>
      </c>
      <c r="L697" s="153" t="s">
        <v>325</v>
      </c>
      <c r="M697" s="153" t="s">
        <v>340</v>
      </c>
      <c r="N697" s="153" t="s">
        <v>464</v>
      </c>
      <c r="O697" s="153" t="s">
        <v>339</v>
      </c>
      <c r="P697" s="153" t="s">
        <v>1566</v>
      </c>
      <c r="Q697" s="153" t="s">
        <v>413</v>
      </c>
      <c r="R697" s="153" t="s">
        <v>407</v>
      </c>
      <c r="S697" s="153" t="s">
        <v>1212</v>
      </c>
      <c r="T697" s="154">
        <v>1.21</v>
      </c>
      <c r="U697" s="153" t="s">
        <v>2530</v>
      </c>
      <c r="V697" s="155">
        <v>1.559E-2</v>
      </c>
      <c r="W697" s="155">
        <v>2.6499999999999999E-2</v>
      </c>
      <c r="X697" s="153" t="s">
        <v>412</v>
      </c>
      <c r="Y697" s="153" t="s">
        <v>339</v>
      </c>
      <c r="Z697" s="154">
        <v>2304163.4</v>
      </c>
      <c r="AA697" s="154">
        <v>1</v>
      </c>
      <c r="AB697" s="154">
        <v>117.11</v>
      </c>
      <c r="AD697" s="154">
        <v>2698.4059999999999</v>
      </c>
      <c r="AG697" s="157" t="s">
        <v>15</v>
      </c>
      <c r="AH697" s="155">
        <v>1.17E-3</v>
      </c>
      <c r="AI697" s="155">
        <f t="shared" si="10"/>
        <v>1.7689716725816141E-2</v>
      </c>
      <c r="AJ697" s="155">
        <v>1.4918470877406346E-3</v>
      </c>
    </row>
    <row r="698" spans="1:36" s="160" customFormat="1">
      <c r="A698" s="153" t="s">
        <v>1213</v>
      </c>
      <c r="B698" s="160">
        <v>35012</v>
      </c>
      <c r="C698" s="153" t="s">
        <v>1861</v>
      </c>
      <c r="D698" s="153" t="s">
        <v>1862</v>
      </c>
      <c r="E698" s="153" t="s">
        <v>309</v>
      </c>
      <c r="F698" s="153" t="s">
        <v>1863</v>
      </c>
      <c r="G698" s="153" t="s">
        <v>1864</v>
      </c>
      <c r="H698" s="153" t="s">
        <v>321</v>
      </c>
      <c r="I698" s="153" t="s">
        <v>754</v>
      </c>
      <c r="J698" s="153" t="s">
        <v>204</v>
      </c>
      <c r="K698" s="153" t="s">
        <v>204</v>
      </c>
      <c r="L698" s="153" t="s">
        <v>325</v>
      </c>
      <c r="M698" s="153" t="s">
        <v>340</v>
      </c>
      <c r="N698" s="153" t="s">
        <v>464</v>
      </c>
      <c r="O698" s="153" t="s">
        <v>339</v>
      </c>
      <c r="P698" s="153" t="s">
        <v>1538</v>
      </c>
      <c r="Q698" s="153" t="s">
        <v>413</v>
      </c>
      <c r="R698" s="153" t="s">
        <v>407</v>
      </c>
      <c r="S698" s="153" t="s">
        <v>1212</v>
      </c>
      <c r="T698" s="154">
        <v>5.3</v>
      </c>
      <c r="U698" s="153" t="s">
        <v>1865</v>
      </c>
      <c r="V698" s="155">
        <v>3.1099999999999999E-3</v>
      </c>
      <c r="W698" s="155">
        <v>3.0300000000000001E-2</v>
      </c>
      <c r="X698" s="153" t="s">
        <v>412</v>
      </c>
      <c r="Y698" s="153" t="s">
        <v>339</v>
      </c>
      <c r="Z698" s="154">
        <v>2752640</v>
      </c>
      <c r="AA698" s="154">
        <v>1</v>
      </c>
      <c r="AB698" s="154">
        <v>97.92</v>
      </c>
      <c r="AD698" s="154">
        <v>2695.3850000000002</v>
      </c>
      <c r="AG698" s="157" t="s">
        <v>15</v>
      </c>
      <c r="AH698" s="155">
        <v>2.2200000000000002E-3</v>
      </c>
      <c r="AI698" s="155">
        <f t="shared" si="10"/>
        <v>1.7669912206322528E-2</v>
      </c>
      <c r="AJ698" s="155">
        <v>1.4901768905753213E-3</v>
      </c>
    </row>
    <row r="699" spans="1:36" s="160" customFormat="1">
      <c r="A699" s="153" t="s">
        <v>1213</v>
      </c>
      <c r="B699" s="160">
        <v>35012</v>
      </c>
      <c r="C699" s="153" t="s">
        <v>1904</v>
      </c>
      <c r="D699" s="153" t="s">
        <v>1905</v>
      </c>
      <c r="E699" s="153" t="s">
        <v>309</v>
      </c>
      <c r="F699" s="153" t="s">
        <v>2709</v>
      </c>
      <c r="G699" s="153" t="s">
        <v>2710</v>
      </c>
      <c r="H699" s="153" t="s">
        <v>321</v>
      </c>
      <c r="I699" s="153" t="s">
        <v>754</v>
      </c>
      <c r="J699" s="153" t="s">
        <v>204</v>
      </c>
      <c r="K699" s="153" t="s">
        <v>204</v>
      </c>
      <c r="L699" s="153" t="s">
        <v>325</v>
      </c>
      <c r="M699" s="153" t="s">
        <v>340</v>
      </c>
      <c r="N699" s="153" t="s">
        <v>448</v>
      </c>
      <c r="O699" s="153" t="s">
        <v>339</v>
      </c>
      <c r="P699" s="153" t="s">
        <v>1566</v>
      </c>
      <c r="Q699" s="153" t="s">
        <v>413</v>
      </c>
      <c r="R699" s="153" t="s">
        <v>407</v>
      </c>
      <c r="S699" s="153" t="s">
        <v>1212</v>
      </c>
      <c r="T699" s="154">
        <v>1.06</v>
      </c>
      <c r="U699" s="153" t="s">
        <v>2711</v>
      </c>
      <c r="V699" s="155">
        <v>2.6120000000000001E-2</v>
      </c>
      <c r="W699" s="155">
        <v>2.9600000000000001E-2</v>
      </c>
      <c r="X699" s="153" t="s">
        <v>411</v>
      </c>
      <c r="Y699" s="153" t="s">
        <v>339</v>
      </c>
      <c r="Z699" s="154">
        <v>2348592</v>
      </c>
      <c r="AA699" s="154">
        <v>1</v>
      </c>
      <c r="AB699" s="154">
        <v>114.39</v>
      </c>
      <c r="AD699" s="154">
        <v>2686.5540000000001</v>
      </c>
      <c r="AG699" s="157" t="s">
        <v>15</v>
      </c>
      <c r="AH699" s="155">
        <v>1.7600000000000001E-3</v>
      </c>
      <c r="AI699" s="155">
        <f t="shared" si="10"/>
        <v>1.7612019551026887E-2</v>
      </c>
      <c r="AJ699" s="155">
        <v>1.4852945631450391E-3</v>
      </c>
    </row>
    <row r="700" spans="1:36" s="160" customFormat="1">
      <c r="A700" s="153" t="s">
        <v>1213</v>
      </c>
      <c r="B700" s="160">
        <v>35012</v>
      </c>
      <c r="C700" s="153" t="s">
        <v>1769</v>
      </c>
      <c r="D700" s="153" t="s">
        <v>1770</v>
      </c>
      <c r="E700" s="153" t="s">
        <v>309</v>
      </c>
      <c r="F700" s="153" t="s">
        <v>1771</v>
      </c>
      <c r="G700" s="153" t="s">
        <v>1772</v>
      </c>
      <c r="H700" s="153" t="s">
        <v>321</v>
      </c>
      <c r="I700" s="153" t="s">
        <v>754</v>
      </c>
      <c r="J700" s="153" t="s">
        <v>204</v>
      </c>
      <c r="K700" s="153" t="s">
        <v>204</v>
      </c>
      <c r="L700" s="153" t="s">
        <v>325</v>
      </c>
      <c r="M700" s="153" t="s">
        <v>340</v>
      </c>
      <c r="N700" s="153" t="s">
        <v>464</v>
      </c>
      <c r="O700" s="153" t="s">
        <v>339</v>
      </c>
      <c r="P700" s="153" t="s">
        <v>1560</v>
      </c>
      <c r="Q700" s="153" t="s">
        <v>413</v>
      </c>
      <c r="R700" s="153" t="s">
        <v>407</v>
      </c>
      <c r="S700" s="153" t="s">
        <v>1212</v>
      </c>
      <c r="T700" s="154">
        <v>4.05</v>
      </c>
      <c r="U700" s="153" t="s">
        <v>1587</v>
      </c>
      <c r="V700" s="155">
        <v>3.5409999999999997E-2</v>
      </c>
      <c r="W700" s="155">
        <v>3.9E-2</v>
      </c>
      <c r="X700" s="153" t="s">
        <v>412</v>
      </c>
      <c r="Y700" s="153" t="s">
        <v>339</v>
      </c>
      <c r="Z700" s="154">
        <v>2515470</v>
      </c>
      <c r="AA700" s="154">
        <v>1</v>
      </c>
      <c r="AB700" s="154">
        <v>106.27</v>
      </c>
      <c r="AD700" s="154">
        <v>2673.19</v>
      </c>
      <c r="AG700" s="157" t="s">
        <v>15</v>
      </c>
      <c r="AH700" s="155">
        <v>1.4599999999999999E-3</v>
      </c>
      <c r="AI700" s="155">
        <f t="shared" si="10"/>
        <v>1.7524410283065058E-2</v>
      </c>
      <c r="AJ700" s="155">
        <v>1.4779061106732592E-3</v>
      </c>
    </row>
    <row r="701" spans="1:36" s="160" customFormat="1">
      <c r="A701" s="153" t="s">
        <v>1213</v>
      </c>
      <c r="B701" s="160">
        <v>35012</v>
      </c>
      <c r="C701" s="153" t="s">
        <v>2298</v>
      </c>
      <c r="D701" s="153" t="s">
        <v>2299</v>
      </c>
      <c r="E701" s="153" t="s">
        <v>309</v>
      </c>
      <c r="F701" s="153" t="s">
        <v>2712</v>
      </c>
      <c r="G701" s="153" t="s">
        <v>2713</v>
      </c>
      <c r="H701" s="153" t="s">
        <v>321</v>
      </c>
      <c r="I701" s="153" t="s">
        <v>951</v>
      </c>
      <c r="J701" s="153" t="s">
        <v>204</v>
      </c>
      <c r="K701" s="153" t="s">
        <v>204</v>
      </c>
      <c r="L701" s="153" t="s">
        <v>325</v>
      </c>
      <c r="M701" s="153" t="s">
        <v>340</v>
      </c>
      <c r="N701" s="153" t="s">
        <v>462</v>
      </c>
      <c r="O701" s="153" t="s">
        <v>339</v>
      </c>
      <c r="P701" s="153" t="s">
        <v>1566</v>
      </c>
      <c r="Q701" s="153" t="s">
        <v>413</v>
      </c>
      <c r="R701" s="153" t="s">
        <v>407</v>
      </c>
      <c r="S701" s="153" t="s">
        <v>1212</v>
      </c>
      <c r="T701" s="154">
        <v>3.09</v>
      </c>
      <c r="U701" s="153" t="s">
        <v>2714</v>
      </c>
      <c r="V701" s="155">
        <v>4.897E-2</v>
      </c>
      <c r="W701" s="155">
        <v>5.8900000000000001E-2</v>
      </c>
      <c r="X701" s="153" t="s">
        <v>412</v>
      </c>
      <c r="Y701" s="153" t="s">
        <v>339</v>
      </c>
      <c r="Z701" s="154">
        <v>2648989.2000000002</v>
      </c>
      <c r="AA701" s="154">
        <v>1</v>
      </c>
      <c r="AB701" s="154">
        <v>99.02</v>
      </c>
      <c r="AD701" s="154">
        <v>2623.029</v>
      </c>
      <c r="AG701" s="157" t="s">
        <v>15</v>
      </c>
      <c r="AH701" s="155">
        <v>1.108E-2</v>
      </c>
      <c r="AI701" s="155">
        <f t="shared" si="10"/>
        <v>1.719557396981803E-2</v>
      </c>
      <c r="AJ701" s="155">
        <v>1.4501739822358937E-3</v>
      </c>
    </row>
    <row r="702" spans="1:36" s="160" customFormat="1">
      <c r="A702" s="153" t="s">
        <v>1213</v>
      </c>
      <c r="B702" s="160">
        <v>35012</v>
      </c>
      <c r="C702" s="153" t="s">
        <v>1600</v>
      </c>
      <c r="D702" s="153" t="s">
        <v>1601</v>
      </c>
      <c r="E702" s="153" t="s">
        <v>309</v>
      </c>
      <c r="F702" s="153" t="s">
        <v>2380</v>
      </c>
      <c r="G702" s="153" t="s">
        <v>2381</v>
      </c>
      <c r="H702" s="153" t="s">
        <v>321</v>
      </c>
      <c r="I702" s="153" t="s">
        <v>951</v>
      </c>
      <c r="J702" s="153" t="s">
        <v>204</v>
      </c>
      <c r="K702" s="153" t="s">
        <v>204</v>
      </c>
      <c r="L702" s="153" t="s">
        <v>325</v>
      </c>
      <c r="M702" s="153" t="s">
        <v>340</v>
      </c>
      <c r="N702" s="153" t="s">
        <v>448</v>
      </c>
      <c r="O702" s="153" t="s">
        <v>339</v>
      </c>
      <c r="P702" s="153" t="s">
        <v>1215</v>
      </c>
      <c r="Q702" s="153" t="s">
        <v>413</v>
      </c>
      <c r="R702" s="153" t="s">
        <v>407</v>
      </c>
      <c r="S702" s="153" t="s">
        <v>1212</v>
      </c>
      <c r="T702" s="154">
        <v>0.65</v>
      </c>
      <c r="U702" s="153" t="s">
        <v>2382</v>
      </c>
      <c r="V702" s="155">
        <v>3.9210000000000002E-2</v>
      </c>
      <c r="W702" s="155">
        <v>4.4499999999999998E-2</v>
      </c>
      <c r="X702" s="153" t="s">
        <v>412</v>
      </c>
      <c r="Y702" s="153" t="s">
        <v>339</v>
      </c>
      <c r="Z702" s="154">
        <v>2524000</v>
      </c>
      <c r="AA702" s="154">
        <v>1</v>
      </c>
      <c r="AB702" s="154">
        <v>100.87</v>
      </c>
      <c r="AD702" s="154">
        <v>2545.9589999999998</v>
      </c>
      <c r="AG702" s="157" t="s">
        <v>15</v>
      </c>
      <c r="AH702" s="155">
        <v>2.0899999999999998E-3</v>
      </c>
      <c r="AI702" s="155">
        <f t="shared" si="10"/>
        <v>1.6690332553938189E-2</v>
      </c>
      <c r="AJ702" s="155">
        <v>1.4075648807692607E-3</v>
      </c>
    </row>
    <row r="703" spans="1:36" s="160" customFormat="1">
      <c r="A703" s="153" t="s">
        <v>1213</v>
      </c>
      <c r="B703" s="160">
        <v>35012</v>
      </c>
      <c r="C703" s="153" t="s">
        <v>2428</v>
      </c>
      <c r="D703" s="153" t="s">
        <v>2429</v>
      </c>
      <c r="E703" s="153" t="s">
        <v>309</v>
      </c>
      <c r="F703" s="153" t="s">
        <v>2430</v>
      </c>
      <c r="G703" s="153" t="s">
        <v>2431</v>
      </c>
      <c r="H703" s="153" t="s">
        <v>321</v>
      </c>
      <c r="I703" s="153" t="s">
        <v>755</v>
      </c>
      <c r="J703" s="153" t="s">
        <v>204</v>
      </c>
      <c r="K703" s="153" t="s">
        <v>204</v>
      </c>
      <c r="L703" s="153" t="s">
        <v>325</v>
      </c>
      <c r="M703" s="153" t="s">
        <v>340</v>
      </c>
      <c r="N703" s="153" t="s">
        <v>454</v>
      </c>
      <c r="O703" s="153" t="s">
        <v>339</v>
      </c>
      <c r="P703" s="153" t="s">
        <v>1538</v>
      </c>
      <c r="Q703" s="153" t="s">
        <v>413</v>
      </c>
      <c r="R703" s="153" t="s">
        <v>407</v>
      </c>
      <c r="S703" s="153" t="s">
        <v>1212</v>
      </c>
      <c r="T703" s="154">
        <v>0.5</v>
      </c>
      <c r="U703" s="153" t="s">
        <v>2432</v>
      </c>
      <c r="V703" s="155">
        <v>4.7559999999999998E-2</v>
      </c>
      <c r="W703" s="155">
        <v>8.8599999999999998E-2</v>
      </c>
      <c r="X703" s="153" t="s">
        <v>412</v>
      </c>
      <c r="Y703" s="153" t="s">
        <v>339</v>
      </c>
      <c r="Z703" s="154">
        <v>2473656.4300000002</v>
      </c>
      <c r="AA703" s="154">
        <v>1</v>
      </c>
      <c r="AB703" s="154">
        <v>102.3</v>
      </c>
      <c r="AD703" s="154">
        <v>2530.5509999999999</v>
      </c>
      <c r="AG703" s="157" t="s">
        <v>15</v>
      </c>
      <c r="AH703" s="155">
        <v>4.9100000000000003E-3</v>
      </c>
      <c r="AI703" s="155">
        <f t="shared" si="10"/>
        <v>1.658932360446529E-2</v>
      </c>
      <c r="AJ703" s="155">
        <v>1.3990463776500461E-3</v>
      </c>
    </row>
    <row r="704" spans="1:36" s="160" customFormat="1">
      <c r="A704" s="153" t="s">
        <v>1213</v>
      </c>
      <c r="B704" s="160">
        <v>35012</v>
      </c>
      <c r="C704" s="153" t="s">
        <v>2178</v>
      </c>
      <c r="D704" s="153" t="s">
        <v>2179</v>
      </c>
      <c r="E704" s="153" t="s">
        <v>309</v>
      </c>
      <c r="F704" s="153" t="s">
        <v>2189</v>
      </c>
      <c r="G704" s="153" t="s">
        <v>2190</v>
      </c>
      <c r="H704" s="153" t="s">
        <v>321</v>
      </c>
      <c r="I704" s="153" t="s">
        <v>951</v>
      </c>
      <c r="J704" s="153" t="s">
        <v>204</v>
      </c>
      <c r="K704" s="153" t="s">
        <v>204</v>
      </c>
      <c r="L704" s="153" t="s">
        <v>325</v>
      </c>
      <c r="M704" s="153" t="s">
        <v>340</v>
      </c>
      <c r="N704" s="153" t="s">
        <v>464</v>
      </c>
      <c r="O704" s="153" t="s">
        <v>339</v>
      </c>
      <c r="P704" s="153" t="s">
        <v>1566</v>
      </c>
      <c r="Q704" s="153" t="s">
        <v>413</v>
      </c>
      <c r="R704" s="153" t="s">
        <v>407</v>
      </c>
      <c r="S704" s="153" t="s">
        <v>1212</v>
      </c>
      <c r="T704" s="154">
        <v>6.24</v>
      </c>
      <c r="U704" s="153" t="s">
        <v>2182</v>
      </c>
      <c r="V704" s="155">
        <v>4.4639999999999999E-2</v>
      </c>
      <c r="W704" s="155">
        <v>6.6799999999999998E-2</v>
      </c>
      <c r="X704" s="153" t="s">
        <v>412</v>
      </c>
      <c r="Y704" s="153" t="s">
        <v>339</v>
      </c>
      <c r="Z704" s="154">
        <v>2654000</v>
      </c>
      <c r="AA704" s="154">
        <v>1</v>
      </c>
      <c r="AB704" s="154">
        <v>92.67</v>
      </c>
      <c r="AD704" s="154">
        <v>2459.462</v>
      </c>
      <c r="AG704" s="157" t="s">
        <v>15</v>
      </c>
      <c r="AH704" s="155">
        <v>2.96E-3</v>
      </c>
      <c r="AI704" s="155">
        <f t="shared" si="10"/>
        <v>1.6123291334924846E-2</v>
      </c>
      <c r="AJ704" s="155">
        <v>1.3597439459105696E-3</v>
      </c>
    </row>
    <row r="705" spans="1:36" s="160" customFormat="1">
      <c r="A705" s="153" t="s">
        <v>1213</v>
      </c>
      <c r="B705" s="160">
        <v>35012</v>
      </c>
      <c r="C705" s="153" t="s">
        <v>1512</v>
      </c>
      <c r="D705" s="153" t="s">
        <v>1513</v>
      </c>
      <c r="E705" s="153" t="s">
        <v>309</v>
      </c>
      <c r="F705" s="153" t="s">
        <v>2186</v>
      </c>
      <c r="G705" s="153" t="s">
        <v>2187</v>
      </c>
      <c r="H705" s="153" t="s">
        <v>321</v>
      </c>
      <c r="I705" s="153" t="s">
        <v>754</v>
      </c>
      <c r="J705" s="153" t="s">
        <v>204</v>
      </c>
      <c r="K705" s="153" t="s">
        <v>204</v>
      </c>
      <c r="L705" s="153" t="s">
        <v>325</v>
      </c>
      <c r="M705" s="153" t="s">
        <v>340</v>
      </c>
      <c r="N705" s="153" t="s">
        <v>448</v>
      </c>
      <c r="O705" s="153" t="s">
        <v>339</v>
      </c>
      <c r="P705" s="153" t="s">
        <v>1215</v>
      </c>
      <c r="Q705" s="153" t="s">
        <v>413</v>
      </c>
      <c r="R705" s="153" t="s">
        <v>407</v>
      </c>
      <c r="S705" s="153" t="s">
        <v>1212</v>
      </c>
      <c r="T705" s="154">
        <v>1.72</v>
      </c>
      <c r="U705" s="153" t="s">
        <v>2188</v>
      </c>
      <c r="V705" s="155">
        <v>5.0000000000000002E-5</v>
      </c>
      <c r="W705" s="155">
        <v>2.1399999999999999E-2</v>
      </c>
      <c r="X705" s="153" t="s">
        <v>412</v>
      </c>
      <c r="Y705" s="153" t="s">
        <v>339</v>
      </c>
      <c r="Z705" s="154">
        <v>2221574</v>
      </c>
      <c r="AA705" s="154">
        <v>1</v>
      </c>
      <c r="AB705" s="154">
        <v>110.39</v>
      </c>
      <c r="AD705" s="154">
        <v>2452.3960000000002</v>
      </c>
      <c r="AG705" s="157" t="s">
        <v>15</v>
      </c>
      <c r="AH705" s="155">
        <v>7.3999999999999999E-4</v>
      </c>
      <c r="AI705" s="155">
        <f t="shared" si="10"/>
        <v>1.6076969343947724E-2</v>
      </c>
      <c r="AJ705" s="155">
        <v>1.3558374205315216E-3</v>
      </c>
    </row>
    <row r="706" spans="1:36" s="160" customFormat="1">
      <c r="A706" s="153" t="s">
        <v>1213</v>
      </c>
      <c r="B706" s="160">
        <v>35012</v>
      </c>
      <c r="C706" s="153" t="s">
        <v>1591</v>
      </c>
      <c r="D706" s="153" t="s">
        <v>1592</v>
      </c>
      <c r="E706" s="153" t="s">
        <v>309</v>
      </c>
      <c r="F706" s="153" t="s">
        <v>2175</v>
      </c>
      <c r="G706" s="153" t="s">
        <v>2176</v>
      </c>
      <c r="H706" s="153" t="s">
        <v>321</v>
      </c>
      <c r="I706" s="153" t="s">
        <v>754</v>
      </c>
      <c r="J706" s="153" t="s">
        <v>204</v>
      </c>
      <c r="K706" s="153" t="s">
        <v>204</v>
      </c>
      <c r="L706" s="153" t="s">
        <v>325</v>
      </c>
      <c r="M706" s="153" t="s">
        <v>340</v>
      </c>
      <c r="N706" s="153" t="s">
        <v>464</v>
      </c>
      <c r="O706" s="153" t="s">
        <v>339</v>
      </c>
      <c r="P706" s="153" t="s">
        <v>1538</v>
      </c>
      <c r="Q706" s="153" t="s">
        <v>413</v>
      </c>
      <c r="R706" s="153" t="s">
        <v>407</v>
      </c>
      <c r="S706" s="153" t="s">
        <v>1212</v>
      </c>
      <c r="T706" s="154">
        <v>3.97</v>
      </c>
      <c r="U706" s="153" t="s">
        <v>2177</v>
      </c>
      <c r="V706" s="155">
        <v>3.5290000000000002E-2</v>
      </c>
      <c r="W706" s="155">
        <v>3.1899999999999998E-2</v>
      </c>
      <c r="X706" s="153" t="s">
        <v>412</v>
      </c>
      <c r="Y706" s="153" t="s">
        <v>339</v>
      </c>
      <c r="Z706" s="154">
        <v>2355341.37</v>
      </c>
      <c r="AA706" s="154">
        <v>1</v>
      </c>
      <c r="AB706" s="154">
        <v>103.53</v>
      </c>
      <c r="AD706" s="154">
        <v>2438.4850000000001</v>
      </c>
      <c r="AG706" s="157" t="s">
        <v>15</v>
      </c>
      <c r="AH706" s="155">
        <v>1.4599999999999999E-3</v>
      </c>
      <c r="AI706" s="155">
        <f t="shared" si="10"/>
        <v>1.5985774153389733E-2</v>
      </c>
      <c r="AJ706" s="155">
        <v>1.3481465523532119E-3</v>
      </c>
    </row>
    <row r="707" spans="1:36" s="160" customFormat="1">
      <c r="A707" s="153" t="s">
        <v>1213</v>
      </c>
      <c r="B707" s="160">
        <v>35012</v>
      </c>
      <c r="C707" s="153" t="s">
        <v>1674</v>
      </c>
      <c r="D707" s="153" t="s">
        <v>1675</v>
      </c>
      <c r="E707" s="153" t="s">
        <v>309</v>
      </c>
      <c r="F707" s="153" t="s">
        <v>2746</v>
      </c>
      <c r="G707" s="153" t="s">
        <v>2747</v>
      </c>
      <c r="H707" s="153" t="s">
        <v>321</v>
      </c>
      <c r="I707" s="153" t="s">
        <v>754</v>
      </c>
      <c r="J707" s="153" t="s">
        <v>204</v>
      </c>
      <c r="K707" s="153" t="s">
        <v>204</v>
      </c>
      <c r="L707" s="153" t="s">
        <v>325</v>
      </c>
      <c r="M707" s="153" t="s">
        <v>340</v>
      </c>
      <c r="N707" s="153" t="s">
        <v>464</v>
      </c>
      <c r="O707" s="153" t="s">
        <v>339</v>
      </c>
      <c r="P707" s="153" t="s">
        <v>1566</v>
      </c>
      <c r="Q707" s="153" t="s">
        <v>413</v>
      </c>
      <c r="R707" s="153" t="s">
        <v>407</v>
      </c>
      <c r="S707" s="153" t="s">
        <v>1212</v>
      </c>
      <c r="T707" s="154">
        <v>5.31</v>
      </c>
      <c r="U707" s="153" t="s">
        <v>1897</v>
      </c>
      <c r="V707" s="155">
        <v>1.8769999999999998E-2</v>
      </c>
      <c r="W707" s="155">
        <v>3.3700000000000001E-2</v>
      </c>
      <c r="X707" s="153" t="s">
        <v>412</v>
      </c>
      <c r="Y707" s="153" t="s">
        <v>339</v>
      </c>
      <c r="Z707" s="154">
        <v>2353120</v>
      </c>
      <c r="AA707" s="154">
        <v>1</v>
      </c>
      <c r="AB707" s="154">
        <v>103.16</v>
      </c>
      <c r="AD707" s="154">
        <v>2427.4789999999998</v>
      </c>
      <c r="AG707" s="157" t="s">
        <v>15</v>
      </c>
      <c r="AH707" s="155">
        <v>4.4999999999999997E-3</v>
      </c>
      <c r="AI707" s="155">
        <f t="shared" ref="AI707:AI770" si="11">AD707/SUMIF(B:B,B707,AD:AD)</f>
        <v>1.5913623030732751E-2</v>
      </c>
      <c r="AJ707" s="155">
        <v>1.3420617493073864E-3</v>
      </c>
    </row>
    <row r="708" spans="1:36" s="160" customFormat="1">
      <c r="A708" s="153" t="s">
        <v>1213</v>
      </c>
      <c r="B708" s="160">
        <v>35012</v>
      </c>
      <c r="C708" s="153" t="s">
        <v>2802</v>
      </c>
      <c r="D708" s="153" t="s">
        <v>2803</v>
      </c>
      <c r="E708" s="153" t="s">
        <v>309</v>
      </c>
      <c r="F708" s="153" t="s">
        <v>2804</v>
      </c>
      <c r="G708" s="153" t="s">
        <v>2805</v>
      </c>
      <c r="H708" s="153" t="s">
        <v>321</v>
      </c>
      <c r="I708" s="153" t="s">
        <v>951</v>
      </c>
      <c r="J708" s="153" t="s">
        <v>204</v>
      </c>
      <c r="K708" s="153" t="s">
        <v>204</v>
      </c>
      <c r="L708" s="153" t="s">
        <v>325</v>
      </c>
      <c r="M708" s="153" t="s">
        <v>340</v>
      </c>
      <c r="N708" s="153" t="s">
        <v>447</v>
      </c>
      <c r="O708" s="153" t="s">
        <v>339</v>
      </c>
      <c r="P708" s="153" t="s">
        <v>1527</v>
      </c>
      <c r="Q708" s="153" t="s">
        <v>415</v>
      </c>
      <c r="R708" s="153" t="s">
        <v>407</v>
      </c>
      <c r="S708" s="153" t="s">
        <v>1212</v>
      </c>
      <c r="T708" s="154">
        <v>2.2400000000000002</v>
      </c>
      <c r="U708" s="153" t="s">
        <v>1528</v>
      </c>
      <c r="V708" s="155">
        <v>4.7039999999999998E-2</v>
      </c>
      <c r="W708" s="155">
        <v>6.3299999999999995E-2</v>
      </c>
      <c r="X708" s="153" t="s">
        <v>412</v>
      </c>
      <c r="Y708" s="153" t="s">
        <v>339</v>
      </c>
      <c r="Z708" s="154">
        <v>2486816</v>
      </c>
      <c r="AA708" s="154">
        <v>1</v>
      </c>
      <c r="AB708" s="154">
        <v>97.43</v>
      </c>
      <c r="AD708" s="154">
        <v>2422.9050000000002</v>
      </c>
      <c r="AG708" s="157" t="s">
        <v>15</v>
      </c>
      <c r="AH708" s="155">
        <v>3.5500000000000002E-3</v>
      </c>
      <c r="AI708" s="155">
        <f t="shared" si="11"/>
        <v>1.588363763776228E-2</v>
      </c>
      <c r="AJ708" s="155">
        <v>1.3395329569094578E-3</v>
      </c>
    </row>
    <row r="709" spans="1:36" s="160" customFormat="1">
      <c r="A709" s="153" t="s">
        <v>1213</v>
      </c>
      <c r="B709" s="160">
        <v>35012</v>
      </c>
      <c r="C709" s="153" t="s">
        <v>1998</v>
      </c>
      <c r="D709" s="153" t="s">
        <v>1999</v>
      </c>
      <c r="E709" s="153" t="s">
        <v>309</v>
      </c>
      <c r="F709" s="153" t="s">
        <v>2806</v>
      </c>
      <c r="G709" s="153" t="s">
        <v>2807</v>
      </c>
      <c r="H709" s="153" t="s">
        <v>321</v>
      </c>
      <c r="I709" s="153" t="s">
        <v>754</v>
      </c>
      <c r="J709" s="153" t="s">
        <v>204</v>
      </c>
      <c r="K709" s="153" t="s">
        <v>204</v>
      </c>
      <c r="L709" s="153" t="s">
        <v>325</v>
      </c>
      <c r="M709" s="153" t="s">
        <v>340</v>
      </c>
      <c r="N709" s="153" t="s">
        <v>464</v>
      </c>
      <c r="O709" s="153" t="s">
        <v>339</v>
      </c>
      <c r="P709" s="153" t="s">
        <v>1554</v>
      </c>
      <c r="Q709" s="153" t="s">
        <v>413</v>
      </c>
      <c r="R709" s="153" t="s">
        <v>407</v>
      </c>
      <c r="S709" s="153" t="s">
        <v>1212</v>
      </c>
      <c r="T709" s="154">
        <v>2.0099999999999998</v>
      </c>
      <c r="U709" s="153" t="s">
        <v>1638</v>
      </c>
      <c r="V709" s="155">
        <v>9.6100000000000005E-3</v>
      </c>
      <c r="W709" s="155">
        <v>3.4099999999999998E-2</v>
      </c>
      <c r="X709" s="153" t="s">
        <v>412</v>
      </c>
      <c r="Y709" s="153" t="s">
        <v>339</v>
      </c>
      <c r="Z709" s="154">
        <v>2075750</v>
      </c>
      <c r="AA709" s="154">
        <v>1</v>
      </c>
      <c r="AB709" s="154">
        <v>115.86</v>
      </c>
      <c r="AD709" s="154">
        <v>2404.9639999999999</v>
      </c>
      <c r="AG709" s="157" t="s">
        <v>15</v>
      </c>
      <c r="AH709" s="155">
        <v>3.46E-3</v>
      </c>
      <c r="AI709" s="155">
        <f t="shared" si="11"/>
        <v>1.5766023309978443E-2</v>
      </c>
      <c r="AJ709" s="155">
        <v>1.3296140534526928E-3</v>
      </c>
    </row>
    <row r="710" spans="1:36" s="160" customFormat="1">
      <c r="A710" s="153" t="s">
        <v>1213</v>
      </c>
      <c r="B710" s="160">
        <v>35012</v>
      </c>
      <c r="C710" s="153" t="s">
        <v>1825</v>
      </c>
      <c r="D710" s="153" t="s">
        <v>1826</v>
      </c>
      <c r="E710" s="153" t="s">
        <v>309</v>
      </c>
      <c r="F710" s="153" t="s">
        <v>2787</v>
      </c>
      <c r="G710" s="153" t="s">
        <v>2788</v>
      </c>
      <c r="H710" s="153" t="s">
        <v>321</v>
      </c>
      <c r="I710" s="153" t="s">
        <v>951</v>
      </c>
      <c r="J710" s="153" t="s">
        <v>204</v>
      </c>
      <c r="K710" s="153" t="s">
        <v>204</v>
      </c>
      <c r="L710" s="153" t="s">
        <v>325</v>
      </c>
      <c r="M710" s="153" t="s">
        <v>340</v>
      </c>
      <c r="N710" s="153" t="s">
        <v>441</v>
      </c>
      <c r="O710" s="153" t="s">
        <v>339</v>
      </c>
      <c r="Q710" s="153" t="s">
        <v>410</v>
      </c>
      <c r="R710" s="153" t="s">
        <v>410</v>
      </c>
      <c r="S710" s="153" t="s">
        <v>1212</v>
      </c>
      <c r="T710" s="154">
        <v>2.76</v>
      </c>
      <c r="U710" s="153" t="s">
        <v>1669</v>
      </c>
      <c r="V710" s="155">
        <v>5.0999999999999997E-2</v>
      </c>
      <c r="W710" s="155">
        <v>5.9299999999999999E-2</v>
      </c>
      <c r="X710" s="153" t="s">
        <v>412</v>
      </c>
      <c r="Y710" s="153" t="s">
        <v>339</v>
      </c>
      <c r="Z710" s="154">
        <v>2385000</v>
      </c>
      <c r="AA710" s="154">
        <v>1</v>
      </c>
      <c r="AB710" s="154">
        <v>100.56</v>
      </c>
      <c r="AD710" s="154">
        <v>2398.3560000000002</v>
      </c>
      <c r="AG710" s="157" t="s">
        <v>15</v>
      </c>
      <c r="AH710" s="155">
        <v>1.0840000000000001E-2</v>
      </c>
      <c r="AI710" s="155">
        <f t="shared" si="11"/>
        <v>1.5722703791668676E-2</v>
      </c>
      <c r="AJ710" s="155">
        <v>1.325960739030849E-3</v>
      </c>
    </row>
    <row r="711" spans="1:36" s="160" customFormat="1">
      <c r="A711" s="153" t="s">
        <v>1213</v>
      </c>
      <c r="B711" s="160">
        <v>35012</v>
      </c>
      <c r="C711" s="153" t="s">
        <v>1600</v>
      </c>
      <c r="D711" s="153" t="s">
        <v>1601</v>
      </c>
      <c r="E711" s="153" t="s">
        <v>309</v>
      </c>
      <c r="F711" s="153" t="s">
        <v>1957</v>
      </c>
      <c r="G711" s="153" t="s">
        <v>1958</v>
      </c>
      <c r="H711" s="153" t="s">
        <v>321</v>
      </c>
      <c r="I711" s="153" t="s">
        <v>754</v>
      </c>
      <c r="J711" s="153" t="s">
        <v>204</v>
      </c>
      <c r="K711" s="153" t="s">
        <v>204</v>
      </c>
      <c r="L711" s="153" t="s">
        <v>325</v>
      </c>
      <c r="M711" s="153" t="s">
        <v>340</v>
      </c>
      <c r="N711" s="153" t="s">
        <v>448</v>
      </c>
      <c r="O711" s="153" t="s">
        <v>339</v>
      </c>
      <c r="P711" s="153" t="s">
        <v>1215</v>
      </c>
      <c r="Q711" s="153" t="s">
        <v>413</v>
      </c>
      <c r="R711" s="153" t="s">
        <v>407</v>
      </c>
      <c r="S711" s="153" t="s">
        <v>1212</v>
      </c>
      <c r="T711" s="154">
        <v>3.91</v>
      </c>
      <c r="U711" s="153" t="s">
        <v>1959</v>
      </c>
      <c r="V711" s="155">
        <v>1.242E-2</v>
      </c>
      <c r="W711" s="155">
        <v>2.4799999999999999E-2</v>
      </c>
      <c r="X711" s="153" t="s">
        <v>412</v>
      </c>
      <c r="Y711" s="153" t="s">
        <v>339</v>
      </c>
      <c r="Z711" s="154">
        <v>2268900</v>
      </c>
      <c r="AA711" s="154">
        <v>1</v>
      </c>
      <c r="AB711" s="154">
        <v>103.84</v>
      </c>
      <c r="AD711" s="154">
        <v>2356.0259999999998</v>
      </c>
      <c r="AG711" s="157" t="s">
        <v>15</v>
      </c>
      <c r="AH711" s="155">
        <v>1.2600000000000001E-3</v>
      </c>
      <c r="AI711" s="155">
        <f t="shared" si="11"/>
        <v>1.5445204516539652E-2</v>
      </c>
      <c r="AJ711" s="155">
        <v>1.3025580756717914E-3</v>
      </c>
    </row>
    <row r="712" spans="1:36" s="160" customFormat="1">
      <c r="A712" s="153" t="s">
        <v>1213</v>
      </c>
      <c r="B712" s="160">
        <v>35012</v>
      </c>
      <c r="C712" s="153" t="s">
        <v>2356</v>
      </c>
      <c r="D712" s="153" t="s">
        <v>2357</v>
      </c>
      <c r="E712" s="153" t="s">
        <v>309</v>
      </c>
      <c r="F712" s="153" t="s">
        <v>2358</v>
      </c>
      <c r="G712" s="153" t="s">
        <v>2359</v>
      </c>
      <c r="H712" s="153" t="s">
        <v>321</v>
      </c>
      <c r="I712" s="153" t="s">
        <v>754</v>
      </c>
      <c r="J712" s="153" t="s">
        <v>204</v>
      </c>
      <c r="K712" s="153" t="s">
        <v>204</v>
      </c>
      <c r="L712" s="153" t="s">
        <v>325</v>
      </c>
      <c r="M712" s="153" t="s">
        <v>340</v>
      </c>
      <c r="N712" s="153" t="s">
        <v>447</v>
      </c>
      <c r="O712" s="153" t="s">
        <v>339</v>
      </c>
      <c r="P712" s="153" t="s">
        <v>1560</v>
      </c>
      <c r="Q712" s="153" t="s">
        <v>413</v>
      </c>
      <c r="R712" s="153" t="s">
        <v>407</v>
      </c>
      <c r="S712" s="153" t="s">
        <v>1212</v>
      </c>
      <c r="T712" s="154">
        <v>2.79</v>
      </c>
      <c r="U712" s="153" t="s">
        <v>2360</v>
      </c>
      <c r="V712" s="155">
        <v>3.3450000000000001E-2</v>
      </c>
      <c r="W712" s="155">
        <v>3.95E-2</v>
      </c>
      <c r="X712" s="153" t="s">
        <v>412</v>
      </c>
      <c r="Y712" s="153" t="s">
        <v>339</v>
      </c>
      <c r="Z712" s="154">
        <v>1952749.18</v>
      </c>
      <c r="AA712" s="154">
        <v>1</v>
      </c>
      <c r="AB712" s="154">
        <v>117.74</v>
      </c>
      <c r="AD712" s="154">
        <v>2299.1669999999999</v>
      </c>
      <c r="AG712" s="157" t="s">
        <v>15</v>
      </c>
      <c r="AH712" s="155">
        <v>1.3699999999999999E-3</v>
      </c>
      <c r="AI712" s="155">
        <f t="shared" si="11"/>
        <v>1.5072458679436867E-2</v>
      </c>
      <c r="AJ712" s="155">
        <v>1.2711228752009043E-3</v>
      </c>
    </row>
    <row r="713" spans="1:36" s="160" customFormat="1">
      <c r="A713" s="153" t="s">
        <v>1213</v>
      </c>
      <c r="B713" s="160">
        <v>35012</v>
      </c>
      <c r="C713" s="153" t="s">
        <v>1674</v>
      </c>
      <c r="D713" s="153" t="s">
        <v>1675</v>
      </c>
      <c r="E713" s="153" t="s">
        <v>309</v>
      </c>
      <c r="F713" s="153" t="s">
        <v>2319</v>
      </c>
      <c r="G713" s="153" t="s">
        <v>2320</v>
      </c>
      <c r="H713" s="153" t="s">
        <v>321</v>
      </c>
      <c r="I713" s="153" t="s">
        <v>754</v>
      </c>
      <c r="J713" s="153" t="s">
        <v>204</v>
      </c>
      <c r="K713" s="153" t="s">
        <v>204</v>
      </c>
      <c r="L713" s="153" t="s">
        <v>325</v>
      </c>
      <c r="M713" s="153" t="s">
        <v>340</v>
      </c>
      <c r="N713" s="153" t="s">
        <v>464</v>
      </c>
      <c r="O713" s="153" t="s">
        <v>339</v>
      </c>
      <c r="P713" s="153" t="s">
        <v>1982</v>
      </c>
      <c r="Q713" s="153" t="s">
        <v>415</v>
      </c>
      <c r="R713" s="153" t="s">
        <v>407</v>
      </c>
      <c r="S713" s="153" t="s">
        <v>1212</v>
      </c>
      <c r="T713" s="154">
        <v>4.25</v>
      </c>
      <c r="U713" s="153" t="s">
        <v>1819</v>
      </c>
      <c r="V713" s="155">
        <v>1.7799999999999999E-3</v>
      </c>
      <c r="W713" s="155">
        <v>3.15E-2</v>
      </c>
      <c r="X713" s="153" t="s">
        <v>412</v>
      </c>
      <c r="Y713" s="153" t="s">
        <v>339</v>
      </c>
      <c r="Z713" s="154">
        <v>2118500</v>
      </c>
      <c r="AA713" s="154">
        <v>1</v>
      </c>
      <c r="AB713" s="154">
        <v>106.76</v>
      </c>
      <c r="AD713" s="154">
        <v>2261.7109999999998</v>
      </c>
      <c r="AG713" s="157" t="s">
        <v>15</v>
      </c>
      <c r="AH713" s="155">
        <v>1.7799999999999999E-3</v>
      </c>
      <c r="AI713" s="155">
        <f t="shared" si="11"/>
        <v>1.4826911482431608E-2</v>
      </c>
      <c r="AJ713" s="155">
        <v>1.2504148629453678E-3</v>
      </c>
    </row>
    <row r="714" spans="1:36" s="160" customFormat="1">
      <c r="A714" s="153" t="s">
        <v>1213</v>
      </c>
      <c r="B714" s="160">
        <v>35012</v>
      </c>
      <c r="C714" s="153" t="s">
        <v>2356</v>
      </c>
      <c r="D714" s="153" t="s">
        <v>2357</v>
      </c>
      <c r="E714" s="153" t="s">
        <v>309</v>
      </c>
      <c r="F714" s="153" t="s">
        <v>2808</v>
      </c>
      <c r="G714" s="153" t="s">
        <v>2809</v>
      </c>
      <c r="H714" s="153" t="s">
        <v>321</v>
      </c>
      <c r="I714" s="153" t="s">
        <v>754</v>
      </c>
      <c r="J714" s="153" t="s">
        <v>204</v>
      </c>
      <c r="K714" s="153" t="s">
        <v>204</v>
      </c>
      <c r="L714" s="153" t="s">
        <v>325</v>
      </c>
      <c r="M714" s="153" t="s">
        <v>340</v>
      </c>
      <c r="N714" s="153" t="s">
        <v>447</v>
      </c>
      <c r="O714" s="153" t="s">
        <v>339</v>
      </c>
      <c r="P714" s="153" t="s">
        <v>1560</v>
      </c>
      <c r="Q714" s="153" t="s">
        <v>413</v>
      </c>
      <c r="R714" s="153" t="s">
        <v>407</v>
      </c>
      <c r="S714" s="153" t="s">
        <v>1212</v>
      </c>
      <c r="T714" s="154">
        <v>4.1100000000000003</v>
      </c>
      <c r="U714" s="153" t="s">
        <v>1916</v>
      </c>
      <c r="V714" s="155">
        <v>1.158E-2</v>
      </c>
      <c r="W714" s="155">
        <v>4.1700000000000001E-2</v>
      </c>
      <c r="X714" s="153" t="s">
        <v>412</v>
      </c>
      <c r="Y714" s="153" t="s">
        <v>339</v>
      </c>
      <c r="Z714" s="154">
        <v>1996787.24</v>
      </c>
      <c r="AA714" s="154">
        <v>1</v>
      </c>
      <c r="AB714" s="154">
        <v>111.41</v>
      </c>
      <c r="AD714" s="154">
        <v>2224.6210000000001</v>
      </c>
      <c r="AG714" s="157" t="s">
        <v>15</v>
      </c>
      <c r="AH714" s="155">
        <v>5.4200000000000003E-3</v>
      </c>
      <c r="AI714" s="155">
        <f t="shared" si="11"/>
        <v>1.4583763641313365E-2</v>
      </c>
      <c r="AJ714" s="155">
        <v>1.2299091983106539E-3</v>
      </c>
    </row>
    <row r="715" spans="1:36" s="160" customFormat="1">
      <c r="A715" s="153" t="s">
        <v>1213</v>
      </c>
      <c r="B715" s="160">
        <v>35012</v>
      </c>
      <c r="C715" s="153" t="s">
        <v>1591</v>
      </c>
      <c r="D715" s="153" t="s">
        <v>1592</v>
      </c>
      <c r="E715" s="153" t="s">
        <v>309</v>
      </c>
      <c r="F715" s="153" t="s">
        <v>1858</v>
      </c>
      <c r="G715" s="153" t="s">
        <v>1859</v>
      </c>
      <c r="H715" s="153" t="s">
        <v>321</v>
      </c>
      <c r="I715" s="153" t="s">
        <v>754</v>
      </c>
      <c r="J715" s="153" t="s">
        <v>204</v>
      </c>
      <c r="K715" s="153" t="s">
        <v>204</v>
      </c>
      <c r="L715" s="153" t="s">
        <v>325</v>
      </c>
      <c r="M715" s="153" t="s">
        <v>340</v>
      </c>
      <c r="N715" s="153" t="s">
        <v>464</v>
      </c>
      <c r="O715" s="153" t="s">
        <v>339</v>
      </c>
      <c r="P715" s="153" t="s">
        <v>1538</v>
      </c>
      <c r="Q715" s="153" t="s">
        <v>413</v>
      </c>
      <c r="R715" s="153" t="s">
        <v>407</v>
      </c>
      <c r="S715" s="153" t="s">
        <v>1212</v>
      </c>
      <c r="T715" s="154">
        <v>5.14</v>
      </c>
      <c r="U715" s="153" t="s">
        <v>1860</v>
      </c>
      <c r="V715" s="155">
        <v>9.2300000000000004E-3</v>
      </c>
      <c r="W715" s="155">
        <v>3.32E-2</v>
      </c>
      <c r="X715" s="153" t="s">
        <v>412</v>
      </c>
      <c r="Y715" s="153" t="s">
        <v>339</v>
      </c>
      <c r="Z715" s="154">
        <v>2268271</v>
      </c>
      <c r="AA715" s="154">
        <v>1</v>
      </c>
      <c r="AB715" s="154">
        <v>97.54</v>
      </c>
      <c r="AD715" s="154">
        <v>2212.4720000000002</v>
      </c>
      <c r="AG715" s="157" t="s">
        <v>15</v>
      </c>
      <c r="AH715" s="155">
        <v>1.6199999999999999E-3</v>
      </c>
      <c r="AI715" s="155">
        <f t="shared" si="11"/>
        <v>1.4504119448222356E-2</v>
      </c>
      <c r="AJ715" s="155">
        <v>1.2231924735965224E-3</v>
      </c>
    </row>
    <row r="716" spans="1:36" s="160" customFormat="1">
      <c r="A716" s="153" t="s">
        <v>1213</v>
      </c>
      <c r="B716" s="160">
        <v>35012</v>
      </c>
      <c r="C716" s="153" t="s">
        <v>1807</v>
      </c>
      <c r="D716" s="153" t="s">
        <v>1808</v>
      </c>
      <c r="E716" s="153" t="s">
        <v>309</v>
      </c>
      <c r="F716" s="153" t="s">
        <v>2295</v>
      </c>
      <c r="G716" s="153" t="s">
        <v>2296</v>
      </c>
      <c r="H716" s="153" t="s">
        <v>321</v>
      </c>
      <c r="I716" s="153" t="s">
        <v>754</v>
      </c>
      <c r="J716" s="153" t="s">
        <v>204</v>
      </c>
      <c r="K716" s="153" t="s">
        <v>204</v>
      </c>
      <c r="L716" s="153" t="s">
        <v>325</v>
      </c>
      <c r="M716" s="153" t="s">
        <v>340</v>
      </c>
      <c r="N716" s="153" t="s">
        <v>464</v>
      </c>
      <c r="O716" s="153" t="s">
        <v>339</v>
      </c>
      <c r="P716" s="153" t="s">
        <v>1923</v>
      </c>
      <c r="Q716" s="153" t="s">
        <v>415</v>
      </c>
      <c r="R716" s="153" t="s">
        <v>407</v>
      </c>
      <c r="S716" s="153" t="s">
        <v>1212</v>
      </c>
      <c r="T716" s="154">
        <v>2.89</v>
      </c>
      <c r="U716" s="153" t="s">
        <v>2297</v>
      </c>
      <c r="V716" s="155">
        <v>1.8600000000000001E-3</v>
      </c>
      <c r="W716" s="155">
        <v>2.8199999999999999E-2</v>
      </c>
      <c r="X716" s="153" t="s">
        <v>412</v>
      </c>
      <c r="Y716" s="153" t="s">
        <v>339</v>
      </c>
      <c r="Z716" s="154">
        <v>1963620</v>
      </c>
      <c r="AA716" s="154">
        <v>1</v>
      </c>
      <c r="AB716" s="154">
        <v>112.38</v>
      </c>
      <c r="AD716" s="154">
        <v>2206.7159999999999</v>
      </c>
      <c r="AG716" s="157" t="s">
        <v>15</v>
      </c>
      <c r="AH716" s="155">
        <v>7.3999999999999999E-4</v>
      </c>
      <c r="AI716" s="155">
        <f t="shared" si="11"/>
        <v>1.4466385315747923E-2</v>
      </c>
      <c r="AJ716" s="155">
        <v>1.2200101978985601E-3</v>
      </c>
    </row>
    <row r="717" spans="1:36" s="160" customFormat="1">
      <c r="A717" s="153" t="s">
        <v>1213</v>
      </c>
      <c r="B717" s="160">
        <v>35012</v>
      </c>
      <c r="C717" s="153" t="s">
        <v>2385</v>
      </c>
      <c r="D717" s="153" t="s">
        <v>2386</v>
      </c>
      <c r="E717" s="153" t="s">
        <v>309</v>
      </c>
      <c r="F717" s="153" t="s">
        <v>2387</v>
      </c>
      <c r="G717" s="153" t="s">
        <v>2388</v>
      </c>
      <c r="H717" s="153" t="s">
        <v>321</v>
      </c>
      <c r="I717" s="153" t="s">
        <v>754</v>
      </c>
      <c r="J717" s="153" t="s">
        <v>204</v>
      </c>
      <c r="K717" s="153" t="s">
        <v>204</v>
      </c>
      <c r="L717" s="153" t="s">
        <v>325</v>
      </c>
      <c r="M717" s="153" t="s">
        <v>340</v>
      </c>
      <c r="N717" s="153" t="s">
        <v>464</v>
      </c>
      <c r="O717" s="153" t="s">
        <v>339</v>
      </c>
      <c r="P717" s="153" t="s">
        <v>1211</v>
      </c>
      <c r="Q717" s="153" t="s">
        <v>415</v>
      </c>
      <c r="R717" s="153" t="s">
        <v>407</v>
      </c>
      <c r="S717" s="153" t="s">
        <v>1212</v>
      </c>
      <c r="T717" s="154">
        <v>1.46</v>
      </c>
      <c r="U717" s="153" t="s">
        <v>1659</v>
      </c>
      <c r="V717" s="155">
        <v>-1.23E-3</v>
      </c>
      <c r="W717" s="155">
        <v>2.1899999999999999E-2</v>
      </c>
      <c r="X717" s="153" t="s">
        <v>412</v>
      </c>
      <c r="Y717" s="153" t="s">
        <v>339</v>
      </c>
      <c r="Z717" s="154">
        <v>1874279.38</v>
      </c>
      <c r="AA717" s="154">
        <v>1</v>
      </c>
      <c r="AB717" s="154">
        <v>114.36</v>
      </c>
      <c r="AD717" s="154">
        <v>2143.4259999999999</v>
      </c>
      <c r="AG717" s="157" t="s">
        <v>15</v>
      </c>
      <c r="AH717" s="155">
        <v>1.58E-3</v>
      </c>
      <c r="AI717" s="155">
        <f t="shared" si="11"/>
        <v>1.4051480304575807E-2</v>
      </c>
      <c r="AJ717" s="155">
        <v>1.1850195396421283E-3</v>
      </c>
    </row>
    <row r="718" spans="1:36" s="160" customFormat="1">
      <c r="A718" s="153" t="s">
        <v>1213</v>
      </c>
      <c r="B718" s="160">
        <v>35012</v>
      </c>
      <c r="C718" s="153" t="s">
        <v>2757</v>
      </c>
      <c r="D718" s="153" t="s">
        <v>2758</v>
      </c>
      <c r="E718" s="153" t="s">
        <v>309</v>
      </c>
      <c r="F718" s="153" t="s">
        <v>2784</v>
      </c>
      <c r="G718" s="153" t="s">
        <v>2785</v>
      </c>
      <c r="H718" s="153" t="s">
        <v>321</v>
      </c>
      <c r="I718" s="153" t="s">
        <v>951</v>
      </c>
      <c r="J718" s="153" t="s">
        <v>204</v>
      </c>
      <c r="K718" s="153" t="s">
        <v>204</v>
      </c>
      <c r="L718" s="153" t="s">
        <v>325</v>
      </c>
      <c r="M718" s="153" t="s">
        <v>340</v>
      </c>
      <c r="N718" s="153" t="s">
        <v>440</v>
      </c>
      <c r="O718" s="153" t="s">
        <v>339</v>
      </c>
      <c r="P718" s="153" t="s">
        <v>1521</v>
      </c>
      <c r="Q718" s="153" t="s">
        <v>413</v>
      </c>
      <c r="R718" s="153" t="s">
        <v>407</v>
      </c>
      <c r="S718" s="153" t="s">
        <v>1212</v>
      </c>
      <c r="T718" s="154">
        <v>2.31</v>
      </c>
      <c r="U718" s="153" t="s">
        <v>2786</v>
      </c>
      <c r="V718" s="155">
        <v>5.7119999999999997E-2</v>
      </c>
      <c r="W718" s="155">
        <v>5.8999999999999997E-2</v>
      </c>
      <c r="X718" s="153" t="s">
        <v>412</v>
      </c>
      <c r="Y718" s="153" t="s">
        <v>339</v>
      </c>
      <c r="Z718" s="154">
        <v>2288012.35</v>
      </c>
      <c r="AA718" s="154">
        <v>1</v>
      </c>
      <c r="AB718" s="154">
        <v>93.07</v>
      </c>
      <c r="AD718" s="154">
        <v>2129.453</v>
      </c>
      <c r="AG718" s="157" t="s">
        <v>15</v>
      </c>
      <c r="AH718" s="155">
        <v>3.3600000000000001E-3</v>
      </c>
      <c r="AI718" s="155">
        <f t="shared" si="11"/>
        <v>1.3959878665752804E-2</v>
      </c>
      <c r="AJ718" s="155">
        <v>1.1772943939979963E-3</v>
      </c>
    </row>
    <row r="719" spans="1:36" s="160" customFormat="1">
      <c r="A719" s="153" t="s">
        <v>1213</v>
      </c>
      <c r="B719" s="160">
        <v>35012</v>
      </c>
      <c r="C719" s="153" t="s">
        <v>1917</v>
      </c>
      <c r="D719" s="153" t="s">
        <v>1918</v>
      </c>
      <c r="E719" s="153" t="s">
        <v>309</v>
      </c>
      <c r="F719" s="153" t="s">
        <v>1919</v>
      </c>
      <c r="G719" s="153" t="s">
        <v>1920</v>
      </c>
      <c r="H719" s="153" t="s">
        <v>321</v>
      </c>
      <c r="I719" s="153" t="s">
        <v>754</v>
      </c>
      <c r="J719" s="153" t="s">
        <v>204</v>
      </c>
      <c r="K719" s="153" t="s">
        <v>204</v>
      </c>
      <c r="L719" s="153" t="s">
        <v>325</v>
      </c>
      <c r="M719" s="153" t="s">
        <v>340</v>
      </c>
      <c r="N719" s="153" t="s">
        <v>447</v>
      </c>
      <c r="O719" s="153" t="s">
        <v>339</v>
      </c>
      <c r="P719" s="153" t="s">
        <v>1560</v>
      </c>
      <c r="Q719" s="153" t="s">
        <v>413</v>
      </c>
      <c r="R719" s="153" t="s">
        <v>407</v>
      </c>
      <c r="S719" s="153" t="s">
        <v>1212</v>
      </c>
      <c r="T719" s="154">
        <v>3.26</v>
      </c>
      <c r="U719" s="153" t="s">
        <v>1913</v>
      </c>
      <c r="V719" s="155">
        <v>2.66E-3</v>
      </c>
      <c r="W719" s="155">
        <v>3.5099999999999999E-2</v>
      </c>
      <c r="X719" s="153" t="s">
        <v>412</v>
      </c>
      <c r="Y719" s="153" t="s">
        <v>339</v>
      </c>
      <c r="Z719" s="154">
        <v>2047000</v>
      </c>
      <c r="AA719" s="154">
        <v>1</v>
      </c>
      <c r="AB719" s="154">
        <v>103.23</v>
      </c>
      <c r="AD719" s="154">
        <v>2113.1179999999999</v>
      </c>
      <c r="AG719" s="157" t="s">
        <v>15</v>
      </c>
      <c r="AH719" s="155">
        <v>1.33E-3</v>
      </c>
      <c r="AI719" s="155">
        <f t="shared" si="11"/>
        <v>1.3852792659156239E-2</v>
      </c>
      <c r="AJ719" s="155">
        <v>1.1682633874785017E-3</v>
      </c>
    </row>
    <row r="720" spans="1:36" s="160" customFormat="1">
      <c r="A720" s="153" t="s">
        <v>1213</v>
      </c>
      <c r="B720" s="160">
        <v>35012</v>
      </c>
      <c r="C720" s="153" t="s">
        <v>2445</v>
      </c>
      <c r="D720" s="153" t="s">
        <v>2446</v>
      </c>
      <c r="E720" s="153" t="s">
        <v>309</v>
      </c>
      <c r="F720" s="153" t="s">
        <v>2447</v>
      </c>
      <c r="G720" s="153" t="s">
        <v>2448</v>
      </c>
      <c r="H720" s="153" t="s">
        <v>321</v>
      </c>
      <c r="I720" s="153" t="s">
        <v>951</v>
      </c>
      <c r="J720" s="153" t="s">
        <v>204</v>
      </c>
      <c r="K720" s="153" t="s">
        <v>204</v>
      </c>
      <c r="L720" s="153" t="s">
        <v>325</v>
      </c>
      <c r="M720" s="153" t="s">
        <v>340</v>
      </c>
      <c r="N720" s="153" t="s">
        <v>440</v>
      </c>
      <c r="O720" s="153" t="s">
        <v>339</v>
      </c>
      <c r="P720" s="153" t="s">
        <v>1614</v>
      </c>
      <c r="Q720" s="153" t="s">
        <v>415</v>
      </c>
      <c r="R720" s="153" t="s">
        <v>407</v>
      </c>
      <c r="S720" s="153" t="s">
        <v>1212</v>
      </c>
      <c r="T720" s="154">
        <v>1.92</v>
      </c>
      <c r="U720" s="153" t="s">
        <v>1370</v>
      </c>
      <c r="V720" s="155">
        <v>4.9639999999999997E-2</v>
      </c>
      <c r="W720" s="155">
        <v>5.7599999999999998E-2</v>
      </c>
      <c r="X720" s="153" t="s">
        <v>412</v>
      </c>
      <c r="Y720" s="153" t="s">
        <v>339</v>
      </c>
      <c r="Z720" s="154">
        <v>2205147.25</v>
      </c>
      <c r="AA720" s="154">
        <v>1</v>
      </c>
      <c r="AB720" s="154">
        <v>95.6</v>
      </c>
      <c r="AD720" s="154">
        <v>2108.1210000000001</v>
      </c>
      <c r="AG720" s="157" t="s">
        <v>15</v>
      </c>
      <c r="AH720" s="155">
        <v>3.0799999999999998E-3</v>
      </c>
      <c r="AI720" s="155">
        <f t="shared" si="11"/>
        <v>1.3820034240119631E-2</v>
      </c>
      <c r="AJ720" s="155">
        <v>1.165500734305688E-3</v>
      </c>
    </row>
    <row r="721" spans="1:36" s="160" customFormat="1">
      <c r="A721" s="153" t="s">
        <v>1213</v>
      </c>
      <c r="B721" s="160">
        <v>35012</v>
      </c>
      <c r="C721" s="153" t="s">
        <v>1820</v>
      </c>
      <c r="D721" s="153" t="s">
        <v>1821</v>
      </c>
      <c r="E721" s="153" t="s">
        <v>309</v>
      </c>
      <c r="F721" s="153" t="s">
        <v>1822</v>
      </c>
      <c r="G721" s="153" t="s">
        <v>1823</v>
      </c>
      <c r="H721" s="153" t="s">
        <v>321</v>
      </c>
      <c r="I721" s="153" t="s">
        <v>754</v>
      </c>
      <c r="J721" s="153" t="s">
        <v>204</v>
      </c>
      <c r="K721" s="153" t="s">
        <v>204</v>
      </c>
      <c r="L721" s="153" t="s">
        <v>325</v>
      </c>
      <c r="M721" s="153" t="s">
        <v>340</v>
      </c>
      <c r="N721" s="153" t="s">
        <v>464</v>
      </c>
      <c r="O721" s="153" t="s">
        <v>339</v>
      </c>
      <c r="P721" s="153" t="s">
        <v>1538</v>
      </c>
      <c r="Q721" s="153" t="s">
        <v>413</v>
      </c>
      <c r="R721" s="153" t="s">
        <v>407</v>
      </c>
      <c r="S721" s="153" t="s">
        <v>1212</v>
      </c>
      <c r="T721" s="154">
        <v>5.36</v>
      </c>
      <c r="U721" s="153" t="s">
        <v>1824</v>
      </c>
      <c r="V721" s="155">
        <v>2.6030000000000001E-2</v>
      </c>
      <c r="W721" s="155">
        <v>3.3099999999999997E-2</v>
      </c>
      <c r="X721" s="153" t="s">
        <v>412</v>
      </c>
      <c r="Y721" s="153" t="s">
        <v>339</v>
      </c>
      <c r="Z721" s="154">
        <v>2050422.62</v>
      </c>
      <c r="AA721" s="154">
        <v>1</v>
      </c>
      <c r="AB721" s="154">
        <v>99.45</v>
      </c>
      <c r="AD721" s="154">
        <v>2039.145</v>
      </c>
      <c r="AG721" s="157" t="s">
        <v>15</v>
      </c>
      <c r="AH721" s="155">
        <v>9.1E-4</v>
      </c>
      <c r="AI721" s="155">
        <f t="shared" si="11"/>
        <v>1.3367853989675518E-2</v>
      </c>
      <c r="AJ721" s="155">
        <v>1.1273665007159323E-3</v>
      </c>
    </row>
    <row r="722" spans="1:36" s="160" customFormat="1">
      <c r="A722" s="153" t="s">
        <v>1213</v>
      </c>
      <c r="B722" s="160">
        <v>35012</v>
      </c>
      <c r="C722" s="153" t="s">
        <v>2228</v>
      </c>
      <c r="D722" s="153" t="s">
        <v>2229</v>
      </c>
      <c r="E722" s="153" t="s">
        <v>309</v>
      </c>
      <c r="F722" s="153" t="s">
        <v>2715</v>
      </c>
      <c r="G722" s="153" t="s">
        <v>2716</v>
      </c>
      <c r="H722" s="153" t="s">
        <v>321</v>
      </c>
      <c r="I722" s="153" t="s">
        <v>951</v>
      </c>
      <c r="J722" s="153" t="s">
        <v>204</v>
      </c>
      <c r="K722" s="153" t="s">
        <v>204</v>
      </c>
      <c r="L722" s="153" t="s">
        <v>325</v>
      </c>
      <c r="M722" s="153" t="s">
        <v>340</v>
      </c>
      <c r="N722" s="153" t="s">
        <v>441</v>
      </c>
      <c r="O722" s="153" t="s">
        <v>339</v>
      </c>
      <c r="P722" s="153" t="s">
        <v>1614</v>
      </c>
      <c r="Q722" s="153" t="s">
        <v>415</v>
      </c>
      <c r="R722" s="153" t="s">
        <v>407</v>
      </c>
      <c r="S722" s="153" t="s">
        <v>1212</v>
      </c>
      <c r="T722" s="154">
        <v>3.76</v>
      </c>
      <c r="U722" s="153" t="s">
        <v>2717</v>
      </c>
      <c r="V722" s="155">
        <v>2.9420000000000002E-2</v>
      </c>
      <c r="W722" s="155">
        <v>5.9900000000000002E-2</v>
      </c>
      <c r="X722" s="153" t="s">
        <v>412</v>
      </c>
      <c r="Y722" s="153" t="s">
        <v>339</v>
      </c>
      <c r="Z722" s="154">
        <v>2317000</v>
      </c>
      <c r="AA722" s="154">
        <v>1</v>
      </c>
      <c r="AB722" s="154">
        <v>85.02</v>
      </c>
      <c r="AD722" s="154">
        <v>1969.913</v>
      </c>
      <c r="AG722" s="157" t="s">
        <v>15</v>
      </c>
      <c r="AH722" s="155">
        <v>6.0000000000000001E-3</v>
      </c>
      <c r="AI722" s="155">
        <f t="shared" si="11"/>
        <v>1.2913995501233934E-2</v>
      </c>
      <c r="AJ722" s="155">
        <v>1.0890907343640715E-3</v>
      </c>
    </row>
    <row r="723" spans="1:36" s="160" customFormat="1">
      <c r="A723" s="153" t="s">
        <v>1213</v>
      </c>
      <c r="B723" s="160">
        <v>35012</v>
      </c>
      <c r="C723" s="153" t="s">
        <v>2136</v>
      </c>
      <c r="D723" s="153" t="s">
        <v>2137</v>
      </c>
      <c r="E723" s="153" t="s">
        <v>309</v>
      </c>
      <c r="F723" s="153" t="s">
        <v>2698</v>
      </c>
      <c r="G723" s="153" t="s">
        <v>2699</v>
      </c>
      <c r="H723" s="153" t="s">
        <v>321</v>
      </c>
      <c r="I723" s="153" t="s">
        <v>754</v>
      </c>
      <c r="J723" s="153" t="s">
        <v>204</v>
      </c>
      <c r="K723" s="153" t="s">
        <v>204</v>
      </c>
      <c r="L723" s="153" t="s">
        <v>325</v>
      </c>
      <c r="M723" s="153" t="s">
        <v>340</v>
      </c>
      <c r="N723" s="153" t="s">
        <v>440</v>
      </c>
      <c r="O723" s="153" t="s">
        <v>339</v>
      </c>
      <c r="P723" s="153" t="s">
        <v>1566</v>
      </c>
      <c r="Q723" s="153" t="s">
        <v>413</v>
      </c>
      <c r="R723" s="153" t="s">
        <v>407</v>
      </c>
      <c r="S723" s="153" t="s">
        <v>1212</v>
      </c>
      <c r="T723" s="154">
        <v>3.07</v>
      </c>
      <c r="U723" s="153" t="s">
        <v>2700</v>
      </c>
      <c r="V723" s="155">
        <v>1.0240000000000001E-2</v>
      </c>
      <c r="W723" s="155">
        <v>2.5999999999999999E-2</v>
      </c>
      <c r="X723" s="153" t="s">
        <v>412</v>
      </c>
      <c r="Y723" s="153" t="s">
        <v>339</v>
      </c>
      <c r="Z723" s="154">
        <v>1579269.1200000001</v>
      </c>
      <c r="AA723" s="154">
        <v>1</v>
      </c>
      <c r="AB723" s="154">
        <v>111.75</v>
      </c>
      <c r="AD723" s="154">
        <v>1764.8330000000001</v>
      </c>
      <c r="AG723" s="157" t="s">
        <v>15</v>
      </c>
      <c r="AH723" s="155">
        <v>1.42E-3</v>
      </c>
      <c r="AI723" s="155">
        <f t="shared" si="11"/>
        <v>1.1569569530445856E-2</v>
      </c>
      <c r="AJ723" s="155">
        <v>9.7570972322125258E-4</v>
      </c>
    </row>
    <row r="724" spans="1:36" s="160" customFormat="1">
      <c r="A724" s="153" t="s">
        <v>1213</v>
      </c>
      <c r="B724" s="160">
        <v>35012</v>
      </c>
      <c r="C724" s="153" t="s">
        <v>2238</v>
      </c>
      <c r="D724" s="153" t="s">
        <v>2239</v>
      </c>
      <c r="E724" s="153" t="s">
        <v>309</v>
      </c>
      <c r="F724" s="153" t="s">
        <v>2810</v>
      </c>
      <c r="G724" s="153" t="s">
        <v>2811</v>
      </c>
      <c r="H724" s="153" t="s">
        <v>321</v>
      </c>
      <c r="I724" s="153" t="s">
        <v>951</v>
      </c>
      <c r="J724" s="153" t="s">
        <v>204</v>
      </c>
      <c r="K724" s="153" t="s">
        <v>204</v>
      </c>
      <c r="L724" s="153" t="s">
        <v>325</v>
      </c>
      <c r="M724" s="153" t="s">
        <v>340</v>
      </c>
      <c r="N724" s="153" t="s">
        <v>447</v>
      </c>
      <c r="O724" s="153" t="s">
        <v>339</v>
      </c>
      <c r="P724" s="153" t="s">
        <v>1544</v>
      </c>
      <c r="Q724" s="153" t="s">
        <v>415</v>
      </c>
      <c r="R724" s="153" t="s">
        <v>407</v>
      </c>
      <c r="S724" s="153" t="s">
        <v>1212</v>
      </c>
      <c r="T724" s="154">
        <v>2.08</v>
      </c>
      <c r="U724" s="153" t="s">
        <v>1528</v>
      </c>
      <c r="V724" s="155">
        <v>2.572E-2</v>
      </c>
      <c r="W724" s="155">
        <v>5.5199999999999999E-2</v>
      </c>
      <c r="X724" s="153" t="s">
        <v>412</v>
      </c>
      <c r="Y724" s="153" t="s">
        <v>339</v>
      </c>
      <c r="Z724" s="154">
        <v>1838890.21</v>
      </c>
      <c r="AA724" s="154">
        <v>1</v>
      </c>
      <c r="AB724" s="154">
        <v>94.9</v>
      </c>
      <c r="AD724" s="154">
        <v>1745.107</v>
      </c>
      <c r="AG724" s="157" t="s">
        <v>15</v>
      </c>
      <c r="AH724" s="155">
        <v>6.8599999999999998E-3</v>
      </c>
      <c r="AI724" s="155">
        <f t="shared" si="11"/>
        <v>1.1440253425999953E-2</v>
      </c>
      <c r="AJ724" s="155">
        <v>9.6480396046621424E-4</v>
      </c>
    </row>
    <row r="725" spans="1:36" s="160" customFormat="1">
      <c r="A725" s="153" t="s">
        <v>1213</v>
      </c>
      <c r="B725" s="160">
        <v>35012</v>
      </c>
      <c r="C725" s="153" t="s">
        <v>2404</v>
      </c>
      <c r="D725" s="153" t="s">
        <v>2405</v>
      </c>
      <c r="E725" s="153" t="s">
        <v>309</v>
      </c>
      <c r="F725" s="153" t="s">
        <v>2571</v>
      </c>
      <c r="G725" s="153" t="s">
        <v>2572</v>
      </c>
      <c r="H725" s="153" t="s">
        <v>321</v>
      </c>
      <c r="I725" s="153" t="s">
        <v>951</v>
      </c>
      <c r="J725" s="153" t="s">
        <v>204</v>
      </c>
      <c r="K725" s="153" t="s">
        <v>204</v>
      </c>
      <c r="L725" s="153" t="s">
        <v>325</v>
      </c>
      <c r="M725" s="153" t="s">
        <v>340</v>
      </c>
      <c r="N725" s="153" t="s">
        <v>440</v>
      </c>
      <c r="O725" s="153" t="s">
        <v>339</v>
      </c>
      <c r="P725" s="153" t="s">
        <v>1554</v>
      </c>
      <c r="Q725" s="153" t="s">
        <v>413</v>
      </c>
      <c r="R725" s="153" t="s">
        <v>407</v>
      </c>
      <c r="S725" s="153" t="s">
        <v>1212</v>
      </c>
      <c r="T725" s="154">
        <v>3.25</v>
      </c>
      <c r="U725" s="153" t="s">
        <v>2573</v>
      </c>
      <c r="V725" s="155">
        <v>1.949E-2</v>
      </c>
      <c r="W725" s="155">
        <v>6.1100000000000002E-2</v>
      </c>
      <c r="X725" s="153" t="s">
        <v>412</v>
      </c>
      <c r="Y725" s="153" t="s">
        <v>339</v>
      </c>
      <c r="Z725" s="154">
        <v>1932163.2</v>
      </c>
      <c r="AA725" s="154">
        <v>1</v>
      </c>
      <c r="AB725" s="154">
        <v>89.41</v>
      </c>
      <c r="AD725" s="154">
        <v>1727.547</v>
      </c>
      <c r="AG725" s="157" t="s">
        <v>15</v>
      </c>
      <c r="AH725" s="155">
        <v>2.5200000000000001E-3</v>
      </c>
      <c r="AI725" s="155">
        <f t="shared" si="11"/>
        <v>1.1325136788360795E-2</v>
      </c>
      <c r="AJ725" s="155">
        <v>9.5509569756555164E-4</v>
      </c>
    </row>
    <row r="726" spans="1:36" s="160" customFormat="1">
      <c r="A726" s="153" t="s">
        <v>1213</v>
      </c>
      <c r="B726" s="160">
        <v>35012</v>
      </c>
      <c r="C726" s="153" t="s">
        <v>2789</v>
      </c>
      <c r="D726" s="153" t="s">
        <v>2790</v>
      </c>
      <c r="E726" s="153" t="s">
        <v>309</v>
      </c>
      <c r="F726" s="153" t="s">
        <v>2791</v>
      </c>
      <c r="G726" s="153" t="s">
        <v>2792</v>
      </c>
      <c r="H726" s="153" t="s">
        <v>321</v>
      </c>
      <c r="I726" s="153" t="s">
        <v>951</v>
      </c>
      <c r="J726" s="153" t="s">
        <v>204</v>
      </c>
      <c r="K726" s="153" t="s">
        <v>204</v>
      </c>
      <c r="L726" s="153" t="s">
        <v>325</v>
      </c>
      <c r="M726" s="153" t="s">
        <v>340</v>
      </c>
      <c r="N726" s="153" t="s">
        <v>441</v>
      </c>
      <c r="O726" s="153" t="s">
        <v>339</v>
      </c>
      <c r="P726" s="153" t="s">
        <v>1614</v>
      </c>
      <c r="Q726" s="153" t="s">
        <v>415</v>
      </c>
      <c r="R726" s="153" t="s">
        <v>407</v>
      </c>
      <c r="S726" s="153" t="s">
        <v>1212</v>
      </c>
      <c r="T726" s="154">
        <v>2.86</v>
      </c>
      <c r="U726" s="153" t="s">
        <v>2793</v>
      </c>
      <c r="V726" s="155">
        <v>1.6740000000000001E-2</v>
      </c>
      <c r="W726" s="155">
        <v>5.9200000000000003E-2</v>
      </c>
      <c r="X726" s="153" t="s">
        <v>412</v>
      </c>
      <c r="Y726" s="153" t="s">
        <v>339</v>
      </c>
      <c r="Z726" s="154">
        <v>1697352.84</v>
      </c>
      <c r="AA726" s="154">
        <v>1</v>
      </c>
      <c r="AB726" s="154">
        <v>90.04</v>
      </c>
      <c r="AD726" s="154">
        <v>1528.296</v>
      </c>
      <c r="AG726" s="157" t="s">
        <v>15</v>
      </c>
      <c r="AH726" s="155">
        <v>3.8E-3</v>
      </c>
      <c r="AI726" s="155">
        <f t="shared" si="11"/>
        <v>1.0018923510101115E-2</v>
      </c>
      <c r="AJ726" s="155">
        <v>8.4493732107238898E-4</v>
      </c>
    </row>
    <row r="727" spans="1:36" s="160" customFormat="1">
      <c r="A727" s="153" t="s">
        <v>1213</v>
      </c>
      <c r="B727" s="160">
        <v>35012</v>
      </c>
      <c r="C727" s="153" t="s">
        <v>1573</v>
      </c>
      <c r="D727" s="153" t="s">
        <v>1574</v>
      </c>
      <c r="E727" s="153" t="s">
        <v>309</v>
      </c>
      <c r="F727" s="153" t="s">
        <v>2310</v>
      </c>
      <c r="G727" s="153" t="s">
        <v>2311</v>
      </c>
      <c r="H727" s="153" t="s">
        <v>321</v>
      </c>
      <c r="I727" s="153" t="s">
        <v>754</v>
      </c>
      <c r="J727" s="153" t="s">
        <v>204</v>
      </c>
      <c r="K727" s="153" t="s">
        <v>204</v>
      </c>
      <c r="L727" s="153" t="s">
        <v>325</v>
      </c>
      <c r="M727" s="153" t="s">
        <v>340</v>
      </c>
      <c r="N727" s="153" t="s">
        <v>448</v>
      </c>
      <c r="O727" s="153" t="s">
        <v>339</v>
      </c>
      <c r="P727" s="153" t="s">
        <v>1215</v>
      </c>
      <c r="Q727" s="153" t="s">
        <v>413</v>
      </c>
      <c r="R727" s="153" t="s">
        <v>407</v>
      </c>
      <c r="S727" s="153" t="s">
        <v>1212</v>
      </c>
      <c r="T727" s="154">
        <v>1.74</v>
      </c>
      <c r="U727" s="153" t="s">
        <v>1833</v>
      </c>
      <c r="V727" s="155">
        <v>1.6250000000000001E-2</v>
      </c>
      <c r="W727" s="155">
        <v>2.0400000000000001E-2</v>
      </c>
      <c r="X727" s="153" t="s">
        <v>412</v>
      </c>
      <c r="Y727" s="153" t="s">
        <v>339</v>
      </c>
      <c r="Z727" s="154">
        <v>1272255</v>
      </c>
      <c r="AA727" s="154">
        <v>1</v>
      </c>
      <c r="AB727" s="154">
        <v>113.2</v>
      </c>
      <c r="AD727" s="154">
        <v>1440.193</v>
      </c>
      <c r="AG727" s="157" t="s">
        <v>15</v>
      </c>
      <c r="AH727" s="155">
        <v>8.4000000000000003E-4</v>
      </c>
      <c r="AI727" s="155">
        <f t="shared" si="11"/>
        <v>9.4413539699004997E-3</v>
      </c>
      <c r="AJ727" s="155">
        <v>7.9622848927642749E-4</v>
      </c>
    </row>
    <row r="728" spans="1:36" s="160" customFormat="1">
      <c r="A728" s="153" t="s">
        <v>1213</v>
      </c>
      <c r="B728" s="160">
        <v>35012</v>
      </c>
      <c r="C728" s="153" t="s">
        <v>1820</v>
      </c>
      <c r="D728" s="153" t="s">
        <v>1821</v>
      </c>
      <c r="E728" s="153" t="s">
        <v>309</v>
      </c>
      <c r="F728" s="153" t="s">
        <v>1952</v>
      </c>
      <c r="G728" s="153" t="s">
        <v>1953</v>
      </c>
      <c r="H728" s="153" t="s">
        <v>321</v>
      </c>
      <c r="I728" s="153" t="s">
        <v>754</v>
      </c>
      <c r="J728" s="153" t="s">
        <v>204</v>
      </c>
      <c r="K728" s="153" t="s">
        <v>204</v>
      </c>
      <c r="L728" s="153" t="s">
        <v>325</v>
      </c>
      <c r="M728" s="153" t="s">
        <v>340</v>
      </c>
      <c r="N728" s="153" t="s">
        <v>464</v>
      </c>
      <c r="O728" s="153" t="s">
        <v>339</v>
      </c>
      <c r="P728" s="153" t="s">
        <v>1538</v>
      </c>
      <c r="Q728" s="153" t="s">
        <v>413</v>
      </c>
      <c r="R728" s="153" t="s">
        <v>407</v>
      </c>
      <c r="S728" s="153" t="s">
        <v>1212</v>
      </c>
      <c r="T728" s="154">
        <v>2.19</v>
      </c>
      <c r="U728" s="153" t="s">
        <v>1308</v>
      </c>
      <c r="V728" s="155">
        <v>4.4900000000000001E-3</v>
      </c>
      <c r="W728" s="155">
        <v>2.6599999999999999E-2</v>
      </c>
      <c r="X728" s="153" t="s">
        <v>412</v>
      </c>
      <c r="Y728" s="153" t="s">
        <v>339</v>
      </c>
      <c r="Z728" s="154">
        <v>1169373.5</v>
      </c>
      <c r="AA728" s="154">
        <v>1</v>
      </c>
      <c r="AB728" s="154">
        <v>115.87</v>
      </c>
      <c r="AD728" s="154">
        <v>1354.953</v>
      </c>
      <c r="AG728" s="157" t="s">
        <v>15</v>
      </c>
      <c r="AH728" s="155">
        <v>5.5000000000000003E-4</v>
      </c>
      <c r="AI728" s="155">
        <f t="shared" si="11"/>
        <v>8.8825531616794351E-3</v>
      </c>
      <c r="AJ728" s="155">
        <v>7.4910250239416747E-4</v>
      </c>
    </row>
    <row r="729" spans="1:36" s="160" customFormat="1">
      <c r="A729" s="153" t="s">
        <v>1213</v>
      </c>
      <c r="B729" s="160">
        <v>35012</v>
      </c>
      <c r="C729" s="153" t="s">
        <v>2436</v>
      </c>
      <c r="D729" s="153" t="s">
        <v>2437</v>
      </c>
      <c r="E729" s="153" t="s">
        <v>309</v>
      </c>
      <c r="F729" s="153" t="s">
        <v>2438</v>
      </c>
      <c r="G729" s="153" t="s">
        <v>2439</v>
      </c>
      <c r="H729" s="153" t="s">
        <v>321</v>
      </c>
      <c r="I729" s="153" t="s">
        <v>754</v>
      </c>
      <c r="J729" s="153" t="s">
        <v>204</v>
      </c>
      <c r="K729" s="153" t="s">
        <v>204</v>
      </c>
      <c r="L729" s="153" t="s">
        <v>325</v>
      </c>
      <c r="M729" s="153" t="s">
        <v>340</v>
      </c>
      <c r="N729" s="153" t="s">
        <v>475</v>
      </c>
      <c r="O729" s="153" t="s">
        <v>339</v>
      </c>
      <c r="P729" s="153" t="s">
        <v>1538</v>
      </c>
      <c r="Q729" s="153" t="s">
        <v>413</v>
      </c>
      <c r="R729" s="153" t="s">
        <v>407</v>
      </c>
      <c r="S729" s="153" t="s">
        <v>1212</v>
      </c>
      <c r="T729" s="154">
        <v>2.44</v>
      </c>
      <c r="U729" s="153" t="s">
        <v>2440</v>
      </c>
      <c r="V729" s="155">
        <v>3.7799999999999999E-3</v>
      </c>
      <c r="W729" s="155">
        <v>2.3E-2</v>
      </c>
      <c r="X729" s="153" t="s">
        <v>412</v>
      </c>
      <c r="Y729" s="153" t="s">
        <v>339</v>
      </c>
      <c r="Z729" s="154">
        <v>849625.22</v>
      </c>
      <c r="AA729" s="154">
        <v>1</v>
      </c>
      <c r="AB729" s="154">
        <v>120.79</v>
      </c>
      <c r="AC729" s="154">
        <v>297.61399999999998</v>
      </c>
      <c r="AD729" s="154">
        <v>1323.876</v>
      </c>
      <c r="AG729" s="157" t="s">
        <v>15</v>
      </c>
      <c r="AH729" s="155">
        <v>2.0799999999999998E-3</v>
      </c>
      <c r="AI729" s="155">
        <f t="shared" si="11"/>
        <v>8.6788242466502713E-3</v>
      </c>
      <c r="AJ729" s="155">
        <v>7.3192119908187291E-4</v>
      </c>
    </row>
    <row r="730" spans="1:36" s="160" customFormat="1">
      <c r="A730" s="153" t="s">
        <v>1213</v>
      </c>
      <c r="B730" s="160">
        <v>35012</v>
      </c>
      <c r="C730" s="153" t="s">
        <v>1917</v>
      </c>
      <c r="D730" s="153" t="s">
        <v>1918</v>
      </c>
      <c r="E730" s="153" t="s">
        <v>309</v>
      </c>
      <c r="F730" s="153" t="s">
        <v>2720</v>
      </c>
      <c r="G730" s="153" t="s">
        <v>2721</v>
      </c>
      <c r="H730" s="153" t="s">
        <v>321</v>
      </c>
      <c r="I730" s="153" t="s">
        <v>754</v>
      </c>
      <c r="J730" s="153" t="s">
        <v>204</v>
      </c>
      <c r="K730" s="153" t="s">
        <v>204</v>
      </c>
      <c r="L730" s="153" t="s">
        <v>325</v>
      </c>
      <c r="M730" s="153" t="s">
        <v>340</v>
      </c>
      <c r="N730" s="153" t="s">
        <v>447</v>
      </c>
      <c r="O730" s="153" t="s">
        <v>339</v>
      </c>
      <c r="P730" s="153" t="s">
        <v>1560</v>
      </c>
      <c r="Q730" s="153" t="s">
        <v>413</v>
      </c>
      <c r="R730" s="153" t="s">
        <v>407</v>
      </c>
      <c r="S730" s="153" t="s">
        <v>1212</v>
      </c>
      <c r="T730" s="154">
        <v>5.47</v>
      </c>
      <c r="U730" s="153" t="s">
        <v>1732</v>
      </c>
      <c r="V730" s="155">
        <v>4.0390000000000002E-2</v>
      </c>
      <c r="W730" s="155">
        <v>3.9800000000000002E-2</v>
      </c>
      <c r="X730" s="153" t="s">
        <v>412</v>
      </c>
      <c r="Y730" s="153" t="s">
        <v>339</v>
      </c>
      <c r="Z730" s="154">
        <v>1247000</v>
      </c>
      <c r="AA730" s="154">
        <v>1</v>
      </c>
      <c r="AB730" s="154">
        <v>105.93</v>
      </c>
      <c r="AD730" s="154">
        <v>1320.9469999999999</v>
      </c>
      <c r="AG730" s="157" t="s">
        <v>15</v>
      </c>
      <c r="AH730" s="155">
        <v>3.5599999999999998E-3</v>
      </c>
      <c r="AI730" s="155">
        <f t="shared" si="11"/>
        <v>8.6596228439369954E-3</v>
      </c>
      <c r="AJ730" s="155">
        <v>7.3030186525294106E-4</v>
      </c>
    </row>
    <row r="731" spans="1:36" s="160" customFormat="1">
      <c r="A731" s="153" t="s">
        <v>1213</v>
      </c>
      <c r="B731" s="160">
        <v>35012</v>
      </c>
      <c r="C731" s="153" t="s">
        <v>1600</v>
      </c>
      <c r="D731" s="153" t="s">
        <v>1601</v>
      </c>
      <c r="E731" s="153" t="s">
        <v>309</v>
      </c>
      <c r="F731" s="153" t="s">
        <v>1954</v>
      </c>
      <c r="G731" s="153" t="s">
        <v>1955</v>
      </c>
      <c r="H731" s="153" t="s">
        <v>321</v>
      </c>
      <c r="I731" s="153" t="s">
        <v>754</v>
      </c>
      <c r="J731" s="153" t="s">
        <v>204</v>
      </c>
      <c r="K731" s="153" t="s">
        <v>204</v>
      </c>
      <c r="L731" s="153" t="s">
        <v>325</v>
      </c>
      <c r="M731" s="153" t="s">
        <v>340</v>
      </c>
      <c r="N731" s="153" t="s">
        <v>448</v>
      </c>
      <c r="O731" s="153" t="s">
        <v>339</v>
      </c>
      <c r="P731" s="153" t="s">
        <v>1215</v>
      </c>
      <c r="Q731" s="153" t="s">
        <v>413</v>
      </c>
      <c r="R731" s="153" t="s">
        <v>407</v>
      </c>
      <c r="S731" s="153" t="s">
        <v>1212</v>
      </c>
      <c r="T731" s="154">
        <v>3.02</v>
      </c>
      <c r="U731" s="153" t="s">
        <v>1956</v>
      </c>
      <c r="V731" s="155">
        <v>1.7500000000000002E-2</v>
      </c>
      <c r="W731" s="155">
        <v>2.35E-2</v>
      </c>
      <c r="X731" s="153" t="s">
        <v>412</v>
      </c>
      <c r="Y731" s="153" t="s">
        <v>339</v>
      </c>
      <c r="Z731" s="154">
        <v>997716.26</v>
      </c>
      <c r="AA731" s="154">
        <v>1</v>
      </c>
      <c r="AB731" s="154">
        <v>114.28</v>
      </c>
      <c r="AD731" s="154">
        <v>1140.19</v>
      </c>
      <c r="AG731" s="157" t="s">
        <v>15</v>
      </c>
      <c r="AH731" s="155">
        <v>3.8000000000000002E-4</v>
      </c>
      <c r="AI731" s="155">
        <f t="shared" si="11"/>
        <v>7.4746491497603802E-3</v>
      </c>
      <c r="AJ731" s="155">
        <v>6.3036812509718486E-4</v>
      </c>
    </row>
    <row r="732" spans="1:36" s="160" customFormat="1">
      <c r="A732" s="153" t="s">
        <v>1213</v>
      </c>
      <c r="B732" s="160">
        <v>35012</v>
      </c>
      <c r="C732" s="153" t="s">
        <v>2356</v>
      </c>
      <c r="D732" s="153" t="s">
        <v>2357</v>
      </c>
      <c r="E732" s="153" t="s">
        <v>309</v>
      </c>
      <c r="F732" s="153" t="s">
        <v>2724</v>
      </c>
      <c r="G732" s="153" t="s">
        <v>2725</v>
      </c>
      <c r="H732" s="153" t="s">
        <v>321</v>
      </c>
      <c r="I732" s="153" t="s">
        <v>754</v>
      </c>
      <c r="J732" s="153" t="s">
        <v>204</v>
      </c>
      <c r="K732" s="153" t="s">
        <v>204</v>
      </c>
      <c r="L732" s="153" t="s">
        <v>325</v>
      </c>
      <c r="M732" s="153" t="s">
        <v>340</v>
      </c>
      <c r="N732" s="153" t="s">
        <v>447</v>
      </c>
      <c r="O732" s="153" t="s">
        <v>339</v>
      </c>
      <c r="P732" s="153" t="s">
        <v>1560</v>
      </c>
      <c r="Q732" s="153" t="s">
        <v>413</v>
      </c>
      <c r="R732" s="153" t="s">
        <v>407</v>
      </c>
      <c r="S732" s="153" t="s">
        <v>1212</v>
      </c>
      <c r="T732" s="154">
        <v>0.5</v>
      </c>
      <c r="U732" s="153" t="s">
        <v>1965</v>
      </c>
      <c r="V732" s="155">
        <v>5.0029999999999998E-2</v>
      </c>
      <c r="W732" s="155">
        <v>3.4700000000000002E-2</v>
      </c>
      <c r="X732" s="153" t="s">
        <v>412</v>
      </c>
      <c r="Y732" s="153" t="s">
        <v>339</v>
      </c>
      <c r="Z732" s="154">
        <v>823852</v>
      </c>
      <c r="AA732" s="154">
        <v>1</v>
      </c>
      <c r="AB732" s="154">
        <v>115.84</v>
      </c>
      <c r="AC732" s="154">
        <v>20.617000000000001</v>
      </c>
      <c r="AD732" s="154">
        <v>974.96699999999998</v>
      </c>
      <c r="AG732" s="157" t="s">
        <v>15</v>
      </c>
      <c r="AH732" s="155">
        <v>1.89E-3</v>
      </c>
      <c r="AI732" s="155">
        <f t="shared" si="11"/>
        <v>6.3915104128210451E-3</v>
      </c>
      <c r="AJ732" s="155">
        <v>5.3902254871699188E-4</v>
      </c>
    </row>
    <row r="733" spans="1:36" s="160" customFormat="1">
      <c r="A733" s="153" t="s">
        <v>1213</v>
      </c>
      <c r="B733" s="160">
        <v>35012</v>
      </c>
      <c r="C733" s="153" t="s">
        <v>2757</v>
      </c>
      <c r="D733" s="153" t="s">
        <v>2758</v>
      </c>
      <c r="E733" s="153" t="s">
        <v>309</v>
      </c>
      <c r="F733" s="153" t="s">
        <v>2759</v>
      </c>
      <c r="G733" s="153" t="s">
        <v>2760</v>
      </c>
      <c r="H733" s="153" t="s">
        <v>321</v>
      </c>
      <c r="I733" s="153" t="s">
        <v>755</v>
      </c>
      <c r="J733" s="153" t="s">
        <v>204</v>
      </c>
      <c r="K733" s="153" t="s">
        <v>204</v>
      </c>
      <c r="L733" s="153" t="s">
        <v>325</v>
      </c>
      <c r="M733" s="153" t="s">
        <v>340</v>
      </c>
      <c r="N733" s="153" t="s">
        <v>440</v>
      </c>
      <c r="O733" s="153" t="s">
        <v>339</v>
      </c>
      <c r="P733" s="153" t="s">
        <v>1521</v>
      </c>
      <c r="Q733" s="153" t="s">
        <v>413</v>
      </c>
      <c r="R733" s="153" t="s">
        <v>407</v>
      </c>
      <c r="S733" s="153" t="s">
        <v>1212</v>
      </c>
      <c r="T733" s="154">
        <v>0.74</v>
      </c>
      <c r="U733" s="153" t="s">
        <v>2761</v>
      </c>
      <c r="V733" s="155">
        <v>4.249E-2</v>
      </c>
      <c r="W733" s="155">
        <v>7.5899999999999995E-2</v>
      </c>
      <c r="X733" s="153" t="s">
        <v>412</v>
      </c>
      <c r="Y733" s="153" t="s">
        <v>339</v>
      </c>
      <c r="Z733" s="154">
        <v>949500</v>
      </c>
      <c r="AA733" s="154">
        <v>1</v>
      </c>
      <c r="AB733" s="154">
        <v>100.15</v>
      </c>
      <c r="AD733" s="154">
        <v>950.92399999999998</v>
      </c>
      <c r="AG733" s="157" t="s">
        <v>15</v>
      </c>
      <c r="AH733" s="155">
        <v>3.8700000000000002E-3</v>
      </c>
      <c r="AI733" s="155">
        <f t="shared" si="11"/>
        <v>6.2338937090193206E-3</v>
      </c>
      <c r="AJ733" s="155">
        <v>5.2573007918848202E-4</v>
      </c>
    </row>
    <row r="734" spans="1:36" s="160" customFormat="1">
      <c r="A734" s="153" t="s">
        <v>1213</v>
      </c>
      <c r="B734" s="160">
        <v>35012</v>
      </c>
      <c r="C734" s="153" t="s">
        <v>2178</v>
      </c>
      <c r="D734" s="153" t="s">
        <v>2179</v>
      </c>
      <c r="E734" s="153" t="s">
        <v>309</v>
      </c>
      <c r="F734" s="153" t="s">
        <v>2762</v>
      </c>
      <c r="G734" s="153" t="s">
        <v>2763</v>
      </c>
      <c r="H734" s="153" t="s">
        <v>321</v>
      </c>
      <c r="I734" s="153" t="s">
        <v>951</v>
      </c>
      <c r="J734" s="153" t="s">
        <v>204</v>
      </c>
      <c r="K734" s="153" t="s">
        <v>204</v>
      </c>
      <c r="L734" s="153" t="s">
        <v>325</v>
      </c>
      <c r="M734" s="153" t="s">
        <v>340</v>
      </c>
      <c r="N734" s="153" t="s">
        <v>464</v>
      </c>
      <c r="O734" s="153" t="s">
        <v>339</v>
      </c>
      <c r="P734" s="153" t="s">
        <v>1566</v>
      </c>
      <c r="Q734" s="153" t="s">
        <v>413</v>
      </c>
      <c r="R734" s="153" t="s">
        <v>407</v>
      </c>
      <c r="S734" s="153" t="s">
        <v>1212</v>
      </c>
      <c r="T734" s="154">
        <v>1.34</v>
      </c>
      <c r="U734" s="153" t="s">
        <v>2764</v>
      </c>
      <c r="V734" s="155">
        <v>-9.0799999999999995E-3</v>
      </c>
      <c r="W734" s="155">
        <v>6.1800000000000001E-2</v>
      </c>
      <c r="X734" s="153" t="s">
        <v>412</v>
      </c>
      <c r="Y734" s="153" t="s">
        <v>339</v>
      </c>
      <c r="Z734" s="154">
        <v>740430.75</v>
      </c>
      <c r="AA734" s="154">
        <v>1</v>
      </c>
      <c r="AB734" s="154">
        <v>101.51</v>
      </c>
      <c r="AD734" s="154">
        <v>751.61099999999999</v>
      </c>
      <c r="AG734" s="157" t="s">
        <v>15</v>
      </c>
      <c r="AH734" s="155">
        <v>7.1000000000000002E-4</v>
      </c>
      <c r="AI734" s="155">
        <f t="shared" si="11"/>
        <v>4.9272739824946267E-3</v>
      </c>
      <c r="AJ734" s="155">
        <v>4.1553742522949696E-4</v>
      </c>
    </row>
    <row r="735" spans="1:36" s="160" customFormat="1">
      <c r="A735" s="153" t="s">
        <v>1213</v>
      </c>
      <c r="B735" s="160">
        <v>35012</v>
      </c>
      <c r="C735" s="153" t="s">
        <v>2238</v>
      </c>
      <c r="D735" s="153" t="s">
        <v>2239</v>
      </c>
      <c r="E735" s="153" t="s">
        <v>309</v>
      </c>
      <c r="F735" s="153" t="s">
        <v>2794</v>
      </c>
      <c r="G735" s="153" t="s">
        <v>2795</v>
      </c>
      <c r="H735" s="153" t="s">
        <v>321</v>
      </c>
      <c r="I735" s="153" t="s">
        <v>951</v>
      </c>
      <c r="J735" s="153" t="s">
        <v>204</v>
      </c>
      <c r="K735" s="153" t="s">
        <v>204</v>
      </c>
      <c r="L735" s="153" t="s">
        <v>325</v>
      </c>
      <c r="M735" s="153" t="s">
        <v>340</v>
      </c>
      <c r="N735" s="153" t="s">
        <v>447</v>
      </c>
      <c r="O735" s="153" t="s">
        <v>339</v>
      </c>
      <c r="P735" s="153" t="s">
        <v>1544</v>
      </c>
      <c r="Q735" s="153" t="s">
        <v>415</v>
      </c>
      <c r="R735" s="153" t="s">
        <v>407</v>
      </c>
      <c r="S735" s="153" t="s">
        <v>1212</v>
      </c>
      <c r="T735" s="154">
        <v>0.74</v>
      </c>
      <c r="U735" s="153" t="s">
        <v>1848</v>
      </c>
      <c r="V735" s="155">
        <v>5.2380000000000003E-2</v>
      </c>
      <c r="W735" s="155">
        <v>5.4600000000000003E-2</v>
      </c>
      <c r="X735" s="153" t="s">
        <v>412</v>
      </c>
      <c r="Y735" s="153" t="s">
        <v>339</v>
      </c>
      <c r="Z735" s="154">
        <v>713474.7</v>
      </c>
      <c r="AA735" s="154">
        <v>1</v>
      </c>
      <c r="AB735" s="154">
        <v>100.18</v>
      </c>
      <c r="AD735" s="154">
        <v>714.75900000000001</v>
      </c>
      <c r="AG735" s="157" t="s">
        <v>15</v>
      </c>
      <c r="AH735" s="155">
        <v>6.8399999999999997E-3</v>
      </c>
      <c r="AI735" s="155">
        <f t="shared" si="11"/>
        <v>4.6856863782646571E-3</v>
      </c>
      <c r="AJ735" s="155">
        <v>3.9516334183455277E-4</v>
      </c>
    </row>
    <row r="736" spans="1:36" s="160" customFormat="1">
      <c r="A736" s="153" t="s">
        <v>1213</v>
      </c>
      <c r="B736" s="160">
        <v>35012</v>
      </c>
      <c r="C736" s="153" t="s">
        <v>2812</v>
      </c>
      <c r="D736" s="153" t="s">
        <v>2813</v>
      </c>
      <c r="E736" s="153" t="s">
        <v>309</v>
      </c>
      <c r="F736" s="153" t="s">
        <v>2814</v>
      </c>
      <c r="G736" s="153" t="s">
        <v>2815</v>
      </c>
      <c r="H736" s="153" t="s">
        <v>321</v>
      </c>
      <c r="I736" s="153" t="s">
        <v>951</v>
      </c>
      <c r="J736" s="153" t="s">
        <v>204</v>
      </c>
      <c r="K736" s="153" t="s">
        <v>204</v>
      </c>
      <c r="L736" s="153" t="s">
        <v>325</v>
      </c>
      <c r="M736" s="153" t="s">
        <v>340</v>
      </c>
      <c r="N736" s="153" t="s">
        <v>447</v>
      </c>
      <c r="O736" s="153" t="s">
        <v>339</v>
      </c>
      <c r="P736" s="153" t="s">
        <v>1614</v>
      </c>
      <c r="Q736" s="153" t="s">
        <v>415</v>
      </c>
      <c r="R736" s="153" t="s">
        <v>407</v>
      </c>
      <c r="S736" s="153" t="s">
        <v>1212</v>
      </c>
      <c r="T736" s="154">
        <v>1.71</v>
      </c>
      <c r="U736" s="153" t="s">
        <v>1343</v>
      </c>
      <c r="V736" s="155">
        <v>5.3400000000000003E-2</v>
      </c>
      <c r="W736" s="155">
        <v>5.6000000000000001E-2</v>
      </c>
      <c r="X736" s="153" t="s">
        <v>412</v>
      </c>
      <c r="Y736" s="153" t="s">
        <v>339</v>
      </c>
      <c r="Z736" s="154">
        <v>712973.14</v>
      </c>
      <c r="AA736" s="154">
        <v>1</v>
      </c>
      <c r="AB736" s="154">
        <v>94.88</v>
      </c>
      <c r="AD736" s="154">
        <v>676.46900000000005</v>
      </c>
      <c r="AG736" s="157" t="s">
        <v>15</v>
      </c>
      <c r="AH736" s="155">
        <v>2.8E-3</v>
      </c>
      <c r="AI736" s="155">
        <f t="shared" si="11"/>
        <v>4.4346717965332572E-3</v>
      </c>
      <c r="AJ736" s="155">
        <v>3.7399424237747003E-4</v>
      </c>
    </row>
    <row r="737" spans="1:36" s="160" customFormat="1">
      <c r="A737" s="153" t="s">
        <v>1213</v>
      </c>
      <c r="B737" s="160">
        <v>35012</v>
      </c>
      <c r="C737" s="153" t="s">
        <v>2032</v>
      </c>
      <c r="D737" s="153" t="s">
        <v>2033</v>
      </c>
      <c r="E737" s="153" t="s">
        <v>309</v>
      </c>
      <c r="F737" s="153" t="s">
        <v>2765</v>
      </c>
      <c r="G737" s="153" t="s">
        <v>2766</v>
      </c>
      <c r="H737" s="153" t="s">
        <v>321</v>
      </c>
      <c r="I737" s="153" t="s">
        <v>754</v>
      </c>
      <c r="J737" s="153" t="s">
        <v>204</v>
      </c>
      <c r="K737" s="153" t="s">
        <v>204</v>
      </c>
      <c r="L737" s="153" t="s">
        <v>325</v>
      </c>
      <c r="M737" s="153" t="s">
        <v>340</v>
      </c>
      <c r="N737" s="153" t="s">
        <v>445</v>
      </c>
      <c r="O737" s="153" t="s">
        <v>339</v>
      </c>
      <c r="P737" s="153" t="s">
        <v>1538</v>
      </c>
      <c r="Q737" s="153" t="s">
        <v>413</v>
      </c>
      <c r="R737" s="153" t="s">
        <v>407</v>
      </c>
      <c r="S737" s="153" t="s">
        <v>1212</v>
      </c>
      <c r="T737" s="154">
        <v>5.09</v>
      </c>
      <c r="U737" s="153" t="s">
        <v>2210</v>
      </c>
      <c r="V737" s="155">
        <v>2.2360000000000001E-2</v>
      </c>
      <c r="W737" s="155">
        <v>2.8899999999999999E-2</v>
      </c>
      <c r="X737" s="153" t="s">
        <v>412</v>
      </c>
      <c r="Y737" s="153" t="s">
        <v>339</v>
      </c>
      <c r="Z737" s="154">
        <v>599791</v>
      </c>
      <c r="AA737" s="154">
        <v>1</v>
      </c>
      <c r="AB737" s="154">
        <v>100.89</v>
      </c>
      <c r="AD737" s="154">
        <v>605.12900000000002</v>
      </c>
      <c r="AG737" s="157" t="s">
        <v>15</v>
      </c>
      <c r="AH737" s="155">
        <v>2E-3</v>
      </c>
      <c r="AI737" s="155">
        <f t="shared" si="11"/>
        <v>3.9669940670812309E-3</v>
      </c>
      <c r="AJ737" s="155">
        <v>3.3455304218764798E-4</v>
      </c>
    </row>
    <row r="738" spans="1:36" s="160" customFormat="1">
      <c r="A738" s="153" t="s">
        <v>1213</v>
      </c>
      <c r="B738" s="160">
        <v>35012</v>
      </c>
      <c r="C738" s="153" t="s">
        <v>2576</v>
      </c>
      <c r="D738" s="153" t="s">
        <v>2577</v>
      </c>
      <c r="E738" s="153" t="s">
        <v>309</v>
      </c>
      <c r="F738" s="153" t="s">
        <v>2816</v>
      </c>
      <c r="G738" s="153" t="s">
        <v>2817</v>
      </c>
      <c r="H738" s="153" t="s">
        <v>321</v>
      </c>
      <c r="I738" s="153" t="s">
        <v>951</v>
      </c>
      <c r="J738" s="153" t="s">
        <v>204</v>
      </c>
      <c r="K738" s="153" t="s">
        <v>204</v>
      </c>
      <c r="L738" s="153" t="s">
        <v>325</v>
      </c>
      <c r="M738" s="153" t="s">
        <v>340</v>
      </c>
      <c r="N738" s="153" t="s">
        <v>451</v>
      </c>
      <c r="O738" s="153" t="s">
        <v>339</v>
      </c>
      <c r="P738" s="153" t="s">
        <v>1521</v>
      </c>
      <c r="Q738" s="153" t="s">
        <v>413</v>
      </c>
      <c r="R738" s="153" t="s">
        <v>407</v>
      </c>
      <c r="S738" s="153" t="s">
        <v>1212</v>
      </c>
      <c r="T738" s="154">
        <v>3.62</v>
      </c>
      <c r="U738" s="153" t="s">
        <v>2818</v>
      </c>
      <c r="V738" s="155">
        <v>4.7530000000000003E-2</v>
      </c>
      <c r="W738" s="155">
        <v>5.79E-2</v>
      </c>
      <c r="X738" s="153" t="s">
        <v>412</v>
      </c>
      <c r="Y738" s="153" t="s">
        <v>339</v>
      </c>
      <c r="Z738" s="154">
        <v>670100</v>
      </c>
      <c r="AA738" s="154">
        <v>1</v>
      </c>
      <c r="AB738" s="154">
        <v>90.3</v>
      </c>
      <c r="AD738" s="154">
        <v>605.1</v>
      </c>
      <c r="AG738" s="157" t="s">
        <v>15</v>
      </c>
      <c r="AH738" s="155">
        <v>8.8999999999999995E-4</v>
      </c>
      <c r="AI738" s="155">
        <f t="shared" si="11"/>
        <v>3.9668039541830794E-3</v>
      </c>
      <c r="AJ738" s="155">
        <v>3.3453700917944072E-4</v>
      </c>
    </row>
    <row r="739" spans="1:36" s="160" customFormat="1">
      <c r="A739" s="153" t="s">
        <v>1213</v>
      </c>
      <c r="B739" s="160">
        <v>35012</v>
      </c>
      <c r="C739" s="153" t="s">
        <v>2385</v>
      </c>
      <c r="D739" s="153" t="s">
        <v>2386</v>
      </c>
      <c r="E739" s="153" t="s">
        <v>309</v>
      </c>
      <c r="F739" s="153" t="s">
        <v>2539</v>
      </c>
      <c r="G739" s="153" t="s">
        <v>2540</v>
      </c>
      <c r="H739" s="153" t="s">
        <v>321</v>
      </c>
      <c r="I739" s="153" t="s">
        <v>951</v>
      </c>
      <c r="J739" s="153" t="s">
        <v>204</v>
      </c>
      <c r="K739" s="153" t="s">
        <v>204</v>
      </c>
      <c r="L739" s="153" t="s">
        <v>325</v>
      </c>
      <c r="M739" s="153" t="s">
        <v>340</v>
      </c>
      <c r="N739" s="153" t="s">
        <v>464</v>
      </c>
      <c r="O739" s="153" t="s">
        <v>339</v>
      </c>
      <c r="P739" s="153" t="s">
        <v>1211</v>
      </c>
      <c r="Q739" s="153" t="s">
        <v>415</v>
      </c>
      <c r="R739" s="153" t="s">
        <v>407</v>
      </c>
      <c r="S739" s="153" t="s">
        <v>1212</v>
      </c>
      <c r="T739" s="154">
        <v>0.25</v>
      </c>
      <c r="U739" s="153" t="s">
        <v>2541</v>
      </c>
      <c r="V739" s="155">
        <v>9.7999999999999997E-4</v>
      </c>
      <c r="W739" s="155">
        <v>4.5199999999999997E-2</v>
      </c>
      <c r="X739" s="153" t="s">
        <v>412</v>
      </c>
      <c r="Y739" s="153" t="s">
        <v>339</v>
      </c>
      <c r="Z739" s="154">
        <v>594099.5</v>
      </c>
      <c r="AA739" s="154">
        <v>1</v>
      </c>
      <c r="AB739" s="154">
        <v>99.71</v>
      </c>
      <c r="AD739" s="154">
        <v>592.37699999999995</v>
      </c>
      <c r="AG739" s="157" t="s">
        <v>15</v>
      </c>
      <c r="AH739" s="155">
        <v>5.7000000000000002E-3</v>
      </c>
      <c r="AI739" s="155">
        <f t="shared" si="11"/>
        <v>3.8833968368321104E-3</v>
      </c>
      <c r="AJ739" s="155">
        <v>3.2750294147527607E-4</v>
      </c>
    </row>
    <row r="740" spans="1:36" s="160" customFormat="1">
      <c r="A740" s="153" t="s">
        <v>1213</v>
      </c>
      <c r="B740" s="160">
        <v>35012</v>
      </c>
      <c r="C740" s="153" t="s">
        <v>1759</v>
      </c>
      <c r="D740" s="153" t="s">
        <v>1760</v>
      </c>
      <c r="E740" s="153" t="s">
        <v>309</v>
      </c>
      <c r="F740" s="153" t="s">
        <v>2819</v>
      </c>
      <c r="G740" s="153" t="s">
        <v>2820</v>
      </c>
      <c r="H740" s="153" t="s">
        <v>321</v>
      </c>
      <c r="I740" s="153" t="s">
        <v>754</v>
      </c>
      <c r="J740" s="153" t="s">
        <v>204</v>
      </c>
      <c r="K740" s="153" t="s">
        <v>204</v>
      </c>
      <c r="L740" s="153" t="s">
        <v>325</v>
      </c>
      <c r="M740" s="153" t="s">
        <v>340</v>
      </c>
      <c r="N740" s="153" t="s">
        <v>465</v>
      </c>
      <c r="O740" s="153" t="s">
        <v>339</v>
      </c>
      <c r="P740" s="153" t="s">
        <v>1614</v>
      </c>
      <c r="Q740" s="153" t="s">
        <v>415</v>
      </c>
      <c r="R740" s="153" t="s">
        <v>407</v>
      </c>
      <c r="S740" s="153" t="s">
        <v>1212</v>
      </c>
      <c r="T740" s="154">
        <v>0.74</v>
      </c>
      <c r="U740" s="153" t="s">
        <v>2821</v>
      </c>
      <c r="V740" s="155">
        <v>3.3579999999999999E-2</v>
      </c>
      <c r="W740" s="155">
        <v>2.7099999999999999E-2</v>
      </c>
      <c r="X740" s="153" t="s">
        <v>412</v>
      </c>
      <c r="Y740" s="153" t="s">
        <v>339</v>
      </c>
      <c r="Z740" s="154">
        <v>469665.2</v>
      </c>
      <c r="AA740" s="154">
        <v>1</v>
      </c>
      <c r="AB740" s="154">
        <v>118.92</v>
      </c>
      <c r="AD740" s="154">
        <v>558.52599999999995</v>
      </c>
      <c r="AG740" s="157" t="s">
        <v>15</v>
      </c>
      <c r="AH740" s="155">
        <v>3.2799999999999999E-3</v>
      </c>
      <c r="AI740" s="155">
        <f t="shared" si="11"/>
        <v>3.6614826397522037E-3</v>
      </c>
      <c r="AJ740" s="155">
        <v>3.0878799799860567E-4</v>
      </c>
    </row>
    <row r="741" spans="1:36" s="160" customFormat="1">
      <c r="A741" s="153" t="s">
        <v>1213</v>
      </c>
      <c r="B741" s="160">
        <v>35012</v>
      </c>
      <c r="C741" s="153" t="s">
        <v>2576</v>
      </c>
      <c r="D741" s="153" t="s">
        <v>2577</v>
      </c>
      <c r="E741" s="153" t="s">
        <v>309</v>
      </c>
      <c r="F741" s="153" t="s">
        <v>2578</v>
      </c>
      <c r="G741" s="153" t="s">
        <v>2579</v>
      </c>
      <c r="H741" s="153" t="s">
        <v>321</v>
      </c>
      <c r="I741" s="153" t="s">
        <v>755</v>
      </c>
      <c r="J741" s="153" t="s">
        <v>204</v>
      </c>
      <c r="K741" s="153" t="s">
        <v>204</v>
      </c>
      <c r="L741" s="153" t="s">
        <v>325</v>
      </c>
      <c r="M741" s="153" t="s">
        <v>340</v>
      </c>
      <c r="N741" s="153" t="s">
        <v>451</v>
      </c>
      <c r="O741" s="153" t="s">
        <v>339</v>
      </c>
      <c r="P741" s="153" t="s">
        <v>1521</v>
      </c>
      <c r="Q741" s="153" t="s">
        <v>413</v>
      </c>
      <c r="R741" s="153" t="s">
        <v>407</v>
      </c>
      <c r="S741" s="153" t="s">
        <v>1212</v>
      </c>
      <c r="T741" s="154">
        <v>1.48</v>
      </c>
      <c r="U741" s="153" t="s">
        <v>1522</v>
      </c>
      <c r="V741" s="155">
        <v>5.4469999999999998E-2</v>
      </c>
      <c r="W741" s="155">
        <v>7.0099999999999996E-2</v>
      </c>
      <c r="X741" s="153" t="s">
        <v>412</v>
      </c>
      <c r="Y741" s="153" t="s">
        <v>339</v>
      </c>
      <c r="Z741" s="154">
        <v>422523</v>
      </c>
      <c r="AA741" s="154">
        <v>1</v>
      </c>
      <c r="AB741" s="154">
        <v>105.21</v>
      </c>
      <c r="AD741" s="154">
        <v>444.536</v>
      </c>
      <c r="AG741" s="157" t="s">
        <v>15</v>
      </c>
      <c r="AH741" s="155">
        <v>3.9199999999999999E-3</v>
      </c>
      <c r="AI741" s="155">
        <f t="shared" si="11"/>
        <v>2.9142078376743173E-3</v>
      </c>
      <c r="AJ741" s="155">
        <v>2.4576721849709447E-4</v>
      </c>
    </row>
    <row r="742" spans="1:36" s="160" customFormat="1">
      <c r="A742" s="153" t="s">
        <v>1213</v>
      </c>
      <c r="B742" s="160">
        <v>35012</v>
      </c>
      <c r="C742" s="153" t="s">
        <v>2361</v>
      </c>
      <c r="D742" s="153" t="s">
        <v>2362</v>
      </c>
      <c r="E742" s="153" t="s">
        <v>309</v>
      </c>
      <c r="F742" s="153" t="s">
        <v>2363</v>
      </c>
      <c r="G742" s="153" t="s">
        <v>2364</v>
      </c>
      <c r="H742" s="153" t="s">
        <v>321</v>
      </c>
      <c r="I742" s="153" t="s">
        <v>951</v>
      </c>
      <c r="J742" s="153" t="s">
        <v>204</v>
      </c>
      <c r="K742" s="153" t="s">
        <v>204</v>
      </c>
      <c r="L742" s="153" t="s">
        <v>325</v>
      </c>
      <c r="M742" s="153" t="s">
        <v>340</v>
      </c>
      <c r="N742" s="153" t="s">
        <v>446</v>
      </c>
      <c r="O742" s="153" t="s">
        <v>339</v>
      </c>
      <c r="P742" s="153" t="s">
        <v>1538</v>
      </c>
      <c r="Q742" s="153" t="s">
        <v>413</v>
      </c>
      <c r="R742" s="153" t="s">
        <v>407</v>
      </c>
      <c r="S742" s="153" t="s">
        <v>1212</v>
      </c>
      <c r="T742" s="154">
        <v>2.62</v>
      </c>
      <c r="U742" s="153" t="s">
        <v>1587</v>
      </c>
      <c r="V742" s="155">
        <v>4.8869999999999997E-2</v>
      </c>
      <c r="W742" s="155">
        <v>5.2200000000000003E-2</v>
      </c>
      <c r="X742" s="153" t="s">
        <v>412</v>
      </c>
      <c r="Y742" s="153" t="s">
        <v>339</v>
      </c>
      <c r="Z742" s="154">
        <v>420957.14</v>
      </c>
      <c r="AA742" s="154">
        <v>1</v>
      </c>
      <c r="AB742" s="154">
        <v>90.15</v>
      </c>
      <c r="AD742" s="154">
        <v>379.49299999999999</v>
      </c>
      <c r="AG742" s="157" t="s">
        <v>15</v>
      </c>
      <c r="AH742" s="155">
        <v>4.4999999999999999E-4</v>
      </c>
      <c r="AI742" s="155">
        <f t="shared" si="11"/>
        <v>2.4878108295898187E-3</v>
      </c>
      <c r="AJ742" s="155">
        <v>2.0980739253765245E-4</v>
      </c>
    </row>
    <row r="743" spans="1:36" s="160" customFormat="1">
      <c r="A743" s="153" t="s">
        <v>1213</v>
      </c>
      <c r="B743" s="160">
        <v>35012</v>
      </c>
      <c r="C743" s="153" t="s">
        <v>2771</v>
      </c>
      <c r="D743" s="153" t="s">
        <v>2772</v>
      </c>
      <c r="E743" s="153" t="s">
        <v>309</v>
      </c>
      <c r="F743" s="153" t="s">
        <v>2822</v>
      </c>
      <c r="G743" s="153" t="s">
        <v>2823</v>
      </c>
      <c r="H743" s="153" t="s">
        <v>321</v>
      </c>
      <c r="I743" s="153" t="s">
        <v>951</v>
      </c>
      <c r="J743" s="153" t="s">
        <v>204</v>
      </c>
      <c r="K743" s="153" t="s">
        <v>204</v>
      </c>
      <c r="L743" s="153" t="s">
        <v>325</v>
      </c>
      <c r="M743" s="153" t="s">
        <v>340</v>
      </c>
      <c r="N743" s="153" t="s">
        <v>447</v>
      </c>
      <c r="O743" s="153" t="s">
        <v>339</v>
      </c>
      <c r="P743" s="153" t="s">
        <v>1614</v>
      </c>
      <c r="Q743" s="153" t="s">
        <v>415</v>
      </c>
      <c r="R743" s="153" t="s">
        <v>407</v>
      </c>
      <c r="S743" s="153" t="s">
        <v>1212</v>
      </c>
      <c r="T743" s="154">
        <v>1.36</v>
      </c>
      <c r="U743" s="153" t="s">
        <v>1659</v>
      </c>
      <c r="V743" s="155">
        <v>2.818E-2</v>
      </c>
      <c r="W743" s="155">
        <v>5.9299999999999999E-2</v>
      </c>
      <c r="X743" s="153" t="s">
        <v>412</v>
      </c>
      <c r="Y743" s="153" t="s">
        <v>339</v>
      </c>
      <c r="Z743" s="154">
        <v>363821.24</v>
      </c>
      <c r="AA743" s="154">
        <v>1</v>
      </c>
      <c r="AB743" s="154">
        <v>96.89</v>
      </c>
      <c r="AD743" s="154">
        <v>352.50599999999997</v>
      </c>
      <c r="AG743" s="157" t="s">
        <v>15</v>
      </c>
      <c r="AH743" s="155">
        <v>1.1800000000000001E-3</v>
      </c>
      <c r="AI743" s="155">
        <f t="shared" si="11"/>
        <v>2.3108943888171551E-3</v>
      </c>
      <c r="AJ743" s="155">
        <v>1.9488729624493129E-4</v>
      </c>
    </row>
    <row r="744" spans="1:36" s="160" customFormat="1">
      <c r="A744" s="153" t="s">
        <v>1213</v>
      </c>
      <c r="B744" s="160">
        <v>35012</v>
      </c>
      <c r="C744" s="153" t="s">
        <v>2298</v>
      </c>
      <c r="D744" s="153" t="s">
        <v>2299</v>
      </c>
      <c r="E744" s="153" t="s">
        <v>309</v>
      </c>
      <c r="F744" s="153" t="s">
        <v>2562</v>
      </c>
      <c r="G744" s="153" t="s">
        <v>2563</v>
      </c>
      <c r="H744" s="153" t="s">
        <v>321</v>
      </c>
      <c r="I744" s="153" t="s">
        <v>951</v>
      </c>
      <c r="J744" s="153" t="s">
        <v>204</v>
      </c>
      <c r="K744" s="153" t="s">
        <v>204</v>
      </c>
      <c r="L744" s="153" t="s">
        <v>325</v>
      </c>
      <c r="M744" s="153" t="s">
        <v>340</v>
      </c>
      <c r="N744" s="153" t="s">
        <v>462</v>
      </c>
      <c r="O744" s="153" t="s">
        <v>339</v>
      </c>
      <c r="P744" s="153" t="s">
        <v>1566</v>
      </c>
      <c r="Q744" s="153" t="s">
        <v>413</v>
      </c>
      <c r="R744" s="153" t="s">
        <v>407</v>
      </c>
      <c r="S744" s="153" t="s">
        <v>1212</v>
      </c>
      <c r="T744" s="154">
        <v>1.1499999999999999</v>
      </c>
      <c r="U744" s="153" t="s">
        <v>2232</v>
      </c>
      <c r="V744" s="155">
        <v>1.248E-2</v>
      </c>
      <c r="W744" s="155">
        <v>5.5399999999999998E-2</v>
      </c>
      <c r="X744" s="153" t="s">
        <v>412</v>
      </c>
      <c r="Y744" s="153" t="s">
        <v>339</v>
      </c>
      <c r="Z744" s="154">
        <v>330133.76000000001</v>
      </c>
      <c r="AA744" s="154">
        <v>1</v>
      </c>
      <c r="AB744" s="154">
        <v>97.21</v>
      </c>
      <c r="AD744" s="154">
        <v>320.923</v>
      </c>
      <c r="AG744" s="157" t="s">
        <v>15</v>
      </c>
      <c r="AH744" s="155">
        <v>1.83E-3</v>
      </c>
      <c r="AI744" s="155">
        <f t="shared" si="11"/>
        <v>2.1038483314961107E-3</v>
      </c>
      <c r="AJ744" s="155">
        <v>1.7742624458253785E-4</v>
      </c>
    </row>
    <row r="745" spans="1:36" s="160" customFormat="1">
      <c r="A745" s="153" t="s">
        <v>1213</v>
      </c>
      <c r="B745" s="160">
        <v>35012</v>
      </c>
      <c r="C745" s="153" t="s">
        <v>2780</v>
      </c>
      <c r="D745" s="153" t="s">
        <v>2781</v>
      </c>
      <c r="E745" s="153" t="s">
        <v>309</v>
      </c>
      <c r="F745" s="153" t="s">
        <v>2782</v>
      </c>
      <c r="G745" s="153" t="s">
        <v>2783</v>
      </c>
      <c r="H745" s="153" t="s">
        <v>321</v>
      </c>
      <c r="I745" s="153" t="s">
        <v>754</v>
      </c>
      <c r="J745" s="153" t="s">
        <v>204</v>
      </c>
      <c r="K745" s="153" t="s">
        <v>204</v>
      </c>
      <c r="L745" s="153" t="s">
        <v>325</v>
      </c>
      <c r="M745" s="153" t="s">
        <v>340</v>
      </c>
      <c r="N745" s="153" t="s">
        <v>464</v>
      </c>
      <c r="O745" s="153" t="s">
        <v>339</v>
      </c>
      <c r="P745" s="153" t="s">
        <v>1560</v>
      </c>
      <c r="Q745" s="153" t="s">
        <v>413</v>
      </c>
      <c r="R745" s="153" t="s">
        <v>407</v>
      </c>
      <c r="S745" s="153" t="s">
        <v>1212</v>
      </c>
      <c r="T745" s="154">
        <v>1.44</v>
      </c>
      <c r="U745" s="153" t="s">
        <v>1741</v>
      </c>
      <c r="V745" s="155">
        <v>3.1660000000000001E-2</v>
      </c>
      <c r="W745" s="155">
        <v>2.7900000000000001E-2</v>
      </c>
      <c r="X745" s="153" t="s">
        <v>412</v>
      </c>
      <c r="Y745" s="153" t="s">
        <v>339</v>
      </c>
      <c r="Z745" s="154">
        <v>249360.93</v>
      </c>
      <c r="AA745" s="154">
        <v>1</v>
      </c>
      <c r="AB745" s="154">
        <v>118.52</v>
      </c>
      <c r="AD745" s="154">
        <v>295.54300000000001</v>
      </c>
      <c r="AG745" s="157" t="s">
        <v>15</v>
      </c>
      <c r="AH745" s="155">
        <v>7.1000000000000002E-4</v>
      </c>
      <c r="AI745" s="155">
        <f t="shared" si="11"/>
        <v>1.9374667675278962E-3</v>
      </c>
      <c r="AJ745" s="155">
        <v>1.6339459808943887E-4</v>
      </c>
    </row>
    <row r="746" spans="1:36" s="160" customFormat="1">
      <c r="A746" s="153" t="s">
        <v>1213</v>
      </c>
      <c r="B746" s="160">
        <v>35012</v>
      </c>
      <c r="C746" s="153" t="s">
        <v>2824</v>
      </c>
      <c r="D746" s="153" t="s">
        <v>2825</v>
      </c>
      <c r="E746" s="153" t="s">
        <v>309</v>
      </c>
      <c r="F746" s="153" t="s">
        <v>2826</v>
      </c>
      <c r="G746" s="153" t="s">
        <v>2827</v>
      </c>
      <c r="H746" s="153" t="s">
        <v>321</v>
      </c>
      <c r="I746" s="153" t="s">
        <v>951</v>
      </c>
      <c r="J746" s="153" t="s">
        <v>204</v>
      </c>
      <c r="K746" s="153" t="s">
        <v>204</v>
      </c>
      <c r="L746" s="153" t="s">
        <v>325</v>
      </c>
      <c r="M746" s="153" t="s">
        <v>340</v>
      </c>
      <c r="N746" s="153" t="s">
        <v>463</v>
      </c>
      <c r="O746" s="153" t="s">
        <v>339</v>
      </c>
      <c r="P746" s="153" t="s">
        <v>1521</v>
      </c>
      <c r="Q746" s="153" t="s">
        <v>413</v>
      </c>
      <c r="R746" s="153" t="s">
        <v>407</v>
      </c>
      <c r="S746" s="153" t="s">
        <v>1212</v>
      </c>
      <c r="T746" s="154">
        <v>5.46</v>
      </c>
      <c r="U746" s="153" t="s">
        <v>2828</v>
      </c>
      <c r="V746" s="155">
        <v>2.24E-2</v>
      </c>
      <c r="W746" s="155">
        <v>6.0199999999999997E-2</v>
      </c>
      <c r="X746" s="153" t="s">
        <v>412</v>
      </c>
      <c r="Y746" s="153" t="s">
        <v>339</v>
      </c>
      <c r="Z746" s="154">
        <v>358673</v>
      </c>
      <c r="AA746" s="154">
        <v>1</v>
      </c>
      <c r="AB746" s="154">
        <v>82.39</v>
      </c>
      <c r="AD746" s="154">
        <v>295.51100000000002</v>
      </c>
      <c r="AG746" s="157" t="s">
        <v>15</v>
      </c>
      <c r="AH746" s="155">
        <v>3.6000000000000002E-4</v>
      </c>
      <c r="AI746" s="155">
        <f t="shared" si="11"/>
        <v>1.9372569877782121E-3</v>
      </c>
      <c r="AJ746" s="155">
        <v>1.6337690649417569E-4</v>
      </c>
    </row>
    <row r="747" spans="1:36" s="160" customFormat="1">
      <c r="A747" s="153" t="s">
        <v>1213</v>
      </c>
      <c r="B747" s="160">
        <v>35012</v>
      </c>
      <c r="C747" s="153" t="s">
        <v>2336</v>
      </c>
      <c r="D747" s="153" t="s">
        <v>2337</v>
      </c>
      <c r="E747" s="153" t="s">
        <v>309</v>
      </c>
      <c r="F747" s="153" t="s">
        <v>2796</v>
      </c>
      <c r="G747" s="153" t="s">
        <v>2797</v>
      </c>
      <c r="H747" s="153" t="s">
        <v>321</v>
      </c>
      <c r="I747" s="153" t="s">
        <v>754</v>
      </c>
      <c r="J747" s="153" t="s">
        <v>204</v>
      </c>
      <c r="K747" s="153" t="s">
        <v>204</v>
      </c>
      <c r="L747" s="153" t="s">
        <v>325</v>
      </c>
      <c r="M747" s="153" t="s">
        <v>340</v>
      </c>
      <c r="N747" s="153" t="s">
        <v>464</v>
      </c>
      <c r="O747" s="153" t="s">
        <v>339</v>
      </c>
      <c r="P747" s="153" t="s">
        <v>1982</v>
      </c>
      <c r="Q747" s="153" t="s">
        <v>415</v>
      </c>
      <c r="R747" s="153" t="s">
        <v>407</v>
      </c>
      <c r="S747" s="153" t="s">
        <v>1212</v>
      </c>
      <c r="T747" s="154">
        <v>2.91</v>
      </c>
      <c r="U747" s="153" t="s">
        <v>2798</v>
      </c>
      <c r="V747" s="155">
        <v>6.3099999999999996E-3</v>
      </c>
      <c r="W747" s="155">
        <v>2.76E-2</v>
      </c>
      <c r="X747" s="153" t="s">
        <v>412</v>
      </c>
      <c r="Y747" s="153" t="s">
        <v>339</v>
      </c>
      <c r="Z747" s="154">
        <v>170926</v>
      </c>
      <c r="AA747" s="154">
        <v>1</v>
      </c>
      <c r="AB747" s="154">
        <v>114.46</v>
      </c>
      <c r="AD747" s="154">
        <v>195.642</v>
      </c>
      <c r="AG747" s="157" t="s">
        <v>15</v>
      </c>
      <c r="AH747" s="155">
        <v>1.4999999999999999E-4</v>
      </c>
      <c r="AI747" s="155">
        <f t="shared" si="11"/>
        <v>1.282554055865619E-3</v>
      </c>
      <c r="AJ747" s="155">
        <v>1.0816309626488868E-4</v>
      </c>
    </row>
    <row r="748" spans="1:36" s="160" customFormat="1">
      <c r="A748" s="153" t="s">
        <v>1213</v>
      </c>
      <c r="B748" s="160">
        <v>35012</v>
      </c>
      <c r="C748" s="153" t="s">
        <v>1973</v>
      </c>
      <c r="D748" s="153" t="s">
        <v>1974</v>
      </c>
      <c r="E748" s="153" t="s">
        <v>309</v>
      </c>
      <c r="F748" s="153" t="s">
        <v>2004</v>
      </c>
      <c r="G748" s="153" t="s">
        <v>2005</v>
      </c>
      <c r="H748" s="153" t="s">
        <v>321</v>
      </c>
      <c r="I748" s="153" t="s">
        <v>754</v>
      </c>
      <c r="J748" s="153" t="s">
        <v>204</v>
      </c>
      <c r="K748" s="153" t="s">
        <v>204</v>
      </c>
      <c r="L748" s="153" t="s">
        <v>325</v>
      </c>
      <c r="M748" s="153" t="s">
        <v>340</v>
      </c>
      <c r="N748" s="153" t="s">
        <v>464</v>
      </c>
      <c r="O748" s="153" t="s">
        <v>339</v>
      </c>
      <c r="P748" s="153" t="s">
        <v>1538</v>
      </c>
      <c r="Q748" s="153" t="s">
        <v>413</v>
      </c>
      <c r="R748" s="153" t="s">
        <v>407</v>
      </c>
      <c r="S748" s="153" t="s">
        <v>1212</v>
      </c>
      <c r="T748" s="154">
        <v>3.44</v>
      </c>
      <c r="U748" s="153" t="s">
        <v>1913</v>
      </c>
      <c r="V748" s="155">
        <v>4.4319999999999998E-2</v>
      </c>
      <c r="W748" s="155">
        <v>2.93E-2</v>
      </c>
      <c r="X748" s="153" t="s">
        <v>412</v>
      </c>
      <c r="Y748" s="153" t="s">
        <v>339</v>
      </c>
      <c r="Z748" s="154">
        <v>91094.25</v>
      </c>
      <c r="AA748" s="154">
        <v>1</v>
      </c>
      <c r="AB748" s="154">
        <v>117.13</v>
      </c>
      <c r="AD748" s="154">
        <v>106.699</v>
      </c>
      <c r="AG748" s="157" t="s">
        <v>15</v>
      </c>
      <c r="AH748" s="155">
        <v>6.9999999999999994E-5</v>
      </c>
      <c r="AI748" s="155">
        <f t="shared" si="11"/>
        <v>6.9947779723579637E-4</v>
      </c>
      <c r="AJ748" s="155">
        <v>5.8989860093269122E-5</v>
      </c>
    </row>
    <row r="749" spans="1:36" s="160" customFormat="1">
      <c r="A749" s="153" t="s">
        <v>1213</v>
      </c>
      <c r="B749" s="160">
        <v>35012</v>
      </c>
      <c r="C749" s="153" t="s">
        <v>1917</v>
      </c>
      <c r="D749" s="153" t="s">
        <v>1918</v>
      </c>
      <c r="E749" s="153" t="s">
        <v>309</v>
      </c>
      <c r="F749" s="153" t="s">
        <v>2799</v>
      </c>
      <c r="G749" s="153" t="s">
        <v>2800</v>
      </c>
      <c r="H749" s="153" t="s">
        <v>321</v>
      </c>
      <c r="I749" s="153" t="s">
        <v>951</v>
      </c>
      <c r="J749" s="153" t="s">
        <v>204</v>
      </c>
      <c r="K749" s="153" t="s">
        <v>204</v>
      </c>
      <c r="L749" s="153" t="s">
        <v>325</v>
      </c>
      <c r="M749" s="153" t="s">
        <v>340</v>
      </c>
      <c r="N749" s="153" t="s">
        <v>447</v>
      </c>
      <c r="O749" s="153" t="s">
        <v>339</v>
      </c>
      <c r="P749" s="153" t="s">
        <v>1560</v>
      </c>
      <c r="Q749" s="153" t="s">
        <v>413</v>
      </c>
      <c r="R749" s="153" t="s">
        <v>407</v>
      </c>
      <c r="S749" s="153" t="s">
        <v>1212</v>
      </c>
      <c r="T749" s="154">
        <v>0.6</v>
      </c>
      <c r="U749" s="153" t="s">
        <v>2801</v>
      </c>
      <c r="V749" s="155">
        <v>4.156E-2</v>
      </c>
      <c r="W749" s="155">
        <v>6.13E-2</v>
      </c>
      <c r="X749" s="153" t="s">
        <v>412</v>
      </c>
      <c r="Y749" s="153" t="s">
        <v>339</v>
      </c>
      <c r="Z749" s="154">
        <v>66915.5</v>
      </c>
      <c r="AA749" s="154">
        <v>1</v>
      </c>
      <c r="AB749" s="154">
        <v>100.56</v>
      </c>
      <c r="AD749" s="154">
        <v>67.290000000000006</v>
      </c>
      <c r="AG749" s="157" t="s">
        <v>15</v>
      </c>
      <c r="AH749" s="155">
        <v>5.5000000000000003E-4</v>
      </c>
      <c r="AI749" s="155">
        <f t="shared" si="11"/>
        <v>4.4112747988263009E-4</v>
      </c>
      <c r="AJ749" s="155">
        <v>3.72021076643275E-5</v>
      </c>
    </row>
    <row r="750" spans="1:36" s="160" customFormat="1">
      <c r="A750" s="153" t="s">
        <v>1213</v>
      </c>
      <c r="B750" s="160">
        <v>35012</v>
      </c>
      <c r="C750" s="153" t="s">
        <v>1986</v>
      </c>
      <c r="D750" s="153" t="s">
        <v>1987</v>
      </c>
      <c r="E750" s="153" t="s">
        <v>309</v>
      </c>
      <c r="F750" s="153" t="s">
        <v>2504</v>
      </c>
      <c r="G750" s="153" t="s">
        <v>2505</v>
      </c>
      <c r="H750" s="153" t="s">
        <v>321</v>
      </c>
      <c r="I750" s="153" t="s">
        <v>951</v>
      </c>
      <c r="J750" s="153" t="s">
        <v>204</v>
      </c>
      <c r="K750" s="153" t="s">
        <v>204</v>
      </c>
      <c r="L750" s="153" t="s">
        <v>325</v>
      </c>
      <c r="M750" s="153" t="s">
        <v>340</v>
      </c>
      <c r="N750" s="153" t="s">
        <v>484</v>
      </c>
      <c r="O750" s="153" t="s">
        <v>339</v>
      </c>
      <c r="P750" s="153" t="s">
        <v>1538</v>
      </c>
      <c r="Q750" s="153" t="s">
        <v>413</v>
      </c>
      <c r="R750" s="153" t="s">
        <v>407</v>
      </c>
      <c r="S750" s="153" t="s">
        <v>1212</v>
      </c>
      <c r="T750" s="154">
        <v>0.65</v>
      </c>
      <c r="U750" s="153" t="s">
        <v>2372</v>
      </c>
      <c r="V750" s="155">
        <v>3.066E-2</v>
      </c>
      <c r="W750" s="155">
        <v>5.0500000000000003E-2</v>
      </c>
      <c r="X750" s="153" t="s">
        <v>412</v>
      </c>
      <c r="Y750" s="153" t="s">
        <v>339</v>
      </c>
      <c r="Z750" s="154">
        <v>21742.81</v>
      </c>
      <c r="AA750" s="154">
        <v>1</v>
      </c>
      <c r="AB750" s="154">
        <v>100.35</v>
      </c>
      <c r="AD750" s="154">
        <v>21.818999999999999</v>
      </c>
      <c r="AG750" s="157" t="s">
        <v>15</v>
      </c>
      <c r="AH750" s="155">
        <v>2.0000000000000002E-5</v>
      </c>
      <c r="AI750" s="155">
        <f t="shared" si="11"/>
        <v>1.4303701119867891E-4</v>
      </c>
      <c r="AJ750" s="155">
        <v>1.2062903657719744E-5</v>
      </c>
    </row>
    <row r="751" spans="1:36" s="160" customFormat="1">
      <c r="A751" s="153" t="s">
        <v>1213</v>
      </c>
      <c r="B751" s="160">
        <v>35012</v>
      </c>
      <c r="C751" s="153" t="s">
        <v>2775</v>
      </c>
      <c r="D751" s="153" t="s">
        <v>2776</v>
      </c>
      <c r="E751" s="153" t="s">
        <v>80</v>
      </c>
      <c r="F751" s="153" t="s">
        <v>2777</v>
      </c>
      <c r="G751" s="153" t="s">
        <v>2778</v>
      </c>
      <c r="H751" s="153" t="s">
        <v>321</v>
      </c>
      <c r="I751" s="153" t="s">
        <v>755</v>
      </c>
      <c r="J751" s="153" t="s">
        <v>205</v>
      </c>
      <c r="K751" s="153" t="s">
        <v>224</v>
      </c>
      <c r="L751" s="153" t="s">
        <v>325</v>
      </c>
      <c r="M751" s="153" t="s">
        <v>314</v>
      </c>
      <c r="N751" s="153" t="s">
        <v>546</v>
      </c>
      <c r="O751" s="153" t="s">
        <v>339</v>
      </c>
      <c r="P751" s="153" t="s">
        <v>2779</v>
      </c>
      <c r="Q751" s="153" t="s">
        <v>433</v>
      </c>
      <c r="R751" s="153" t="s">
        <v>407</v>
      </c>
      <c r="S751" s="153" t="s">
        <v>1216</v>
      </c>
      <c r="T751" s="154">
        <v>2.9239999999999999</v>
      </c>
      <c r="U751" s="153" t="s">
        <v>1488</v>
      </c>
      <c r="V751" s="155">
        <v>5.373E-2</v>
      </c>
      <c r="W751" s="155">
        <v>4.6559999999999997E-2</v>
      </c>
      <c r="X751" s="153" t="s">
        <v>412</v>
      </c>
      <c r="Y751" s="153" t="s">
        <v>339</v>
      </c>
      <c r="Z751" s="154">
        <v>1006000</v>
      </c>
      <c r="AA751" s="154">
        <v>3.71</v>
      </c>
      <c r="AB751" s="154">
        <f>(AD751-(AC751*AA751))*1000/AA751/Z751*100</f>
        <v>106.40070627448249</v>
      </c>
      <c r="AD751" s="154">
        <v>3971.1509999999998</v>
      </c>
      <c r="AG751" s="157" t="s">
        <v>15</v>
      </c>
      <c r="AH751" s="155">
        <v>1.01E-3</v>
      </c>
      <c r="AI751" s="155">
        <f t="shared" si="11"/>
        <v>2.6033345710557081E-2</v>
      </c>
      <c r="AJ751" s="155">
        <v>2.1954998819037268E-3</v>
      </c>
    </row>
    <row r="752" spans="1:36" s="160" customFormat="1">
      <c r="A752" s="153" t="s">
        <v>1213</v>
      </c>
      <c r="B752" s="160">
        <v>35012</v>
      </c>
      <c r="C752" s="153" t="s">
        <v>2829</v>
      </c>
      <c r="D752" s="153" t="s">
        <v>2830</v>
      </c>
      <c r="E752" s="153" t="s">
        <v>80</v>
      </c>
      <c r="F752" s="153" t="s">
        <v>2831</v>
      </c>
      <c r="G752" s="153" t="s">
        <v>2832</v>
      </c>
      <c r="H752" s="153" t="s">
        <v>321</v>
      </c>
      <c r="I752" s="153" t="s">
        <v>755</v>
      </c>
      <c r="J752" s="153" t="s">
        <v>205</v>
      </c>
      <c r="K752" s="153" t="s">
        <v>245</v>
      </c>
      <c r="L752" s="153" t="s">
        <v>325</v>
      </c>
      <c r="M752" s="153" t="s">
        <v>314</v>
      </c>
      <c r="N752" s="153" t="s">
        <v>491</v>
      </c>
      <c r="O752" s="153" t="s">
        <v>339</v>
      </c>
      <c r="P752" s="153" t="s">
        <v>2833</v>
      </c>
      <c r="Q752" s="153" t="s">
        <v>433</v>
      </c>
      <c r="R752" s="153" t="s">
        <v>407</v>
      </c>
      <c r="S752" s="153" t="s">
        <v>1216</v>
      </c>
      <c r="T752" s="154">
        <v>4.0339999999999998</v>
      </c>
      <c r="U752" s="153" t="s">
        <v>2834</v>
      </c>
      <c r="V752" s="155">
        <v>3.3059999999999999E-2</v>
      </c>
      <c r="W752" s="155">
        <v>5.1709999999999999E-2</v>
      </c>
      <c r="X752" s="153" t="s">
        <v>412</v>
      </c>
      <c r="Y752" s="153" t="s">
        <v>339</v>
      </c>
      <c r="Z752" s="154">
        <v>722000</v>
      </c>
      <c r="AA752" s="154">
        <v>3.71</v>
      </c>
      <c r="AB752" s="154">
        <v>95.608999999999995</v>
      </c>
      <c r="AD752" s="154">
        <v>2561.002</v>
      </c>
      <c r="AG752" s="157" t="s">
        <v>15</v>
      </c>
      <c r="AH752" s="155">
        <v>1.4400000000000001E-3</v>
      </c>
      <c r="AI752" s="155">
        <f t="shared" si="11"/>
        <v>1.6788948703141258E-2</v>
      </c>
      <c r="AJ752" s="155">
        <v>1.4158815891300051E-3</v>
      </c>
    </row>
    <row r="753" spans="1:36" s="160" customFormat="1">
      <c r="A753" s="153" t="s">
        <v>1213</v>
      </c>
      <c r="B753" s="160">
        <v>57</v>
      </c>
      <c r="C753" s="153" t="s">
        <v>2373</v>
      </c>
      <c r="D753" s="153" t="s">
        <v>2374</v>
      </c>
      <c r="E753" s="153" t="s">
        <v>309</v>
      </c>
      <c r="F753" s="153" t="s">
        <v>2375</v>
      </c>
      <c r="G753" s="153" t="s">
        <v>2376</v>
      </c>
      <c r="H753" s="153" t="s">
        <v>321</v>
      </c>
      <c r="I753" s="153" t="s">
        <v>755</v>
      </c>
      <c r="J753" s="153" t="s">
        <v>204</v>
      </c>
      <c r="K753" s="153" t="s">
        <v>204</v>
      </c>
      <c r="L753" s="153" t="s">
        <v>325</v>
      </c>
      <c r="M753" s="153" t="s">
        <v>340</v>
      </c>
      <c r="N753" s="153" t="s">
        <v>454</v>
      </c>
      <c r="O753" s="153" t="s">
        <v>339</v>
      </c>
      <c r="P753" s="153" t="s">
        <v>1544</v>
      </c>
      <c r="Q753" s="153" t="s">
        <v>415</v>
      </c>
      <c r="R753" s="153" t="s">
        <v>407</v>
      </c>
      <c r="S753" s="153" t="s">
        <v>1212</v>
      </c>
      <c r="T753" s="154">
        <v>2.97</v>
      </c>
      <c r="U753" s="153" t="s">
        <v>2377</v>
      </c>
      <c r="V753" s="155">
        <v>4.3729999999999998E-2</v>
      </c>
      <c r="W753" s="155">
        <v>7.6100000000000001E-2</v>
      </c>
      <c r="X753" s="153" t="s">
        <v>412</v>
      </c>
      <c r="Y753" s="153" t="s">
        <v>339</v>
      </c>
      <c r="Z753" s="154">
        <v>1435453.12</v>
      </c>
      <c r="AA753" s="154">
        <v>1</v>
      </c>
      <c r="AB753" s="154">
        <v>97.95</v>
      </c>
      <c r="AD753" s="154">
        <v>1406.0260000000001</v>
      </c>
      <c r="AG753" s="157" t="s">
        <v>15</v>
      </c>
      <c r="AH753" s="155">
        <v>1.06E-3</v>
      </c>
      <c r="AI753" s="155">
        <f t="shared" si="11"/>
        <v>9.8792553877307676E-2</v>
      </c>
      <c r="AJ753" s="155">
        <v>3.7069869671855367E-3</v>
      </c>
    </row>
    <row r="754" spans="1:36" s="160" customFormat="1">
      <c r="A754" s="153" t="s">
        <v>1213</v>
      </c>
      <c r="B754" s="160">
        <v>57</v>
      </c>
      <c r="C754" s="153" t="s">
        <v>2741</v>
      </c>
      <c r="D754" s="153" t="s">
        <v>2742</v>
      </c>
      <c r="E754" s="153" t="s">
        <v>309</v>
      </c>
      <c r="F754" s="153" t="s">
        <v>2743</v>
      </c>
      <c r="G754" s="153" t="s">
        <v>2744</v>
      </c>
      <c r="H754" s="153" t="s">
        <v>321</v>
      </c>
      <c r="I754" s="153" t="s">
        <v>754</v>
      </c>
      <c r="J754" s="153" t="s">
        <v>204</v>
      </c>
      <c r="K754" s="153" t="s">
        <v>204</v>
      </c>
      <c r="L754" s="153" t="s">
        <v>325</v>
      </c>
      <c r="M754" s="153" t="s">
        <v>340</v>
      </c>
      <c r="N754" s="153" t="s">
        <v>464</v>
      </c>
      <c r="O754" s="153" t="s">
        <v>339</v>
      </c>
      <c r="P754" s="153" t="s">
        <v>1544</v>
      </c>
      <c r="Q754" s="153" t="s">
        <v>415</v>
      </c>
      <c r="R754" s="153" t="s">
        <v>407</v>
      </c>
      <c r="S754" s="153" t="s">
        <v>1212</v>
      </c>
      <c r="T754" s="154">
        <v>6.4</v>
      </c>
      <c r="U754" s="153" t="s">
        <v>2745</v>
      </c>
      <c r="V754" s="155">
        <v>1.0999999999999999E-2</v>
      </c>
      <c r="W754" s="155">
        <v>3.6600000000000001E-2</v>
      </c>
      <c r="X754" s="153" t="s">
        <v>412</v>
      </c>
      <c r="Y754" s="153" t="s">
        <v>339</v>
      </c>
      <c r="Z754" s="154">
        <v>1217729.04</v>
      </c>
      <c r="AA754" s="154">
        <v>1</v>
      </c>
      <c r="AB754" s="154">
        <v>91</v>
      </c>
      <c r="AD754" s="154">
        <v>1108.133</v>
      </c>
      <c r="AG754" s="157" t="s">
        <v>15</v>
      </c>
      <c r="AH754" s="155">
        <v>5.5399999999999998E-3</v>
      </c>
      <c r="AI754" s="155">
        <f t="shared" si="11"/>
        <v>7.786149694651634E-2</v>
      </c>
      <c r="AJ754" s="155">
        <v>2.9215921959538519E-3</v>
      </c>
    </row>
    <row r="755" spans="1:36" s="160" customFormat="1">
      <c r="A755" s="153" t="s">
        <v>1213</v>
      </c>
      <c r="B755" s="160">
        <v>57</v>
      </c>
      <c r="C755" s="153" t="s">
        <v>1512</v>
      </c>
      <c r="D755" s="153" t="s">
        <v>1513</v>
      </c>
      <c r="E755" s="153" t="s">
        <v>309</v>
      </c>
      <c r="F755" s="153" t="s">
        <v>1898</v>
      </c>
      <c r="G755" s="153" t="s">
        <v>1899</v>
      </c>
      <c r="H755" s="153" t="s">
        <v>321</v>
      </c>
      <c r="I755" s="153" t="s">
        <v>754</v>
      </c>
      <c r="J755" s="153" t="s">
        <v>204</v>
      </c>
      <c r="K755" s="153" t="s">
        <v>204</v>
      </c>
      <c r="L755" s="153" t="s">
        <v>325</v>
      </c>
      <c r="M755" s="153" t="s">
        <v>340</v>
      </c>
      <c r="N755" s="153" t="s">
        <v>448</v>
      </c>
      <c r="O755" s="153" t="s">
        <v>339</v>
      </c>
      <c r="P755" s="153" t="s">
        <v>1215</v>
      </c>
      <c r="Q755" s="153" t="s">
        <v>413</v>
      </c>
      <c r="R755" s="153" t="s">
        <v>407</v>
      </c>
      <c r="S755" s="153" t="s">
        <v>1212</v>
      </c>
      <c r="T755" s="154">
        <v>3.43</v>
      </c>
      <c r="U755" s="153" t="s">
        <v>1900</v>
      </c>
      <c r="V755" s="155">
        <v>1.3390000000000001E-2</v>
      </c>
      <c r="W755" s="155">
        <v>2.4799999999999999E-2</v>
      </c>
      <c r="X755" s="153" t="s">
        <v>412</v>
      </c>
      <c r="Y755" s="153" t="s">
        <v>339</v>
      </c>
      <c r="Z755" s="154">
        <v>1030236.31</v>
      </c>
      <c r="AA755" s="154">
        <v>1</v>
      </c>
      <c r="AB755" s="154">
        <v>102.63</v>
      </c>
      <c r="AD755" s="154">
        <v>1057.3320000000001</v>
      </c>
      <c r="AG755" s="157" t="s">
        <v>15</v>
      </c>
      <c r="AH755" s="155">
        <v>4.0000000000000002E-4</v>
      </c>
      <c r="AI755" s="155">
        <f t="shared" si="11"/>
        <v>7.4292031993861765E-2</v>
      </c>
      <c r="AJ755" s="155">
        <v>2.7876553804753383E-3</v>
      </c>
    </row>
    <row r="756" spans="1:36" s="160" customFormat="1">
      <c r="A756" s="153" t="s">
        <v>1213</v>
      </c>
      <c r="B756" s="160">
        <v>57</v>
      </c>
      <c r="C756" s="153" t="s">
        <v>2373</v>
      </c>
      <c r="D756" s="153" t="s">
        <v>2374</v>
      </c>
      <c r="E756" s="153" t="s">
        <v>309</v>
      </c>
      <c r="F756" s="153" t="s">
        <v>2621</v>
      </c>
      <c r="G756" s="153" t="s">
        <v>2622</v>
      </c>
      <c r="H756" s="153" t="s">
        <v>321</v>
      </c>
      <c r="I756" s="153" t="s">
        <v>755</v>
      </c>
      <c r="J756" s="153" t="s">
        <v>204</v>
      </c>
      <c r="K756" s="153" t="s">
        <v>204</v>
      </c>
      <c r="L756" s="153" t="s">
        <v>325</v>
      </c>
      <c r="M756" s="153" t="s">
        <v>340</v>
      </c>
      <c r="N756" s="153" t="s">
        <v>454</v>
      </c>
      <c r="O756" s="153" t="s">
        <v>339</v>
      </c>
      <c r="P756" s="153" t="s">
        <v>1544</v>
      </c>
      <c r="Q756" s="153" t="s">
        <v>415</v>
      </c>
      <c r="R756" s="153" t="s">
        <v>407</v>
      </c>
      <c r="S756" s="153" t="s">
        <v>1212</v>
      </c>
      <c r="T756" s="154">
        <v>3.13</v>
      </c>
      <c r="U756" s="153" t="s">
        <v>2377</v>
      </c>
      <c r="V756" s="155">
        <v>5.0500000000000003E-2</v>
      </c>
      <c r="W756" s="155">
        <v>7.5300000000000006E-2</v>
      </c>
      <c r="X756" s="153" t="s">
        <v>412</v>
      </c>
      <c r="Y756" s="153" t="s">
        <v>339</v>
      </c>
      <c r="Z756" s="154">
        <v>955689.23</v>
      </c>
      <c r="AA756" s="154">
        <v>1</v>
      </c>
      <c r="AB756" s="154">
        <v>99.56</v>
      </c>
      <c r="AD756" s="154">
        <v>951.48400000000004</v>
      </c>
      <c r="AG756" s="157" t="s">
        <v>15</v>
      </c>
      <c r="AH756" s="155">
        <v>8.3000000000000001E-4</v>
      </c>
      <c r="AI756" s="155">
        <f t="shared" si="11"/>
        <v>6.6854762524587885E-2</v>
      </c>
      <c r="AJ756" s="155">
        <v>2.5085871722753087E-3</v>
      </c>
    </row>
    <row r="757" spans="1:36" s="160" customFormat="1">
      <c r="A757" s="153" t="s">
        <v>1213</v>
      </c>
      <c r="B757" s="160">
        <v>57</v>
      </c>
      <c r="C757" s="153" t="s">
        <v>1769</v>
      </c>
      <c r="D757" s="153" t="s">
        <v>1770</v>
      </c>
      <c r="E757" s="153" t="s">
        <v>309</v>
      </c>
      <c r="F757" s="153" t="s">
        <v>1771</v>
      </c>
      <c r="G757" s="153" t="s">
        <v>1772</v>
      </c>
      <c r="H757" s="153" t="s">
        <v>321</v>
      </c>
      <c r="I757" s="153" t="s">
        <v>754</v>
      </c>
      <c r="J757" s="153" t="s">
        <v>204</v>
      </c>
      <c r="K757" s="153" t="s">
        <v>204</v>
      </c>
      <c r="L757" s="153" t="s">
        <v>325</v>
      </c>
      <c r="M757" s="153" t="s">
        <v>340</v>
      </c>
      <c r="N757" s="153" t="s">
        <v>464</v>
      </c>
      <c r="O757" s="153" t="s">
        <v>339</v>
      </c>
      <c r="P757" s="153" t="s">
        <v>1560</v>
      </c>
      <c r="Q757" s="153" t="s">
        <v>413</v>
      </c>
      <c r="R757" s="153" t="s">
        <v>407</v>
      </c>
      <c r="S757" s="153" t="s">
        <v>1212</v>
      </c>
      <c r="T757" s="154">
        <v>4.05</v>
      </c>
      <c r="U757" s="153" t="s">
        <v>1587</v>
      </c>
      <c r="V757" s="155">
        <v>3.5409999999999997E-2</v>
      </c>
      <c r="W757" s="155">
        <v>3.9E-2</v>
      </c>
      <c r="X757" s="153" t="s">
        <v>412</v>
      </c>
      <c r="Y757" s="153" t="s">
        <v>339</v>
      </c>
      <c r="Z757" s="154">
        <v>715295</v>
      </c>
      <c r="AA757" s="154">
        <v>1</v>
      </c>
      <c r="AB757" s="154">
        <v>106.27</v>
      </c>
      <c r="AD757" s="154">
        <v>760.14400000000001</v>
      </c>
      <c r="AG757" s="157" t="s">
        <v>15</v>
      </c>
      <c r="AH757" s="155">
        <v>4.2000000000000002E-4</v>
      </c>
      <c r="AI757" s="155">
        <f t="shared" si="11"/>
        <v>5.3410510953931269E-2</v>
      </c>
      <c r="AJ757" s="155">
        <v>2.004119341451924E-3</v>
      </c>
    </row>
    <row r="758" spans="1:36" s="160" customFormat="1">
      <c r="A758" s="153" t="s">
        <v>1213</v>
      </c>
      <c r="B758" s="160">
        <v>57</v>
      </c>
      <c r="C758" s="153" t="s">
        <v>2428</v>
      </c>
      <c r="D758" s="153" t="s">
        <v>2429</v>
      </c>
      <c r="E758" s="153" t="s">
        <v>309</v>
      </c>
      <c r="F758" s="153" t="s">
        <v>2430</v>
      </c>
      <c r="G758" s="153" t="s">
        <v>2431</v>
      </c>
      <c r="H758" s="153" t="s">
        <v>321</v>
      </c>
      <c r="I758" s="153" t="s">
        <v>755</v>
      </c>
      <c r="J758" s="153" t="s">
        <v>204</v>
      </c>
      <c r="K758" s="153" t="s">
        <v>204</v>
      </c>
      <c r="L758" s="153" t="s">
        <v>325</v>
      </c>
      <c r="M758" s="153" t="s">
        <v>340</v>
      </c>
      <c r="N758" s="153" t="s">
        <v>454</v>
      </c>
      <c r="O758" s="153" t="s">
        <v>339</v>
      </c>
      <c r="P758" s="153" t="s">
        <v>1538</v>
      </c>
      <c r="Q758" s="153" t="s">
        <v>413</v>
      </c>
      <c r="R758" s="153" t="s">
        <v>407</v>
      </c>
      <c r="S758" s="153" t="s">
        <v>1212</v>
      </c>
      <c r="T758" s="154">
        <v>0.5</v>
      </c>
      <c r="U758" s="153" t="s">
        <v>2432</v>
      </c>
      <c r="V758" s="155">
        <v>4.6679999999999999E-2</v>
      </c>
      <c r="W758" s="155">
        <v>8.8599999999999998E-2</v>
      </c>
      <c r="X758" s="153" t="s">
        <v>412</v>
      </c>
      <c r="Y758" s="153" t="s">
        <v>339</v>
      </c>
      <c r="Z758" s="154">
        <v>738684.97</v>
      </c>
      <c r="AA758" s="154">
        <v>1</v>
      </c>
      <c r="AB758" s="154">
        <v>102.3</v>
      </c>
      <c r="AD758" s="154">
        <v>755.67499999999995</v>
      </c>
      <c r="AG758" s="157" t="s">
        <v>15</v>
      </c>
      <c r="AH758" s="155">
        <v>1.47E-3</v>
      </c>
      <c r="AI758" s="155">
        <f t="shared" si="11"/>
        <v>5.3096502590446029E-2</v>
      </c>
      <c r="AJ758" s="155">
        <v>1.9923368248011986E-3</v>
      </c>
    </row>
    <row r="759" spans="1:36" s="160" customFormat="1">
      <c r="A759" s="153" t="s">
        <v>1213</v>
      </c>
      <c r="B759" s="160">
        <v>57</v>
      </c>
      <c r="C759" s="153" t="s">
        <v>1825</v>
      </c>
      <c r="D759" s="153" t="s">
        <v>1826</v>
      </c>
      <c r="E759" s="153" t="s">
        <v>309</v>
      </c>
      <c r="F759" s="153" t="s">
        <v>2787</v>
      </c>
      <c r="G759" s="153" t="s">
        <v>2788</v>
      </c>
      <c r="H759" s="153" t="s">
        <v>321</v>
      </c>
      <c r="I759" s="153" t="s">
        <v>951</v>
      </c>
      <c r="J759" s="153" t="s">
        <v>204</v>
      </c>
      <c r="K759" s="153" t="s">
        <v>204</v>
      </c>
      <c r="L759" s="153" t="s">
        <v>325</v>
      </c>
      <c r="M759" s="153" t="s">
        <v>340</v>
      </c>
      <c r="N759" s="153" t="s">
        <v>441</v>
      </c>
      <c r="O759" s="153" t="s">
        <v>339</v>
      </c>
      <c r="Q759" s="153" t="s">
        <v>410</v>
      </c>
      <c r="R759" s="153" t="s">
        <v>410</v>
      </c>
      <c r="S759" s="153" t="s">
        <v>1212</v>
      </c>
      <c r="T759" s="154">
        <v>2.76</v>
      </c>
      <c r="U759" s="153" t="s">
        <v>1669</v>
      </c>
      <c r="V759" s="155">
        <v>5.0999999999999997E-2</v>
      </c>
      <c r="W759" s="155">
        <v>5.9299999999999999E-2</v>
      </c>
      <c r="X759" s="153" t="s">
        <v>412</v>
      </c>
      <c r="Y759" s="153" t="s">
        <v>339</v>
      </c>
      <c r="Z759" s="154">
        <v>694000</v>
      </c>
      <c r="AA759" s="154">
        <v>1</v>
      </c>
      <c r="AB759" s="154">
        <v>100.56</v>
      </c>
      <c r="AD759" s="154">
        <v>697.88599999999997</v>
      </c>
      <c r="AG759" s="157" t="s">
        <v>15</v>
      </c>
      <c r="AH759" s="155">
        <v>3.15E-3</v>
      </c>
      <c r="AI759" s="155">
        <f t="shared" si="11"/>
        <v>4.9036035077031817E-2</v>
      </c>
      <c r="AJ759" s="155">
        <v>1.8399761502143242E-3</v>
      </c>
    </row>
    <row r="760" spans="1:36" s="160" customFormat="1">
      <c r="A760" s="153" t="s">
        <v>1213</v>
      </c>
      <c r="B760" s="160">
        <v>57</v>
      </c>
      <c r="C760" s="153" t="s">
        <v>2356</v>
      </c>
      <c r="D760" s="153" t="s">
        <v>2357</v>
      </c>
      <c r="E760" s="153" t="s">
        <v>309</v>
      </c>
      <c r="F760" s="153" t="s">
        <v>2358</v>
      </c>
      <c r="G760" s="153" t="s">
        <v>2359</v>
      </c>
      <c r="H760" s="153" t="s">
        <v>321</v>
      </c>
      <c r="I760" s="153" t="s">
        <v>754</v>
      </c>
      <c r="J760" s="153" t="s">
        <v>204</v>
      </c>
      <c r="K760" s="153" t="s">
        <v>204</v>
      </c>
      <c r="L760" s="153" t="s">
        <v>325</v>
      </c>
      <c r="M760" s="153" t="s">
        <v>340</v>
      </c>
      <c r="N760" s="153" t="s">
        <v>447</v>
      </c>
      <c r="O760" s="153" t="s">
        <v>339</v>
      </c>
      <c r="P760" s="153" t="s">
        <v>1560</v>
      </c>
      <c r="Q760" s="153" t="s">
        <v>413</v>
      </c>
      <c r="R760" s="153" t="s">
        <v>407</v>
      </c>
      <c r="S760" s="153" t="s">
        <v>1212</v>
      </c>
      <c r="T760" s="154">
        <v>2.79</v>
      </c>
      <c r="U760" s="153" t="s">
        <v>2360</v>
      </c>
      <c r="V760" s="155">
        <v>3.1669999999999997E-2</v>
      </c>
      <c r="W760" s="155">
        <v>3.95E-2</v>
      </c>
      <c r="X760" s="153" t="s">
        <v>412</v>
      </c>
      <c r="Y760" s="153" t="s">
        <v>339</v>
      </c>
      <c r="Z760" s="154">
        <v>581782.64</v>
      </c>
      <c r="AA760" s="154">
        <v>1</v>
      </c>
      <c r="AB760" s="154">
        <v>117.74</v>
      </c>
      <c r="AD760" s="154">
        <v>684.99099999999999</v>
      </c>
      <c r="AG760" s="157" t="s">
        <v>15</v>
      </c>
      <c r="AH760" s="155">
        <v>4.0999999999999999E-4</v>
      </c>
      <c r="AI760" s="155">
        <f t="shared" si="11"/>
        <v>4.8129984988165835E-2</v>
      </c>
      <c r="AJ760" s="155">
        <v>1.8059784880502835E-3</v>
      </c>
    </row>
    <row r="761" spans="1:36" s="160" customFormat="1">
      <c r="A761" s="153" t="s">
        <v>1213</v>
      </c>
      <c r="B761" s="160">
        <v>57</v>
      </c>
      <c r="C761" s="153" t="s">
        <v>2638</v>
      </c>
      <c r="D761" s="153" t="s">
        <v>2639</v>
      </c>
      <c r="E761" s="153" t="s">
        <v>311</v>
      </c>
      <c r="F761" s="153" t="s">
        <v>2640</v>
      </c>
      <c r="G761" s="153" t="s">
        <v>2641</v>
      </c>
      <c r="H761" s="153" t="s">
        <v>321</v>
      </c>
      <c r="I761" s="153" t="s">
        <v>755</v>
      </c>
      <c r="J761" s="153" t="s">
        <v>204</v>
      </c>
      <c r="K761" s="153" t="s">
        <v>204</v>
      </c>
      <c r="L761" s="153" t="s">
        <v>325</v>
      </c>
      <c r="M761" s="153" t="s">
        <v>340</v>
      </c>
      <c r="N761" s="153" t="s">
        <v>465</v>
      </c>
      <c r="O761" s="153" t="s">
        <v>339</v>
      </c>
      <c r="P761" s="153" t="s">
        <v>1982</v>
      </c>
      <c r="Q761" s="153" t="s">
        <v>415</v>
      </c>
      <c r="R761" s="153" t="s">
        <v>407</v>
      </c>
      <c r="S761" s="153" t="s">
        <v>1212</v>
      </c>
      <c r="T761" s="154">
        <v>2.91</v>
      </c>
      <c r="U761" s="153" t="s">
        <v>1664</v>
      </c>
      <c r="V761" s="155">
        <v>7.0559999999999998E-2</v>
      </c>
      <c r="W761" s="155">
        <v>0.10150000000000001</v>
      </c>
      <c r="X761" s="153" t="s">
        <v>412</v>
      </c>
      <c r="Y761" s="153" t="s">
        <v>339</v>
      </c>
      <c r="Z761" s="154">
        <v>676478.25</v>
      </c>
      <c r="AA761" s="154">
        <v>1</v>
      </c>
      <c r="AB761" s="154">
        <v>89.69</v>
      </c>
      <c r="AD761" s="154">
        <v>606.73299999999995</v>
      </c>
      <c r="AG761" s="157" t="s">
        <v>15</v>
      </c>
      <c r="AH761" s="155">
        <v>6.0999999999999997E-4</v>
      </c>
      <c r="AI761" s="155">
        <f t="shared" si="11"/>
        <v>4.2631290311587772E-2</v>
      </c>
      <c r="AJ761" s="155">
        <v>1.5996513034334942E-3</v>
      </c>
    </row>
    <row r="762" spans="1:36" s="160" customFormat="1">
      <c r="A762" s="153" t="s">
        <v>1213</v>
      </c>
      <c r="B762" s="160">
        <v>57</v>
      </c>
      <c r="C762" s="153" t="s">
        <v>2753</v>
      </c>
      <c r="D762" s="153" t="s">
        <v>2754</v>
      </c>
      <c r="E762" s="153" t="s">
        <v>309</v>
      </c>
      <c r="F762" s="153" t="s">
        <v>2755</v>
      </c>
      <c r="G762" s="153" t="s">
        <v>2756</v>
      </c>
      <c r="H762" s="153" t="s">
        <v>321</v>
      </c>
      <c r="I762" s="153" t="s">
        <v>951</v>
      </c>
      <c r="J762" s="153" t="s">
        <v>204</v>
      </c>
      <c r="K762" s="153" t="s">
        <v>204</v>
      </c>
      <c r="L762" s="153" t="s">
        <v>325</v>
      </c>
      <c r="M762" s="153" t="s">
        <v>340</v>
      </c>
      <c r="N762" s="153" t="s">
        <v>447</v>
      </c>
      <c r="O762" s="153" t="s">
        <v>339</v>
      </c>
      <c r="P762" s="153" t="s">
        <v>1586</v>
      </c>
      <c r="Q762" s="153" t="s">
        <v>415</v>
      </c>
      <c r="R762" s="153" t="s">
        <v>407</v>
      </c>
      <c r="S762" s="153" t="s">
        <v>1212</v>
      </c>
      <c r="T762" s="154">
        <v>1.89</v>
      </c>
      <c r="U762" s="153" t="s">
        <v>1528</v>
      </c>
      <c r="V762" s="155">
        <v>5.7119999999999997E-2</v>
      </c>
      <c r="W762" s="155">
        <v>6.6299999999999998E-2</v>
      </c>
      <c r="X762" s="153" t="s">
        <v>412</v>
      </c>
      <c r="Y762" s="153" t="s">
        <v>339</v>
      </c>
      <c r="Z762" s="154">
        <v>589247</v>
      </c>
      <c r="AA762" s="154">
        <v>1</v>
      </c>
      <c r="AB762" s="154">
        <v>102.16</v>
      </c>
      <c r="AD762" s="154">
        <v>601.97500000000002</v>
      </c>
      <c r="AG762" s="157" t="s">
        <v>15</v>
      </c>
      <c r="AH762" s="155">
        <v>3.6800000000000001E-3</v>
      </c>
      <c r="AI762" s="155">
        <f t="shared" si="11"/>
        <v>4.2296975746033347E-2</v>
      </c>
      <c r="AJ762" s="155">
        <v>1.5871068384023578E-3</v>
      </c>
    </row>
    <row r="763" spans="1:36" s="160" customFormat="1">
      <c r="A763" s="153" t="s">
        <v>1213</v>
      </c>
      <c r="B763" s="160">
        <v>57</v>
      </c>
      <c r="C763" s="153" t="s">
        <v>1998</v>
      </c>
      <c r="D763" s="153" t="s">
        <v>1999</v>
      </c>
      <c r="E763" s="153" t="s">
        <v>309</v>
      </c>
      <c r="F763" s="153" t="s">
        <v>2806</v>
      </c>
      <c r="G763" s="153" t="s">
        <v>2807</v>
      </c>
      <c r="H763" s="153" t="s">
        <v>321</v>
      </c>
      <c r="I763" s="153" t="s">
        <v>754</v>
      </c>
      <c r="J763" s="153" t="s">
        <v>204</v>
      </c>
      <c r="K763" s="153" t="s">
        <v>204</v>
      </c>
      <c r="L763" s="153" t="s">
        <v>325</v>
      </c>
      <c r="M763" s="153" t="s">
        <v>340</v>
      </c>
      <c r="N763" s="153" t="s">
        <v>464</v>
      </c>
      <c r="O763" s="153" t="s">
        <v>339</v>
      </c>
      <c r="P763" s="153" t="s">
        <v>1554</v>
      </c>
      <c r="Q763" s="153" t="s">
        <v>413</v>
      </c>
      <c r="R763" s="153" t="s">
        <v>407</v>
      </c>
      <c r="S763" s="153" t="s">
        <v>1212</v>
      </c>
      <c r="T763" s="154">
        <v>2.0099999999999998</v>
      </c>
      <c r="U763" s="153" t="s">
        <v>1638</v>
      </c>
      <c r="V763" s="155">
        <v>9.6100000000000005E-3</v>
      </c>
      <c r="W763" s="155">
        <v>3.4099999999999998E-2</v>
      </c>
      <c r="X763" s="153" t="s">
        <v>412</v>
      </c>
      <c r="Y763" s="153" t="s">
        <v>339</v>
      </c>
      <c r="Z763" s="154">
        <v>478800</v>
      </c>
      <c r="AA763" s="154">
        <v>1</v>
      </c>
      <c r="AB763" s="154">
        <v>115.86</v>
      </c>
      <c r="AD763" s="154">
        <v>554.73800000000006</v>
      </c>
      <c r="AG763" s="157" t="s">
        <v>15</v>
      </c>
      <c r="AH763" s="155">
        <v>8.0000000000000004E-4</v>
      </c>
      <c r="AI763" s="155">
        <f t="shared" si="11"/>
        <v>3.8977930531007184E-2</v>
      </c>
      <c r="AJ763" s="155">
        <v>1.4625665074490589E-3</v>
      </c>
    </row>
    <row r="764" spans="1:36" s="160" customFormat="1">
      <c r="A764" s="153" t="s">
        <v>1213</v>
      </c>
      <c r="B764" s="160">
        <v>57</v>
      </c>
      <c r="C764" s="153" t="s">
        <v>1861</v>
      </c>
      <c r="D764" s="153" t="s">
        <v>1862</v>
      </c>
      <c r="E764" s="153" t="s">
        <v>309</v>
      </c>
      <c r="F764" s="153" t="s">
        <v>1863</v>
      </c>
      <c r="G764" s="153" t="s">
        <v>1864</v>
      </c>
      <c r="H764" s="153" t="s">
        <v>321</v>
      </c>
      <c r="I764" s="153" t="s">
        <v>754</v>
      </c>
      <c r="J764" s="153" t="s">
        <v>204</v>
      </c>
      <c r="K764" s="153" t="s">
        <v>204</v>
      </c>
      <c r="L764" s="153" t="s">
        <v>325</v>
      </c>
      <c r="M764" s="153" t="s">
        <v>340</v>
      </c>
      <c r="N764" s="153" t="s">
        <v>464</v>
      </c>
      <c r="O764" s="153" t="s">
        <v>339</v>
      </c>
      <c r="P764" s="153" t="s">
        <v>1538</v>
      </c>
      <c r="Q764" s="153" t="s">
        <v>413</v>
      </c>
      <c r="R764" s="153" t="s">
        <v>407</v>
      </c>
      <c r="S764" s="153" t="s">
        <v>1212</v>
      </c>
      <c r="T764" s="154">
        <v>5.3</v>
      </c>
      <c r="U764" s="153" t="s">
        <v>1865</v>
      </c>
      <c r="V764" s="155">
        <v>3.1099999999999999E-3</v>
      </c>
      <c r="W764" s="155">
        <v>3.0300000000000001E-2</v>
      </c>
      <c r="X764" s="153" t="s">
        <v>412</v>
      </c>
      <c r="Y764" s="153" t="s">
        <v>339</v>
      </c>
      <c r="Z764" s="154">
        <v>511828.53</v>
      </c>
      <c r="AA764" s="154">
        <v>1</v>
      </c>
      <c r="AB764" s="154">
        <v>97.92</v>
      </c>
      <c r="AD764" s="154">
        <v>501.18200000000002</v>
      </c>
      <c r="AG764" s="157" t="s">
        <v>15</v>
      </c>
      <c r="AH764" s="155">
        <v>4.0999999999999999E-4</v>
      </c>
      <c r="AI764" s="155">
        <f t="shared" si="11"/>
        <v>3.5214889153782944E-2</v>
      </c>
      <c r="AJ764" s="155">
        <v>1.321366135610566E-3</v>
      </c>
    </row>
    <row r="765" spans="1:36" s="160" customFormat="1">
      <c r="A765" s="153" t="s">
        <v>1213</v>
      </c>
      <c r="B765" s="160">
        <v>57</v>
      </c>
      <c r="C765" s="153" t="s">
        <v>2436</v>
      </c>
      <c r="D765" s="153" t="s">
        <v>2437</v>
      </c>
      <c r="E765" s="153" t="s">
        <v>309</v>
      </c>
      <c r="F765" s="153" t="s">
        <v>2438</v>
      </c>
      <c r="G765" s="153" t="s">
        <v>2439</v>
      </c>
      <c r="H765" s="153" t="s">
        <v>321</v>
      </c>
      <c r="I765" s="153" t="s">
        <v>754</v>
      </c>
      <c r="J765" s="153" t="s">
        <v>204</v>
      </c>
      <c r="K765" s="153" t="s">
        <v>204</v>
      </c>
      <c r="L765" s="153" t="s">
        <v>325</v>
      </c>
      <c r="M765" s="153" t="s">
        <v>340</v>
      </c>
      <c r="N765" s="153" t="s">
        <v>475</v>
      </c>
      <c r="O765" s="153" t="s">
        <v>339</v>
      </c>
      <c r="P765" s="153" t="s">
        <v>1538</v>
      </c>
      <c r="Q765" s="153" t="s">
        <v>413</v>
      </c>
      <c r="R765" s="153" t="s">
        <v>407</v>
      </c>
      <c r="S765" s="153" t="s">
        <v>1212</v>
      </c>
      <c r="T765" s="154">
        <v>2.44</v>
      </c>
      <c r="U765" s="153" t="s">
        <v>2440</v>
      </c>
      <c r="V765" s="155">
        <v>3.7799999999999999E-3</v>
      </c>
      <c r="W765" s="155">
        <v>2.3E-2</v>
      </c>
      <c r="X765" s="153" t="s">
        <v>412</v>
      </c>
      <c r="Y765" s="153" t="s">
        <v>339</v>
      </c>
      <c r="Z765" s="154">
        <v>274988.59999999998</v>
      </c>
      <c r="AA765" s="154">
        <v>1</v>
      </c>
      <c r="AB765" s="154">
        <v>120.79</v>
      </c>
      <c r="AC765" s="154">
        <v>96.325000000000003</v>
      </c>
      <c r="AD765" s="154">
        <v>428.48399999999998</v>
      </c>
      <c r="AG765" s="157" t="s">
        <v>15</v>
      </c>
      <c r="AH765" s="155">
        <v>6.7000000000000002E-4</v>
      </c>
      <c r="AI765" s="155">
        <f t="shared" si="11"/>
        <v>3.0106860510093196E-2</v>
      </c>
      <c r="AJ765" s="155">
        <v>1.1296978886930452E-3</v>
      </c>
    </row>
    <row r="766" spans="1:36" s="160" customFormat="1">
      <c r="A766" s="153" t="s">
        <v>1213</v>
      </c>
      <c r="B766" s="160">
        <v>57</v>
      </c>
      <c r="C766" s="153" t="s">
        <v>2238</v>
      </c>
      <c r="D766" s="153" t="s">
        <v>2239</v>
      </c>
      <c r="E766" s="153" t="s">
        <v>309</v>
      </c>
      <c r="F766" s="153" t="s">
        <v>2810</v>
      </c>
      <c r="G766" s="153" t="s">
        <v>2811</v>
      </c>
      <c r="H766" s="153" t="s">
        <v>321</v>
      </c>
      <c r="I766" s="153" t="s">
        <v>951</v>
      </c>
      <c r="J766" s="153" t="s">
        <v>204</v>
      </c>
      <c r="K766" s="153" t="s">
        <v>204</v>
      </c>
      <c r="L766" s="153" t="s">
        <v>325</v>
      </c>
      <c r="M766" s="153" t="s">
        <v>340</v>
      </c>
      <c r="N766" s="153" t="s">
        <v>447</v>
      </c>
      <c r="O766" s="153" t="s">
        <v>339</v>
      </c>
      <c r="P766" s="153" t="s">
        <v>1544</v>
      </c>
      <c r="Q766" s="153" t="s">
        <v>415</v>
      </c>
      <c r="R766" s="153" t="s">
        <v>407</v>
      </c>
      <c r="S766" s="153" t="s">
        <v>1212</v>
      </c>
      <c r="T766" s="154">
        <v>2.08</v>
      </c>
      <c r="U766" s="153" t="s">
        <v>1528</v>
      </c>
      <c r="V766" s="155">
        <v>2.572E-2</v>
      </c>
      <c r="W766" s="155">
        <v>5.5199999999999999E-2</v>
      </c>
      <c r="X766" s="153" t="s">
        <v>412</v>
      </c>
      <c r="Y766" s="153" t="s">
        <v>339</v>
      </c>
      <c r="Z766" s="154">
        <v>407984.93</v>
      </c>
      <c r="AA766" s="154">
        <v>1</v>
      </c>
      <c r="AB766" s="154">
        <v>94.9</v>
      </c>
      <c r="AD766" s="154">
        <v>387.178</v>
      </c>
      <c r="AG766" s="157" t="s">
        <v>15</v>
      </c>
      <c r="AH766" s="155">
        <v>1.5200000000000001E-3</v>
      </c>
      <c r="AI766" s="155">
        <f t="shared" si="11"/>
        <v>2.7204549151372898E-2</v>
      </c>
      <c r="AJ766" s="155">
        <v>1.0207946367854946E-3</v>
      </c>
    </row>
    <row r="767" spans="1:36" s="160" customFormat="1">
      <c r="A767" s="153" t="s">
        <v>1213</v>
      </c>
      <c r="B767" s="160">
        <v>57</v>
      </c>
      <c r="C767" s="153" t="s">
        <v>1546</v>
      </c>
      <c r="D767" s="153" t="s">
        <v>1547</v>
      </c>
      <c r="E767" s="153" t="s">
        <v>309</v>
      </c>
      <c r="F767" s="153" t="s">
        <v>2487</v>
      </c>
      <c r="G767" s="153" t="s">
        <v>2488</v>
      </c>
      <c r="H767" s="153" t="s">
        <v>321</v>
      </c>
      <c r="I767" s="153" t="s">
        <v>754</v>
      </c>
      <c r="J767" s="153" t="s">
        <v>204</v>
      </c>
      <c r="K767" s="153" t="s">
        <v>204</v>
      </c>
      <c r="L767" s="153" t="s">
        <v>325</v>
      </c>
      <c r="M767" s="153" t="s">
        <v>340</v>
      </c>
      <c r="N767" s="153" t="s">
        <v>443</v>
      </c>
      <c r="O767" s="153" t="s">
        <v>339</v>
      </c>
      <c r="P767" s="153" t="s">
        <v>1544</v>
      </c>
      <c r="Q767" s="153" t="s">
        <v>415</v>
      </c>
      <c r="R767" s="153" t="s">
        <v>407</v>
      </c>
      <c r="S767" s="153" t="s">
        <v>1212</v>
      </c>
      <c r="T767" s="154">
        <v>0.79</v>
      </c>
      <c r="U767" s="153" t="s">
        <v>1777</v>
      </c>
      <c r="V767" s="155">
        <v>5.1799999999999997E-3</v>
      </c>
      <c r="W767" s="155">
        <v>2.7199999999999998E-2</v>
      </c>
      <c r="X767" s="153" t="s">
        <v>412</v>
      </c>
      <c r="Y767" s="153" t="s">
        <v>339</v>
      </c>
      <c r="Z767" s="154">
        <v>320588.79999999999</v>
      </c>
      <c r="AA767" s="154">
        <v>1</v>
      </c>
      <c r="AB767" s="154">
        <v>115.1</v>
      </c>
      <c r="AD767" s="154">
        <v>368.99799999999999</v>
      </c>
      <c r="AG767" s="157" t="s">
        <v>15</v>
      </c>
      <c r="AH767" s="155">
        <v>8.7000000000000001E-4</v>
      </c>
      <c r="AI767" s="155">
        <f t="shared" si="11"/>
        <v>2.592715554023807E-2</v>
      </c>
      <c r="AJ767" s="155">
        <v>9.728630743083902E-4</v>
      </c>
    </row>
    <row r="768" spans="1:36" s="160" customFormat="1">
      <c r="A768" s="153" t="s">
        <v>1213</v>
      </c>
      <c r="B768" s="160">
        <v>57</v>
      </c>
      <c r="C768" s="153" t="s">
        <v>2757</v>
      </c>
      <c r="D768" s="153" t="s">
        <v>2758</v>
      </c>
      <c r="E768" s="153" t="s">
        <v>309</v>
      </c>
      <c r="F768" s="153" t="s">
        <v>2759</v>
      </c>
      <c r="G768" s="153" t="s">
        <v>2760</v>
      </c>
      <c r="H768" s="153" t="s">
        <v>321</v>
      </c>
      <c r="I768" s="153" t="s">
        <v>755</v>
      </c>
      <c r="J768" s="153" t="s">
        <v>204</v>
      </c>
      <c r="K768" s="153" t="s">
        <v>204</v>
      </c>
      <c r="L768" s="153" t="s">
        <v>325</v>
      </c>
      <c r="M768" s="153" t="s">
        <v>340</v>
      </c>
      <c r="N768" s="153" t="s">
        <v>440</v>
      </c>
      <c r="O768" s="153" t="s">
        <v>339</v>
      </c>
      <c r="P768" s="153" t="s">
        <v>1521</v>
      </c>
      <c r="Q768" s="153" t="s">
        <v>413</v>
      </c>
      <c r="R768" s="153" t="s">
        <v>407</v>
      </c>
      <c r="S768" s="153" t="s">
        <v>1212</v>
      </c>
      <c r="T768" s="154">
        <v>0.74</v>
      </c>
      <c r="U768" s="153" t="s">
        <v>2761</v>
      </c>
      <c r="V768" s="155">
        <v>4.197E-2</v>
      </c>
      <c r="W768" s="155">
        <v>7.5899999999999995E-2</v>
      </c>
      <c r="X768" s="153" t="s">
        <v>412</v>
      </c>
      <c r="Y768" s="153" t="s">
        <v>339</v>
      </c>
      <c r="Z768" s="154">
        <v>312057.53999999998</v>
      </c>
      <c r="AA768" s="154">
        <v>1</v>
      </c>
      <c r="AB768" s="154">
        <v>100.15</v>
      </c>
      <c r="AD768" s="154">
        <v>312.52600000000001</v>
      </c>
      <c r="AG768" s="157" t="s">
        <v>15</v>
      </c>
      <c r="AH768" s="155">
        <v>1.2700000000000001E-3</v>
      </c>
      <c r="AI768" s="155">
        <f t="shared" si="11"/>
        <v>2.1959225286772407E-2</v>
      </c>
      <c r="AJ768" s="155">
        <v>8.2397466967654013E-4</v>
      </c>
    </row>
    <row r="769" spans="1:36" s="160" customFormat="1">
      <c r="A769" s="153" t="s">
        <v>1213</v>
      </c>
      <c r="B769" s="160">
        <v>57</v>
      </c>
      <c r="C769" s="153" t="s">
        <v>2757</v>
      </c>
      <c r="D769" s="153" t="s">
        <v>2758</v>
      </c>
      <c r="E769" s="153" t="s">
        <v>309</v>
      </c>
      <c r="F769" s="153" t="s">
        <v>2784</v>
      </c>
      <c r="G769" s="153" t="s">
        <v>2785</v>
      </c>
      <c r="H769" s="153" t="s">
        <v>321</v>
      </c>
      <c r="I769" s="153" t="s">
        <v>951</v>
      </c>
      <c r="J769" s="153" t="s">
        <v>204</v>
      </c>
      <c r="K769" s="153" t="s">
        <v>204</v>
      </c>
      <c r="L769" s="153" t="s">
        <v>325</v>
      </c>
      <c r="M769" s="153" t="s">
        <v>340</v>
      </c>
      <c r="N769" s="153" t="s">
        <v>440</v>
      </c>
      <c r="O769" s="153" t="s">
        <v>339</v>
      </c>
      <c r="P769" s="153" t="s">
        <v>1521</v>
      </c>
      <c r="Q769" s="153" t="s">
        <v>413</v>
      </c>
      <c r="R769" s="153" t="s">
        <v>407</v>
      </c>
      <c r="S769" s="153" t="s">
        <v>1212</v>
      </c>
      <c r="T769" s="154">
        <v>2.31</v>
      </c>
      <c r="U769" s="153" t="s">
        <v>2786</v>
      </c>
      <c r="V769" s="155">
        <v>5.7160000000000002E-2</v>
      </c>
      <c r="W769" s="155">
        <v>5.8999999999999997E-2</v>
      </c>
      <c r="X769" s="153" t="s">
        <v>412</v>
      </c>
      <c r="Y769" s="153" t="s">
        <v>339</v>
      </c>
      <c r="Z769" s="154">
        <v>334493.87</v>
      </c>
      <c r="AA769" s="154">
        <v>1</v>
      </c>
      <c r="AB769" s="154">
        <v>93.07</v>
      </c>
      <c r="AD769" s="154">
        <v>311.31299999999999</v>
      </c>
      <c r="AG769" s="157" t="s">
        <v>15</v>
      </c>
      <c r="AH769" s="155">
        <v>4.8999999999999998E-4</v>
      </c>
      <c r="AI769" s="155">
        <f t="shared" si="11"/>
        <v>2.1873995449021768E-2</v>
      </c>
      <c r="AJ769" s="155">
        <v>8.2077659567848023E-4</v>
      </c>
    </row>
    <row r="770" spans="1:36" s="160" customFormat="1">
      <c r="A770" s="153" t="s">
        <v>1213</v>
      </c>
      <c r="B770" s="160">
        <v>57</v>
      </c>
      <c r="C770" s="153" t="s">
        <v>2835</v>
      </c>
      <c r="D770" s="153" t="s">
        <v>2836</v>
      </c>
      <c r="E770" s="153" t="s">
        <v>309</v>
      </c>
      <c r="F770" s="153" t="s">
        <v>2837</v>
      </c>
      <c r="G770" s="153" t="s">
        <v>2838</v>
      </c>
      <c r="H770" s="153" t="s">
        <v>321</v>
      </c>
      <c r="I770" s="153" t="s">
        <v>755</v>
      </c>
      <c r="J770" s="153" t="s">
        <v>204</v>
      </c>
      <c r="K770" s="153" t="s">
        <v>204</v>
      </c>
      <c r="L770" s="153" t="s">
        <v>325</v>
      </c>
      <c r="M770" s="153" t="s">
        <v>340</v>
      </c>
      <c r="N770" s="153" t="s">
        <v>466</v>
      </c>
      <c r="O770" s="153" t="s">
        <v>339</v>
      </c>
      <c r="P770" s="153" t="s">
        <v>1521</v>
      </c>
      <c r="Q770" s="153" t="s">
        <v>413</v>
      </c>
      <c r="R770" s="153" t="s">
        <v>407</v>
      </c>
      <c r="S770" s="153" t="s">
        <v>1212</v>
      </c>
      <c r="T770" s="154">
        <v>0.73</v>
      </c>
      <c r="U770" s="153" t="s">
        <v>1777</v>
      </c>
      <c r="V770" s="155">
        <v>3.4569999999999997E-2</v>
      </c>
      <c r="W770" s="155">
        <v>6.8500000000000005E-2</v>
      </c>
      <c r="X770" s="153" t="s">
        <v>412</v>
      </c>
      <c r="Y770" s="153" t="s">
        <v>339</v>
      </c>
      <c r="Z770" s="154">
        <v>298557.59999999998</v>
      </c>
      <c r="AA770" s="154">
        <v>1</v>
      </c>
      <c r="AB770" s="154">
        <v>100.82</v>
      </c>
      <c r="AD770" s="154">
        <v>301.00599999999997</v>
      </c>
      <c r="AG770" s="157" t="s">
        <v>15</v>
      </c>
      <c r="AH770" s="155">
        <v>3.79E-3</v>
      </c>
      <c r="AI770" s="155">
        <f t="shared" si="11"/>
        <v>2.1149787751003801E-2</v>
      </c>
      <c r="AJ770" s="155">
        <v>7.9360219444352348E-4</v>
      </c>
    </row>
    <row r="771" spans="1:36" s="160" customFormat="1">
      <c r="A771" s="153" t="s">
        <v>1213</v>
      </c>
      <c r="B771" s="160">
        <v>57</v>
      </c>
      <c r="C771" s="153" t="s">
        <v>2356</v>
      </c>
      <c r="D771" s="153" t="s">
        <v>2357</v>
      </c>
      <c r="E771" s="153" t="s">
        <v>309</v>
      </c>
      <c r="F771" s="153" t="s">
        <v>2724</v>
      </c>
      <c r="G771" s="153" t="s">
        <v>2725</v>
      </c>
      <c r="H771" s="153" t="s">
        <v>321</v>
      </c>
      <c r="I771" s="153" t="s">
        <v>754</v>
      </c>
      <c r="J771" s="153" t="s">
        <v>204</v>
      </c>
      <c r="K771" s="153" t="s">
        <v>204</v>
      </c>
      <c r="L771" s="153" t="s">
        <v>325</v>
      </c>
      <c r="M771" s="153" t="s">
        <v>340</v>
      </c>
      <c r="N771" s="153" t="s">
        <v>447</v>
      </c>
      <c r="O771" s="153" t="s">
        <v>339</v>
      </c>
      <c r="P771" s="153" t="s">
        <v>1560</v>
      </c>
      <c r="Q771" s="153" t="s">
        <v>413</v>
      </c>
      <c r="R771" s="153" t="s">
        <v>407</v>
      </c>
      <c r="S771" s="153" t="s">
        <v>1212</v>
      </c>
      <c r="T771" s="154">
        <v>0.5</v>
      </c>
      <c r="U771" s="153" t="s">
        <v>1965</v>
      </c>
      <c r="V771" s="155">
        <v>6.0999999999999999E-2</v>
      </c>
      <c r="W771" s="155">
        <v>3.4700000000000002E-2</v>
      </c>
      <c r="X771" s="153" t="s">
        <v>412</v>
      </c>
      <c r="Y771" s="153" t="s">
        <v>339</v>
      </c>
      <c r="Z771" s="154">
        <v>238761</v>
      </c>
      <c r="AA771" s="154">
        <v>1</v>
      </c>
      <c r="AB771" s="154">
        <v>115.84</v>
      </c>
      <c r="AC771" s="154">
        <v>5.9749999999999996</v>
      </c>
      <c r="AD771" s="154">
        <v>282.55599999999998</v>
      </c>
      <c r="AG771" s="157" t="s">
        <v>15</v>
      </c>
      <c r="AH771" s="155">
        <v>5.5000000000000003E-4</v>
      </c>
      <c r="AI771" s="155">
        <f t="shared" ref="AI771:AI834" si="12">AD771/SUMIF(B:B,B771,AD:AD)</f>
        <v>1.9853422947624398E-2</v>
      </c>
      <c r="AJ771" s="155">
        <v>7.4495877707814542E-4</v>
      </c>
    </row>
    <row r="772" spans="1:36" s="160" customFormat="1">
      <c r="A772" s="153" t="s">
        <v>1213</v>
      </c>
      <c r="B772" s="160">
        <v>57</v>
      </c>
      <c r="C772" s="153" t="s">
        <v>2839</v>
      </c>
      <c r="D772" s="153" t="s">
        <v>2840</v>
      </c>
      <c r="E772" s="153" t="s">
        <v>309</v>
      </c>
      <c r="F772" s="153" t="s">
        <v>2841</v>
      </c>
      <c r="G772" s="153" t="s">
        <v>2842</v>
      </c>
      <c r="H772" s="153" t="s">
        <v>321</v>
      </c>
      <c r="I772" s="153" t="s">
        <v>755</v>
      </c>
      <c r="J772" s="153" t="s">
        <v>204</v>
      </c>
      <c r="K772" s="153" t="s">
        <v>204</v>
      </c>
      <c r="L772" s="153" t="s">
        <v>325</v>
      </c>
      <c r="M772" s="153" t="s">
        <v>340</v>
      </c>
      <c r="N772" s="153" t="s">
        <v>437</v>
      </c>
      <c r="O772" s="153" t="s">
        <v>339</v>
      </c>
      <c r="P772" s="153" t="s">
        <v>1566</v>
      </c>
      <c r="Q772" s="153" t="s">
        <v>413</v>
      </c>
      <c r="R772" s="153" t="s">
        <v>407</v>
      </c>
      <c r="S772" s="153" t="s">
        <v>1212</v>
      </c>
      <c r="T772" s="154">
        <v>1.19</v>
      </c>
      <c r="U772" s="153" t="s">
        <v>1659</v>
      </c>
      <c r="V772" s="155">
        <v>4.1160000000000002E-2</v>
      </c>
      <c r="W772" s="155">
        <v>7.0800000000000002E-2</v>
      </c>
      <c r="X772" s="153" t="s">
        <v>412</v>
      </c>
      <c r="Y772" s="153" t="s">
        <v>339</v>
      </c>
      <c r="Z772" s="154">
        <v>265239.21999999997</v>
      </c>
      <c r="AA772" s="154">
        <v>1</v>
      </c>
      <c r="AB772" s="154">
        <v>100.31</v>
      </c>
      <c r="AD772" s="154">
        <v>266.06099999999998</v>
      </c>
      <c r="AG772" s="157" t="s">
        <v>15</v>
      </c>
      <c r="AH772" s="155">
        <v>1.6100000000000001E-3</v>
      </c>
      <c r="AI772" s="155">
        <f t="shared" si="12"/>
        <v>1.8694423628830729E-2</v>
      </c>
      <c r="AJ772" s="155">
        <v>7.0146971640378702E-4</v>
      </c>
    </row>
    <row r="773" spans="1:36" s="160" customFormat="1">
      <c r="A773" s="153" t="s">
        <v>1213</v>
      </c>
      <c r="B773" s="160">
        <v>57</v>
      </c>
      <c r="C773" s="153" t="s">
        <v>1769</v>
      </c>
      <c r="D773" s="153" t="s">
        <v>1770</v>
      </c>
      <c r="E773" s="153" t="s">
        <v>309</v>
      </c>
      <c r="F773" s="153" t="s">
        <v>2037</v>
      </c>
      <c r="G773" s="153" t="s">
        <v>2038</v>
      </c>
      <c r="H773" s="153" t="s">
        <v>321</v>
      </c>
      <c r="I773" s="153" t="s">
        <v>951</v>
      </c>
      <c r="J773" s="153" t="s">
        <v>204</v>
      </c>
      <c r="K773" s="153" t="s">
        <v>204</v>
      </c>
      <c r="L773" s="153" t="s">
        <v>325</v>
      </c>
      <c r="M773" s="153" t="s">
        <v>340</v>
      </c>
      <c r="N773" s="153" t="s">
        <v>464</v>
      </c>
      <c r="O773" s="153" t="s">
        <v>339</v>
      </c>
      <c r="P773" s="153" t="s">
        <v>1560</v>
      </c>
      <c r="Q773" s="153" t="s">
        <v>413</v>
      </c>
      <c r="R773" s="153" t="s">
        <v>407</v>
      </c>
      <c r="S773" s="153" t="s">
        <v>1212</v>
      </c>
      <c r="T773" s="154">
        <v>2.9</v>
      </c>
      <c r="U773" s="153" t="s">
        <v>1587</v>
      </c>
      <c r="V773" s="155">
        <v>4.9329999999999999E-2</v>
      </c>
      <c r="W773" s="155">
        <v>7.1999999999999995E-2</v>
      </c>
      <c r="X773" s="153" t="s">
        <v>412</v>
      </c>
      <c r="Y773" s="153" t="s">
        <v>339</v>
      </c>
      <c r="Z773" s="154">
        <v>281804.08</v>
      </c>
      <c r="AA773" s="154">
        <v>1</v>
      </c>
      <c r="AB773" s="154">
        <v>92.4</v>
      </c>
      <c r="AD773" s="154">
        <v>260.387</v>
      </c>
      <c r="AG773" s="157" t="s">
        <v>15</v>
      </c>
      <c r="AH773" s="155">
        <v>2.3000000000000001E-4</v>
      </c>
      <c r="AI773" s="155">
        <f t="shared" si="12"/>
        <v>1.82957475369947E-2</v>
      </c>
      <c r="AJ773" s="155">
        <v>6.8651021775169188E-4</v>
      </c>
    </row>
    <row r="774" spans="1:36" s="160" customFormat="1">
      <c r="A774" s="153" t="s">
        <v>1213</v>
      </c>
      <c r="B774" s="160">
        <v>57</v>
      </c>
      <c r="C774" s="153" t="s">
        <v>2812</v>
      </c>
      <c r="D774" s="153" t="s">
        <v>2813</v>
      </c>
      <c r="E774" s="153" t="s">
        <v>309</v>
      </c>
      <c r="F774" s="153" t="s">
        <v>2814</v>
      </c>
      <c r="G774" s="153" t="s">
        <v>2815</v>
      </c>
      <c r="H774" s="153" t="s">
        <v>321</v>
      </c>
      <c r="I774" s="153" t="s">
        <v>951</v>
      </c>
      <c r="J774" s="153" t="s">
        <v>204</v>
      </c>
      <c r="K774" s="153" t="s">
        <v>204</v>
      </c>
      <c r="L774" s="153" t="s">
        <v>325</v>
      </c>
      <c r="M774" s="153" t="s">
        <v>340</v>
      </c>
      <c r="N774" s="153" t="s">
        <v>447</v>
      </c>
      <c r="O774" s="153" t="s">
        <v>339</v>
      </c>
      <c r="P774" s="153" t="s">
        <v>1614</v>
      </c>
      <c r="Q774" s="153" t="s">
        <v>415</v>
      </c>
      <c r="R774" s="153" t="s">
        <v>407</v>
      </c>
      <c r="S774" s="153" t="s">
        <v>1212</v>
      </c>
      <c r="T774" s="154">
        <v>1.71</v>
      </c>
      <c r="U774" s="153" t="s">
        <v>1343</v>
      </c>
      <c r="V774" s="155">
        <v>5.3409999999999999E-2</v>
      </c>
      <c r="W774" s="155">
        <v>5.6000000000000001E-2</v>
      </c>
      <c r="X774" s="153" t="s">
        <v>412</v>
      </c>
      <c r="Y774" s="153" t="s">
        <v>339</v>
      </c>
      <c r="Z774" s="154">
        <v>212757.22</v>
      </c>
      <c r="AA774" s="154">
        <v>1</v>
      </c>
      <c r="AB774" s="154">
        <v>94.88</v>
      </c>
      <c r="AD774" s="154">
        <v>201.864</v>
      </c>
      <c r="AG774" s="157" t="s">
        <v>15</v>
      </c>
      <c r="AH774" s="155">
        <v>8.3000000000000001E-4</v>
      </c>
      <c r="AI774" s="155">
        <f t="shared" si="12"/>
        <v>1.4183706486145232E-2</v>
      </c>
      <c r="AJ774" s="155">
        <v>5.322143524685469E-4</v>
      </c>
    </row>
    <row r="775" spans="1:36" s="160" customFormat="1">
      <c r="A775" s="153" t="s">
        <v>1213</v>
      </c>
      <c r="B775" s="160">
        <v>57</v>
      </c>
      <c r="C775" s="153" t="s">
        <v>2576</v>
      </c>
      <c r="D775" s="153" t="s">
        <v>2577</v>
      </c>
      <c r="E775" s="153" t="s">
        <v>309</v>
      </c>
      <c r="F775" s="153" t="s">
        <v>2816</v>
      </c>
      <c r="G775" s="153" t="s">
        <v>2817</v>
      </c>
      <c r="H775" s="153" t="s">
        <v>321</v>
      </c>
      <c r="I775" s="153" t="s">
        <v>951</v>
      </c>
      <c r="J775" s="153" t="s">
        <v>204</v>
      </c>
      <c r="K775" s="153" t="s">
        <v>204</v>
      </c>
      <c r="L775" s="153" t="s">
        <v>325</v>
      </c>
      <c r="M775" s="153" t="s">
        <v>340</v>
      </c>
      <c r="N775" s="153" t="s">
        <v>451</v>
      </c>
      <c r="O775" s="153" t="s">
        <v>339</v>
      </c>
      <c r="P775" s="153" t="s">
        <v>1521</v>
      </c>
      <c r="Q775" s="153" t="s">
        <v>413</v>
      </c>
      <c r="R775" s="153" t="s">
        <v>407</v>
      </c>
      <c r="S775" s="153" t="s">
        <v>1212</v>
      </c>
      <c r="T775" s="154">
        <v>3.62</v>
      </c>
      <c r="U775" s="153" t="s">
        <v>2818</v>
      </c>
      <c r="V775" s="155">
        <v>4.7539999999999999E-2</v>
      </c>
      <c r="W775" s="155">
        <v>5.79E-2</v>
      </c>
      <c r="X775" s="153" t="s">
        <v>412</v>
      </c>
      <c r="Y775" s="153" t="s">
        <v>339</v>
      </c>
      <c r="Z775" s="154">
        <v>199471</v>
      </c>
      <c r="AA775" s="154">
        <v>1</v>
      </c>
      <c r="AB775" s="154">
        <v>90.3</v>
      </c>
      <c r="AD775" s="154">
        <v>180.12200000000001</v>
      </c>
      <c r="AG775" s="157" t="s">
        <v>15</v>
      </c>
      <c r="AH775" s="155">
        <v>2.7E-4</v>
      </c>
      <c r="AI775" s="155">
        <f t="shared" si="12"/>
        <v>1.2656033664731956E-2</v>
      </c>
      <c r="AJ775" s="155">
        <v>4.7489157846540054E-4</v>
      </c>
    </row>
    <row r="776" spans="1:36" s="160" customFormat="1">
      <c r="A776" s="153" t="s">
        <v>1213</v>
      </c>
      <c r="B776" s="160">
        <v>57</v>
      </c>
      <c r="C776" s="153" t="s">
        <v>2361</v>
      </c>
      <c r="D776" s="153" t="s">
        <v>2362</v>
      </c>
      <c r="E776" s="153" t="s">
        <v>309</v>
      </c>
      <c r="F776" s="153" t="s">
        <v>2363</v>
      </c>
      <c r="G776" s="153" t="s">
        <v>2364</v>
      </c>
      <c r="H776" s="153" t="s">
        <v>321</v>
      </c>
      <c r="I776" s="153" t="s">
        <v>951</v>
      </c>
      <c r="J776" s="153" t="s">
        <v>204</v>
      </c>
      <c r="K776" s="153" t="s">
        <v>204</v>
      </c>
      <c r="L776" s="153" t="s">
        <v>325</v>
      </c>
      <c r="M776" s="153" t="s">
        <v>340</v>
      </c>
      <c r="N776" s="153" t="s">
        <v>446</v>
      </c>
      <c r="O776" s="153" t="s">
        <v>339</v>
      </c>
      <c r="P776" s="153" t="s">
        <v>1538</v>
      </c>
      <c r="Q776" s="153" t="s">
        <v>413</v>
      </c>
      <c r="R776" s="153" t="s">
        <v>407</v>
      </c>
      <c r="S776" s="153" t="s">
        <v>1212</v>
      </c>
      <c r="T776" s="154">
        <v>2.62</v>
      </c>
      <c r="U776" s="153" t="s">
        <v>1587</v>
      </c>
      <c r="V776" s="155">
        <v>4.8869999999999997E-2</v>
      </c>
      <c r="W776" s="155">
        <v>5.2200000000000003E-2</v>
      </c>
      <c r="X776" s="153" t="s">
        <v>412</v>
      </c>
      <c r="Y776" s="153" t="s">
        <v>339</v>
      </c>
      <c r="Z776" s="154">
        <v>119665.72</v>
      </c>
      <c r="AA776" s="154">
        <v>1</v>
      </c>
      <c r="AB776" s="154">
        <v>90.15</v>
      </c>
      <c r="AD776" s="154">
        <v>107.879</v>
      </c>
      <c r="AG776" s="157" t="s">
        <v>15</v>
      </c>
      <c r="AH776" s="155">
        <v>1.2999999999999999E-4</v>
      </c>
      <c r="AI776" s="155">
        <f t="shared" si="12"/>
        <v>7.5799749931580746E-3</v>
      </c>
      <c r="AJ776" s="155">
        <v>2.8442293885960041E-4</v>
      </c>
    </row>
    <row r="777" spans="1:36" s="160" customFormat="1">
      <c r="A777" s="153" t="s">
        <v>1213</v>
      </c>
      <c r="B777" s="160">
        <v>57</v>
      </c>
      <c r="C777" s="153" t="s">
        <v>2753</v>
      </c>
      <c r="D777" s="153" t="s">
        <v>2754</v>
      </c>
      <c r="E777" s="153" t="s">
        <v>309</v>
      </c>
      <c r="F777" s="153" t="s">
        <v>2843</v>
      </c>
      <c r="G777" s="153" t="s">
        <v>2844</v>
      </c>
      <c r="H777" s="153" t="s">
        <v>321</v>
      </c>
      <c r="I777" s="153" t="s">
        <v>951</v>
      </c>
      <c r="J777" s="153" t="s">
        <v>204</v>
      </c>
      <c r="K777" s="153" t="s">
        <v>204</v>
      </c>
      <c r="L777" s="153" t="s">
        <v>325</v>
      </c>
      <c r="M777" s="153" t="s">
        <v>340</v>
      </c>
      <c r="N777" s="153" t="s">
        <v>447</v>
      </c>
      <c r="O777" s="153" t="s">
        <v>339</v>
      </c>
      <c r="P777" s="153" t="s">
        <v>1586</v>
      </c>
      <c r="Q777" s="153" t="s">
        <v>415</v>
      </c>
      <c r="R777" s="153" t="s">
        <v>407</v>
      </c>
      <c r="S777" s="153" t="s">
        <v>1212</v>
      </c>
      <c r="T777" s="154">
        <v>0.73</v>
      </c>
      <c r="U777" s="153" t="s">
        <v>1848</v>
      </c>
      <c r="V777" s="155">
        <v>3.5819999999999998E-2</v>
      </c>
      <c r="W777" s="155">
        <v>6.1499999999999999E-2</v>
      </c>
      <c r="X777" s="153" t="s">
        <v>412</v>
      </c>
      <c r="Y777" s="153" t="s">
        <v>339</v>
      </c>
      <c r="Z777" s="154">
        <v>105337.5</v>
      </c>
      <c r="AA777" s="154">
        <v>1</v>
      </c>
      <c r="AB777" s="154">
        <v>99.92</v>
      </c>
      <c r="AD777" s="154">
        <v>105.253</v>
      </c>
      <c r="AG777" s="157" t="s">
        <v>15</v>
      </c>
      <c r="AH777" s="155">
        <v>1.6000000000000001E-3</v>
      </c>
      <c r="AI777" s="155">
        <f t="shared" si="12"/>
        <v>7.3954625826608217E-3</v>
      </c>
      <c r="AJ777" s="155">
        <v>2.7749949094624086E-4</v>
      </c>
    </row>
    <row r="778" spans="1:36" s="160" customFormat="1">
      <c r="A778" s="153" t="s">
        <v>1213</v>
      </c>
      <c r="B778" s="160">
        <v>57</v>
      </c>
      <c r="C778" s="153" t="s">
        <v>2408</v>
      </c>
      <c r="D778" s="153" t="s">
        <v>2409</v>
      </c>
      <c r="E778" s="153" t="s">
        <v>309</v>
      </c>
      <c r="F778" s="153" t="s">
        <v>2410</v>
      </c>
      <c r="G778" s="153" t="s">
        <v>2411</v>
      </c>
      <c r="H778" s="153" t="s">
        <v>321</v>
      </c>
      <c r="I778" s="153" t="s">
        <v>951</v>
      </c>
      <c r="J778" s="153" t="s">
        <v>204</v>
      </c>
      <c r="K778" s="153" t="s">
        <v>204</v>
      </c>
      <c r="L778" s="153" t="s">
        <v>325</v>
      </c>
      <c r="M778" s="153" t="s">
        <v>340</v>
      </c>
      <c r="N778" s="153" t="s">
        <v>451</v>
      </c>
      <c r="O778" s="153" t="s">
        <v>339</v>
      </c>
      <c r="P778" s="153" t="s">
        <v>1521</v>
      </c>
      <c r="Q778" s="153" t="s">
        <v>413</v>
      </c>
      <c r="R778" s="153" t="s">
        <v>407</v>
      </c>
      <c r="S778" s="153" t="s">
        <v>1212</v>
      </c>
      <c r="T778" s="154">
        <v>1.46</v>
      </c>
      <c r="U778" s="153" t="s">
        <v>1522</v>
      </c>
      <c r="V778" s="155">
        <v>2.1659999999999999E-2</v>
      </c>
      <c r="W778" s="155">
        <v>5.8700000000000002E-2</v>
      </c>
      <c r="X778" s="153" t="s">
        <v>412</v>
      </c>
      <c r="Y778" s="153" t="s">
        <v>339</v>
      </c>
      <c r="Z778" s="154">
        <v>105835.95</v>
      </c>
      <c r="AA778" s="154">
        <v>1</v>
      </c>
      <c r="AB778" s="154">
        <v>97.35</v>
      </c>
      <c r="AD778" s="154">
        <v>103.03100000000001</v>
      </c>
      <c r="AG778" s="157" t="s">
        <v>15</v>
      </c>
      <c r="AH778" s="155">
        <v>1.8000000000000001E-4</v>
      </c>
      <c r="AI778" s="155">
        <f t="shared" si="12"/>
        <v>7.2393366968554543E-3</v>
      </c>
      <c r="AJ778" s="155">
        <v>2.7164118886570594E-4</v>
      </c>
    </row>
    <row r="779" spans="1:36" s="160" customFormat="1">
      <c r="A779" s="153" t="s">
        <v>1213</v>
      </c>
      <c r="B779" s="160">
        <v>57</v>
      </c>
      <c r="C779" s="153" t="s">
        <v>2136</v>
      </c>
      <c r="D779" s="153" t="s">
        <v>2137</v>
      </c>
      <c r="E779" s="153" t="s">
        <v>309</v>
      </c>
      <c r="F779" s="153" t="s">
        <v>2698</v>
      </c>
      <c r="G779" s="153" t="s">
        <v>2699</v>
      </c>
      <c r="H779" s="153" t="s">
        <v>321</v>
      </c>
      <c r="I779" s="153" t="s">
        <v>754</v>
      </c>
      <c r="J779" s="153" t="s">
        <v>204</v>
      </c>
      <c r="K779" s="153" t="s">
        <v>204</v>
      </c>
      <c r="L779" s="153" t="s">
        <v>325</v>
      </c>
      <c r="M779" s="153" t="s">
        <v>340</v>
      </c>
      <c r="N779" s="153" t="s">
        <v>440</v>
      </c>
      <c r="O779" s="153" t="s">
        <v>339</v>
      </c>
      <c r="P779" s="153" t="s">
        <v>1566</v>
      </c>
      <c r="Q779" s="153" t="s">
        <v>413</v>
      </c>
      <c r="R779" s="153" t="s">
        <v>407</v>
      </c>
      <c r="S779" s="153" t="s">
        <v>1212</v>
      </c>
      <c r="T779" s="154">
        <v>3.07</v>
      </c>
      <c r="U779" s="153" t="s">
        <v>2700</v>
      </c>
      <c r="V779" s="155">
        <v>2.1430000000000001E-2</v>
      </c>
      <c r="W779" s="155">
        <v>2.5999999999999999E-2</v>
      </c>
      <c r="X779" s="153" t="s">
        <v>412</v>
      </c>
      <c r="Y779" s="153" t="s">
        <v>339</v>
      </c>
      <c r="Z779" s="154">
        <v>85270.399999999994</v>
      </c>
      <c r="AA779" s="154">
        <v>1</v>
      </c>
      <c r="AB779" s="154">
        <v>111.75</v>
      </c>
      <c r="AD779" s="154">
        <v>95.29</v>
      </c>
      <c r="AG779" s="157" t="s">
        <v>15</v>
      </c>
      <c r="AH779" s="155">
        <v>8.0000000000000007E-5</v>
      </c>
      <c r="AI779" s="155">
        <f t="shared" si="12"/>
        <v>6.6954255888359449E-3</v>
      </c>
      <c r="AJ779" s="155">
        <v>2.512320455689367E-4</v>
      </c>
    </row>
    <row r="780" spans="1:36" s="160" customFormat="1">
      <c r="A780" s="153" t="s">
        <v>1213</v>
      </c>
      <c r="B780" s="160">
        <v>57</v>
      </c>
      <c r="C780" s="153" t="s">
        <v>2771</v>
      </c>
      <c r="D780" s="153" t="s">
        <v>2772</v>
      </c>
      <c r="E780" s="153" t="s">
        <v>309</v>
      </c>
      <c r="F780" s="153" t="s">
        <v>2822</v>
      </c>
      <c r="G780" s="153" t="s">
        <v>2823</v>
      </c>
      <c r="H780" s="153" t="s">
        <v>321</v>
      </c>
      <c r="I780" s="153" t="s">
        <v>951</v>
      </c>
      <c r="J780" s="153" t="s">
        <v>204</v>
      </c>
      <c r="K780" s="153" t="s">
        <v>204</v>
      </c>
      <c r="L780" s="153" t="s">
        <v>325</v>
      </c>
      <c r="M780" s="153" t="s">
        <v>340</v>
      </c>
      <c r="N780" s="153" t="s">
        <v>447</v>
      </c>
      <c r="O780" s="153" t="s">
        <v>339</v>
      </c>
      <c r="P780" s="153" t="s">
        <v>1614</v>
      </c>
      <c r="Q780" s="153" t="s">
        <v>415</v>
      </c>
      <c r="R780" s="153" t="s">
        <v>407</v>
      </c>
      <c r="S780" s="153" t="s">
        <v>1212</v>
      </c>
      <c r="T780" s="154">
        <v>1.36</v>
      </c>
      <c r="U780" s="153" t="s">
        <v>1659</v>
      </c>
      <c r="V780" s="155">
        <v>2.818E-2</v>
      </c>
      <c r="W780" s="155">
        <v>5.9299999999999999E-2</v>
      </c>
      <c r="X780" s="153" t="s">
        <v>412</v>
      </c>
      <c r="Y780" s="153" t="s">
        <v>339</v>
      </c>
      <c r="Z780" s="154">
        <v>89239.38</v>
      </c>
      <c r="AA780" s="154">
        <v>1</v>
      </c>
      <c r="AB780" s="154">
        <v>96.89</v>
      </c>
      <c r="AD780" s="154">
        <v>86.463999999999999</v>
      </c>
      <c r="AG780" s="157" t="s">
        <v>15</v>
      </c>
      <c r="AH780" s="155">
        <v>2.9E-4</v>
      </c>
      <c r="AI780" s="155">
        <f t="shared" si="12"/>
        <v>6.0752783934632289E-3</v>
      </c>
      <c r="AJ780" s="155">
        <v>2.2796230022114117E-4</v>
      </c>
    </row>
    <row r="781" spans="1:36" s="160" customFormat="1">
      <c r="A781" s="153" t="s">
        <v>1213</v>
      </c>
      <c r="B781" s="160">
        <v>57</v>
      </c>
      <c r="C781" s="153" t="s">
        <v>2824</v>
      </c>
      <c r="D781" s="153" t="s">
        <v>2825</v>
      </c>
      <c r="E781" s="153" t="s">
        <v>309</v>
      </c>
      <c r="F781" s="153" t="s">
        <v>2826</v>
      </c>
      <c r="G781" s="153" t="s">
        <v>2827</v>
      </c>
      <c r="H781" s="153" t="s">
        <v>321</v>
      </c>
      <c r="I781" s="153" t="s">
        <v>951</v>
      </c>
      <c r="J781" s="153" t="s">
        <v>204</v>
      </c>
      <c r="K781" s="153" t="s">
        <v>204</v>
      </c>
      <c r="L781" s="153" t="s">
        <v>325</v>
      </c>
      <c r="M781" s="153" t="s">
        <v>340</v>
      </c>
      <c r="N781" s="153" t="s">
        <v>463</v>
      </c>
      <c r="O781" s="153" t="s">
        <v>339</v>
      </c>
      <c r="P781" s="153" t="s">
        <v>1521</v>
      </c>
      <c r="Q781" s="153" t="s">
        <v>413</v>
      </c>
      <c r="R781" s="153" t="s">
        <v>407</v>
      </c>
      <c r="S781" s="153" t="s">
        <v>1212</v>
      </c>
      <c r="T781" s="154">
        <v>5.46</v>
      </c>
      <c r="U781" s="153" t="s">
        <v>2828</v>
      </c>
      <c r="V781" s="155">
        <v>2.24E-2</v>
      </c>
      <c r="W781" s="155">
        <v>6.0199999999999997E-2</v>
      </c>
      <c r="X781" s="153" t="s">
        <v>412</v>
      </c>
      <c r="Y781" s="153" t="s">
        <v>339</v>
      </c>
      <c r="Z781" s="154">
        <v>87076.5</v>
      </c>
      <c r="AA781" s="154">
        <v>1</v>
      </c>
      <c r="AB781" s="154">
        <v>82.39</v>
      </c>
      <c r="AD781" s="154">
        <v>71.742000000000004</v>
      </c>
      <c r="AG781" s="157" t="s">
        <v>15</v>
      </c>
      <c r="AH781" s="155">
        <v>9.0000000000000006E-5</v>
      </c>
      <c r="AI781" s="155">
        <f t="shared" si="12"/>
        <v>5.0408565704089447E-3</v>
      </c>
      <c r="AJ781" s="155">
        <v>1.8914775331311425E-4</v>
      </c>
    </row>
    <row r="782" spans="1:36" s="160" customFormat="1">
      <c r="A782" s="153" t="s">
        <v>1213</v>
      </c>
      <c r="B782" s="160">
        <v>57</v>
      </c>
      <c r="C782" s="153" t="s">
        <v>2780</v>
      </c>
      <c r="D782" s="153" t="s">
        <v>2781</v>
      </c>
      <c r="E782" s="153" t="s">
        <v>309</v>
      </c>
      <c r="F782" s="153" t="s">
        <v>2782</v>
      </c>
      <c r="G782" s="153" t="s">
        <v>2783</v>
      </c>
      <c r="H782" s="153" t="s">
        <v>321</v>
      </c>
      <c r="I782" s="153" t="s">
        <v>754</v>
      </c>
      <c r="J782" s="153" t="s">
        <v>204</v>
      </c>
      <c r="K782" s="153" t="s">
        <v>204</v>
      </c>
      <c r="L782" s="153" t="s">
        <v>325</v>
      </c>
      <c r="M782" s="153" t="s">
        <v>340</v>
      </c>
      <c r="N782" s="153" t="s">
        <v>464</v>
      </c>
      <c r="O782" s="153" t="s">
        <v>339</v>
      </c>
      <c r="P782" s="153" t="s">
        <v>1560</v>
      </c>
      <c r="Q782" s="153" t="s">
        <v>413</v>
      </c>
      <c r="R782" s="153" t="s">
        <v>407</v>
      </c>
      <c r="S782" s="153" t="s">
        <v>1212</v>
      </c>
      <c r="T782" s="154">
        <v>1.44</v>
      </c>
      <c r="U782" s="153" t="s">
        <v>1741</v>
      </c>
      <c r="V782" s="155">
        <v>3.1660000000000001E-2</v>
      </c>
      <c r="W782" s="155">
        <v>2.7900000000000001E-2</v>
      </c>
      <c r="X782" s="153" t="s">
        <v>412</v>
      </c>
      <c r="Y782" s="153" t="s">
        <v>339</v>
      </c>
      <c r="Z782" s="154">
        <v>48642.27</v>
      </c>
      <c r="AA782" s="154">
        <v>1</v>
      </c>
      <c r="AB782" s="154">
        <v>118.52</v>
      </c>
      <c r="AD782" s="154">
        <v>57.651000000000003</v>
      </c>
      <c r="AG782" s="157" t="s">
        <v>15</v>
      </c>
      <c r="AH782" s="155">
        <v>1.3999999999999999E-4</v>
      </c>
      <c r="AI782" s="155">
        <f t="shared" si="12"/>
        <v>4.0507711262669855E-3</v>
      </c>
      <c r="AJ782" s="155">
        <v>1.5199683764397911E-4</v>
      </c>
    </row>
    <row r="783" spans="1:36" s="160" customFormat="1">
      <c r="A783" s="153" t="s">
        <v>1213</v>
      </c>
      <c r="B783" s="160">
        <v>57</v>
      </c>
      <c r="C783" s="153" t="s">
        <v>1973</v>
      </c>
      <c r="D783" s="153" t="s">
        <v>1974</v>
      </c>
      <c r="E783" s="153" t="s">
        <v>309</v>
      </c>
      <c r="F783" s="153" t="s">
        <v>2004</v>
      </c>
      <c r="G783" s="153" t="s">
        <v>2005</v>
      </c>
      <c r="H783" s="153" t="s">
        <v>321</v>
      </c>
      <c r="I783" s="153" t="s">
        <v>754</v>
      </c>
      <c r="J783" s="153" t="s">
        <v>204</v>
      </c>
      <c r="K783" s="153" t="s">
        <v>204</v>
      </c>
      <c r="L783" s="153" t="s">
        <v>325</v>
      </c>
      <c r="M783" s="153" t="s">
        <v>340</v>
      </c>
      <c r="N783" s="153" t="s">
        <v>464</v>
      </c>
      <c r="O783" s="153" t="s">
        <v>339</v>
      </c>
      <c r="P783" s="153" t="s">
        <v>1538</v>
      </c>
      <c r="Q783" s="153" t="s">
        <v>413</v>
      </c>
      <c r="R783" s="153" t="s">
        <v>407</v>
      </c>
      <c r="S783" s="153" t="s">
        <v>1212</v>
      </c>
      <c r="T783" s="154">
        <v>3.44</v>
      </c>
      <c r="U783" s="153" t="s">
        <v>1913</v>
      </c>
      <c r="V783" s="155">
        <v>4.4319999999999998E-2</v>
      </c>
      <c r="W783" s="155">
        <v>2.93E-2</v>
      </c>
      <c r="X783" s="153" t="s">
        <v>412</v>
      </c>
      <c r="Y783" s="153" t="s">
        <v>339</v>
      </c>
      <c r="Z783" s="154">
        <v>13443</v>
      </c>
      <c r="AA783" s="154">
        <v>1</v>
      </c>
      <c r="AB783" s="154">
        <v>117.13</v>
      </c>
      <c r="AD783" s="154">
        <v>15.746</v>
      </c>
      <c r="AG783" s="157" t="s">
        <v>15</v>
      </c>
      <c r="AH783" s="155">
        <v>1.0000000000000001E-5</v>
      </c>
      <c r="AI783" s="155">
        <f t="shared" si="12"/>
        <v>1.1063718262337159E-3</v>
      </c>
      <c r="AJ783" s="155">
        <v>4.1514322484295069E-5</v>
      </c>
    </row>
    <row r="784" spans="1:36" s="160" customFormat="1">
      <c r="A784" s="153" t="s">
        <v>1213</v>
      </c>
      <c r="B784" s="160">
        <v>57</v>
      </c>
      <c r="C784" s="153" t="s">
        <v>1917</v>
      </c>
      <c r="D784" s="153" t="s">
        <v>1918</v>
      </c>
      <c r="E784" s="153" t="s">
        <v>309</v>
      </c>
      <c r="F784" s="153" t="s">
        <v>2799</v>
      </c>
      <c r="G784" s="153" t="s">
        <v>2800</v>
      </c>
      <c r="H784" s="153" t="s">
        <v>321</v>
      </c>
      <c r="I784" s="153" t="s">
        <v>951</v>
      </c>
      <c r="J784" s="153" t="s">
        <v>204</v>
      </c>
      <c r="K784" s="153" t="s">
        <v>204</v>
      </c>
      <c r="L784" s="153" t="s">
        <v>325</v>
      </c>
      <c r="M784" s="153" t="s">
        <v>340</v>
      </c>
      <c r="N784" s="153" t="s">
        <v>447</v>
      </c>
      <c r="O784" s="153" t="s">
        <v>339</v>
      </c>
      <c r="P784" s="153" t="s">
        <v>1560</v>
      </c>
      <c r="Q784" s="153" t="s">
        <v>413</v>
      </c>
      <c r="R784" s="153" t="s">
        <v>407</v>
      </c>
      <c r="S784" s="153" t="s">
        <v>1212</v>
      </c>
      <c r="T784" s="154">
        <v>0.6</v>
      </c>
      <c r="U784" s="153" t="s">
        <v>2801</v>
      </c>
      <c r="V784" s="155">
        <v>4.0579999999999998E-2</v>
      </c>
      <c r="W784" s="155">
        <v>6.13E-2</v>
      </c>
      <c r="X784" s="153" t="s">
        <v>412</v>
      </c>
      <c r="Y784" s="153" t="s">
        <v>339</v>
      </c>
      <c r="Z784" s="154">
        <v>9835.33</v>
      </c>
      <c r="AA784" s="154">
        <v>1</v>
      </c>
      <c r="AB784" s="154">
        <v>100.56</v>
      </c>
      <c r="AD784" s="154">
        <v>9.89</v>
      </c>
      <c r="AG784" s="157" t="s">
        <v>15</v>
      </c>
      <c r="AH784" s="155">
        <v>8.0000000000000007E-5</v>
      </c>
      <c r="AI784" s="155">
        <f t="shared" si="12"/>
        <v>6.9490774555134324E-4</v>
      </c>
      <c r="AJ784" s="155">
        <v>2.6074980907511637E-5</v>
      </c>
    </row>
    <row r="785" spans="1:36" s="160" customFormat="1">
      <c r="A785" s="153" t="s">
        <v>1213</v>
      </c>
      <c r="B785" s="160">
        <v>57</v>
      </c>
      <c r="C785" s="153" t="s">
        <v>2829</v>
      </c>
      <c r="D785" s="153" t="s">
        <v>2830</v>
      </c>
      <c r="E785" s="153" t="s">
        <v>80</v>
      </c>
      <c r="F785" s="153" t="s">
        <v>2831</v>
      </c>
      <c r="G785" s="153" t="s">
        <v>2832</v>
      </c>
      <c r="H785" s="153" t="s">
        <v>321</v>
      </c>
      <c r="I785" s="153" t="s">
        <v>755</v>
      </c>
      <c r="J785" s="153" t="s">
        <v>205</v>
      </c>
      <c r="K785" s="153" t="s">
        <v>245</v>
      </c>
      <c r="L785" s="153" t="s">
        <v>325</v>
      </c>
      <c r="M785" s="153" t="s">
        <v>314</v>
      </c>
      <c r="N785" s="153" t="s">
        <v>491</v>
      </c>
      <c r="O785" s="153" t="s">
        <v>339</v>
      </c>
      <c r="P785" s="153" t="s">
        <v>2833</v>
      </c>
      <c r="Q785" s="153" t="s">
        <v>433</v>
      </c>
      <c r="R785" s="153" t="s">
        <v>407</v>
      </c>
      <c r="S785" s="153" t="s">
        <v>1216</v>
      </c>
      <c r="T785" s="154">
        <v>4.0339999999999998</v>
      </c>
      <c r="U785" s="153" t="s">
        <v>2834</v>
      </c>
      <c r="V785" s="155">
        <v>3.3059999999999999E-2</v>
      </c>
      <c r="W785" s="155">
        <v>5.1709999999999999E-2</v>
      </c>
      <c r="X785" s="153" t="s">
        <v>412</v>
      </c>
      <c r="Y785" s="153" t="s">
        <v>339</v>
      </c>
      <c r="Z785" s="154">
        <v>167000</v>
      </c>
      <c r="AA785" s="154">
        <v>3.71</v>
      </c>
      <c r="AB785" s="154">
        <v>95.608999999999995</v>
      </c>
      <c r="AD785" s="154">
        <v>592.36500000000001</v>
      </c>
      <c r="AG785" s="157" t="s">
        <v>15</v>
      </c>
      <c r="AH785" s="155">
        <v>3.3E-4</v>
      </c>
      <c r="AI785" s="155">
        <f t="shared" si="12"/>
        <v>4.162174182947638E-2</v>
      </c>
      <c r="AJ785" s="155">
        <v>1.561770077378982E-3</v>
      </c>
    </row>
    <row r="786" spans="1:36" s="160" customFormat="1">
      <c r="A786" s="153" t="s">
        <v>1213</v>
      </c>
      <c r="B786" s="160">
        <v>62</v>
      </c>
      <c r="C786" s="153" t="s">
        <v>1573</v>
      </c>
      <c r="D786" s="153" t="s">
        <v>1574</v>
      </c>
      <c r="E786" s="153" t="s">
        <v>309</v>
      </c>
      <c r="F786" s="153" t="s">
        <v>2536</v>
      </c>
      <c r="G786" s="153" t="s">
        <v>2537</v>
      </c>
      <c r="H786" s="153" t="s">
        <v>321</v>
      </c>
      <c r="I786" s="153" t="s">
        <v>754</v>
      </c>
      <c r="J786" s="153" t="s">
        <v>204</v>
      </c>
      <c r="K786" s="153" t="s">
        <v>204</v>
      </c>
      <c r="L786" s="153" t="s">
        <v>325</v>
      </c>
      <c r="M786" s="153" t="s">
        <v>340</v>
      </c>
      <c r="N786" s="153" t="s">
        <v>448</v>
      </c>
      <c r="O786" s="153" t="s">
        <v>339</v>
      </c>
      <c r="P786" s="153" t="s">
        <v>1215</v>
      </c>
      <c r="Q786" s="153" t="s">
        <v>413</v>
      </c>
      <c r="R786" s="153" t="s">
        <v>407</v>
      </c>
      <c r="S786" s="153" t="s">
        <v>1212</v>
      </c>
      <c r="T786" s="154">
        <v>5.14</v>
      </c>
      <c r="U786" s="153" t="s">
        <v>2538</v>
      </c>
      <c r="V786" s="155">
        <v>-7.7600000000000004E-3</v>
      </c>
      <c r="W786" s="155">
        <v>2.6200000000000001E-2</v>
      </c>
      <c r="X786" s="153" t="s">
        <v>412</v>
      </c>
      <c r="Y786" s="153" t="s">
        <v>339</v>
      </c>
      <c r="Z786" s="154">
        <v>20997000</v>
      </c>
      <c r="AA786" s="154">
        <v>1</v>
      </c>
      <c r="AB786" s="154">
        <v>99.1</v>
      </c>
      <c r="AD786" s="154">
        <v>20808.026999999998</v>
      </c>
      <c r="AG786" s="157" t="s">
        <v>15</v>
      </c>
      <c r="AH786" s="155">
        <v>8.4399999999999996E-3</v>
      </c>
      <c r="AI786" s="155">
        <f t="shared" si="12"/>
        <v>4.953128405338305E-2</v>
      </c>
      <c r="AJ786" s="155">
        <v>4.6737788091992015E-3</v>
      </c>
    </row>
    <row r="787" spans="1:36" s="160" customFormat="1">
      <c r="A787" s="153" t="s">
        <v>1213</v>
      </c>
      <c r="B787" s="160">
        <v>62</v>
      </c>
      <c r="C787" s="153" t="s">
        <v>1573</v>
      </c>
      <c r="D787" s="153" t="s">
        <v>1574</v>
      </c>
      <c r="E787" s="153" t="s">
        <v>309</v>
      </c>
      <c r="F787" s="153" t="s">
        <v>2277</v>
      </c>
      <c r="G787" s="153" t="s">
        <v>2278</v>
      </c>
      <c r="H787" s="153" t="s">
        <v>321</v>
      </c>
      <c r="I787" s="153" t="s">
        <v>754</v>
      </c>
      <c r="J787" s="153" t="s">
        <v>204</v>
      </c>
      <c r="K787" s="153" t="s">
        <v>204</v>
      </c>
      <c r="L787" s="153" t="s">
        <v>325</v>
      </c>
      <c r="M787" s="153" t="s">
        <v>340</v>
      </c>
      <c r="N787" s="153" t="s">
        <v>448</v>
      </c>
      <c r="O787" s="153" t="s">
        <v>339</v>
      </c>
      <c r="P787" s="153" t="s">
        <v>1215</v>
      </c>
      <c r="Q787" s="153" t="s">
        <v>413</v>
      </c>
      <c r="R787" s="153" t="s">
        <v>407</v>
      </c>
      <c r="S787" s="153" t="s">
        <v>1212</v>
      </c>
      <c r="T787" s="154">
        <v>3.14</v>
      </c>
      <c r="U787" s="153" t="s">
        <v>2279</v>
      </c>
      <c r="V787" s="155">
        <v>1.49E-2</v>
      </c>
      <c r="W787" s="155">
        <v>2.3099999999999999E-2</v>
      </c>
      <c r="X787" s="153" t="s">
        <v>412</v>
      </c>
      <c r="Y787" s="153" t="s">
        <v>339</v>
      </c>
      <c r="Z787" s="154">
        <v>14546935</v>
      </c>
      <c r="AA787" s="154">
        <v>1</v>
      </c>
      <c r="AB787" s="154">
        <v>105.15</v>
      </c>
      <c r="AD787" s="154">
        <v>15296.102000000001</v>
      </c>
      <c r="AG787" s="157" t="s">
        <v>15</v>
      </c>
      <c r="AH787" s="155">
        <v>4.64E-3</v>
      </c>
      <c r="AI787" s="155">
        <f t="shared" si="12"/>
        <v>3.6410735773820396E-2</v>
      </c>
      <c r="AJ787" s="155">
        <v>3.4357220600948627E-3</v>
      </c>
    </row>
    <row r="788" spans="1:36" s="160" customFormat="1">
      <c r="A788" s="153" t="s">
        <v>1213</v>
      </c>
      <c r="B788" s="160">
        <v>62</v>
      </c>
      <c r="C788" s="153" t="s">
        <v>455</v>
      </c>
      <c r="D788" s="153" t="s">
        <v>2106</v>
      </c>
      <c r="E788" s="153" t="s">
        <v>309</v>
      </c>
      <c r="F788" s="153" t="s">
        <v>2289</v>
      </c>
      <c r="G788" s="153" t="s">
        <v>2290</v>
      </c>
      <c r="H788" s="153" t="s">
        <v>321</v>
      </c>
      <c r="I788" s="153" t="s">
        <v>754</v>
      </c>
      <c r="J788" s="153" t="s">
        <v>204</v>
      </c>
      <c r="K788" s="153" t="s">
        <v>204</v>
      </c>
      <c r="L788" s="153" t="s">
        <v>325</v>
      </c>
      <c r="M788" s="153" t="s">
        <v>340</v>
      </c>
      <c r="N788" s="153" t="s">
        <v>440</v>
      </c>
      <c r="O788" s="153" t="s">
        <v>339</v>
      </c>
      <c r="P788" s="153" t="s">
        <v>1923</v>
      </c>
      <c r="Q788" s="153" t="s">
        <v>415</v>
      </c>
      <c r="R788" s="153" t="s">
        <v>407</v>
      </c>
      <c r="S788" s="153" t="s">
        <v>1212</v>
      </c>
      <c r="T788" s="154">
        <v>3.44</v>
      </c>
      <c r="U788" s="153" t="s">
        <v>2291</v>
      </c>
      <c r="V788" s="155">
        <v>1.37E-2</v>
      </c>
      <c r="W788" s="155">
        <v>2.5700000000000001E-2</v>
      </c>
      <c r="X788" s="153" t="s">
        <v>412</v>
      </c>
      <c r="Y788" s="153" t="s">
        <v>339</v>
      </c>
      <c r="Z788" s="154">
        <v>11644749.189999999</v>
      </c>
      <c r="AA788" s="154">
        <v>1</v>
      </c>
      <c r="AB788" s="154">
        <v>121.2</v>
      </c>
      <c r="AC788" s="154">
        <v>260.32600000000002</v>
      </c>
      <c r="AD788" s="154">
        <v>14373.762000000001</v>
      </c>
      <c r="AG788" s="157" t="s">
        <v>15</v>
      </c>
      <c r="AH788" s="155">
        <v>4.5599999999999998E-3</v>
      </c>
      <c r="AI788" s="155">
        <f t="shared" si="12"/>
        <v>3.4215203994964215E-2</v>
      </c>
      <c r="AJ788" s="155">
        <v>3.2285513779885394E-3</v>
      </c>
    </row>
    <row r="789" spans="1:36" s="160" customFormat="1">
      <c r="A789" s="153" t="s">
        <v>1213</v>
      </c>
      <c r="B789" s="160">
        <v>62</v>
      </c>
      <c r="C789" s="153" t="s">
        <v>455</v>
      </c>
      <c r="D789" s="153" t="s">
        <v>2106</v>
      </c>
      <c r="E789" s="153" t="s">
        <v>309</v>
      </c>
      <c r="F789" s="153" t="s">
        <v>2160</v>
      </c>
      <c r="G789" s="153" t="s">
        <v>2161</v>
      </c>
      <c r="H789" s="153" t="s">
        <v>321</v>
      </c>
      <c r="I789" s="153" t="s">
        <v>754</v>
      </c>
      <c r="J789" s="153" t="s">
        <v>204</v>
      </c>
      <c r="K789" s="153" t="s">
        <v>204</v>
      </c>
      <c r="L789" s="153" t="s">
        <v>325</v>
      </c>
      <c r="M789" s="153" t="s">
        <v>340</v>
      </c>
      <c r="N789" s="153" t="s">
        <v>440</v>
      </c>
      <c r="O789" s="153" t="s">
        <v>339</v>
      </c>
      <c r="P789" s="153" t="s">
        <v>1923</v>
      </c>
      <c r="Q789" s="153" t="s">
        <v>415</v>
      </c>
      <c r="R789" s="153" t="s">
        <v>407</v>
      </c>
      <c r="S789" s="153" t="s">
        <v>1212</v>
      </c>
      <c r="T789" s="154">
        <v>0.9</v>
      </c>
      <c r="U789" s="153" t="s">
        <v>2162</v>
      </c>
      <c r="V789" s="155">
        <v>1.908E-2</v>
      </c>
      <c r="W789" s="155">
        <v>2.6100000000000002E-2</v>
      </c>
      <c r="X789" s="153" t="s">
        <v>412</v>
      </c>
      <c r="Y789" s="153" t="s">
        <v>339</v>
      </c>
      <c r="Z789" s="154">
        <v>10728836</v>
      </c>
      <c r="AA789" s="154">
        <v>1</v>
      </c>
      <c r="AB789" s="154">
        <v>119.4</v>
      </c>
      <c r="AD789" s="154">
        <v>12810.23</v>
      </c>
      <c r="AG789" s="157" t="s">
        <v>15</v>
      </c>
      <c r="AH789" s="155">
        <v>3.63E-3</v>
      </c>
      <c r="AI789" s="155">
        <f t="shared" si="12"/>
        <v>3.0493383198665069E-2</v>
      </c>
      <c r="AJ789" s="155">
        <v>2.8773598532416305E-3</v>
      </c>
    </row>
    <row r="790" spans="1:36" s="160" customFormat="1">
      <c r="A790" s="153" t="s">
        <v>1213</v>
      </c>
      <c r="B790" s="160">
        <v>62</v>
      </c>
      <c r="C790" s="153" t="s">
        <v>1512</v>
      </c>
      <c r="D790" s="153" t="s">
        <v>1513</v>
      </c>
      <c r="E790" s="153" t="s">
        <v>309</v>
      </c>
      <c r="F790" s="153" t="s">
        <v>2220</v>
      </c>
      <c r="G790" s="153" t="s">
        <v>2221</v>
      </c>
      <c r="H790" s="153" t="s">
        <v>321</v>
      </c>
      <c r="I790" s="153" t="s">
        <v>951</v>
      </c>
      <c r="J790" s="153" t="s">
        <v>204</v>
      </c>
      <c r="K790" s="153" t="s">
        <v>204</v>
      </c>
      <c r="L790" s="153" t="s">
        <v>325</v>
      </c>
      <c r="M790" s="153" t="s">
        <v>340</v>
      </c>
      <c r="N790" s="153" t="s">
        <v>448</v>
      </c>
      <c r="O790" s="153" t="s">
        <v>339</v>
      </c>
      <c r="P790" s="153" t="s">
        <v>1215</v>
      </c>
      <c r="Q790" s="153" t="s">
        <v>413</v>
      </c>
      <c r="R790" s="153" t="s">
        <v>407</v>
      </c>
      <c r="S790" s="153" t="s">
        <v>1212</v>
      </c>
      <c r="T790" s="154">
        <v>0.68</v>
      </c>
      <c r="U790" s="153" t="s">
        <v>2222</v>
      </c>
      <c r="V790" s="155">
        <v>4.0000000000000003E-5</v>
      </c>
      <c r="W790" s="155">
        <v>4.4600000000000001E-2</v>
      </c>
      <c r="X790" s="153" t="s">
        <v>412</v>
      </c>
      <c r="Y790" s="153" t="s">
        <v>339</v>
      </c>
      <c r="Z790" s="154">
        <v>12763784</v>
      </c>
      <c r="AA790" s="154">
        <v>1</v>
      </c>
      <c r="AB790" s="154">
        <v>99.95</v>
      </c>
      <c r="AD790" s="154">
        <v>12757.402</v>
      </c>
      <c r="AG790" s="157" t="s">
        <v>15</v>
      </c>
      <c r="AH790" s="155">
        <v>5.0200000000000002E-3</v>
      </c>
      <c r="AI790" s="155">
        <f t="shared" si="12"/>
        <v>3.0367631791577216E-2</v>
      </c>
      <c r="AJ790" s="155">
        <v>2.8654939330882024E-3</v>
      </c>
    </row>
    <row r="791" spans="1:36" s="160" customFormat="1">
      <c r="A791" s="153" t="s">
        <v>1213</v>
      </c>
      <c r="B791" s="160">
        <v>62</v>
      </c>
      <c r="C791" s="153" t="s">
        <v>1600</v>
      </c>
      <c r="D791" s="153" t="s">
        <v>1601</v>
      </c>
      <c r="E791" s="153" t="s">
        <v>309</v>
      </c>
      <c r="F791" s="153" t="s">
        <v>2701</v>
      </c>
      <c r="G791" s="153" t="s">
        <v>2702</v>
      </c>
      <c r="H791" s="153" t="s">
        <v>321</v>
      </c>
      <c r="I791" s="153" t="s">
        <v>754</v>
      </c>
      <c r="J791" s="153" t="s">
        <v>204</v>
      </c>
      <c r="K791" s="153" t="s">
        <v>204</v>
      </c>
      <c r="L791" s="153" t="s">
        <v>325</v>
      </c>
      <c r="M791" s="153" t="s">
        <v>340</v>
      </c>
      <c r="N791" s="153" t="s">
        <v>448</v>
      </c>
      <c r="O791" s="153" t="s">
        <v>339</v>
      </c>
      <c r="P791" s="153" t="s">
        <v>1566</v>
      </c>
      <c r="Q791" s="153" t="s">
        <v>413</v>
      </c>
      <c r="R791" s="153" t="s">
        <v>407</v>
      </c>
      <c r="S791" s="153" t="s">
        <v>1212</v>
      </c>
      <c r="T791" s="154">
        <v>4.68</v>
      </c>
      <c r="U791" s="153" t="s">
        <v>2703</v>
      </c>
      <c r="V791" s="155">
        <v>3.7100000000000001E-2</v>
      </c>
      <c r="W791" s="155">
        <v>3.1600000000000003E-2</v>
      </c>
      <c r="X791" s="153" t="s">
        <v>411</v>
      </c>
      <c r="Y791" s="153" t="s">
        <v>339</v>
      </c>
      <c r="Z791" s="154">
        <v>10700000</v>
      </c>
      <c r="AA791" s="154">
        <v>1</v>
      </c>
      <c r="AB791" s="154">
        <v>108.99</v>
      </c>
      <c r="AD791" s="154">
        <v>11661.93</v>
      </c>
      <c r="AG791" s="157" t="s">
        <v>15</v>
      </c>
      <c r="AH791" s="155">
        <v>2.785E-2</v>
      </c>
      <c r="AI791" s="155">
        <f t="shared" si="12"/>
        <v>2.7759977793217466E-2</v>
      </c>
      <c r="AJ791" s="155">
        <v>2.6194353413884191E-3</v>
      </c>
    </row>
    <row r="792" spans="1:36" s="160" customFormat="1">
      <c r="A792" s="153" t="s">
        <v>1213</v>
      </c>
      <c r="B792" s="160">
        <v>62</v>
      </c>
      <c r="C792" s="153" t="s">
        <v>1718</v>
      </c>
      <c r="D792" s="153" t="s">
        <v>1719</v>
      </c>
      <c r="E792" s="153" t="s">
        <v>309</v>
      </c>
      <c r="F792" s="153" t="s">
        <v>1720</v>
      </c>
      <c r="G792" s="153" t="s">
        <v>1721</v>
      </c>
      <c r="H792" s="153" t="s">
        <v>321</v>
      </c>
      <c r="I792" s="153" t="s">
        <v>951</v>
      </c>
      <c r="J792" s="153" t="s">
        <v>204</v>
      </c>
      <c r="K792" s="153" t="s">
        <v>204</v>
      </c>
      <c r="L792" s="153" t="s">
        <v>325</v>
      </c>
      <c r="M792" s="153" t="s">
        <v>340</v>
      </c>
      <c r="N792" s="153" t="s">
        <v>440</v>
      </c>
      <c r="O792" s="153" t="s">
        <v>339</v>
      </c>
      <c r="P792" s="153" t="s">
        <v>1527</v>
      </c>
      <c r="Q792" s="153" t="s">
        <v>415</v>
      </c>
      <c r="R792" s="153" t="s">
        <v>407</v>
      </c>
      <c r="S792" s="153" t="s">
        <v>1212</v>
      </c>
      <c r="T792" s="154">
        <v>3</v>
      </c>
      <c r="U792" s="153" t="s">
        <v>1722</v>
      </c>
      <c r="V792" s="155">
        <v>7.2499999999999995E-2</v>
      </c>
      <c r="W792" s="155">
        <v>6.4000000000000001E-2</v>
      </c>
      <c r="X792" s="153" t="s">
        <v>412</v>
      </c>
      <c r="Y792" s="153" t="s">
        <v>339</v>
      </c>
      <c r="Z792" s="154">
        <v>10069200</v>
      </c>
      <c r="AA792" s="154">
        <v>1</v>
      </c>
      <c r="AB792" s="154">
        <v>105.92</v>
      </c>
      <c r="AD792" s="154">
        <v>10665.297</v>
      </c>
      <c r="AG792" s="157" t="s">
        <v>15</v>
      </c>
      <c r="AH792" s="155">
        <v>1.3979999999999999E-2</v>
      </c>
      <c r="AI792" s="155">
        <f t="shared" si="12"/>
        <v>2.5387599469218976E-2</v>
      </c>
      <c r="AJ792" s="155">
        <v>2.395577394839781E-3</v>
      </c>
    </row>
    <row r="793" spans="1:36" s="160" customFormat="1">
      <c r="A793" s="153" t="s">
        <v>1213</v>
      </c>
      <c r="B793" s="160">
        <v>62</v>
      </c>
      <c r="C793" s="153" t="s">
        <v>1600</v>
      </c>
      <c r="D793" s="153" t="s">
        <v>1601</v>
      </c>
      <c r="E793" s="153" t="s">
        <v>309</v>
      </c>
      <c r="F793" s="153" t="s">
        <v>2333</v>
      </c>
      <c r="G793" s="153" t="s">
        <v>2334</v>
      </c>
      <c r="H793" s="153" t="s">
        <v>321</v>
      </c>
      <c r="I793" s="153" t="s">
        <v>754</v>
      </c>
      <c r="J793" s="153" t="s">
        <v>204</v>
      </c>
      <c r="K793" s="153" t="s">
        <v>204</v>
      </c>
      <c r="L793" s="153" t="s">
        <v>325</v>
      </c>
      <c r="M793" s="153" t="s">
        <v>340</v>
      </c>
      <c r="N793" s="153" t="s">
        <v>448</v>
      </c>
      <c r="O793" s="153" t="s">
        <v>339</v>
      </c>
      <c r="P793" s="153" t="s">
        <v>1215</v>
      </c>
      <c r="Q793" s="153" t="s">
        <v>413</v>
      </c>
      <c r="R793" s="153" t="s">
        <v>407</v>
      </c>
      <c r="S793" s="153" t="s">
        <v>1212</v>
      </c>
      <c r="T793" s="154">
        <v>3.56</v>
      </c>
      <c r="U793" s="153" t="s">
        <v>2335</v>
      </c>
      <c r="V793" s="155">
        <v>-5.3200000000000001E-3</v>
      </c>
      <c r="W793" s="155">
        <v>2.4E-2</v>
      </c>
      <c r="X793" s="153" t="s">
        <v>412</v>
      </c>
      <c r="Y793" s="153" t="s">
        <v>339</v>
      </c>
      <c r="Z793" s="154">
        <v>10120800</v>
      </c>
      <c r="AA793" s="154">
        <v>1</v>
      </c>
      <c r="AB793" s="154">
        <v>103.73</v>
      </c>
      <c r="AD793" s="154">
        <v>10498.306</v>
      </c>
      <c r="AG793" s="157" t="s">
        <v>15</v>
      </c>
      <c r="AH793" s="155">
        <v>8.9999999999999993E-3</v>
      </c>
      <c r="AI793" s="155">
        <f t="shared" si="12"/>
        <v>2.4990095243789121E-2</v>
      </c>
      <c r="AJ793" s="155">
        <v>2.3580688411875298E-3</v>
      </c>
    </row>
    <row r="794" spans="1:36" s="160" customFormat="1">
      <c r="A794" s="153" t="s">
        <v>1213</v>
      </c>
      <c r="B794" s="160">
        <v>62</v>
      </c>
      <c r="C794" s="153" t="s">
        <v>2748</v>
      </c>
      <c r="D794" s="153" t="s">
        <v>2749</v>
      </c>
      <c r="E794" s="153" t="s">
        <v>309</v>
      </c>
      <c r="F794" s="153" t="s">
        <v>2750</v>
      </c>
      <c r="G794" s="153" t="s">
        <v>2751</v>
      </c>
      <c r="H794" s="153" t="s">
        <v>321</v>
      </c>
      <c r="I794" s="153" t="s">
        <v>754</v>
      </c>
      <c r="J794" s="153" t="s">
        <v>204</v>
      </c>
      <c r="K794" s="153" t="s">
        <v>204</v>
      </c>
      <c r="L794" s="153" t="s">
        <v>325</v>
      </c>
      <c r="M794" s="153" t="s">
        <v>340</v>
      </c>
      <c r="N794" s="153" t="s">
        <v>464</v>
      </c>
      <c r="O794" s="153" t="s">
        <v>339</v>
      </c>
      <c r="P794" s="153" t="s">
        <v>1560</v>
      </c>
      <c r="Q794" s="153" t="s">
        <v>413</v>
      </c>
      <c r="R794" s="153" t="s">
        <v>407</v>
      </c>
      <c r="S794" s="153" t="s">
        <v>1212</v>
      </c>
      <c r="T794" s="154">
        <v>4.3600000000000003</v>
      </c>
      <c r="U794" s="153" t="s">
        <v>2752</v>
      </c>
      <c r="V794" s="155">
        <v>3.9379999999999998E-2</v>
      </c>
      <c r="W794" s="155">
        <v>3.5099999999999999E-2</v>
      </c>
      <c r="X794" s="153" t="s">
        <v>412</v>
      </c>
      <c r="Y794" s="153" t="s">
        <v>339</v>
      </c>
      <c r="Z794" s="154">
        <v>8730487.5</v>
      </c>
      <c r="AA794" s="154">
        <v>1</v>
      </c>
      <c r="AB794" s="154">
        <v>108.78</v>
      </c>
      <c r="AD794" s="154">
        <v>9497.0239999999994</v>
      </c>
      <c r="AG794" s="157" t="s">
        <v>15</v>
      </c>
      <c r="AH794" s="155">
        <v>2.1139999999999999E-2</v>
      </c>
      <c r="AI794" s="155">
        <f t="shared" si="12"/>
        <v>2.2606650472233435E-2</v>
      </c>
      <c r="AJ794" s="155">
        <v>2.133166663117855E-3</v>
      </c>
    </row>
    <row r="795" spans="1:36" s="160" customFormat="1">
      <c r="A795" s="153" t="s">
        <v>1213</v>
      </c>
      <c r="B795" s="160">
        <v>62</v>
      </c>
      <c r="C795" s="153" t="s">
        <v>1512</v>
      </c>
      <c r="D795" s="153" t="s">
        <v>1513</v>
      </c>
      <c r="E795" s="153" t="s">
        <v>309</v>
      </c>
      <c r="F795" s="153" t="s">
        <v>1898</v>
      </c>
      <c r="G795" s="153" t="s">
        <v>1899</v>
      </c>
      <c r="H795" s="153" t="s">
        <v>321</v>
      </c>
      <c r="I795" s="153" t="s">
        <v>754</v>
      </c>
      <c r="J795" s="153" t="s">
        <v>204</v>
      </c>
      <c r="K795" s="153" t="s">
        <v>204</v>
      </c>
      <c r="L795" s="153" t="s">
        <v>325</v>
      </c>
      <c r="M795" s="153" t="s">
        <v>340</v>
      </c>
      <c r="N795" s="153" t="s">
        <v>448</v>
      </c>
      <c r="O795" s="153" t="s">
        <v>339</v>
      </c>
      <c r="P795" s="153" t="s">
        <v>1215</v>
      </c>
      <c r="Q795" s="153" t="s">
        <v>413</v>
      </c>
      <c r="R795" s="153" t="s">
        <v>407</v>
      </c>
      <c r="S795" s="153" t="s">
        <v>1212</v>
      </c>
      <c r="T795" s="154">
        <v>3.43</v>
      </c>
      <c r="U795" s="153" t="s">
        <v>1900</v>
      </c>
      <c r="V795" s="155">
        <v>-3.5899999999999999E-3</v>
      </c>
      <c r="W795" s="155">
        <v>2.4799999999999999E-2</v>
      </c>
      <c r="X795" s="153" t="s">
        <v>412</v>
      </c>
      <c r="Y795" s="153" t="s">
        <v>339</v>
      </c>
      <c r="Z795" s="154">
        <v>8632024.4100000001</v>
      </c>
      <c r="AA795" s="154">
        <v>1</v>
      </c>
      <c r="AB795" s="154">
        <v>102.63</v>
      </c>
      <c r="AD795" s="154">
        <v>8859.0470000000005</v>
      </c>
      <c r="AG795" s="157" t="s">
        <v>15</v>
      </c>
      <c r="AH795" s="155">
        <v>3.32E-3</v>
      </c>
      <c r="AI795" s="155">
        <f t="shared" si="12"/>
        <v>2.1088014418631378E-2</v>
      </c>
      <c r="AJ795" s="155">
        <v>1.9898679552030453E-3</v>
      </c>
    </row>
    <row r="796" spans="1:36" s="160" customFormat="1">
      <c r="A796" s="153" t="s">
        <v>1213</v>
      </c>
      <c r="B796" s="160">
        <v>62</v>
      </c>
      <c r="C796" s="153" t="s">
        <v>455</v>
      </c>
      <c r="D796" s="153" t="s">
        <v>2106</v>
      </c>
      <c r="E796" s="153" t="s">
        <v>309</v>
      </c>
      <c r="F796" s="153" t="s">
        <v>2255</v>
      </c>
      <c r="G796" s="153" t="s">
        <v>2256</v>
      </c>
      <c r="H796" s="153" t="s">
        <v>321</v>
      </c>
      <c r="I796" s="153" t="s">
        <v>754</v>
      </c>
      <c r="J796" s="153" t="s">
        <v>204</v>
      </c>
      <c r="K796" s="153" t="s">
        <v>204</v>
      </c>
      <c r="L796" s="153" t="s">
        <v>325</v>
      </c>
      <c r="M796" s="153" t="s">
        <v>340</v>
      </c>
      <c r="N796" s="153" t="s">
        <v>440</v>
      </c>
      <c r="O796" s="153" t="s">
        <v>339</v>
      </c>
      <c r="P796" s="153" t="s">
        <v>1923</v>
      </c>
      <c r="Q796" s="153" t="s">
        <v>415</v>
      </c>
      <c r="R796" s="153" t="s">
        <v>407</v>
      </c>
      <c r="S796" s="153" t="s">
        <v>1212</v>
      </c>
      <c r="T796" s="154">
        <v>5.8</v>
      </c>
      <c r="U796" s="153" t="s">
        <v>2257</v>
      </c>
      <c r="V796" s="155">
        <v>6.8100000000000001E-3</v>
      </c>
      <c r="W796" s="155">
        <v>2.92E-2</v>
      </c>
      <c r="X796" s="153" t="s">
        <v>412</v>
      </c>
      <c r="Y796" s="153" t="s">
        <v>339</v>
      </c>
      <c r="Z796" s="154">
        <v>7900000</v>
      </c>
      <c r="AA796" s="154">
        <v>1</v>
      </c>
      <c r="AB796" s="154">
        <v>111.74</v>
      </c>
      <c r="AD796" s="154">
        <v>8827.4599999999991</v>
      </c>
      <c r="AG796" s="157" t="s">
        <v>15</v>
      </c>
      <c r="AH796" s="155">
        <v>2.0300000000000001E-3</v>
      </c>
      <c r="AI796" s="155">
        <f t="shared" si="12"/>
        <v>2.1012824941541872E-2</v>
      </c>
      <c r="AJ796" s="155">
        <v>1.982773065752634E-3</v>
      </c>
    </row>
    <row r="797" spans="1:36" s="160" customFormat="1">
      <c r="A797" s="153" t="s">
        <v>1213</v>
      </c>
      <c r="B797" s="160">
        <v>62</v>
      </c>
      <c r="C797" s="153" t="s">
        <v>2391</v>
      </c>
      <c r="D797" s="153" t="s">
        <v>2392</v>
      </c>
      <c r="E797" s="153" t="s">
        <v>309</v>
      </c>
      <c r="F797" s="153" t="s">
        <v>2528</v>
      </c>
      <c r="G797" s="153" t="s">
        <v>2529</v>
      </c>
      <c r="H797" s="153" t="s">
        <v>321</v>
      </c>
      <c r="I797" s="153" t="s">
        <v>754</v>
      </c>
      <c r="J797" s="153" t="s">
        <v>204</v>
      </c>
      <c r="K797" s="153" t="s">
        <v>204</v>
      </c>
      <c r="L797" s="153" t="s">
        <v>325</v>
      </c>
      <c r="M797" s="153" t="s">
        <v>340</v>
      </c>
      <c r="N797" s="153" t="s">
        <v>464</v>
      </c>
      <c r="O797" s="153" t="s">
        <v>339</v>
      </c>
      <c r="P797" s="153" t="s">
        <v>1566</v>
      </c>
      <c r="Q797" s="153" t="s">
        <v>413</v>
      </c>
      <c r="R797" s="153" t="s">
        <v>407</v>
      </c>
      <c r="S797" s="153" t="s">
        <v>1212</v>
      </c>
      <c r="T797" s="154">
        <v>1.21</v>
      </c>
      <c r="U797" s="153" t="s">
        <v>2530</v>
      </c>
      <c r="V797" s="155">
        <v>5.11E-3</v>
      </c>
      <c r="W797" s="155">
        <v>2.6499999999999999E-2</v>
      </c>
      <c r="X797" s="153" t="s">
        <v>412</v>
      </c>
      <c r="Y797" s="153" t="s">
        <v>339</v>
      </c>
      <c r="Z797" s="154">
        <v>7103144.2999999998</v>
      </c>
      <c r="AA797" s="154">
        <v>1</v>
      </c>
      <c r="AB797" s="154">
        <v>117.11</v>
      </c>
      <c r="AD797" s="154">
        <v>8318.4920000000002</v>
      </c>
      <c r="AG797" s="157" t="s">
        <v>15</v>
      </c>
      <c r="AH797" s="155">
        <v>3.62E-3</v>
      </c>
      <c r="AI797" s="155">
        <f t="shared" si="12"/>
        <v>1.9801281022357117E-2</v>
      </c>
      <c r="AJ797" s="155">
        <v>1.8684516140859047E-3</v>
      </c>
    </row>
    <row r="798" spans="1:36" s="160" customFormat="1">
      <c r="A798" s="153" t="s">
        <v>1213</v>
      </c>
      <c r="B798" s="160">
        <v>62</v>
      </c>
      <c r="C798" s="153" t="s">
        <v>1512</v>
      </c>
      <c r="D798" s="153" t="s">
        <v>1513</v>
      </c>
      <c r="E798" s="153" t="s">
        <v>309</v>
      </c>
      <c r="F798" s="153" t="s">
        <v>2474</v>
      </c>
      <c r="G798" s="153" t="s">
        <v>2475</v>
      </c>
      <c r="H798" s="153" t="s">
        <v>321</v>
      </c>
      <c r="I798" s="153" t="s">
        <v>754</v>
      </c>
      <c r="J798" s="153" t="s">
        <v>204</v>
      </c>
      <c r="K798" s="153" t="s">
        <v>204</v>
      </c>
      <c r="L798" s="153" t="s">
        <v>325</v>
      </c>
      <c r="M798" s="153" t="s">
        <v>340</v>
      </c>
      <c r="N798" s="153" t="s">
        <v>448</v>
      </c>
      <c r="O798" s="153" t="s">
        <v>339</v>
      </c>
      <c r="P798" s="153" t="s">
        <v>1215</v>
      </c>
      <c r="Q798" s="153" t="s">
        <v>413</v>
      </c>
      <c r="R798" s="153" t="s">
        <v>407</v>
      </c>
      <c r="S798" s="153" t="s">
        <v>1212</v>
      </c>
      <c r="T798" s="154">
        <v>2.96</v>
      </c>
      <c r="U798" s="153" t="s">
        <v>2476</v>
      </c>
      <c r="V798" s="155">
        <v>-4.79E-3</v>
      </c>
      <c r="W798" s="155">
        <v>2.2599999999999999E-2</v>
      </c>
      <c r="X798" s="153" t="s">
        <v>412</v>
      </c>
      <c r="Y798" s="153" t="s">
        <v>339</v>
      </c>
      <c r="Z798" s="154">
        <v>7000000</v>
      </c>
      <c r="AA798" s="154">
        <v>1</v>
      </c>
      <c r="AB798" s="154">
        <v>113.04</v>
      </c>
      <c r="AD798" s="154">
        <v>7912.8</v>
      </c>
      <c r="AG798" s="157" t="s">
        <v>15</v>
      </c>
      <c r="AH798" s="155">
        <v>2.32E-3</v>
      </c>
      <c r="AI798" s="155">
        <f t="shared" si="12"/>
        <v>1.8835574581752005E-2</v>
      </c>
      <c r="AJ798" s="155">
        <v>1.7773274208761573E-3</v>
      </c>
    </row>
    <row r="799" spans="1:36" s="160" customFormat="1">
      <c r="A799" s="153" t="s">
        <v>1213</v>
      </c>
      <c r="B799" s="160">
        <v>62</v>
      </c>
      <c r="C799" s="153" t="s">
        <v>1904</v>
      </c>
      <c r="D799" s="153" t="s">
        <v>1905</v>
      </c>
      <c r="E799" s="153" t="s">
        <v>309</v>
      </c>
      <c r="F799" s="153" t="s">
        <v>1906</v>
      </c>
      <c r="G799" s="153" t="s">
        <v>1907</v>
      </c>
      <c r="H799" s="153" t="s">
        <v>321</v>
      </c>
      <c r="I799" s="153" t="s">
        <v>754</v>
      </c>
      <c r="J799" s="153" t="s">
        <v>204</v>
      </c>
      <c r="K799" s="153" t="s">
        <v>204</v>
      </c>
      <c r="L799" s="153" t="s">
        <v>325</v>
      </c>
      <c r="M799" s="153" t="s">
        <v>340</v>
      </c>
      <c r="N799" s="153" t="s">
        <v>448</v>
      </c>
      <c r="O799" s="153" t="s">
        <v>339</v>
      </c>
      <c r="P799" s="153" t="s">
        <v>1215</v>
      </c>
      <c r="Q799" s="153" t="s">
        <v>413</v>
      </c>
      <c r="R799" s="153" t="s">
        <v>407</v>
      </c>
      <c r="S799" s="153" t="s">
        <v>1212</v>
      </c>
      <c r="T799" s="154">
        <v>3.98</v>
      </c>
      <c r="U799" s="153" t="s">
        <v>1908</v>
      </c>
      <c r="V799" s="155">
        <v>2.7040000000000002E-2</v>
      </c>
      <c r="W799" s="155">
        <v>2.52E-2</v>
      </c>
      <c r="X799" s="153" t="s">
        <v>412</v>
      </c>
      <c r="Y799" s="153" t="s">
        <v>339</v>
      </c>
      <c r="Z799" s="154">
        <v>7554747.5599999996</v>
      </c>
      <c r="AA799" s="154">
        <v>1</v>
      </c>
      <c r="AB799" s="154">
        <v>102.6</v>
      </c>
      <c r="AD799" s="154">
        <v>7751.1710000000003</v>
      </c>
      <c r="AG799" s="157" t="s">
        <v>15</v>
      </c>
      <c r="AH799" s="155">
        <v>2.0799999999999998E-3</v>
      </c>
      <c r="AI799" s="155">
        <f t="shared" si="12"/>
        <v>1.8450834024165058E-2</v>
      </c>
      <c r="AJ799" s="155">
        <v>1.741023248685682E-3</v>
      </c>
    </row>
    <row r="800" spans="1:36" s="160" customFormat="1">
      <c r="A800" s="153" t="s">
        <v>1213</v>
      </c>
      <c r="B800" s="160">
        <v>62</v>
      </c>
      <c r="C800" s="153" t="s">
        <v>1861</v>
      </c>
      <c r="D800" s="153" t="s">
        <v>1862</v>
      </c>
      <c r="E800" s="153" t="s">
        <v>309</v>
      </c>
      <c r="F800" s="153" t="s">
        <v>1863</v>
      </c>
      <c r="G800" s="153" t="s">
        <v>1864</v>
      </c>
      <c r="H800" s="153" t="s">
        <v>321</v>
      </c>
      <c r="I800" s="153" t="s">
        <v>754</v>
      </c>
      <c r="J800" s="153" t="s">
        <v>204</v>
      </c>
      <c r="K800" s="153" t="s">
        <v>204</v>
      </c>
      <c r="L800" s="153" t="s">
        <v>325</v>
      </c>
      <c r="M800" s="153" t="s">
        <v>340</v>
      </c>
      <c r="N800" s="153" t="s">
        <v>464</v>
      </c>
      <c r="O800" s="153" t="s">
        <v>339</v>
      </c>
      <c r="P800" s="153" t="s">
        <v>1538</v>
      </c>
      <c r="Q800" s="153" t="s">
        <v>413</v>
      </c>
      <c r="R800" s="153" t="s">
        <v>407</v>
      </c>
      <c r="S800" s="153" t="s">
        <v>1212</v>
      </c>
      <c r="T800" s="154">
        <v>5.3</v>
      </c>
      <c r="U800" s="153" t="s">
        <v>1865</v>
      </c>
      <c r="V800" s="155">
        <v>3.1099999999999999E-3</v>
      </c>
      <c r="W800" s="155">
        <v>3.0300000000000001E-2</v>
      </c>
      <c r="X800" s="153" t="s">
        <v>412</v>
      </c>
      <c r="Y800" s="153" t="s">
        <v>339</v>
      </c>
      <c r="Z800" s="154">
        <v>7397280.0099999998</v>
      </c>
      <c r="AA800" s="154">
        <v>1</v>
      </c>
      <c r="AB800" s="154">
        <v>97.92</v>
      </c>
      <c r="AD800" s="154">
        <v>7243.4170000000004</v>
      </c>
      <c r="AG800" s="157" t="s">
        <v>15</v>
      </c>
      <c r="AH800" s="155">
        <v>5.96E-3</v>
      </c>
      <c r="AI800" s="155">
        <f t="shared" si="12"/>
        <v>1.7242179902212915E-2</v>
      </c>
      <c r="AJ800" s="155">
        <v>1.6269744786852332E-3</v>
      </c>
    </row>
    <row r="801" spans="1:36" s="160" customFormat="1">
      <c r="A801" s="153" t="s">
        <v>1213</v>
      </c>
      <c r="B801" s="160">
        <v>62</v>
      </c>
      <c r="C801" s="153" t="s">
        <v>1529</v>
      </c>
      <c r="D801" s="153" t="s">
        <v>1530</v>
      </c>
      <c r="E801" s="153" t="s">
        <v>309</v>
      </c>
      <c r="F801" s="153" t="s">
        <v>1960</v>
      </c>
      <c r="G801" s="153" t="s">
        <v>1961</v>
      </c>
      <c r="H801" s="153" t="s">
        <v>321</v>
      </c>
      <c r="I801" s="153" t="s">
        <v>754</v>
      </c>
      <c r="J801" s="153" t="s">
        <v>204</v>
      </c>
      <c r="K801" s="153" t="s">
        <v>204</v>
      </c>
      <c r="L801" s="153" t="s">
        <v>325</v>
      </c>
      <c r="M801" s="153" t="s">
        <v>340</v>
      </c>
      <c r="N801" s="153" t="s">
        <v>440</v>
      </c>
      <c r="O801" s="153" t="s">
        <v>339</v>
      </c>
      <c r="P801" s="153" t="s">
        <v>1527</v>
      </c>
      <c r="Q801" s="153" t="s">
        <v>415</v>
      </c>
      <c r="R801" s="153" t="s">
        <v>407</v>
      </c>
      <c r="S801" s="153" t="s">
        <v>1212</v>
      </c>
      <c r="T801" s="154">
        <v>3.67</v>
      </c>
      <c r="U801" s="153" t="s">
        <v>1962</v>
      </c>
      <c r="V801" s="155">
        <v>1.7999999999999999E-2</v>
      </c>
      <c r="W801" s="155">
        <v>3.6600000000000001E-2</v>
      </c>
      <c r="X801" s="153" t="s">
        <v>412</v>
      </c>
      <c r="Y801" s="153" t="s">
        <v>339</v>
      </c>
      <c r="Z801" s="154">
        <v>6684000</v>
      </c>
      <c r="AA801" s="154">
        <v>1</v>
      </c>
      <c r="AB801" s="154">
        <v>107.89</v>
      </c>
      <c r="AD801" s="154">
        <v>7211.3680000000004</v>
      </c>
      <c r="AG801" s="157" t="s">
        <v>15</v>
      </c>
      <c r="AH801" s="155">
        <v>7.0800000000000004E-3</v>
      </c>
      <c r="AI801" s="155">
        <f t="shared" si="12"/>
        <v>1.7165890683507708E-2</v>
      </c>
      <c r="AJ801" s="155">
        <v>1.6197758174639639E-3</v>
      </c>
    </row>
    <row r="802" spans="1:36" s="160" customFormat="1">
      <c r="A802" s="153" t="s">
        <v>1213</v>
      </c>
      <c r="B802" s="160">
        <v>62</v>
      </c>
      <c r="C802" s="153" t="s">
        <v>1600</v>
      </c>
      <c r="D802" s="153" t="s">
        <v>1601</v>
      </c>
      <c r="E802" s="153" t="s">
        <v>309</v>
      </c>
      <c r="F802" s="153" t="s">
        <v>2380</v>
      </c>
      <c r="G802" s="153" t="s">
        <v>2381</v>
      </c>
      <c r="H802" s="153" t="s">
        <v>321</v>
      </c>
      <c r="I802" s="153" t="s">
        <v>951</v>
      </c>
      <c r="J802" s="153" t="s">
        <v>204</v>
      </c>
      <c r="K802" s="153" t="s">
        <v>204</v>
      </c>
      <c r="L802" s="153" t="s">
        <v>325</v>
      </c>
      <c r="M802" s="153" t="s">
        <v>340</v>
      </c>
      <c r="N802" s="153" t="s">
        <v>448</v>
      </c>
      <c r="O802" s="153" t="s">
        <v>339</v>
      </c>
      <c r="P802" s="153" t="s">
        <v>1215</v>
      </c>
      <c r="Q802" s="153" t="s">
        <v>413</v>
      </c>
      <c r="R802" s="153" t="s">
        <v>407</v>
      </c>
      <c r="S802" s="153" t="s">
        <v>1212</v>
      </c>
      <c r="T802" s="154">
        <v>0.65</v>
      </c>
      <c r="U802" s="153" t="s">
        <v>2382</v>
      </c>
      <c r="V802" s="155">
        <v>3.9210000000000002E-2</v>
      </c>
      <c r="W802" s="155">
        <v>4.4499999999999998E-2</v>
      </c>
      <c r="X802" s="153" t="s">
        <v>412</v>
      </c>
      <c r="Y802" s="153" t="s">
        <v>339</v>
      </c>
      <c r="Z802" s="154">
        <v>6668000</v>
      </c>
      <c r="AA802" s="154">
        <v>1</v>
      </c>
      <c r="AB802" s="154">
        <v>100.87</v>
      </c>
      <c r="AD802" s="154">
        <v>6726.0119999999997</v>
      </c>
      <c r="AG802" s="157" t="s">
        <v>15</v>
      </c>
      <c r="AH802" s="155">
        <v>5.5300000000000002E-3</v>
      </c>
      <c r="AI802" s="155">
        <f t="shared" si="12"/>
        <v>1.6010552606379406E-2</v>
      </c>
      <c r="AJ802" s="155">
        <v>1.5107579568221215E-3</v>
      </c>
    </row>
    <row r="803" spans="1:36" s="160" customFormat="1">
      <c r="A803" s="153" t="s">
        <v>1213</v>
      </c>
      <c r="B803" s="160">
        <v>62</v>
      </c>
      <c r="C803" s="153" t="s">
        <v>1904</v>
      </c>
      <c r="D803" s="153" t="s">
        <v>1905</v>
      </c>
      <c r="E803" s="153" t="s">
        <v>309</v>
      </c>
      <c r="F803" s="153" t="s">
        <v>2268</v>
      </c>
      <c r="G803" s="153" t="s">
        <v>2269</v>
      </c>
      <c r="H803" s="153" t="s">
        <v>321</v>
      </c>
      <c r="I803" s="153" t="s">
        <v>951</v>
      </c>
      <c r="J803" s="153" t="s">
        <v>204</v>
      </c>
      <c r="K803" s="153" t="s">
        <v>204</v>
      </c>
      <c r="L803" s="153" t="s">
        <v>325</v>
      </c>
      <c r="M803" s="153" t="s">
        <v>340</v>
      </c>
      <c r="N803" s="153" t="s">
        <v>448</v>
      </c>
      <c r="O803" s="153" t="s">
        <v>339</v>
      </c>
      <c r="P803" s="153" t="s">
        <v>1215</v>
      </c>
      <c r="Q803" s="153" t="s">
        <v>413</v>
      </c>
      <c r="R803" s="153" t="s">
        <v>407</v>
      </c>
      <c r="S803" s="153" t="s">
        <v>1212</v>
      </c>
      <c r="T803" s="154">
        <v>2.89</v>
      </c>
      <c r="U803" s="153" t="s">
        <v>2270</v>
      </c>
      <c r="V803" s="155">
        <v>8.8299999999999993E-3</v>
      </c>
      <c r="W803" s="155">
        <v>5.11E-2</v>
      </c>
      <c r="X803" s="153" t="s">
        <v>412</v>
      </c>
      <c r="Y803" s="153" t="s">
        <v>339</v>
      </c>
      <c r="Z803" s="154">
        <v>6863036.8399999999</v>
      </c>
      <c r="AA803" s="154">
        <v>1</v>
      </c>
      <c r="AB803" s="154">
        <v>95.42</v>
      </c>
      <c r="AD803" s="154">
        <v>6548.71</v>
      </c>
      <c r="AG803" s="157" t="s">
        <v>15</v>
      </c>
      <c r="AH803" s="155">
        <v>3.0100000000000001E-3</v>
      </c>
      <c r="AI803" s="155">
        <f t="shared" si="12"/>
        <v>1.5588504147617173E-2</v>
      </c>
      <c r="AJ803" s="155">
        <v>1.4709334059202683E-3</v>
      </c>
    </row>
    <row r="804" spans="1:36" s="160" customFormat="1">
      <c r="A804" s="153" t="s">
        <v>1213</v>
      </c>
      <c r="B804" s="160">
        <v>62</v>
      </c>
      <c r="C804" s="153" t="s">
        <v>1769</v>
      </c>
      <c r="D804" s="153" t="s">
        <v>1770</v>
      </c>
      <c r="E804" s="153" t="s">
        <v>309</v>
      </c>
      <c r="F804" s="153" t="s">
        <v>1771</v>
      </c>
      <c r="G804" s="153" t="s">
        <v>1772</v>
      </c>
      <c r="H804" s="153" t="s">
        <v>321</v>
      </c>
      <c r="I804" s="153" t="s">
        <v>754</v>
      </c>
      <c r="J804" s="153" t="s">
        <v>204</v>
      </c>
      <c r="K804" s="153" t="s">
        <v>204</v>
      </c>
      <c r="L804" s="153" t="s">
        <v>325</v>
      </c>
      <c r="M804" s="153" t="s">
        <v>340</v>
      </c>
      <c r="N804" s="153" t="s">
        <v>464</v>
      </c>
      <c r="O804" s="153" t="s">
        <v>339</v>
      </c>
      <c r="P804" s="153" t="s">
        <v>1560</v>
      </c>
      <c r="Q804" s="153" t="s">
        <v>413</v>
      </c>
      <c r="R804" s="153" t="s">
        <v>407</v>
      </c>
      <c r="S804" s="153" t="s">
        <v>1212</v>
      </c>
      <c r="T804" s="154">
        <v>4.05</v>
      </c>
      <c r="U804" s="153" t="s">
        <v>1587</v>
      </c>
      <c r="V804" s="155">
        <v>3.5409999999999997E-2</v>
      </c>
      <c r="W804" s="155">
        <v>3.9E-2</v>
      </c>
      <c r="X804" s="153" t="s">
        <v>412</v>
      </c>
      <c r="Y804" s="153" t="s">
        <v>339</v>
      </c>
      <c r="Z804" s="154">
        <v>6155930</v>
      </c>
      <c r="AA804" s="154">
        <v>1</v>
      </c>
      <c r="AB804" s="154">
        <v>106.27</v>
      </c>
      <c r="AD804" s="154">
        <v>6541.9070000000002</v>
      </c>
      <c r="AG804" s="157" t="s">
        <v>15</v>
      </c>
      <c r="AH804" s="155">
        <v>3.5699999999999998E-3</v>
      </c>
      <c r="AI804" s="155">
        <f t="shared" si="12"/>
        <v>1.5572310333306227E-2</v>
      </c>
      <c r="AJ804" s="155">
        <v>1.4694053553636738E-3</v>
      </c>
    </row>
    <row r="805" spans="1:36" s="160" customFormat="1">
      <c r="A805" s="153" t="s">
        <v>1213</v>
      </c>
      <c r="B805" s="160">
        <v>62</v>
      </c>
      <c r="C805" s="153" t="s">
        <v>1600</v>
      </c>
      <c r="D805" s="153" t="s">
        <v>1601</v>
      </c>
      <c r="E805" s="153" t="s">
        <v>309</v>
      </c>
      <c r="F805" s="153" t="s">
        <v>2706</v>
      </c>
      <c r="G805" s="153" t="s">
        <v>2707</v>
      </c>
      <c r="H805" s="153" t="s">
        <v>321</v>
      </c>
      <c r="I805" s="153" t="s">
        <v>754</v>
      </c>
      <c r="J805" s="153" t="s">
        <v>204</v>
      </c>
      <c r="K805" s="153" t="s">
        <v>204</v>
      </c>
      <c r="L805" s="153" t="s">
        <v>325</v>
      </c>
      <c r="M805" s="153" t="s">
        <v>340</v>
      </c>
      <c r="N805" s="153" t="s">
        <v>448</v>
      </c>
      <c r="O805" s="153" t="s">
        <v>339</v>
      </c>
      <c r="P805" s="153" t="s">
        <v>1566</v>
      </c>
      <c r="Q805" s="153" t="s">
        <v>413</v>
      </c>
      <c r="R805" s="153" t="s">
        <v>407</v>
      </c>
      <c r="S805" s="153" t="s">
        <v>1212</v>
      </c>
      <c r="T805" s="154">
        <v>1.6</v>
      </c>
      <c r="U805" s="153" t="s">
        <v>2708</v>
      </c>
      <c r="V805" s="155">
        <v>2.6519999999999998E-2</v>
      </c>
      <c r="W805" s="155">
        <v>2.3800000000000002E-2</v>
      </c>
      <c r="X805" s="153" t="s">
        <v>411</v>
      </c>
      <c r="Y805" s="153" t="s">
        <v>339</v>
      </c>
      <c r="Z805" s="154">
        <v>5586632</v>
      </c>
      <c r="AA805" s="154">
        <v>1</v>
      </c>
      <c r="AB805" s="154">
        <v>116.6</v>
      </c>
      <c r="AD805" s="154">
        <v>6514.0129999999999</v>
      </c>
      <c r="AG805" s="157" t="s">
        <v>15</v>
      </c>
      <c r="AH805" s="155">
        <v>5.2900000000000004E-3</v>
      </c>
      <c r="AI805" s="155">
        <f t="shared" si="12"/>
        <v>1.5505911647963062E-2</v>
      </c>
      <c r="AJ805" s="155">
        <v>1.4631399662374581E-3</v>
      </c>
    </row>
    <row r="806" spans="1:36" s="160" customFormat="1">
      <c r="A806" s="153" t="s">
        <v>1213</v>
      </c>
      <c r="B806" s="160">
        <v>62</v>
      </c>
      <c r="C806" s="153" t="s">
        <v>2250</v>
      </c>
      <c r="D806" s="153" t="s">
        <v>2251</v>
      </c>
      <c r="E806" s="153" t="s">
        <v>309</v>
      </c>
      <c r="F806" s="153" t="s">
        <v>2704</v>
      </c>
      <c r="G806" s="153" t="s">
        <v>2705</v>
      </c>
      <c r="H806" s="153" t="s">
        <v>321</v>
      </c>
      <c r="I806" s="153" t="s">
        <v>754</v>
      </c>
      <c r="J806" s="153" t="s">
        <v>204</v>
      </c>
      <c r="K806" s="153" t="s">
        <v>204</v>
      </c>
      <c r="L806" s="153" t="s">
        <v>325</v>
      </c>
      <c r="M806" s="153" t="s">
        <v>340</v>
      </c>
      <c r="N806" s="153" t="s">
        <v>448</v>
      </c>
      <c r="O806" s="153" t="s">
        <v>339</v>
      </c>
      <c r="P806" s="153" t="s">
        <v>1566</v>
      </c>
      <c r="Q806" s="153" t="s">
        <v>413</v>
      </c>
      <c r="R806" s="153" t="s">
        <v>407</v>
      </c>
      <c r="S806" s="153" t="s">
        <v>1212</v>
      </c>
      <c r="T806" s="154">
        <v>3.43</v>
      </c>
      <c r="U806" s="153" t="s">
        <v>1851</v>
      </c>
      <c r="V806" s="155">
        <v>2.707E-2</v>
      </c>
      <c r="W806" s="155">
        <v>2.98E-2</v>
      </c>
      <c r="X806" s="153" t="s">
        <v>411</v>
      </c>
      <c r="Y806" s="153" t="s">
        <v>339</v>
      </c>
      <c r="Z806" s="154">
        <v>6064310</v>
      </c>
      <c r="AA806" s="154">
        <v>1</v>
      </c>
      <c r="AB806" s="154">
        <v>105.03</v>
      </c>
      <c r="AD806" s="154">
        <v>6369.3450000000003</v>
      </c>
      <c r="AG806" s="157" t="s">
        <v>15</v>
      </c>
      <c r="AH806" s="155">
        <v>6.6800000000000002E-3</v>
      </c>
      <c r="AI806" s="155">
        <f t="shared" si="12"/>
        <v>1.5161544937873979E-2</v>
      </c>
      <c r="AJ806" s="155">
        <v>1.4306454758771165E-3</v>
      </c>
    </row>
    <row r="807" spans="1:36" s="160" customFormat="1">
      <c r="A807" s="153" t="s">
        <v>1213</v>
      </c>
      <c r="B807" s="160">
        <v>62</v>
      </c>
      <c r="C807" s="153" t="s">
        <v>2428</v>
      </c>
      <c r="D807" s="153" t="s">
        <v>2429</v>
      </c>
      <c r="E807" s="153" t="s">
        <v>309</v>
      </c>
      <c r="F807" s="153" t="s">
        <v>2430</v>
      </c>
      <c r="G807" s="153" t="s">
        <v>2431</v>
      </c>
      <c r="H807" s="153" t="s">
        <v>321</v>
      </c>
      <c r="I807" s="153" t="s">
        <v>755</v>
      </c>
      <c r="J807" s="153" t="s">
        <v>204</v>
      </c>
      <c r="K807" s="153" t="s">
        <v>204</v>
      </c>
      <c r="L807" s="153" t="s">
        <v>325</v>
      </c>
      <c r="M807" s="153" t="s">
        <v>340</v>
      </c>
      <c r="N807" s="153" t="s">
        <v>454</v>
      </c>
      <c r="O807" s="153" t="s">
        <v>339</v>
      </c>
      <c r="P807" s="153" t="s">
        <v>1538</v>
      </c>
      <c r="Q807" s="153" t="s">
        <v>413</v>
      </c>
      <c r="R807" s="153" t="s">
        <v>407</v>
      </c>
      <c r="S807" s="153" t="s">
        <v>1212</v>
      </c>
      <c r="T807" s="154">
        <v>0.5</v>
      </c>
      <c r="U807" s="153" t="s">
        <v>2432</v>
      </c>
      <c r="V807" s="155">
        <v>4.9050000000000003E-2</v>
      </c>
      <c r="W807" s="155">
        <v>8.8599999999999998E-2</v>
      </c>
      <c r="X807" s="153" t="s">
        <v>412</v>
      </c>
      <c r="Y807" s="153" t="s">
        <v>339</v>
      </c>
      <c r="Z807" s="154">
        <v>6150061.8399999999</v>
      </c>
      <c r="AA807" s="154">
        <v>1</v>
      </c>
      <c r="AB807" s="154">
        <v>102.3</v>
      </c>
      <c r="AD807" s="154">
        <v>6291.5129999999999</v>
      </c>
      <c r="AG807" s="157" t="s">
        <v>15</v>
      </c>
      <c r="AH807" s="155">
        <v>1.221E-2</v>
      </c>
      <c r="AI807" s="155">
        <f t="shared" si="12"/>
        <v>1.4976274181523898E-2</v>
      </c>
      <c r="AJ807" s="155">
        <v>1.4131633017008915E-3</v>
      </c>
    </row>
    <row r="808" spans="1:36" s="160" customFormat="1">
      <c r="A808" s="153" t="s">
        <v>1213</v>
      </c>
      <c r="B808" s="160">
        <v>62</v>
      </c>
      <c r="C808" s="153" t="s">
        <v>1674</v>
      </c>
      <c r="D808" s="153" t="s">
        <v>1675</v>
      </c>
      <c r="E808" s="153" t="s">
        <v>309</v>
      </c>
      <c r="F808" s="153" t="s">
        <v>2319</v>
      </c>
      <c r="G808" s="153" t="s">
        <v>2320</v>
      </c>
      <c r="H808" s="153" t="s">
        <v>321</v>
      </c>
      <c r="I808" s="153" t="s">
        <v>754</v>
      </c>
      <c r="J808" s="153" t="s">
        <v>204</v>
      </c>
      <c r="K808" s="153" t="s">
        <v>204</v>
      </c>
      <c r="L808" s="153" t="s">
        <v>325</v>
      </c>
      <c r="M808" s="153" t="s">
        <v>340</v>
      </c>
      <c r="N808" s="153" t="s">
        <v>464</v>
      </c>
      <c r="O808" s="153" t="s">
        <v>339</v>
      </c>
      <c r="P808" s="153" t="s">
        <v>1982</v>
      </c>
      <c r="Q808" s="153" t="s">
        <v>415</v>
      </c>
      <c r="R808" s="153" t="s">
        <v>407</v>
      </c>
      <c r="S808" s="153" t="s">
        <v>1212</v>
      </c>
      <c r="T808" s="154">
        <v>4.25</v>
      </c>
      <c r="U808" s="153" t="s">
        <v>1819</v>
      </c>
      <c r="V808" s="155">
        <v>1.7799999999999999E-3</v>
      </c>
      <c r="W808" s="155">
        <v>3.15E-2</v>
      </c>
      <c r="X808" s="153" t="s">
        <v>412</v>
      </c>
      <c r="Y808" s="153" t="s">
        <v>339</v>
      </c>
      <c r="Z808" s="154">
        <v>5858650</v>
      </c>
      <c r="AA808" s="154">
        <v>1</v>
      </c>
      <c r="AB808" s="154">
        <v>106.76</v>
      </c>
      <c r="AD808" s="154">
        <v>6254.6949999999997</v>
      </c>
      <c r="AG808" s="157" t="s">
        <v>15</v>
      </c>
      <c r="AH808" s="155">
        <v>4.9300000000000004E-3</v>
      </c>
      <c r="AI808" s="155">
        <f t="shared" si="12"/>
        <v>1.4888632868088584E-2</v>
      </c>
      <c r="AJ808" s="155">
        <v>1.4048934552518698E-3</v>
      </c>
    </row>
    <row r="809" spans="1:36" s="160" customFormat="1">
      <c r="A809" s="153" t="s">
        <v>1213</v>
      </c>
      <c r="B809" s="160">
        <v>62</v>
      </c>
      <c r="C809" s="153" t="s">
        <v>1600</v>
      </c>
      <c r="D809" s="153" t="s">
        <v>1601</v>
      </c>
      <c r="E809" s="153" t="s">
        <v>309</v>
      </c>
      <c r="F809" s="153" t="s">
        <v>1957</v>
      </c>
      <c r="G809" s="153" t="s">
        <v>1958</v>
      </c>
      <c r="H809" s="153" t="s">
        <v>321</v>
      </c>
      <c r="I809" s="153" t="s">
        <v>754</v>
      </c>
      <c r="J809" s="153" t="s">
        <v>204</v>
      </c>
      <c r="K809" s="153" t="s">
        <v>204</v>
      </c>
      <c r="L809" s="153" t="s">
        <v>325</v>
      </c>
      <c r="M809" s="153" t="s">
        <v>340</v>
      </c>
      <c r="N809" s="153" t="s">
        <v>448</v>
      </c>
      <c r="O809" s="153" t="s">
        <v>339</v>
      </c>
      <c r="P809" s="153" t="s">
        <v>1215</v>
      </c>
      <c r="Q809" s="153" t="s">
        <v>413</v>
      </c>
      <c r="R809" s="153" t="s">
        <v>407</v>
      </c>
      <c r="S809" s="153" t="s">
        <v>1212</v>
      </c>
      <c r="T809" s="154">
        <v>3.91</v>
      </c>
      <c r="U809" s="153" t="s">
        <v>1959</v>
      </c>
      <c r="V809" s="155">
        <v>1.242E-2</v>
      </c>
      <c r="W809" s="155">
        <v>2.4799999999999999E-2</v>
      </c>
      <c r="X809" s="153" t="s">
        <v>412</v>
      </c>
      <c r="Y809" s="153" t="s">
        <v>339</v>
      </c>
      <c r="Z809" s="154">
        <v>5994000</v>
      </c>
      <c r="AA809" s="154">
        <v>1</v>
      </c>
      <c r="AB809" s="154">
        <v>103.84</v>
      </c>
      <c r="AD809" s="154">
        <v>6224.17</v>
      </c>
      <c r="AG809" s="157" t="s">
        <v>15</v>
      </c>
      <c r="AH809" s="155">
        <v>3.3300000000000001E-3</v>
      </c>
      <c r="AI809" s="155">
        <f t="shared" si="12"/>
        <v>1.4815971368479347E-2</v>
      </c>
      <c r="AJ809" s="155">
        <v>1.3980371061058981E-3</v>
      </c>
    </row>
    <row r="810" spans="1:36" s="160" customFormat="1">
      <c r="A810" s="153" t="s">
        <v>1213</v>
      </c>
      <c r="B810" s="160">
        <v>62</v>
      </c>
      <c r="C810" s="153" t="s">
        <v>2802</v>
      </c>
      <c r="D810" s="153" t="s">
        <v>2803</v>
      </c>
      <c r="E810" s="153" t="s">
        <v>309</v>
      </c>
      <c r="F810" s="153" t="s">
        <v>2804</v>
      </c>
      <c r="G810" s="153" t="s">
        <v>2805</v>
      </c>
      <c r="H810" s="153" t="s">
        <v>321</v>
      </c>
      <c r="I810" s="153" t="s">
        <v>951</v>
      </c>
      <c r="J810" s="153" t="s">
        <v>204</v>
      </c>
      <c r="K810" s="153" t="s">
        <v>204</v>
      </c>
      <c r="L810" s="153" t="s">
        <v>325</v>
      </c>
      <c r="M810" s="153" t="s">
        <v>340</v>
      </c>
      <c r="N810" s="153" t="s">
        <v>447</v>
      </c>
      <c r="O810" s="153" t="s">
        <v>339</v>
      </c>
      <c r="P810" s="153" t="s">
        <v>1527</v>
      </c>
      <c r="Q810" s="153" t="s">
        <v>415</v>
      </c>
      <c r="R810" s="153" t="s">
        <v>407</v>
      </c>
      <c r="S810" s="153" t="s">
        <v>1212</v>
      </c>
      <c r="T810" s="154">
        <v>2.2400000000000002</v>
      </c>
      <c r="U810" s="153" t="s">
        <v>1528</v>
      </c>
      <c r="V810" s="155">
        <v>4.7039999999999998E-2</v>
      </c>
      <c r="W810" s="155">
        <v>6.3299999999999995E-2</v>
      </c>
      <c r="X810" s="153" t="s">
        <v>412</v>
      </c>
      <c r="Y810" s="153" t="s">
        <v>339</v>
      </c>
      <c r="Z810" s="154">
        <v>6381412</v>
      </c>
      <c r="AA810" s="154">
        <v>1</v>
      </c>
      <c r="AB810" s="154">
        <v>97.43</v>
      </c>
      <c r="AD810" s="154">
        <v>6217.41</v>
      </c>
      <c r="AG810" s="157" t="s">
        <v>15</v>
      </c>
      <c r="AH810" s="155">
        <v>9.1199999999999996E-3</v>
      </c>
      <c r="AI810" s="155">
        <f t="shared" si="12"/>
        <v>1.4799879911072025E-2</v>
      </c>
      <c r="AJ810" s="155">
        <v>1.396518713960877E-3</v>
      </c>
    </row>
    <row r="811" spans="1:36" s="160" customFormat="1">
      <c r="A811" s="153" t="s">
        <v>1213</v>
      </c>
      <c r="B811" s="160">
        <v>62</v>
      </c>
      <c r="C811" s="153" t="s">
        <v>1904</v>
      </c>
      <c r="D811" s="153" t="s">
        <v>1905</v>
      </c>
      <c r="E811" s="153" t="s">
        <v>309</v>
      </c>
      <c r="F811" s="153" t="s">
        <v>2709</v>
      </c>
      <c r="G811" s="153" t="s">
        <v>2710</v>
      </c>
      <c r="H811" s="153" t="s">
        <v>321</v>
      </c>
      <c r="I811" s="153" t="s">
        <v>754</v>
      </c>
      <c r="J811" s="153" t="s">
        <v>204</v>
      </c>
      <c r="K811" s="153" t="s">
        <v>204</v>
      </c>
      <c r="L811" s="153" t="s">
        <v>325</v>
      </c>
      <c r="M811" s="153" t="s">
        <v>340</v>
      </c>
      <c r="N811" s="153" t="s">
        <v>448</v>
      </c>
      <c r="O811" s="153" t="s">
        <v>339</v>
      </c>
      <c r="P811" s="153" t="s">
        <v>1566</v>
      </c>
      <c r="Q811" s="153" t="s">
        <v>413</v>
      </c>
      <c r="R811" s="153" t="s">
        <v>407</v>
      </c>
      <c r="S811" s="153" t="s">
        <v>1212</v>
      </c>
      <c r="T811" s="154">
        <v>1.06</v>
      </c>
      <c r="U811" s="153" t="s">
        <v>2711</v>
      </c>
      <c r="V811" s="155">
        <v>2.6120000000000001E-2</v>
      </c>
      <c r="W811" s="155">
        <v>2.9600000000000001E-2</v>
      </c>
      <c r="X811" s="153" t="s">
        <v>411</v>
      </c>
      <c r="Y811" s="153" t="s">
        <v>339</v>
      </c>
      <c r="Z811" s="154">
        <v>5405945</v>
      </c>
      <c r="AA811" s="154">
        <v>1</v>
      </c>
      <c r="AB811" s="154">
        <v>114.39</v>
      </c>
      <c r="AD811" s="154">
        <v>6183.86</v>
      </c>
      <c r="AG811" s="157" t="s">
        <v>15</v>
      </c>
      <c r="AH811" s="155">
        <v>4.0600000000000002E-3</v>
      </c>
      <c r="AI811" s="155">
        <f t="shared" si="12"/>
        <v>1.4720017722312321E-2</v>
      </c>
      <c r="AJ811" s="155">
        <v>1.3889829067914308E-3</v>
      </c>
    </row>
    <row r="812" spans="1:36" s="160" customFormat="1">
      <c r="A812" s="153" t="s">
        <v>1213</v>
      </c>
      <c r="B812" s="160">
        <v>62</v>
      </c>
      <c r="C812" s="153" t="s">
        <v>2178</v>
      </c>
      <c r="D812" s="153" t="s">
        <v>2179</v>
      </c>
      <c r="E812" s="153" t="s">
        <v>309</v>
      </c>
      <c r="F812" s="153" t="s">
        <v>2189</v>
      </c>
      <c r="G812" s="153" t="s">
        <v>2190</v>
      </c>
      <c r="H812" s="153" t="s">
        <v>321</v>
      </c>
      <c r="I812" s="153" t="s">
        <v>951</v>
      </c>
      <c r="J812" s="153" t="s">
        <v>204</v>
      </c>
      <c r="K812" s="153" t="s">
        <v>204</v>
      </c>
      <c r="L812" s="153" t="s">
        <v>325</v>
      </c>
      <c r="M812" s="153" t="s">
        <v>340</v>
      </c>
      <c r="N812" s="153" t="s">
        <v>464</v>
      </c>
      <c r="O812" s="153" t="s">
        <v>339</v>
      </c>
      <c r="P812" s="153" t="s">
        <v>1566</v>
      </c>
      <c r="Q812" s="153" t="s">
        <v>413</v>
      </c>
      <c r="R812" s="153" t="s">
        <v>407</v>
      </c>
      <c r="S812" s="153" t="s">
        <v>1212</v>
      </c>
      <c r="T812" s="154">
        <v>6.24</v>
      </c>
      <c r="U812" s="153" t="s">
        <v>2182</v>
      </c>
      <c r="V812" s="155">
        <v>4.4639999999999999E-2</v>
      </c>
      <c r="W812" s="155">
        <v>6.6799999999999998E-2</v>
      </c>
      <c r="X812" s="153" t="s">
        <v>412</v>
      </c>
      <c r="Y812" s="153" t="s">
        <v>339</v>
      </c>
      <c r="Z812" s="154">
        <v>6666000</v>
      </c>
      <c r="AA812" s="154">
        <v>1</v>
      </c>
      <c r="AB812" s="154">
        <v>92.67</v>
      </c>
      <c r="AD812" s="154">
        <v>6177.3819999999996</v>
      </c>
      <c r="AG812" s="157" t="s">
        <v>15</v>
      </c>
      <c r="AH812" s="155">
        <v>7.43E-3</v>
      </c>
      <c r="AI812" s="155">
        <f t="shared" si="12"/>
        <v>1.4704597535761343E-2</v>
      </c>
      <c r="AJ812" s="155">
        <v>1.387527855857193E-3</v>
      </c>
    </row>
    <row r="813" spans="1:36" s="160" customFormat="1">
      <c r="A813" s="153" t="s">
        <v>1213</v>
      </c>
      <c r="B813" s="160">
        <v>62</v>
      </c>
      <c r="C813" s="153" t="s">
        <v>1674</v>
      </c>
      <c r="D813" s="153" t="s">
        <v>1675</v>
      </c>
      <c r="E813" s="153" t="s">
        <v>309</v>
      </c>
      <c r="F813" s="153" t="s">
        <v>2746</v>
      </c>
      <c r="G813" s="153" t="s">
        <v>2747</v>
      </c>
      <c r="H813" s="153" t="s">
        <v>321</v>
      </c>
      <c r="I813" s="153" t="s">
        <v>754</v>
      </c>
      <c r="J813" s="153" t="s">
        <v>204</v>
      </c>
      <c r="K813" s="153" t="s">
        <v>204</v>
      </c>
      <c r="L813" s="153" t="s">
        <v>325</v>
      </c>
      <c r="M813" s="153" t="s">
        <v>340</v>
      </c>
      <c r="N813" s="153" t="s">
        <v>464</v>
      </c>
      <c r="O813" s="153" t="s">
        <v>339</v>
      </c>
      <c r="P813" s="153" t="s">
        <v>1566</v>
      </c>
      <c r="Q813" s="153" t="s">
        <v>413</v>
      </c>
      <c r="R813" s="153" t="s">
        <v>407</v>
      </c>
      <c r="S813" s="153" t="s">
        <v>1212</v>
      </c>
      <c r="T813" s="154">
        <v>5.31</v>
      </c>
      <c r="U813" s="153" t="s">
        <v>1897</v>
      </c>
      <c r="V813" s="155">
        <v>1.8769999999999998E-2</v>
      </c>
      <c r="W813" s="155">
        <v>3.3700000000000001E-2</v>
      </c>
      <c r="X813" s="153" t="s">
        <v>412</v>
      </c>
      <c r="Y813" s="153" t="s">
        <v>339</v>
      </c>
      <c r="Z813" s="154">
        <v>5913600</v>
      </c>
      <c r="AA813" s="154">
        <v>1</v>
      </c>
      <c r="AB813" s="154">
        <v>103.16</v>
      </c>
      <c r="AD813" s="154">
        <v>6100.47</v>
      </c>
      <c r="AG813" s="157" t="s">
        <v>15</v>
      </c>
      <c r="AH813" s="155">
        <v>1.1299999999999999E-2</v>
      </c>
      <c r="AI813" s="155">
        <f t="shared" si="12"/>
        <v>1.4521516741070247E-2</v>
      </c>
      <c r="AJ813" s="155">
        <v>1.3702523267657934E-3</v>
      </c>
    </row>
    <row r="814" spans="1:36" s="160" customFormat="1">
      <c r="A814" s="153" t="s">
        <v>1213</v>
      </c>
      <c r="B814" s="160">
        <v>62</v>
      </c>
      <c r="C814" s="153" t="s">
        <v>2356</v>
      </c>
      <c r="D814" s="153" t="s">
        <v>2357</v>
      </c>
      <c r="E814" s="153" t="s">
        <v>309</v>
      </c>
      <c r="F814" s="153" t="s">
        <v>2358</v>
      </c>
      <c r="G814" s="153" t="s">
        <v>2359</v>
      </c>
      <c r="H814" s="153" t="s">
        <v>321</v>
      </c>
      <c r="I814" s="153" t="s">
        <v>754</v>
      </c>
      <c r="J814" s="153" t="s">
        <v>204</v>
      </c>
      <c r="K814" s="153" t="s">
        <v>204</v>
      </c>
      <c r="L814" s="153" t="s">
        <v>325</v>
      </c>
      <c r="M814" s="153" t="s">
        <v>340</v>
      </c>
      <c r="N814" s="153" t="s">
        <v>447</v>
      </c>
      <c r="O814" s="153" t="s">
        <v>339</v>
      </c>
      <c r="P814" s="153" t="s">
        <v>1560</v>
      </c>
      <c r="Q814" s="153" t="s">
        <v>413</v>
      </c>
      <c r="R814" s="153" t="s">
        <v>407</v>
      </c>
      <c r="S814" s="153" t="s">
        <v>1212</v>
      </c>
      <c r="T814" s="154">
        <v>2.79</v>
      </c>
      <c r="U814" s="153" t="s">
        <v>2360</v>
      </c>
      <c r="V814" s="155">
        <v>3.347E-2</v>
      </c>
      <c r="W814" s="155">
        <v>3.95E-2</v>
      </c>
      <c r="X814" s="153" t="s">
        <v>412</v>
      </c>
      <c r="Y814" s="153" t="s">
        <v>339</v>
      </c>
      <c r="Z814" s="154">
        <v>5138105.34</v>
      </c>
      <c r="AA814" s="154">
        <v>1</v>
      </c>
      <c r="AB814" s="154">
        <v>117.74</v>
      </c>
      <c r="AD814" s="154">
        <v>6049.6049999999996</v>
      </c>
      <c r="AG814" s="157" t="s">
        <v>15</v>
      </c>
      <c r="AH814" s="155">
        <v>3.5999999999999999E-3</v>
      </c>
      <c r="AI814" s="155">
        <f t="shared" si="12"/>
        <v>1.4400438045652591E-2</v>
      </c>
      <c r="AJ814" s="155">
        <v>1.3588273243314002E-3</v>
      </c>
    </row>
    <row r="815" spans="1:36" s="160" customFormat="1">
      <c r="A815" s="153" t="s">
        <v>1213</v>
      </c>
      <c r="B815" s="160">
        <v>62</v>
      </c>
      <c r="C815" s="153" t="s">
        <v>2298</v>
      </c>
      <c r="D815" s="153" t="s">
        <v>2299</v>
      </c>
      <c r="E815" s="153" t="s">
        <v>309</v>
      </c>
      <c r="F815" s="153" t="s">
        <v>2712</v>
      </c>
      <c r="G815" s="153" t="s">
        <v>2713</v>
      </c>
      <c r="H815" s="153" t="s">
        <v>321</v>
      </c>
      <c r="I815" s="153" t="s">
        <v>951</v>
      </c>
      <c r="J815" s="153" t="s">
        <v>204</v>
      </c>
      <c r="K815" s="153" t="s">
        <v>204</v>
      </c>
      <c r="L815" s="153" t="s">
        <v>325</v>
      </c>
      <c r="M815" s="153" t="s">
        <v>340</v>
      </c>
      <c r="N815" s="153" t="s">
        <v>462</v>
      </c>
      <c r="O815" s="153" t="s">
        <v>339</v>
      </c>
      <c r="P815" s="153" t="s">
        <v>1566</v>
      </c>
      <c r="Q815" s="153" t="s">
        <v>413</v>
      </c>
      <c r="R815" s="153" t="s">
        <v>407</v>
      </c>
      <c r="S815" s="153" t="s">
        <v>1212</v>
      </c>
      <c r="T815" s="154">
        <v>3.09</v>
      </c>
      <c r="U815" s="153" t="s">
        <v>2714</v>
      </c>
      <c r="V815" s="155">
        <v>4.897E-2</v>
      </c>
      <c r="W815" s="155">
        <v>5.8900000000000001E-2</v>
      </c>
      <c r="X815" s="153" t="s">
        <v>412</v>
      </c>
      <c r="Y815" s="153" t="s">
        <v>339</v>
      </c>
      <c r="Z815" s="154">
        <v>6090435</v>
      </c>
      <c r="AA815" s="154">
        <v>1</v>
      </c>
      <c r="AB815" s="154">
        <v>99.02</v>
      </c>
      <c r="AD815" s="154">
        <v>6030.7489999999998</v>
      </c>
      <c r="AG815" s="157" t="s">
        <v>15</v>
      </c>
      <c r="AH815" s="155">
        <v>2.5479999999999999E-2</v>
      </c>
      <c r="AI815" s="155">
        <f t="shared" si="12"/>
        <v>1.4355553353215842E-2</v>
      </c>
      <c r="AJ815" s="155">
        <v>1.3545919985493711E-3</v>
      </c>
    </row>
    <row r="816" spans="1:36" s="160" customFormat="1">
      <c r="A816" s="153" t="s">
        <v>1213</v>
      </c>
      <c r="B816" s="160">
        <v>62</v>
      </c>
      <c r="C816" s="153" t="s">
        <v>1917</v>
      </c>
      <c r="D816" s="153" t="s">
        <v>1918</v>
      </c>
      <c r="E816" s="153" t="s">
        <v>309</v>
      </c>
      <c r="F816" s="153" t="s">
        <v>1919</v>
      </c>
      <c r="G816" s="153" t="s">
        <v>1920</v>
      </c>
      <c r="H816" s="153" t="s">
        <v>321</v>
      </c>
      <c r="I816" s="153" t="s">
        <v>754</v>
      </c>
      <c r="J816" s="153" t="s">
        <v>204</v>
      </c>
      <c r="K816" s="153" t="s">
        <v>204</v>
      </c>
      <c r="L816" s="153" t="s">
        <v>325</v>
      </c>
      <c r="M816" s="153" t="s">
        <v>340</v>
      </c>
      <c r="N816" s="153" t="s">
        <v>447</v>
      </c>
      <c r="O816" s="153" t="s">
        <v>339</v>
      </c>
      <c r="P816" s="153" t="s">
        <v>1560</v>
      </c>
      <c r="Q816" s="153" t="s">
        <v>413</v>
      </c>
      <c r="R816" s="153" t="s">
        <v>407</v>
      </c>
      <c r="S816" s="153" t="s">
        <v>1212</v>
      </c>
      <c r="T816" s="154">
        <v>3.26</v>
      </c>
      <c r="U816" s="153" t="s">
        <v>1913</v>
      </c>
      <c r="V816" s="155">
        <v>2.66E-3</v>
      </c>
      <c r="W816" s="155">
        <v>3.5099999999999999E-2</v>
      </c>
      <c r="X816" s="153" t="s">
        <v>412</v>
      </c>
      <c r="Y816" s="153" t="s">
        <v>339</v>
      </c>
      <c r="Z816" s="154">
        <v>5782000</v>
      </c>
      <c r="AA816" s="154">
        <v>1</v>
      </c>
      <c r="AB816" s="154">
        <v>103.23</v>
      </c>
      <c r="AD816" s="154">
        <v>5968.759</v>
      </c>
      <c r="AG816" s="157" t="s">
        <v>15</v>
      </c>
      <c r="AH816" s="155">
        <v>3.7599999999999999E-3</v>
      </c>
      <c r="AI816" s="155">
        <f t="shared" si="12"/>
        <v>1.420799278447623E-2</v>
      </c>
      <c r="AJ816" s="155">
        <v>1.3406681628881497E-3</v>
      </c>
    </row>
    <row r="817" spans="1:36" s="160" customFormat="1">
      <c r="A817" s="153" t="s">
        <v>1213</v>
      </c>
      <c r="B817" s="160">
        <v>62</v>
      </c>
      <c r="C817" s="153" t="s">
        <v>1998</v>
      </c>
      <c r="D817" s="153" t="s">
        <v>1999</v>
      </c>
      <c r="E817" s="153" t="s">
        <v>309</v>
      </c>
      <c r="F817" s="153" t="s">
        <v>2806</v>
      </c>
      <c r="G817" s="153" t="s">
        <v>2807</v>
      </c>
      <c r="H817" s="153" t="s">
        <v>321</v>
      </c>
      <c r="I817" s="153" t="s">
        <v>754</v>
      </c>
      <c r="J817" s="153" t="s">
        <v>204</v>
      </c>
      <c r="K817" s="153" t="s">
        <v>204</v>
      </c>
      <c r="L817" s="153" t="s">
        <v>325</v>
      </c>
      <c r="M817" s="153" t="s">
        <v>340</v>
      </c>
      <c r="N817" s="153" t="s">
        <v>464</v>
      </c>
      <c r="O817" s="153" t="s">
        <v>339</v>
      </c>
      <c r="P817" s="153" t="s">
        <v>1554</v>
      </c>
      <c r="Q817" s="153" t="s">
        <v>413</v>
      </c>
      <c r="R817" s="153" t="s">
        <v>407</v>
      </c>
      <c r="S817" s="153" t="s">
        <v>1212</v>
      </c>
      <c r="T817" s="154">
        <v>2.0099999999999998</v>
      </c>
      <c r="U817" s="153" t="s">
        <v>1638</v>
      </c>
      <c r="V817" s="155">
        <v>9.6100000000000005E-3</v>
      </c>
      <c r="W817" s="155">
        <v>3.4099999999999998E-2</v>
      </c>
      <c r="X817" s="153" t="s">
        <v>412</v>
      </c>
      <c r="Y817" s="153" t="s">
        <v>339</v>
      </c>
      <c r="Z817" s="154">
        <v>5121450</v>
      </c>
      <c r="AA817" s="154">
        <v>1</v>
      </c>
      <c r="AB817" s="154">
        <v>115.86</v>
      </c>
      <c r="AD817" s="154">
        <v>5933.7120000000004</v>
      </c>
      <c r="AG817" s="157" t="s">
        <v>15</v>
      </c>
      <c r="AH817" s="155">
        <v>8.5400000000000007E-3</v>
      </c>
      <c r="AI817" s="155">
        <f t="shared" si="12"/>
        <v>1.4124567147234464E-2</v>
      </c>
      <c r="AJ817" s="155">
        <v>1.3327961082274171E-3</v>
      </c>
    </row>
    <row r="818" spans="1:36" s="160" customFormat="1">
      <c r="A818" s="153" t="s">
        <v>1213</v>
      </c>
      <c r="B818" s="160">
        <v>62</v>
      </c>
      <c r="C818" s="153" t="s">
        <v>1825</v>
      </c>
      <c r="D818" s="153" t="s">
        <v>1826</v>
      </c>
      <c r="E818" s="153" t="s">
        <v>309</v>
      </c>
      <c r="F818" s="153" t="s">
        <v>2787</v>
      </c>
      <c r="G818" s="153" t="s">
        <v>2788</v>
      </c>
      <c r="H818" s="153" t="s">
        <v>321</v>
      </c>
      <c r="I818" s="153" t="s">
        <v>951</v>
      </c>
      <c r="J818" s="153" t="s">
        <v>204</v>
      </c>
      <c r="K818" s="153" t="s">
        <v>204</v>
      </c>
      <c r="L818" s="153" t="s">
        <v>325</v>
      </c>
      <c r="M818" s="153" t="s">
        <v>340</v>
      </c>
      <c r="N818" s="153" t="s">
        <v>441</v>
      </c>
      <c r="O818" s="153" t="s">
        <v>339</v>
      </c>
      <c r="Q818" s="153" t="s">
        <v>410</v>
      </c>
      <c r="R818" s="153" t="s">
        <v>410</v>
      </c>
      <c r="S818" s="153" t="s">
        <v>1212</v>
      </c>
      <c r="T818" s="154">
        <v>2.76</v>
      </c>
      <c r="U818" s="153" t="s">
        <v>1669</v>
      </c>
      <c r="V818" s="155">
        <v>5.0999999999999997E-2</v>
      </c>
      <c r="W818" s="155">
        <v>5.9299999999999999E-2</v>
      </c>
      <c r="X818" s="153" t="s">
        <v>412</v>
      </c>
      <c r="Y818" s="153" t="s">
        <v>339</v>
      </c>
      <c r="Z818" s="154">
        <v>5841000</v>
      </c>
      <c r="AA818" s="154">
        <v>1</v>
      </c>
      <c r="AB818" s="154">
        <v>100.56</v>
      </c>
      <c r="AD818" s="154">
        <v>5873.71</v>
      </c>
      <c r="AG818" s="157" t="s">
        <v>15</v>
      </c>
      <c r="AH818" s="155">
        <v>2.6550000000000001E-2</v>
      </c>
      <c r="AI818" s="155">
        <f t="shared" si="12"/>
        <v>1.3981738799992741E-2</v>
      </c>
      <c r="AJ818" s="155">
        <v>1.3193188056407964E-3</v>
      </c>
    </row>
    <row r="819" spans="1:36" s="160" customFormat="1">
      <c r="A819" s="153" t="s">
        <v>1213</v>
      </c>
      <c r="B819" s="160">
        <v>62</v>
      </c>
      <c r="C819" s="153" t="s">
        <v>1591</v>
      </c>
      <c r="D819" s="153" t="s">
        <v>1592</v>
      </c>
      <c r="E819" s="153" t="s">
        <v>309</v>
      </c>
      <c r="F819" s="153" t="s">
        <v>2175</v>
      </c>
      <c r="G819" s="153" t="s">
        <v>2176</v>
      </c>
      <c r="H819" s="153" t="s">
        <v>321</v>
      </c>
      <c r="I819" s="153" t="s">
        <v>754</v>
      </c>
      <c r="J819" s="153" t="s">
        <v>204</v>
      </c>
      <c r="K819" s="153" t="s">
        <v>204</v>
      </c>
      <c r="L819" s="153" t="s">
        <v>325</v>
      </c>
      <c r="M819" s="153" t="s">
        <v>340</v>
      </c>
      <c r="N819" s="153" t="s">
        <v>464</v>
      </c>
      <c r="O819" s="153" t="s">
        <v>339</v>
      </c>
      <c r="P819" s="153" t="s">
        <v>1538</v>
      </c>
      <c r="Q819" s="153" t="s">
        <v>413</v>
      </c>
      <c r="R819" s="153" t="s">
        <v>407</v>
      </c>
      <c r="S819" s="153" t="s">
        <v>1212</v>
      </c>
      <c r="T819" s="154">
        <v>3.97</v>
      </c>
      <c r="U819" s="153" t="s">
        <v>2177</v>
      </c>
      <c r="V819" s="155">
        <v>3.5290000000000002E-2</v>
      </c>
      <c r="W819" s="155">
        <v>3.1899999999999998E-2</v>
      </c>
      <c r="X819" s="153" t="s">
        <v>412</v>
      </c>
      <c r="Y819" s="153" t="s">
        <v>339</v>
      </c>
      <c r="Z819" s="154">
        <v>5404829.7300000004</v>
      </c>
      <c r="AA819" s="154">
        <v>1</v>
      </c>
      <c r="AB819" s="154">
        <v>103.53</v>
      </c>
      <c r="AD819" s="154">
        <v>5595.62</v>
      </c>
      <c r="AG819" s="157" t="s">
        <v>15</v>
      </c>
      <c r="AH819" s="155">
        <v>3.3600000000000001E-3</v>
      </c>
      <c r="AI819" s="155">
        <f t="shared" si="12"/>
        <v>1.331977528070255E-2</v>
      </c>
      <c r="AJ819" s="155">
        <v>1.2568558364678803E-3</v>
      </c>
    </row>
    <row r="820" spans="1:36" s="160" customFormat="1">
      <c r="A820" s="153" t="s">
        <v>1213</v>
      </c>
      <c r="B820" s="160">
        <v>62</v>
      </c>
      <c r="C820" s="153" t="s">
        <v>1591</v>
      </c>
      <c r="D820" s="153" t="s">
        <v>1592</v>
      </c>
      <c r="E820" s="153" t="s">
        <v>309</v>
      </c>
      <c r="F820" s="153" t="s">
        <v>1858</v>
      </c>
      <c r="G820" s="153" t="s">
        <v>1859</v>
      </c>
      <c r="H820" s="153" t="s">
        <v>321</v>
      </c>
      <c r="I820" s="153" t="s">
        <v>754</v>
      </c>
      <c r="J820" s="153" t="s">
        <v>204</v>
      </c>
      <c r="K820" s="153" t="s">
        <v>204</v>
      </c>
      <c r="L820" s="153" t="s">
        <v>325</v>
      </c>
      <c r="M820" s="153" t="s">
        <v>340</v>
      </c>
      <c r="N820" s="153" t="s">
        <v>464</v>
      </c>
      <c r="O820" s="153" t="s">
        <v>339</v>
      </c>
      <c r="P820" s="153" t="s">
        <v>1538</v>
      </c>
      <c r="Q820" s="153" t="s">
        <v>413</v>
      </c>
      <c r="R820" s="153" t="s">
        <v>407</v>
      </c>
      <c r="S820" s="153" t="s">
        <v>1212</v>
      </c>
      <c r="T820" s="154">
        <v>5.14</v>
      </c>
      <c r="U820" s="153" t="s">
        <v>1860</v>
      </c>
      <c r="V820" s="155">
        <v>9.2300000000000004E-3</v>
      </c>
      <c r="W820" s="155">
        <v>3.32E-2</v>
      </c>
      <c r="X820" s="153" t="s">
        <v>412</v>
      </c>
      <c r="Y820" s="153" t="s">
        <v>339</v>
      </c>
      <c r="Z820" s="154">
        <v>5705661</v>
      </c>
      <c r="AA820" s="154">
        <v>1</v>
      </c>
      <c r="AB820" s="154">
        <v>97.54</v>
      </c>
      <c r="AD820" s="154">
        <v>5565.3019999999997</v>
      </c>
      <c r="AG820" s="157" t="s">
        <v>15</v>
      </c>
      <c r="AH820" s="155">
        <v>4.0699999999999998E-3</v>
      </c>
      <c r="AI820" s="155">
        <f t="shared" si="12"/>
        <v>1.3247606522466584E-2</v>
      </c>
      <c r="AJ820" s="155">
        <v>1.2500459824659942E-3</v>
      </c>
    </row>
    <row r="821" spans="1:36" s="160" customFormat="1">
      <c r="A821" s="153" t="s">
        <v>1213</v>
      </c>
      <c r="B821" s="160">
        <v>62</v>
      </c>
      <c r="C821" s="153" t="s">
        <v>2356</v>
      </c>
      <c r="D821" s="153" t="s">
        <v>2357</v>
      </c>
      <c r="E821" s="153" t="s">
        <v>309</v>
      </c>
      <c r="F821" s="153" t="s">
        <v>2808</v>
      </c>
      <c r="G821" s="153" t="s">
        <v>2809</v>
      </c>
      <c r="H821" s="153" t="s">
        <v>321</v>
      </c>
      <c r="I821" s="153" t="s">
        <v>754</v>
      </c>
      <c r="J821" s="153" t="s">
        <v>204</v>
      </c>
      <c r="K821" s="153" t="s">
        <v>204</v>
      </c>
      <c r="L821" s="153" t="s">
        <v>325</v>
      </c>
      <c r="M821" s="153" t="s">
        <v>340</v>
      </c>
      <c r="N821" s="153" t="s">
        <v>447</v>
      </c>
      <c r="O821" s="153" t="s">
        <v>339</v>
      </c>
      <c r="P821" s="153" t="s">
        <v>1560</v>
      </c>
      <c r="Q821" s="153" t="s">
        <v>413</v>
      </c>
      <c r="R821" s="153" t="s">
        <v>407</v>
      </c>
      <c r="S821" s="153" t="s">
        <v>1212</v>
      </c>
      <c r="T821" s="154">
        <v>4.1100000000000003</v>
      </c>
      <c r="U821" s="153" t="s">
        <v>1916</v>
      </c>
      <c r="V821" s="155">
        <v>1.158E-2</v>
      </c>
      <c r="W821" s="155">
        <v>4.1700000000000001E-2</v>
      </c>
      <c r="X821" s="153" t="s">
        <v>412</v>
      </c>
      <c r="Y821" s="153" t="s">
        <v>339</v>
      </c>
      <c r="Z821" s="154">
        <v>4983680.8600000003</v>
      </c>
      <c r="AA821" s="154">
        <v>1</v>
      </c>
      <c r="AB821" s="154">
        <v>111.41</v>
      </c>
      <c r="AD821" s="154">
        <v>5552.3190000000004</v>
      </c>
      <c r="AG821" s="157" t="s">
        <v>15</v>
      </c>
      <c r="AH821" s="155">
        <v>1.353E-2</v>
      </c>
      <c r="AI821" s="155">
        <f t="shared" si="12"/>
        <v>1.3216701878750722E-2</v>
      </c>
      <c r="AJ821" s="155">
        <v>1.2471298160135079E-3</v>
      </c>
    </row>
    <row r="822" spans="1:36" s="160" customFormat="1">
      <c r="A822" s="153" t="s">
        <v>1213</v>
      </c>
      <c r="B822" s="160">
        <v>62</v>
      </c>
      <c r="C822" s="153" t="s">
        <v>2228</v>
      </c>
      <c r="D822" s="153" t="s">
        <v>2229</v>
      </c>
      <c r="E822" s="153" t="s">
        <v>309</v>
      </c>
      <c r="F822" s="153" t="s">
        <v>2715</v>
      </c>
      <c r="G822" s="153" t="s">
        <v>2716</v>
      </c>
      <c r="H822" s="153" t="s">
        <v>321</v>
      </c>
      <c r="I822" s="153" t="s">
        <v>951</v>
      </c>
      <c r="J822" s="153" t="s">
        <v>204</v>
      </c>
      <c r="K822" s="153" t="s">
        <v>204</v>
      </c>
      <c r="L822" s="153" t="s">
        <v>325</v>
      </c>
      <c r="M822" s="153" t="s">
        <v>340</v>
      </c>
      <c r="N822" s="153" t="s">
        <v>441</v>
      </c>
      <c r="O822" s="153" t="s">
        <v>339</v>
      </c>
      <c r="P822" s="153" t="s">
        <v>1614</v>
      </c>
      <c r="Q822" s="153" t="s">
        <v>415</v>
      </c>
      <c r="R822" s="153" t="s">
        <v>407</v>
      </c>
      <c r="S822" s="153" t="s">
        <v>1212</v>
      </c>
      <c r="T822" s="154">
        <v>3.76</v>
      </c>
      <c r="U822" s="153" t="s">
        <v>2717</v>
      </c>
      <c r="V822" s="155">
        <v>2.9420000000000002E-2</v>
      </c>
      <c r="W822" s="155">
        <v>5.9900000000000002E-2</v>
      </c>
      <c r="X822" s="153" t="s">
        <v>412</v>
      </c>
      <c r="Y822" s="153" t="s">
        <v>339</v>
      </c>
      <c r="Z822" s="154">
        <v>6007000</v>
      </c>
      <c r="AA822" s="154">
        <v>1</v>
      </c>
      <c r="AB822" s="154">
        <v>85.02</v>
      </c>
      <c r="AD822" s="154">
        <v>5107.1509999999998</v>
      </c>
      <c r="AG822" s="157" t="s">
        <v>15</v>
      </c>
      <c r="AH822" s="155">
        <v>1.5559999999999999E-2</v>
      </c>
      <c r="AI822" s="155">
        <f t="shared" si="12"/>
        <v>1.2157027039830317E-2</v>
      </c>
      <c r="AJ822" s="155">
        <v>1.1471387517509714E-3</v>
      </c>
    </row>
    <row r="823" spans="1:36" s="160" customFormat="1">
      <c r="A823" s="153" t="s">
        <v>1213</v>
      </c>
      <c r="B823" s="160">
        <v>62</v>
      </c>
      <c r="C823" s="153" t="s">
        <v>2445</v>
      </c>
      <c r="D823" s="153" t="s">
        <v>2446</v>
      </c>
      <c r="E823" s="153" t="s">
        <v>309</v>
      </c>
      <c r="F823" s="153" t="s">
        <v>2447</v>
      </c>
      <c r="G823" s="153" t="s">
        <v>2448</v>
      </c>
      <c r="H823" s="153" t="s">
        <v>321</v>
      </c>
      <c r="I823" s="153" t="s">
        <v>951</v>
      </c>
      <c r="J823" s="153" t="s">
        <v>204</v>
      </c>
      <c r="K823" s="153" t="s">
        <v>204</v>
      </c>
      <c r="L823" s="153" t="s">
        <v>325</v>
      </c>
      <c r="M823" s="153" t="s">
        <v>340</v>
      </c>
      <c r="N823" s="153" t="s">
        <v>440</v>
      </c>
      <c r="O823" s="153" t="s">
        <v>339</v>
      </c>
      <c r="P823" s="153" t="s">
        <v>1614</v>
      </c>
      <c r="Q823" s="153" t="s">
        <v>415</v>
      </c>
      <c r="R823" s="153" t="s">
        <v>407</v>
      </c>
      <c r="S823" s="153" t="s">
        <v>1212</v>
      </c>
      <c r="T823" s="154">
        <v>1.92</v>
      </c>
      <c r="U823" s="153" t="s">
        <v>1370</v>
      </c>
      <c r="V823" s="155">
        <v>4.8800000000000003E-2</v>
      </c>
      <c r="W823" s="155">
        <v>5.7599999999999998E-2</v>
      </c>
      <c r="X823" s="153" t="s">
        <v>412</v>
      </c>
      <c r="Y823" s="153" t="s">
        <v>339</v>
      </c>
      <c r="Z823" s="154">
        <v>5277820.5</v>
      </c>
      <c r="AA823" s="154">
        <v>1</v>
      </c>
      <c r="AB823" s="154">
        <v>95.6</v>
      </c>
      <c r="AD823" s="154">
        <v>5045.5959999999995</v>
      </c>
      <c r="AG823" s="157" t="s">
        <v>15</v>
      </c>
      <c r="AH823" s="155">
        <v>7.3800000000000003E-3</v>
      </c>
      <c r="AI823" s="155">
        <f t="shared" si="12"/>
        <v>1.2010501942092506E-2</v>
      </c>
      <c r="AJ823" s="155">
        <v>1.1333126232765966E-3</v>
      </c>
    </row>
    <row r="824" spans="1:36" s="160" customFormat="1">
      <c r="A824" s="153" t="s">
        <v>1213</v>
      </c>
      <c r="B824" s="160">
        <v>62</v>
      </c>
      <c r="C824" s="153" t="s">
        <v>2424</v>
      </c>
      <c r="D824" s="153" t="s">
        <v>2425</v>
      </c>
      <c r="E824" s="153" t="s">
        <v>309</v>
      </c>
      <c r="F824" s="153" t="s">
        <v>2426</v>
      </c>
      <c r="G824" s="153" t="s">
        <v>2427</v>
      </c>
      <c r="H824" s="153" t="s">
        <v>321</v>
      </c>
      <c r="I824" s="153" t="s">
        <v>754</v>
      </c>
      <c r="J824" s="153" t="s">
        <v>204</v>
      </c>
      <c r="K824" s="153" t="s">
        <v>204</v>
      </c>
      <c r="L824" s="153" t="s">
        <v>325</v>
      </c>
      <c r="M824" s="153" t="s">
        <v>340</v>
      </c>
      <c r="N824" s="153" t="s">
        <v>477</v>
      </c>
      <c r="O824" s="153" t="s">
        <v>339</v>
      </c>
      <c r="P824" s="153" t="s">
        <v>1923</v>
      </c>
      <c r="Q824" s="153" t="s">
        <v>415</v>
      </c>
      <c r="R824" s="153" t="s">
        <v>407</v>
      </c>
      <c r="S824" s="153" t="s">
        <v>1212</v>
      </c>
      <c r="T824" s="154">
        <v>5.47</v>
      </c>
      <c r="U824" s="153" t="s">
        <v>2177</v>
      </c>
      <c r="V824" s="155">
        <v>1.273E-2</v>
      </c>
      <c r="W824" s="155">
        <v>2.7400000000000001E-2</v>
      </c>
      <c r="X824" s="153" t="s">
        <v>412</v>
      </c>
      <c r="Y824" s="153" t="s">
        <v>339</v>
      </c>
      <c r="Z824" s="154">
        <v>4231944.83</v>
      </c>
      <c r="AA824" s="154">
        <v>1</v>
      </c>
      <c r="AB824" s="154">
        <v>116.33</v>
      </c>
      <c r="AD824" s="154">
        <v>4923.0209999999997</v>
      </c>
      <c r="AG824" s="157" t="s">
        <v>15</v>
      </c>
      <c r="AH824" s="155">
        <v>2.8800000000000002E-3</v>
      </c>
      <c r="AI824" s="155">
        <f t="shared" si="12"/>
        <v>1.1718725256929447E-2</v>
      </c>
      <c r="AJ824" s="155">
        <v>1.1057805349369578E-3</v>
      </c>
    </row>
    <row r="825" spans="1:36" s="160" customFormat="1">
      <c r="A825" s="153" t="s">
        <v>1213</v>
      </c>
      <c r="B825" s="160">
        <v>62</v>
      </c>
      <c r="C825" s="153" t="s">
        <v>1820</v>
      </c>
      <c r="D825" s="153" t="s">
        <v>1821</v>
      </c>
      <c r="E825" s="153" t="s">
        <v>309</v>
      </c>
      <c r="F825" s="153" t="s">
        <v>1822</v>
      </c>
      <c r="G825" s="153" t="s">
        <v>1823</v>
      </c>
      <c r="H825" s="153" t="s">
        <v>321</v>
      </c>
      <c r="I825" s="153" t="s">
        <v>754</v>
      </c>
      <c r="J825" s="153" t="s">
        <v>204</v>
      </c>
      <c r="K825" s="153" t="s">
        <v>204</v>
      </c>
      <c r="L825" s="153" t="s">
        <v>325</v>
      </c>
      <c r="M825" s="153" t="s">
        <v>340</v>
      </c>
      <c r="N825" s="153" t="s">
        <v>464</v>
      </c>
      <c r="O825" s="153" t="s">
        <v>339</v>
      </c>
      <c r="P825" s="153" t="s">
        <v>1538</v>
      </c>
      <c r="Q825" s="153" t="s">
        <v>413</v>
      </c>
      <c r="R825" s="153" t="s">
        <v>407</v>
      </c>
      <c r="S825" s="153" t="s">
        <v>1212</v>
      </c>
      <c r="T825" s="154">
        <v>5.36</v>
      </c>
      <c r="U825" s="153" t="s">
        <v>1824</v>
      </c>
      <c r="V825" s="155">
        <v>2.6030000000000001E-2</v>
      </c>
      <c r="W825" s="155">
        <v>3.3099999999999997E-2</v>
      </c>
      <c r="X825" s="153" t="s">
        <v>412</v>
      </c>
      <c r="Y825" s="153" t="s">
        <v>339</v>
      </c>
      <c r="Z825" s="154">
        <v>4927713.6399999997</v>
      </c>
      <c r="AA825" s="154">
        <v>1</v>
      </c>
      <c r="AB825" s="154">
        <v>99.45</v>
      </c>
      <c r="AD825" s="154">
        <v>4900.6109999999999</v>
      </c>
      <c r="AG825" s="157" t="s">
        <v>15</v>
      </c>
      <c r="AH825" s="155">
        <v>2.1800000000000001E-3</v>
      </c>
      <c r="AI825" s="155">
        <f t="shared" si="12"/>
        <v>1.1665380647388316E-2</v>
      </c>
      <c r="AJ825" s="155">
        <v>1.1007469302076794E-3</v>
      </c>
    </row>
    <row r="826" spans="1:36" s="160" customFormat="1">
      <c r="A826" s="153" t="s">
        <v>1213</v>
      </c>
      <c r="B826" s="160">
        <v>62</v>
      </c>
      <c r="C826" s="153" t="s">
        <v>2273</v>
      </c>
      <c r="D826" s="153" t="s">
        <v>2274</v>
      </c>
      <c r="E826" s="153" t="s">
        <v>309</v>
      </c>
      <c r="F826" s="153" t="s">
        <v>2303</v>
      </c>
      <c r="G826" s="153" t="s">
        <v>2304</v>
      </c>
      <c r="H826" s="153" t="s">
        <v>321</v>
      </c>
      <c r="I826" s="153" t="s">
        <v>754</v>
      </c>
      <c r="J826" s="153" t="s">
        <v>204</v>
      </c>
      <c r="K826" s="153" t="s">
        <v>204</v>
      </c>
      <c r="L826" s="153" t="s">
        <v>325</v>
      </c>
      <c r="M826" s="153" t="s">
        <v>340</v>
      </c>
      <c r="N826" s="153" t="s">
        <v>477</v>
      </c>
      <c r="O826" s="153" t="s">
        <v>339</v>
      </c>
      <c r="P826" s="153" t="s">
        <v>1215</v>
      </c>
      <c r="Q826" s="153" t="s">
        <v>413</v>
      </c>
      <c r="R826" s="153" t="s">
        <v>407</v>
      </c>
      <c r="S826" s="153" t="s">
        <v>1212</v>
      </c>
      <c r="T826" s="154">
        <v>11.44</v>
      </c>
      <c r="U826" s="153" t="s">
        <v>2305</v>
      </c>
      <c r="V826" s="155">
        <v>6.0099999999999997E-3</v>
      </c>
      <c r="W826" s="155">
        <v>3.2899999999999999E-2</v>
      </c>
      <c r="X826" s="153" t="s">
        <v>412</v>
      </c>
      <c r="Y826" s="153" t="s">
        <v>339</v>
      </c>
      <c r="Z826" s="154">
        <v>4895686.25</v>
      </c>
      <c r="AA826" s="154">
        <v>1</v>
      </c>
      <c r="AB826" s="154">
        <v>99.37</v>
      </c>
      <c r="AD826" s="154">
        <v>4864.8429999999998</v>
      </c>
      <c r="AG826" s="157" t="s">
        <v>15</v>
      </c>
      <c r="AH826" s="155">
        <v>1.08E-3</v>
      </c>
      <c r="AI826" s="155">
        <f t="shared" si="12"/>
        <v>1.1580238746715975E-2</v>
      </c>
      <c r="AJ826" s="155">
        <v>1.0927129286924257E-3</v>
      </c>
    </row>
    <row r="827" spans="1:36" s="160" customFormat="1">
      <c r="A827" s="153" t="s">
        <v>1213</v>
      </c>
      <c r="B827" s="160">
        <v>62</v>
      </c>
      <c r="C827" s="153" t="s">
        <v>2404</v>
      </c>
      <c r="D827" s="153" t="s">
        <v>2405</v>
      </c>
      <c r="E827" s="153" t="s">
        <v>309</v>
      </c>
      <c r="F827" s="153" t="s">
        <v>2571</v>
      </c>
      <c r="G827" s="153" t="s">
        <v>2572</v>
      </c>
      <c r="H827" s="153" t="s">
        <v>321</v>
      </c>
      <c r="I827" s="153" t="s">
        <v>951</v>
      </c>
      <c r="J827" s="153" t="s">
        <v>204</v>
      </c>
      <c r="K827" s="153" t="s">
        <v>204</v>
      </c>
      <c r="L827" s="153" t="s">
        <v>325</v>
      </c>
      <c r="M827" s="153" t="s">
        <v>340</v>
      </c>
      <c r="N827" s="153" t="s">
        <v>440</v>
      </c>
      <c r="O827" s="153" t="s">
        <v>339</v>
      </c>
      <c r="P827" s="153" t="s">
        <v>1554</v>
      </c>
      <c r="Q827" s="153" t="s">
        <v>413</v>
      </c>
      <c r="R827" s="153" t="s">
        <v>407</v>
      </c>
      <c r="S827" s="153" t="s">
        <v>1212</v>
      </c>
      <c r="T827" s="154">
        <v>3.25</v>
      </c>
      <c r="U827" s="153" t="s">
        <v>2573</v>
      </c>
      <c r="V827" s="155">
        <v>1.949E-2</v>
      </c>
      <c r="W827" s="155">
        <v>6.1100000000000002E-2</v>
      </c>
      <c r="X827" s="153" t="s">
        <v>412</v>
      </c>
      <c r="Y827" s="153" t="s">
        <v>339</v>
      </c>
      <c r="Z827" s="154">
        <v>5344432.21</v>
      </c>
      <c r="AA827" s="154">
        <v>1</v>
      </c>
      <c r="AB827" s="154">
        <v>89.41</v>
      </c>
      <c r="AD827" s="154">
        <v>4778.4570000000003</v>
      </c>
      <c r="AG827" s="157" t="s">
        <v>15</v>
      </c>
      <c r="AH827" s="155">
        <v>6.9800000000000001E-3</v>
      </c>
      <c r="AI827" s="155">
        <f t="shared" si="12"/>
        <v>1.1374606107723555E-2</v>
      </c>
      <c r="AJ827" s="155">
        <v>1.0733094044557705E-3</v>
      </c>
    </row>
    <row r="828" spans="1:36" s="160" customFormat="1">
      <c r="A828" s="153" t="s">
        <v>1213</v>
      </c>
      <c r="B828" s="160">
        <v>62</v>
      </c>
      <c r="C828" s="153" t="s">
        <v>1600</v>
      </c>
      <c r="D828" s="153" t="s">
        <v>1601</v>
      </c>
      <c r="E828" s="153" t="s">
        <v>309</v>
      </c>
      <c r="F828" s="153" t="s">
        <v>1954</v>
      </c>
      <c r="G828" s="153" t="s">
        <v>1955</v>
      </c>
      <c r="H828" s="153" t="s">
        <v>321</v>
      </c>
      <c r="I828" s="153" t="s">
        <v>754</v>
      </c>
      <c r="J828" s="153" t="s">
        <v>204</v>
      </c>
      <c r="K828" s="153" t="s">
        <v>204</v>
      </c>
      <c r="L828" s="153" t="s">
        <v>325</v>
      </c>
      <c r="M828" s="153" t="s">
        <v>340</v>
      </c>
      <c r="N828" s="153" t="s">
        <v>448</v>
      </c>
      <c r="O828" s="153" t="s">
        <v>339</v>
      </c>
      <c r="P828" s="153" t="s">
        <v>1215</v>
      </c>
      <c r="Q828" s="153" t="s">
        <v>413</v>
      </c>
      <c r="R828" s="153" t="s">
        <v>407</v>
      </c>
      <c r="S828" s="153" t="s">
        <v>1212</v>
      </c>
      <c r="T828" s="154">
        <v>3.02</v>
      </c>
      <c r="U828" s="153" t="s">
        <v>1956</v>
      </c>
      <c r="V828" s="155">
        <v>1.7500000000000002E-2</v>
      </c>
      <c r="W828" s="155">
        <v>2.35E-2</v>
      </c>
      <c r="X828" s="153" t="s">
        <v>412</v>
      </c>
      <c r="Y828" s="153" t="s">
        <v>339</v>
      </c>
      <c r="Z828" s="154">
        <v>3479383.72</v>
      </c>
      <c r="AA828" s="154">
        <v>1</v>
      </c>
      <c r="AB828" s="154">
        <v>114.28</v>
      </c>
      <c r="AD828" s="154">
        <v>3976.24</v>
      </c>
      <c r="AG828" s="157" t="s">
        <v>15</v>
      </c>
      <c r="AH828" s="155">
        <v>1.34E-3</v>
      </c>
      <c r="AI828" s="155">
        <f t="shared" si="12"/>
        <v>9.4650142901306217E-3</v>
      </c>
      <c r="AJ828" s="155">
        <v>8.931200566151818E-4</v>
      </c>
    </row>
    <row r="829" spans="1:36" s="160" customFormat="1">
      <c r="A829" s="153" t="s">
        <v>1213</v>
      </c>
      <c r="B829" s="160">
        <v>62</v>
      </c>
      <c r="C829" s="153" t="s">
        <v>1591</v>
      </c>
      <c r="D829" s="153" t="s">
        <v>1592</v>
      </c>
      <c r="E829" s="153" t="s">
        <v>309</v>
      </c>
      <c r="F829" s="153" t="s">
        <v>2261</v>
      </c>
      <c r="G829" s="153" t="s">
        <v>2262</v>
      </c>
      <c r="H829" s="153" t="s">
        <v>321</v>
      </c>
      <c r="I829" s="153" t="s">
        <v>754</v>
      </c>
      <c r="J829" s="153" t="s">
        <v>204</v>
      </c>
      <c r="K829" s="153" t="s">
        <v>204</v>
      </c>
      <c r="L829" s="153" t="s">
        <v>325</v>
      </c>
      <c r="M829" s="153" t="s">
        <v>340</v>
      </c>
      <c r="N829" s="153" t="s">
        <v>464</v>
      </c>
      <c r="O829" s="153" t="s">
        <v>339</v>
      </c>
      <c r="P829" s="153" t="s">
        <v>1538</v>
      </c>
      <c r="Q829" s="153" t="s">
        <v>413</v>
      </c>
      <c r="R829" s="153" t="s">
        <v>407</v>
      </c>
      <c r="S829" s="153" t="s">
        <v>1212</v>
      </c>
      <c r="T829" s="154">
        <v>0.98</v>
      </c>
      <c r="U829" s="153" t="s">
        <v>1768</v>
      </c>
      <c r="V829" s="155">
        <v>-1.3469999999999999E-2</v>
      </c>
      <c r="W829" s="155">
        <v>2.5600000000000001E-2</v>
      </c>
      <c r="X829" s="153" t="s">
        <v>412</v>
      </c>
      <c r="Y829" s="153" t="s">
        <v>339</v>
      </c>
      <c r="Z829" s="154">
        <v>2780002.01</v>
      </c>
      <c r="AA829" s="154">
        <v>1</v>
      </c>
      <c r="AB829" s="154">
        <v>142.99</v>
      </c>
      <c r="AD829" s="154">
        <v>3975.125</v>
      </c>
      <c r="AG829" s="157" t="s">
        <v>15</v>
      </c>
      <c r="AH829" s="155">
        <v>2.9099999999999998E-3</v>
      </c>
      <c r="AI829" s="155">
        <f t="shared" si="12"/>
        <v>9.4623601518156568E-3</v>
      </c>
      <c r="AJ829" s="155">
        <v>8.9286961175694243E-4</v>
      </c>
    </row>
    <row r="830" spans="1:36" s="160" customFormat="1">
      <c r="A830" s="153" t="s">
        <v>1213</v>
      </c>
      <c r="B830" s="160">
        <v>62</v>
      </c>
      <c r="C830" s="153" t="s">
        <v>1512</v>
      </c>
      <c r="D830" s="153" t="s">
        <v>1513</v>
      </c>
      <c r="E830" s="153" t="s">
        <v>309</v>
      </c>
      <c r="F830" s="153" t="s">
        <v>2186</v>
      </c>
      <c r="G830" s="153" t="s">
        <v>2187</v>
      </c>
      <c r="H830" s="153" t="s">
        <v>321</v>
      </c>
      <c r="I830" s="153" t="s">
        <v>754</v>
      </c>
      <c r="J830" s="153" t="s">
        <v>204</v>
      </c>
      <c r="K830" s="153" t="s">
        <v>204</v>
      </c>
      <c r="L830" s="153" t="s">
        <v>325</v>
      </c>
      <c r="M830" s="153" t="s">
        <v>340</v>
      </c>
      <c r="N830" s="153" t="s">
        <v>448</v>
      </c>
      <c r="O830" s="153" t="s">
        <v>339</v>
      </c>
      <c r="P830" s="153" t="s">
        <v>1215</v>
      </c>
      <c r="Q830" s="153" t="s">
        <v>413</v>
      </c>
      <c r="R830" s="153" t="s">
        <v>407</v>
      </c>
      <c r="S830" s="153" t="s">
        <v>1212</v>
      </c>
      <c r="T830" s="154">
        <v>1.72</v>
      </c>
      <c r="U830" s="153" t="s">
        <v>2188</v>
      </c>
      <c r="V830" s="155">
        <v>5.0000000000000002E-5</v>
      </c>
      <c r="W830" s="155">
        <v>2.1399999999999999E-2</v>
      </c>
      <c r="X830" s="153" t="s">
        <v>412</v>
      </c>
      <c r="Y830" s="153" t="s">
        <v>339</v>
      </c>
      <c r="Z830" s="154">
        <v>3234543</v>
      </c>
      <c r="AA830" s="154">
        <v>1</v>
      </c>
      <c r="AB830" s="154">
        <v>110.39</v>
      </c>
      <c r="AD830" s="154">
        <v>3570.6120000000001</v>
      </c>
      <c r="AG830" s="157" t="s">
        <v>15</v>
      </c>
      <c r="AH830" s="155">
        <v>1.08E-3</v>
      </c>
      <c r="AI830" s="155">
        <f t="shared" si="12"/>
        <v>8.4994601946843957E-3</v>
      </c>
      <c r="AJ830" s="155">
        <v>8.020102387156831E-4</v>
      </c>
    </row>
    <row r="831" spans="1:36" s="160" customFormat="1">
      <c r="A831" s="153" t="s">
        <v>1213</v>
      </c>
      <c r="B831" s="160">
        <v>62</v>
      </c>
      <c r="C831" s="153" t="s">
        <v>2436</v>
      </c>
      <c r="D831" s="153" t="s">
        <v>2437</v>
      </c>
      <c r="E831" s="153" t="s">
        <v>309</v>
      </c>
      <c r="F831" s="153" t="s">
        <v>2438</v>
      </c>
      <c r="G831" s="153" t="s">
        <v>2439</v>
      </c>
      <c r="H831" s="153" t="s">
        <v>321</v>
      </c>
      <c r="I831" s="153" t="s">
        <v>754</v>
      </c>
      <c r="J831" s="153" t="s">
        <v>204</v>
      </c>
      <c r="K831" s="153" t="s">
        <v>204</v>
      </c>
      <c r="L831" s="153" t="s">
        <v>325</v>
      </c>
      <c r="M831" s="153" t="s">
        <v>340</v>
      </c>
      <c r="N831" s="153" t="s">
        <v>475</v>
      </c>
      <c r="O831" s="153" t="s">
        <v>339</v>
      </c>
      <c r="P831" s="153" t="s">
        <v>1538</v>
      </c>
      <c r="Q831" s="153" t="s">
        <v>413</v>
      </c>
      <c r="R831" s="153" t="s">
        <v>407</v>
      </c>
      <c r="S831" s="153" t="s">
        <v>1212</v>
      </c>
      <c r="T831" s="154">
        <v>2.44</v>
      </c>
      <c r="U831" s="153" t="s">
        <v>2440</v>
      </c>
      <c r="V831" s="155">
        <v>2.6199999999999999E-3</v>
      </c>
      <c r="W831" s="155">
        <v>2.3E-2</v>
      </c>
      <c r="X831" s="153" t="s">
        <v>412</v>
      </c>
      <c r="Y831" s="153" t="s">
        <v>339</v>
      </c>
      <c r="Z831" s="154">
        <v>2276509.94</v>
      </c>
      <c r="AA831" s="154">
        <v>1</v>
      </c>
      <c r="AB831" s="154">
        <v>120.79</v>
      </c>
      <c r="AC831" s="154">
        <v>797.43499999999995</v>
      </c>
      <c r="AD831" s="154">
        <v>3547.2310000000002</v>
      </c>
      <c r="AG831" s="157" t="s">
        <v>15</v>
      </c>
      <c r="AH831" s="155">
        <v>5.5799999999999999E-3</v>
      </c>
      <c r="AI831" s="155">
        <f t="shared" si="12"/>
        <v>8.4438042234357934E-3</v>
      </c>
      <c r="AJ831" s="155">
        <v>7.9675853357622493E-4</v>
      </c>
    </row>
    <row r="832" spans="1:36" s="160" customFormat="1">
      <c r="A832" s="153" t="s">
        <v>1213</v>
      </c>
      <c r="B832" s="160">
        <v>62</v>
      </c>
      <c r="C832" s="153" t="s">
        <v>1573</v>
      </c>
      <c r="D832" s="153" t="s">
        <v>1574</v>
      </c>
      <c r="E832" s="153" t="s">
        <v>309</v>
      </c>
      <c r="F832" s="153" t="s">
        <v>2310</v>
      </c>
      <c r="G832" s="153" t="s">
        <v>2311</v>
      </c>
      <c r="H832" s="153" t="s">
        <v>321</v>
      </c>
      <c r="I832" s="153" t="s">
        <v>754</v>
      </c>
      <c r="J832" s="153" t="s">
        <v>204</v>
      </c>
      <c r="K832" s="153" t="s">
        <v>204</v>
      </c>
      <c r="L832" s="153" t="s">
        <v>325</v>
      </c>
      <c r="M832" s="153" t="s">
        <v>340</v>
      </c>
      <c r="N832" s="153" t="s">
        <v>448</v>
      </c>
      <c r="O832" s="153" t="s">
        <v>339</v>
      </c>
      <c r="P832" s="153" t="s">
        <v>1215</v>
      </c>
      <c r="Q832" s="153" t="s">
        <v>413</v>
      </c>
      <c r="R832" s="153" t="s">
        <v>407</v>
      </c>
      <c r="S832" s="153" t="s">
        <v>1212</v>
      </c>
      <c r="T832" s="154">
        <v>1.74</v>
      </c>
      <c r="U832" s="153" t="s">
        <v>1833</v>
      </c>
      <c r="V832" s="155">
        <v>1.29E-2</v>
      </c>
      <c r="W832" s="155">
        <v>2.0400000000000001E-2</v>
      </c>
      <c r="X832" s="153" t="s">
        <v>412</v>
      </c>
      <c r="Y832" s="153" t="s">
        <v>339</v>
      </c>
      <c r="Z832" s="154">
        <v>3121490.5</v>
      </c>
      <c r="AA832" s="154">
        <v>1</v>
      </c>
      <c r="AB832" s="154">
        <v>113.2</v>
      </c>
      <c r="AD832" s="154">
        <v>3533.527</v>
      </c>
      <c r="AG832" s="157" t="s">
        <v>15</v>
      </c>
      <c r="AH832" s="155">
        <v>2.0500000000000002E-3</v>
      </c>
      <c r="AI832" s="155">
        <f t="shared" si="12"/>
        <v>8.411183316289355E-3</v>
      </c>
      <c r="AJ832" s="155">
        <v>7.936804202692176E-4</v>
      </c>
    </row>
    <row r="833" spans="1:36" s="160" customFormat="1">
      <c r="A833" s="153" t="s">
        <v>1213</v>
      </c>
      <c r="B833" s="160">
        <v>62</v>
      </c>
      <c r="C833" s="153" t="s">
        <v>1807</v>
      </c>
      <c r="D833" s="153" t="s">
        <v>1808</v>
      </c>
      <c r="E833" s="153" t="s">
        <v>309</v>
      </c>
      <c r="F833" s="153" t="s">
        <v>2295</v>
      </c>
      <c r="G833" s="153" t="s">
        <v>2296</v>
      </c>
      <c r="H833" s="153" t="s">
        <v>321</v>
      </c>
      <c r="I833" s="153" t="s">
        <v>754</v>
      </c>
      <c r="J833" s="153" t="s">
        <v>204</v>
      </c>
      <c r="K833" s="153" t="s">
        <v>204</v>
      </c>
      <c r="L833" s="153" t="s">
        <v>325</v>
      </c>
      <c r="M833" s="153" t="s">
        <v>340</v>
      </c>
      <c r="N833" s="153" t="s">
        <v>464</v>
      </c>
      <c r="O833" s="153" t="s">
        <v>339</v>
      </c>
      <c r="P833" s="153" t="s">
        <v>1923</v>
      </c>
      <c r="Q833" s="153" t="s">
        <v>415</v>
      </c>
      <c r="R833" s="153" t="s">
        <v>407</v>
      </c>
      <c r="S833" s="153" t="s">
        <v>1212</v>
      </c>
      <c r="T833" s="154">
        <v>2.89</v>
      </c>
      <c r="U833" s="153" t="s">
        <v>2297</v>
      </c>
      <c r="V833" s="155">
        <v>1.8600000000000001E-3</v>
      </c>
      <c r="W833" s="155">
        <v>2.8199999999999999E-2</v>
      </c>
      <c r="X833" s="153" t="s">
        <v>412</v>
      </c>
      <c r="Y833" s="153" t="s">
        <v>339</v>
      </c>
      <c r="Z833" s="154">
        <v>3024199.2</v>
      </c>
      <c r="AA833" s="154">
        <v>1</v>
      </c>
      <c r="AB833" s="154">
        <v>112.38</v>
      </c>
      <c r="AD833" s="154">
        <v>3398.5949999999998</v>
      </c>
      <c r="AG833" s="157" t="s">
        <v>15</v>
      </c>
      <c r="AH833" s="155">
        <v>1.14E-3</v>
      </c>
      <c r="AI833" s="155">
        <f t="shared" si="12"/>
        <v>8.0899921134957847E-3</v>
      </c>
      <c r="AJ833" s="155">
        <v>7.6337277398046241E-4</v>
      </c>
    </row>
    <row r="834" spans="1:36" s="160" customFormat="1">
      <c r="A834" s="153" t="s">
        <v>1213</v>
      </c>
      <c r="B834" s="160">
        <v>62</v>
      </c>
      <c r="C834" s="153" t="s">
        <v>1600</v>
      </c>
      <c r="D834" s="153" t="s">
        <v>1601</v>
      </c>
      <c r="E834" s="153" t="s">
        <v>309</v>
      </c>
      <c r="F834" s="153" t="s">
        <v>2353</v>
      </c>
      <c r="G834" s="153" t="s">
        <v>2354</v>
      </c>
      <c r="H834" s="153" t="s">
        <v>321</v>
      </c>
      <c r="I834" s="153" t="s">
        <v>754</v>
      </c>
      <c r="J834" s="153" t="s">
        <v>204</v>
      </c>
      <c r="K834" s="153" t="s">
        <v>204</v>
      </c>
      <c r="L834" s="153" t="s">
        <v>325</v>
      </c>
      <c r="M834" s="153" t="s">
        <v>340</v>
      </c>
      <c r="N834" s="153" t="s">
        <v>448</v>
      </c>
      <c r="O834" s="153" t="s">
        <v>339</v>
      </c>
      <c r="P834" s="153" t="s">
        <v>1215</v>
      </c>
      <c r="Q834" s="153" t="s">
        <v>413</v>
      </c>
      <c r="R834" s="153" t="s">
        <v>407</v>
      </c>
      <c r="S834" s="153" t="s">
        <v>1212</v>
      </c>
      <c r="T834" s="154">
        <v>2.04</v>
      </c>
      <c r="U834" s="153" t="s">
        <v>2355</v>
      </c>
      <c r="V834" s="155">
        <v>6.0000000000000001E-3</v>
      </c>
      <c r="W834" s="155">
        <v>2.07E-2</v>
      </c>
      <c r="X834" s="153" t="s">
        <v>412</v>
      </c>
      <c r="Y834" s="153" t="s">
        <v>339</v>
      </c>
      <c r="Z834" s="154">
        <v>2941997</v>
      </c>
      <c r="AA834" s="154">
        <v>1</v>
      </c>
      <c r="AB834" s="154">
        <v>113.24</v>
      </c>
      <c r="AD834" s="154">
        <v>3331.5169999999998</v>
      </c>
      <c r="AG834" s="157" t="s">
        <v>15</v>
      </c>
      <c r="AH834" s="155">
        <v>3.31E-3</v>
      </c>
      <c r="AI834" s="155">
        <f t="shared" si="12"/>
        <v>7.9303201046247458E-3</v>
      </c>
      <c r="AJ834" s="155">
        <v>7.4830610115446774E-4</v>
      </c>
    </row>
    <row r="835" spans="1:36" s="160" customFormat="1">
      <c r="A835" s="153" t="s">
        <v>1213</v>
      </c>
      <c r="B835" s="160">
        <v>62</v>
      </c>
      <c r="C835" s="153" t="s">
        <v>2771</v>
      </c>
      <c r="D835" s="153" t="s">
        <v>2772</v>
      </c>
      <c r="E835" s="153" t="s">
        <v>309</v>
      </c>
      <c r="F835" s="153" t="s">
        <v>2773</v>
      </c>
      <c r="G835" s="153" t="s">
        <v>2774</v>
      </c>
      <c r="H835" s="153" t="s">
        <v>321</v>
      </c>
      <c r="I835" s="153" t="s">
        <v>754</v>
      </c>
      <c r="J835" s="153" t="s">
        <v>204</v>
      </c>
      <c r="K835" s="153" t="s">
        <v>204</v>
      </c>
      <c r="L835" s="153" t="s">
        <v>325</v>
      </c>
      <c r="M835" s="153" t="s">
        <v>340</v>
      </c>
      <c r="N835" s="153" t="s">
        <v>447</v>
      </c>
      <c r="O835" s="153" t="s">
        <v>339</v>
      </c>
      <c r="P835" s="153" t="s">
        <v>1544</v>
      </c>
      <c r="Q835" s="153" t="s">
        <v>415</v>
      </c>
      <c r="R835" s="153" t="s">
        <v>407</v>
      </c>
      <c r="S835" s="153" t="s">
        <v>1212</v>
      </c>
      <c r="T835" s="154">
        <v>4.1100000000000003</v>
      </c>
      <c r="U835" s="153" t="s">
        <v>1587</v>
      </c>
      <c r="V835" s="155">
        <v>1.4619999999999999E-2</v>
      </c>
      <c r="W835" s="155">
        <v>2.98E-2</v>
      </c>
      <c r="X835" s="153" t="s">
        <v>412</v>
      </c>
      <c r="Y835" s="153" t="s">
        <v>339</v>
      </c>
      <c r="Z835" s="154">
        <v>3271731.6</v>
      </c>
      <c r="AA835" s="154">
        <v>1</v>
      </c>
      <c r="AB835" s="154">
        <v>101.61</v>
      </c>
      <c r="AD835" s="154">
        <v>3324.4059999999999</v>
      </c>
      <c r="AG835" s="157" t="s">
        <v>15</v>
      </c>
      <c r="AH835" s="155">
        <v>2.0039999999999999E-2</v>
      </c>
      <c r="AI835" s="155">
        <f t="shared" ref="AI835:AI898" si="13">AD835/SUMIF(B:B,B835,AD:AD)</f>
        <v>7.9133931292366608E-3</v>
      </c>
      <c r="AJ835" s="155">
        <v>7.467088694173014E-4</v>
      </c>
    </row>
    <row r="836" spans="1:36" s="160" customFormat="1">
      <c r="A836" s="153" t="s">
        <v>1213</v>
      </c>
      <c r="B836" s="160">
        <v>62</v>
      </c>
      <c r="C836" s="153" t="s">
        <v>1917</v>
      </c>
      <c r="D836" s="153" t="s">
        <v>1918</v>
      </c>
      <c r="E836" s="153" t="s">
        <v>309</v>
      </c>
      <c r="F836" s="153" t="s">
        <v>2720</v>
      </c>
      <c r="G836" s="153" t="s">
        <v>2721</v>
      </c>
      <c r="H836" s="153" t="s">
        <v>321</v>
      </c>
      <c r="I836" s="153" t="s">
        <v>754</v>
      </c>
      <c r="J836" s="153" t="s">
        <v>204</v>
      </c>
      <c r="K836" s="153" t="s">
        <v>204</v>
      </c>
      <c r="L836" s="153" t="s">
        <v>325</v>
      </c>
      <c r="M836" s="153" t="s">
        <v>340</v>
      </c>
      <c r="N836" s="153" t="s">
        <v>447</v>
      </c>
      <c r="O836" s="153" t="s">
        <v>339</v>
      </c>
      <c r="P836" s="153" t="s">
        <v>1560</v>
      </c>
      <c r="Q836" s="153" t="s">
        <v>413</v>
      </c>
      <c r="R836" s="153" t="s">
        <v>407</v>
      </c>
      <c r="S836" s="153" t="s">
        <v>1212</v>
      </c>
      <c r="T836" s="154">
        <v>5.47</v>
      </c>
      <c r="U836" s="153" t="s">
        <v>1732</v>
      </c>
      <c r="V836" s="155">
        <v>4.0390000000000002E-2</v>
      </c>
      <c r="W836" s="155">
        <v>3.9800000000000002E-2</v>
      </c>
      <c r="X836" s="153" t="s">
        <v>412</v>
      </c>
      <c r="Y836" s="153" t="s">
        <v>339</v>
      </c>
      <c r="Z836" s="154">
        <v>2956000</v>
      </c>
      <c r="AA836" s="154">
        <v>1</v>
      </c>
      <c r="AB836" s="154">
        <v>105.93</v>
      </c>
      <c r="AD836" s="154">
        <v>3131.2910000000002</v>
      </c>
      <c r="AG836" s="157" t="s">
        <v>15</v>
      </c>
      <c r="AH836" s="155">
        <v>8.4499999999999992E-3</v>
      </c>
      <c r="AI836" s="155">
        <f t="shared" si="13"/>
        <v>7.4537035142640809E-3</v>
      </c>
      <c r="AJ836" s="155">
        <v>7.0333249381290103E-4</v>
      </c>
    </row>
    <row r="837" spans="1:36" s="160" customFormat="1">
      <c r="A837" s="153" t="s">
        <v>1213</v>
      </c>
      <c r="B837" s="160">
        <v>62</v>
      </c>
      <c r="C837" s="153" t="s">
        <v>2385</v>
      </c>
      <c r="D837" s="153" t="s">
        <v>2386</v>
      </c>
      <c r="E837" s="153" t="s">
        <v>309</v>
      </c>
      <c r="F837" s="153" t="s">
        <v>2387</v>
      </c>
      <c r="G837" s="153" t="s">
        <v>2388</v>
      </c>
      <c r="H837" s="153" t="s">
        <v>321</v>
      </c>
      <c r="I837" s="153" t="s">
        <v>754</v>
      </c>
      <c r="J837" s="153" t="s">
        <v>204</v>
      </c>
      <c r="K837" s="153" t="s">
        <v>204</v>
      </c>
      <c r="L837" s="153" t="s">
        <v>325</v>
      </c>
      <c r="M837" s="153" t="s">
        <v>340</v>
      </c>
      <c r="N837" s="153" t="s">
        <v>464</v>
      </c>
      <c r="O837" s="153" t="s">
        <v>339</v>
      </c>
      <c r="P837" s="153" t="s">
        <v>1211</v>
      </c>
      <c r="Q837" s="153" t="s">
        <v>415</v>
      </c>
      <c r="R837" s="153" t="s">
        <v>407</v>
      </c>
      <c r="S837" s="153" t="s">
        <v>1212</v>
      </c>
      <c r="T837" s="154">
        <v>1.46</v>
      </c>
      <c r="U837" s="153" t="s">
        <v>1659</v>
      </c>
      <c r="V837" s="155">
        <v>-1.23E-3</v>
      </c>
      <c r="W837" s="155">
        <v>2.1899999999999999E-2</v>
      </c>
      <c r="X837" s="153" t="s">
        <v>412</v>
      </c>
      <c r="Y837" s="153" t="s">
        <v>339</v>
      </c>
      <c r="Z837" s="154">
        <v>2729369.43</v>
      </c>
      <c r="AA837" s="154">
        <v>1</v>
      </c>
      <c r="AB837" s="154">
        <v>114.36</v>
      </c>
      <c r="AD837" s="154">
        <v>3121.3069999999998</v>
      </c>
      <c r="AG837" s="157" t="s">
        <v>15</v>
      </c>
      <c r="AH837" s="155">
        <v>2.3E-3</v>
      </c>
      <c r="AI837" s="155">
        <f t="shared" si="13"/>
        <v>7.4299376694778839E-3</v>
      </c>
      <c r="AJ837" s="155">
        <v>7.0108994541410064E-4</v>
      </c>
    </row>
    <row r="838" spans="1:36" s="160" customFormat="1">
      <c r="A838" s="153" t="s">
        <v>1213</v>
      </c>
      <c r="B838" s="160">
        <v>62</v>
      </c>
      <c r="C838" s="153" t="s">
        <v>1577</v>
      </c>
      <c r="D838" s="153" t="s">
        <v>1578</v>
      </c>
      <c r="E838" s="153" t="s">
        <v>309</v>
      </c>
      <c r="F838" s="153" t="s">
        <v>1579</v>
      </c>
      <c r="G838" s="153" t="s">
        <v>1580</v>
      </c>
      <c r="H838" s="153" t="s">
        <v>321</v>
      </c>
      <c r="I838" s="153" t="s">
        <v>754</v>
      </c>
      <c r="J838" s="153" t="s">
        <v>204</v>
      </c>
      <c r="K838" s="153" t="s">
        <v>204</v>
      </c>
      <c r="L838" s="153" t="s">
        <v>325</v>
      </c>
      <c r="M838" s="153" t="s">
        <v>340</v>
      </c>
      <c r="N838" s="153" t="s">
        <v>456</v>
      </c>
      <c r="O838" s="153" t="s">
        <v>339</v>
      </c>
      <c r="P838" s="153" t="s">
        <v>1566</v>
      </c>
      <c r="Q838" s="153" t="s">
        <v>413</v>
      </c>
      <c r="R838" s="153" t="s">
        <v>407</v>
      </c>
      <c r="S838" s="153" t="s">
        <v>1212</v>
      </c>
      <c r="T838" s="154">
        <v>5.0199999999999996</v>
      </c>
      <c r="U838" s="153" t="s">
        <v>1581</v>
      </c>
      <c r="V838" s="155">
        <v>6.1690000000000002E-2</v>
      </c>
      <c r="W838" s="155">
        <v>5.1499999999999997E-2</v>
      </c>
      <c r="X838" s="153" t="s">
        <v>412</v>
      </c>
      <c r="Y838" s="153" t="s">
        <v>339</v>
      </c>
      <c r="Z838" s="154">
        <v>2033347.14</v>
      </c>
      <c r="AA838" s="154">
        <v>1</v>
      </c>
      <c r="AB838" s="154">
        <v>141.9</v>
      </c>
      <c r="AD838" s="154">
        <v>2885.32</v>
      </c>
      <c r="AG838" s="157" t="s">
        <v>15</v>
      </c>
      <c r="AH838" s="155">
        <v>7.2999999999999996E-4</v>
      </c>
      <c r="AI838" s="155">
        <f t="shared" si="13"/>
        <v>6.8681958411966303E-3</v>
      </c>
      <c r="AJ838" s="155">
        <v>6.4808390885683878E-4</v>
      </c>
    </row>
    <row r="839" spans="1:36" s="160" customFormat="1">
      <c r="A839" s="153" t="s">
        <v>1213</v>
      </c>
      <c r="B839" s="160">
        <v>62</v>
      </c>
      <c r="C839" s="153" t="s">
        <v>2203</v>
      </c>
      <c r="D839" s="153" t="s">
        <v>2204</v>
      </c>
      <c r="E839" s="153" t="s">
        <v>309</v>
      </c>
      <c r="F839" s="153" t="s">
        <v>2733</v>
      </c>
      <c r="G839" s="153" t="s">
        <v>2734</v>
      </c>
      <c r="H839" s="153" t="s">
        <v>321</v>
      </c>
      <c r="I839" s="153" t="s">
        <v>951</v>
      </c>
      <c r="J839" s="153" t="s">
        <v>204</v>
      </c>
      <c r="K839" s="153" t="s">
        <v>204</v>
      </c>
      <c r="L839" s="153" t="s">
        <v>325</v>
      </c>
      <c r="M839" s="153" t="s">
        <v>340</v>
      </c>
      <c r="N839" s="153" t="s">
        <v>459</v>
      </c>
      <c r="O839" s="153" t="s">
        <v>339</v>
      </c>
      <c r="P839" s="153" t="s">
        <v>1811</v>
      </c>
      <c r="Q839" s="153" t="s">
        <v>413</v>
      </c>
      <c r="R839" s="153" t="s">
        <v>407</v>
      </c>
      <c r="S839" s="153" t="s">
        <v>1212</v>
      </c>
      <c r="T839" s="154">
        <v>1.69</v>
      </c>
      <c r="U839" s="153" t="s">
        <v>1572</v>
      </c>
      <c r="V839" s="155">
        <v>2.478E-2</v>
      </c>
      <c r="W839" s="155">
        <v>4.6899999999999997E-2</v>
      </c>
      <c r="X839" s="153" t="s">
        <v>412</v>
      </c>
      <c r="Y839" s="153" t="s">
        <v>339</v>
      </c>
      <c r="Z839" s="154">
        <v>2856668</v>
      </c>
      <c r="AA839" s="154">
        <v>1</v>
      </c>
      <c r="AB839" s="154">
        <v>97.33</v>
      </c>
      <c r="AD839" s="154">
        <v>2780.395</v>
      </c>
      <c r="AG839" s="157" t="s">
        <v>15</v>
      </c>
      <c r="AH839" s="155">
        <v>7.8899999999999994E-3</v>
      </c>
      <c r="AI839" s="155">
        <f t="shared" si="13"/>
        <v>6.6184330943825651E-3</v>
      </c>
      <c r="AJ839" s="155">
        <v>6.2451626154672979E-4</v>
      </c>
    </row>
    <row r="840" spans="1:36" s="160" customFormat="1">
      <c r="A840" s="153" t="s">
        <v>1213</v>
      </c>
      <c r="B840" s="160">
        <v>62</v>
      </c>
      <c r="C840" s="153" t="s">
        <v>2757</v>
      </c>
      <c r="D840" s="153" t="s">
        <v>2758</v>
      </c>
      <c r="E840" s="153" t="s">
        <v>309</v>
      </c>
      <c r="F840" s="153" t="s">
        <v>2784</v>
      </c>
      <c r="G840" s="153" t="s">
        <v>2785</v>
      </c>
      <c r="H840" s="153" t="s">
        <v>321</v>
      </c>
      <c r="I840" s="153" t="s">
        <v>951</v>
      </c>
      <c r="J840" s="153" t="s">
        <v>204</v>
      </c>
      <c r="K840" s="153" t="s">
        <v>204</v>
      </c>
      <c r="L840" s="153" t="s">
        <v>325</v>
      </c>
      <c r="M840" s="153" t="s">
        <v>340</v>
      </c>
      <c r="N840" s="153" t="s">
        <v>440</v>
      </c>
      <c r="O840" s="153" t="s">
        <v>339</v>
      </c>
      <c r="P840" s="153" t="s">
        <v>1521</v>
      </c>
      <c r="Q840" s="153" t="s">
        <v>413</v>
      </c>
      <c r="R840" s="153" t="s">
        <v>407</v>
      </c>
      <c r="S840" s="153" t="s">
        <v>1212</v>
      </c>
      <c r="T840" s="154">
        <v>2.31</v>
      </c>
      <c r="U840" s="153" t="s">
        <v>2786</v>
      </c>
      <c r="V840" s="155">
        <v>5.7119999999999997E-2</v>
      </c>
      <c r="W840" s="155">
        <v>5.8999999999999997E-2</v>
      </c>
      <c r="X840" s="153" t="s">
        <v>412</v>
      </c>
      <c r="Y840" s="153" t="s">
        <v>339</v>
      </c>
      <c r="Z840" s="154">
        <v>2883726.19</v>
      </c>
      <c r="AA840" s="154">
        <v>1</v>
      </c>
      <c r="AB840" s="154">
        <v>93.07</v>
      </c>
      <c r="AD840" s="154">
        <v>2683.884</v>
      </c>
      <c r="AG840" s="157" t="s">
        <v>15</v>
      </c>
      <c r="AH840" s="155">
        <v>4.2300000000000003E-3</v>
      </c>
      <c r="AI840" s="155">
        <f t="shared" si="13"/>
        <v>6.3886989751757777E-3</v>
      </c>
      <c r="AJ840" s="155">
        <v>6.0283851830588212E-4</v>
      </c>
    </row>
    <row r="841" spans="1:36" s="160" customFormat="1">
      <c r="A841" s="153" t="s">
        <v>1213</v>
      </c>
      <c r="B841" s="160">
        <v>62</v>
      </c>
      <c r="C841" s="153" t="s">
        <v>1546</v>
      </c>
      <c r="D841" s="153" t="s">
        <v>1547</v>
      </c>
      <c r="E841" s="153" t="s">
        <v>309</v>
      </c>
      <c r="F841" s="153" t="s">
        <v>2487</v>
      </c>
      <c r="G841" s="153" t="s">
        <v>2488</v>
      </c>
      <c r="H841" s="153" t="s">
        <v>321</v>
      </c>
      <c r="I841" s="153" t="s">
        <v>754</v>
      </c>
      <c r="J841" s="153" t="s">
        <v>204</v>
      </c>
      <c r="K841" s="153" t="s">
        <v>204</v>
      </c>
      <c r="L841" s="153" t="s">
        <v>325</v>
      </c>
      <c r="M841" s="153" t="s">
        <v>340</v>
      </c>
      <c r="N841" s="153" t="s">
        <v>443</v>
      </c>
      <c r="O841" s="153" t="s">
        <v>339</v>
      </c>
      <c r="P841" s="153" t="s">
        <v>1544</v>
      </c>
      <c r="Q841" s="153" t="s">
        <v>415</v>
      </c>
      <c r="R841" s="153" t="s">
        <v>407</v>
      </c>
      <c r="S841" s="153" t="s">
        <v>1212</v>
      </c>
      <c r="T841" s="154">
        <v>0.79</v>
      </c>
      <c r="U841" s="153" t="s">
        <v>1777</v>
      </c>
      <c r="V841" s="155">
        <v>5.1799999999999997E-3</v>
      </c>
      <c r="W841" s="155">
        <v>2.7199999999999998E-2</v>
      </c>
      <c r="X841" s="153" t="s">
        <v>412</v>
      </c>
      <c r="Y841" s="153" t="s">
        <v>339</v>
      </c>
      <c r="Z841" s="154">
        <v>2247658</v>
      </c>
      <c r="AA841" s="154">
        <v>1</v>
      </c>
      <c r="AB841" s="154">
        <v>115.1</v>
      </c>
      <c r="AD841" s="154">
        <v>2587.0540000000001</v>
      </c>
      <c r="AG841" s="157" t="s">
        <v>15</v>
      </c>
      <c r="AH841" s="155">
        <v>6.0899999999999999E-3</v>
      </c>
      <c r="AI841" s="155">
        <f t="shared" si="13"/>
        <v>6.1582055105676688E-3</v>
      </c>
      <c r="AJ841" s="155">
        <v>5.8108912312801366E-4</v>
      </c>
    </row>
    <row r="842" spans="1:36" s="160" customFormat="1">
      <c r="A842" s="153" t="s">
        <v>1213</v>
      </c>
      <c r="B842" s="160">
        <v>62</v>
      </c>
      <c r="C842" s="153" t="s">
        <v>2136</v>
      </c>
      <c r="D842" s="153" t="s">
        <v>2137</v>
      </c>
      <c r="E842" s="153" t="s">
        <v>309</v>
      </c>
      <c r="F842" s="153" t="s">
        <v>2698</v>
      </c>
      <c r="G842" s="153" t="s">
        <v>2699</v>
      </c>
      <c r="H842" s="153" t="s">
        <v>321</v>
      </c>
      <c r="I842" s="153" t="s">
        <v>754</v>
      </c>
      <c r="J842" s="153" t="s">
        <v>204</v>
      </c>
      <c r="K842" s="153" t="s">
        <v>204</v>
      </c>
      <c r="L842" s="153" t="s">
        <v>325</v>
      </c>
      <c r="M842" s="153" t="s">
        <v>340</v>
      </c>
      <c r="N842" s="153" t="s">
        <v>440</v>
      </c>
      <c r="O842" s="153" t="s">
        <v>339</v>
      </c>
      <c r="P842" s="153" t="s">
        <v>1566</v>
      </c>
      <c r="Q842" s="153" t="s">
        <v>413</v>
      </c>
      <c r="R842" s="153" t="s">
        <v>407</v>
      </c>
      <c r="S842" s="153" t="s">
        <v>1212</v>
      </c>
      <c r="T842" s="154">
        <v>3.07</v>
      </c>
      <c r="U842" s="153" t="s">
        <v>2700</v>
      </c>
      <c r="V842" s="155">
        <v>9.4599999999999997E-3</v>
      </c>
      <c r="W842" s="155">
        <v>2.5999999999999999E-2</v>
      </c>
      <c r="X842" s="153" t="s">
        <v>412</v>
      </c>
      <c r="Y842" s="153" t="s">
        <v>339</v>
      </c>
      <c r="Z842" s="154">
        <v>2298738.56</v>
      </c>
      <c r="AA842" s="154">
        <v>1</v>
      </c>
      <c r="AB842" s="154">
        <v>111.75</v>
      </c>
      <c r="AD842" s="154">
        <v>2568.84</v>
      </c>
      <c r="AG842" s="157" t="s">
        <v>15</v>
      </c>
      <c r="AH842" s="155">
        <v>2.0600000000000002E-3</v>
      </c>
      <c r="AI842" s="155">
        <f t="shared" si="13"/>
        <v>6.114849030505993E-3</v>
      </c>
      <c r="AJ842" s="155">
        <v>5.7699799967691687E-4</v>
      </c>
    </row>
    <row r="843" spans="1:36" s="160" customFormat="1">
      <c r="A843" s="153" t="s">
        <v>1213</v>
      </c>
      <c r="B843" s="160">
        <v>62</v>
      </c>
      <c r="C843" s="153" t="s">
        <v>2356</v>
      </c>
      <c r="D843" s="153" t="s">
        <v>2357</v>
      </c>
      <c r="E843" s="153" t="s">
        <v>309</v>
      </c>
      <c r="F843" s="153" t="s">
        <v>2724</v>
      </c>
      <c r="G843" s="153" t="s">
        <v>2725</v>
      </c>
      <c r="H843" s="153" t="s">
        <v>321</v>
      </c>
      <c r="I843" s="153" t="s">
        <v>754</v>
      </c>
      <c r="J843" s="153" t="s">
        <v>204</v>
      </c>
      <c r="K843" s="153" t="s">
        <v>204</v>
      </c>
      <c r="L843" s="153" t="s">
        <v>325</v>
      </c>
      <c r="M843" s="153" t="s">
        <v>340</v>
      </c>
      <c r="N843" s="153" t="s">
        <v>447</v>
      </c>
      <c r="O843" s="153" t="s">
        <v>339</v>
      </c>
      <c r="P843" s="153" t="s">
        <v>1560</v>
      </c>
      <c r="Q843" s="153" t="s">
        <v>413</v>
      </c>
      <c r="R843" s="153" t="s">
        <v>407</v>
      </c>
      <c r="S843" s="153" t="s">
        <v>1212</v>
      </c>
      <c r="T843" s="154">
        <v>0.5</v>
      </c>
      <c r="U843" s="153" t="s">
        <v>1965</v>
      </c>
      <c r="V843" s="155">
        <v>5.3440000000000001E-2</v>
      </c>
      <c r="W843" s="155">
        <v>3.4700000000000002E-2</v>
      </c>
      <c r="X843" s="153" t="s">
        <v>412</v>
      </c>
      <c r="Y843" s="153" t="s">
        <v>339</v>
      </c>
      <c r="Z843" s="154">
        <v>2045144.77</v>
      </c>
      <c r="AA843" s="154">
        <v>1</v>
      </c>
      <c r="AB843" s="154">
        <v>115.84</v>
      </c>
      <c r="AC843" s="154">
        <v>51.18</v>
      </c>
      <c r="AD843" s="154">
        <v>2420.2759999999998</v>
      </c>
      <c r="AG843" s="157" t="s">
        <v>15</v>
      </c>
      <c r="AH843" s="155">
        <v>4.7000000000000002E-3</v>
      </c>
      <c r="AI843" s="155">
        <f t="shared" si="13"/>
        <v>5.7612083088697313E-3</v>
      </c>
      <c r="AJ843" s="155">
        <v>5.4362841230518424E-4</v>
      </c>
    </row>
    <row r="844" spans="1:36" s="160" customFormat="1">
      <c r="A844" s="153" t="s">
        <v>1213</v>
      </c>
      <c r="B844" s="160">
        <v>62</v>
      </c>
      <c r="C844" s="153" t="s">
        <v>1769</v>
      </c>
      <c r="D844" s="153" t="s">
        <v>1770</v>
      </c>
      <c r="E844" s="153" t="s">
        <v>309</v>
      </c>
      <c r="F844" s="153" t="s">
        <v>2037</v>
      </c>
      <c r="G844" s="153" t="s">
        <v>2038</v>
      </c>
      <c r="H844" s="153" t="s">
        <v>321</v>
      </c>
      <c r="I844" s="153" t="s">
        <v>951</v>
      </c>
      <c r="J844" s="153" t="s">
        <v>204</v>
      </c>
      <c r="K844" s="153" t="s">
        <v>204</v>
      </c>
      <c r="L844" s="153" t="s">
        <v>325</v>
      </c>
      <c r="M844" s="153" t="s">
        <v>340</v>
      </c>
      <c r="N844" s="153" t="s">
        <v>464</v>
      </c>
      <c r="O844" s="153" t="s">
        <v>339</v>
      </c>
      <c r="P844" s="153" t="s">
        <v>1560</v>
      </c>
      <c r="Q844" s="153" t="s">
        <v>413</v>
      </c>
      <c r="R844" s="153" t="s">
        <v>407</v>
      </c>
      <c r="S844" s="153" t="s">
        <v>1212</v>
      </c>
      <c r="T844" s="154">
        <v>2.9</v>
      </c>
      <c r="U844" s="153" t="s">
        <v>1587</v>
      </c>
      <c r="V844" s="155">
        <v>4.9619999999999997E-2</v>
      </c>
      <c r="W844" s="155">
        <v>7.1999999999999995E-2</v>
      </c>
      <c r="X844" s="153" t="s">
        <v>412</v>
      </c>
      <c r="Y844" s="153" t="s">
        <v>339</v>
      </c>
      <c r="Z844" s="154">
        <v>2604788.42</v>
      </c>
      <c r="AA844" s="154">
        <v>1</v>
      </c>
      <c r="AB844" s="154">
        <v>92.4</v>
      </c>
      <c r="AD844" s="154">
        <v>2406.8249999999998</v>
      </c>
      <c r="AG844" s="157" t="s">
        <v>15</v>
      </c>
      <c r="AH844" s="155">
        <v>2.1099999999999999E-3</v>
      </c>
      <c r="AI844" s="155">
        <f t="shared" si="13"/>
        <v>5.7291896411795148E-3</v>
      </c>
      <c r="AJ844" s="155">
        <v>5.4060712639650396E-4</v>
      </c>
    </row>
    <row r="845" spans="1:36" s="160" customFormat="1">
      <c r="A845" s="153" t="s">
        <v>1213</v>
      </c>
      <c r="B845" s="160">
        <v>62</v>
      </c>
      <c r="C845" s="153" t="s">
        <v>2238</v>
      </c>
      <c r="D845" s="153" t="s">
        <v>2239</v>
      </c>
      <c r="E845" s="153" t="s">
        <v>309</v>
      </c>
      <c r="F845" s="153" t="s">
        <v>2810</v>
      </c>
      <c r="G845" s="153" t="s">
        <v>2811</v>
      </c>
      <c r="H845" s="153" t="s">
        <v>321</v>
      </c>
      <c r="I845" s="153" t="s">
        <v>951</v>
      </c>
      <c r="J845" s="153" t="s">
        <v>204</v>
      </c>
      <c r="K845" s="153" t="s">
        <v>204</v>
      </c>
      <c r="L845" s="153" t="s">
        <v>325</v>
      </c>
      <c r="M845" s="153" t="s">
        <v>340</v>
      </c>
      <c r="N845" s="153" t="s">
        <v>447</v>
      </c>
      <c r="O845" s="153" t="s">
        <v>339</v>
      </c>
      <c r="P845" s="153" t="s">
        <v>1544</v>
      </c>
      <c r="Q845" s="153" t="s">
        <v>415</v>
      </c>
      <c r="R845" s="153" t="s">
        <v>407</v>
      </c>
      <c r="S845" s="153" t="s">
        <v>1212</v>
      </c>
      <c r="T845" s="154">
        <v>2.08</v>
      </c>
      <c r="U845" s="153" t="s">
        <v>1528</v>
      </c>
      <c r="V845" s="155">
        <v>2.572E-2</v>
      </c>
      <c r="W845" s="155">
        <v>5.5199999999999999E-2</v>
      </c>
      <c r="X845" s="153" t="s">
        <v>412</v>
      </c>
      <c r="Y845" s="153" t="s">
        <v>339</v>
      </c>
      <c r="Z845" s="154">
        <v>2470076.7400000002</v>
      </c>
      <c r="AA845" s="154">
        <v>1</v>
      </c>
      <c r="AB845" s="154">
        <v>94.9</v>
      </c>
      <c r="AD845" s="154">
        <v>2344.1030000000001</v>
      </c>
      <c r="AG845" s="157" t="s">
        <v>15</v>
      </c>
      <c r="AH845" s="155">
        <v>9.2200000000000008E-3</v>
      </c>
      <c r="AI845" s="155">
        <f t="shared" si="13"/>
        <v>5.5798866246851457E-3</v>
      </c>
      <c r="AJ845" s="155">
        <v>5.2651887312431288E-4</v>
      </c>
    </row>
    <row r="846" spans="1:36" s="160" customFormat="1">
      <c r="A846" s="153" t="s">
        <v>1213</v>
      </c>
      <c r="B846" s="160">
        <v>62</v>
      </c>
      <c r="C846" s="153" t="s">
        <v>1820</v>
      </c>
      <c r="D846" s="153" t="s">
        <v>1821</v>
      </c>
      <c r="E846" s="153" t="s">
        <v>309</v>
      </c>
      <c r="F846" s="153" t="s">
        <v>1952</v>
      </c>
      <c r="G846" s="153" t="s">
        <v>1953</v>
      </c>
      <c r="H846" s="153" t="s">
        <v>321</v>
      </c>
      <c r="I846" s="153" t="s">
        <v>754</v>
      </c>
      <c r="J846" s="153" t="s">
        <v>204</v>
      </c>
      <c r="K846" s="153" t="s">
        <v>204</v>
      </c>
      <c r="L846" s="153" t="s">
        <v>325</v>
      </c>
      <c r="M846" s="153" t="s">
        <v>340</v>
      </c>
      <c r="N846" s="153" t="s">
        <v>464</v>
      </c>
      <c r="O846" s="153" t="s">
        <v>339</v>
      </c>
      <c r="P846" s="153" t="s">
        <v>1538</v>
      </c>
      <c r="Q846" s="153" t="s">
        <v>413</v>
      </c>
      <c r="R846" s="153" t="s">
        <v>407</v>
      </c>
      <c r="S846" s="153" t="s">
        <v>1212</v>
      </c>
      <c r="T846" s="154">
        <v>2.19</v>
      </c>
      <c r="U846" s="153" t="s">
        <v>1308</v>
      </c>
      <c r="V846" s="155">
        <v>4.4799999999999996E-3</v>
      </c>
      <c r="W846" s="155">
        <v>2.6599999999999999E-2</v>
      </c>
      <c r="X846" s="153" t="s">
        <v>412</v>
      </c>
      <c r="Y846" s="153" t="s">
        <v>339</v>
      </c>
      <c r="Z846" s="154">
        <v>1863896.43</v>
      </c>
      <c r="AA846" s="154">
        <v>1</v>
      </c>
      <c r="AB846" s="154">
        <v>115.87</v>
      </c>
      <c r="AD846" s="154">
        <v>2159.6970000000001</v>
      </c>
      <c r="AG846" s="157" t="s">
        <v>15</v>
      </c>
      <c r="AH846" s="155">
        <v>8.8000000000000003E-4</v>
      </c>
      <c r="AI846" s="155">
        <f t="shared" si="13"/>
        <v>5.1409278532865811E-3</v>
      </c>
      <c r="AJ846" s="155">
        <v>4.8509866278485168E-4</v>
      </c>
    </row>
    <row r="847" spans="1:36" s="160" customFormat="1">
      <c r="A847" s="153" t="s">
        <v>1213</v>
      </c>
      <c r="B847" s="160">
        <v>62</v>
      </c>
      <c r="C847" s="153" t="s">
        <v>1904</v>
      </c>
      <c r="D847" s="153" t="s">
        <v>1905</v>
      </c>
      <c r="E847" s="153" t="s">
        <v>309</v>
      </c>
      <c r="F847" s="153" t="s">
        <v>2489</v>
      </c>
      <c r="G847" s="153" t="s">
        <v>2490</v>
      </c>
      <c r="H847" s="153" t="s">
        <v>321</v>
      </c>
      <c r="I847" s="153" t="s">
        <v>951</v>
      </c>
      <c r="J847" s="153" t="s">
        <v>204</v>
      </c>
      <c r="K847" s="153" t="s">
        <v>204</v>
      </c>
      <c r="L847" s="153" t="s">
        <v>325</v>
      </c>
      <c r="M847" s="153" t="s">
        <v>340</v>
      </c>
      <c r="N847" s="153" t="s">
        <v>448</v>
      </c>
      <c r="O847" s="153" t="s">
        <v>339</v>
      </c>
      <c r="P847" s="153" t="s">
        <v>1215</v>
      </c>
      <c r="Q847" s="153" t="s">
        <v>413</v>
      </c>
      <c r="R847" s="153" t="s">
        <v>407</v>
      </c>
      <c r="S847" s="153" t="s">
        <v>1212</v>
      </c>
      <c r="T847" s="154">
        <v>0.18</v>
      </c>
      <c r="U847" s="153" t="s">
        <v>1461</v>
      </c>
      <c r="V847" s="155">
        <v>-1.4499999999999999E-3</v>
      </c>
      <c r="W847" s="155">
        <v>4.58E-2</v>
      </c>
      <c r="X847" s="153" t="s">
        <v>412</v>
      </c>
      <c r="Y847" s="153" t="s">
        <v>339</v>
      </c>
      <c r="Z847" s="154">
        <v>1925216.14</v>
      </c>
      <c r="AA847" s="154">
        <v>1</v>
      </c>
      <c r="AB847" s="154">
        <v>101.06</v>
      </c>
      <c r="AD847" s="154">
        <v>1945.623</v>
      </c>
      <c r="AG847" s="157" t="s">
        <v>15</v>
      </c>
      <c r="AH847" s="155">
        <v>6.9699999999999996E-3</v>
      </c>
      <c r="AI847" s="155">
        <f t="shared" si="13"/>
        <v>4.6313475791719847E-3</v>
      </c>
      <c r="AJ847" s="155">
        <v>4.3701459768821804E-4</v>
      </c>
    </row>
    <row r="848" spans="1:36" s="160" customFormat="1">
      <c r="A848" s="153" t="s">
        <v>1213</v>
      </c>
      <c r="B848" s="160">
        <v>62</v>
      </c>
      <c r="C848" s="153" t="s">
        <v>2789</v>
      </c>
      <c r="D848" s="153" t="s">
        <v>2790</v>
      </c>
      <c r="E848" s="153" t="s">
        <v>309</v>
      </c>
      <c r="F848" s="153" t="s">
        <v>2791</v>
      </c>
      <c r="G848" s="153" t="s">
        <v>2792</v>
      </c>
      <c r="H848" s="153" t="s">
        <v>321</v>
      </c>
      <c r="I848" s="153" t="s">
        <v>951</v>
      </c>
      <c r="J848" s="153" t="s">
        <v>204</v>
      </c>
      <c r="K848" s="153" t="s">
        <v>204</v>
      </c>
      <c r="L848" s="153" t="s">
        <v>325</v>
      </c>
      <c r="M848" s="153" t="s">
        <v>340</v>
      </c>
      <c r="N848" s="153" t="s">
        <v>441</v>
      </c>
      <c r="O848" s="153" t="s">
        <v>339</v>
      </c>
      <c r="P848" s="153" t="s">
        <v>1614</v>
      </c>
      <c r="Q848" s="153" t="s">
        <v>415</v>
      </c>
      <c r="R848" s="153" t="s">
        <v>407</v>
      </c>
      <c r="S848" s="153" t="s">
        <v>1212</v>
      </c>
      <c r="T848" s="154">
        <v>2.86</v>
      </c>
      <c r="U848" s="153" t="s">
        <v>2793</v>
      </c>
      <c r="V848" s="155">
        <v>1.6740000000000001E-2</v>
      </c>
      <c r="W848" s="155">
        <v>5.9200000000000003E-2</v>
      </c>
      <c r="X848" s="153" t="s">
        <v>412</v>
      </c>
      <c r="Y848" s="153" t="s">
        <v>339</v>
      </c>
      <c r="Z848" s="154">
        <v>2025608.36</v>
      </c>
      <c r="AA848" s="154">
        <v>1</v>
      </c>
      <c r="AB848" s="154">
        <v>90.04</v>
      </c>
      <c r="AD848" s="154">
        <v>1823.8579999999999</v>
      </c>
      <c r="AG848" s="157" t="s">
        <v>15</v>
      </c>
      <c r="AH848" s="155">
        <v>4.5300000000000002E-3</v>
      </c>
      <c r="AI848" s="155">
        <f t="shared" si="13"/>
        <v>4.3414990124260753E-3</v>
      </c>
      <c r="AJ848" s="155">
        <v>4.0966444686891444E-4</v>
      </c>
    </row>
    <row r="849" spans="1:36" s="160" customFormat="1">
      <c r="A849" s="153" t="s">
        <v>1213</v>
      </c>
      <c r="B849" s="160">
        <v>62</v>
      </c>
      <c r="C849" s="153" t="s">
        <v>2812</v>
      </c>
      <c r="D849" s="153" t="s">
        <v>2813</v>
      </c>
      <c r="E849" s="153" t="s">
        <v>309</v>
      </c>
      <c r="F849" s="153" t="s">
        <v>2814</v>
      </c>
      <c r="G849" s="153" t="s">
        <v>2815</v>
      </c>
      <c r="H849" s="153" t="s">
        <v>321</v>
      </c>
      <c r="I849" s="153" t="s">
        <v>951</v>
      </c>
      <c r="J849" s="153" t="s">
        <v>204</v>
      </c>
      <c r="K849" s="153" t="s">
        <v>204</v>
      </c>
      <c r="L849" s="153" t="s">
        <v>325</v>
      </c>
      <c r="M849" s="153" t="s">
        <v>340</v>
      </c>
      <c r="N849" s="153" t="s">
        <v>447</v>
      </c>
      <c r="O849" s="153" t="s">
        <v>339</v>
      </c>
      <c r="P849" s="153" t="s">
        <v>1614</v>
      </c>
      <c r="Q849" s="153" t="s">
        <v>415</v>
      </c>
      <c r="R849" s="153" t="s">
        <v>407</v>
      </c>
      <c r="S849" s="153" t="s">
        <v>1212</v>
      </c>
      <c r="T849" s="154">
        <v>1.71</v>
      </c>
      <c r="U849" s="153" t="s">
        <v>1343</v>
      </c>
      <c r="V849" s="155">
        <v>5.3400000000000003E-2</v>
      </c>
      <c r="W849" s="155">
        <v>5.6000000000000001E-2</v>
      </c>
      <c r="X849" s="153" t="s">
        <v>412</v>
      </c>
      <c r="Y849" s="153" t="s">
        <v>339</v>
      </c>
      <c r="Z849" s="154">
        <v>1871388.88</v>
      </c>
      <c r="AA849" s="154">
        <v>1</v>
      </c>
      <c r="AB849" s="154">
        <v>94.88</v>
      </c>
      <c r="AD849" s="154">
        <v>1775.5740000000001</v>
      </c>
      <c r="AG849" s="157" t="s">
        <v>15</v>
      </c>
      <c r="AH849" s="155">
        <v>7.3400000000000002E-3</v>
      </c>
      <c r="AI849" s="155">
        <f t="shared" si="13"/>
        <v>4.2265641116191154E-3</v>
      </c>
      <c r="AJ849" s="155">
        <v>3.9881917374314554E-4</v>
      </c>
    </row>
    <row r="850" spans="1:36" s="160" customFormat="1">
      <c r="A850" s="153" t="s">
        <v>1213</v>
      </c>
      <c r="B850" s="160">
        <v>62</v>
      </c>
      <c r="C850" s="153" t="s">
        <v>2178</v>
      </c>
      <c r="D850" s="153" t="s">
        <v>2179</v>
      </c>
      <c r="E850" s="153" t="s">
        <v>309</v>
      </c>
      <c r="F850" s="153" t="s">
        <v>2762</v>
      </c>
      <c r="G850" s="153" t="s">
        <v>2763</v>
      </c>
      <c r="H850" s="153" t="s">
        <v>321</v>
      </c>
      <c r="I850" s="153" t="s">
        <v>951</v>
      </c>
      <c r="J850" s="153" t="s">
        <v>204</v>
      </c>
      <c r="K850" s="153" t="s">
        <v>204</v>
      </c>
      <c r="L850" s="153" t="s">
        <v>325</v>
      </c>
      <c r="M850" s="153" t="s">
        <v>340</v>
      </c>
      <c r="N850" s="153" t="s">
        <v>464</v>
      </c>
      <c r="O850" s="153" t="s">
        <v>339</v>
      </c>
      <c r="P850" s="153" t="s">
        <v>1566</v>
      </c>
      <c r="Q850" s="153" t="s">
        <v>413</v>
      </c>
      <c r="R850" s="153" t="s">
        <v>407</v>
      </c>
      <c r="S850" s="153" t="s">
        <v>1212</v>
      </c>
      <c r="T850" s="154">
        <v>1.34</v>
      </c>
      <c r="U850" s="153" t="s">
        <v>2764</v>
      </c>
      <c r="V850" s="155">
        <v>-9.0799999999999995E-3</v>
      </c>
      <c r="W850" s="155">
        <v>6.1800000000000001E-2</v>
      </c>
      <c r="X850" s="153" t="s">
        <v>412</v>
      </c>
      <c r="Y850" s="153" t="s">
        <v>339</v>
      </c>
      <c r="Z850" s="154">
        <v>1696608.75</v>
      </c>
      <c r="AA850" s="154">
        <v>1</v>
      </c>
      <c r="AB850" s="154">
        <v>101.51</v>
      </c>
      <c r="AD850" s="154">
        <v>1722.2280000000001</v>
      </c>
      <c r="AG850" s="157" t="s">
        <v>15</v>
      </c>
      <c r="AH850" s="155">
        <v>1.6199999999999999E-3</v>
      </c>
      <c r="AI850" s="155">
        <f t="shared" si="13"/>
        <v>4.0995796609015252E-3</v>
      </c>
      <c r="AJ850" s="155">
        <v>3.868369034223919E-4</v>
      </c>
    </row>
    <row r="851" spans="1:36" s="160" customFormat="1">
      <c r="A851" s="153" t="s">
        <v>1213</v>
      </c>
      <c r="B851" s="160">
        <v>62</v>
      </c>
      <c r="C851" s="153" t="s">
        <v>2385</v>
      </c>
      <c r="D851" s="153" t="s">
        <v>2386</v>
      </c>
      <c r="E851" s="153" t="s">
        <v>309</v>
      </c>
      <c r="F851" s="153" t="s">
        <v>2539</v>
      </c>
      <c r="G851" s="153" t="s">
        <v>2540</v>
      </c>
      <c r="H851" s="153" t="s">
        <v>321</v>
      </c>
      <c r="I851" s="153" t="s">
        <v>951</v>
      </c>
      <c r="J851" s="153" t="s">
        <v>204</v>
      </c>
      <c r="K851" s="153" t="s">
        <v>204</v>
      </c>
      <c r="L851" s="153" t="s">
        <v>325</v>
      </c>
      <c r="M851" s="153" t="s">
        <v>340</v>
      </c>
      <c r="N851" s="153" t="s">
        <v>464</v>
      </c>
      <c r="O851" s="153" t="s">
        <v>339</v>
      </c>
      <c r="P851" s="153" t="s">
        <v>1211</v>
      </c>
      <c r="Q851" s="153" t="s">
        <v>415</v>
      </c>
      <c r="R851" s="153" t="s">
        <v>407</v>
      </c>
      <c r="S851" s="153" t="s">
        <v>1212</v>
      </c>
      <c r="T851" s="154">
        <v>0.25</v>
      </c>
      <c r="U851" s="153" t="s">
        <v>2541</v>
      </c>
      <c r="V851" s="155">
        <v>9.7999999999999997E-4</v>
      </c>
      <c r="W851" s="155">
        <v>4.5199999999999997E-2</v>
      </c>
      <c r="X851" s="153" t="s">
        <v>412</v>
      </c>
      <c r="Y851" s="153" t="s">
        <v>339</v>
      </c>
      <c r="Z851" s="154">
        <v>1655113.75</v>
      </c>
      <c r="AA851" s="154">
        <v>1</v>
      </c>
      <c r="AB851" s="154">
        <v>99.71</v>
      </c>
      <c r="AD851" s="154">
        <v>1650.3140000000001</v>
      </c>
      <c r="AG851" s="157" t="s">
        <v>15</v>
      </c>
      <c r="AH851" s="155">
        <v>1.5890000000000001E-2</v>
      </c>
      <c r="AI851" s="155">
        <f t="shared" si="13"/>
        <v>3.9283960709621726E-3</v>
      </c>
      <c r="AJ851" s="155">
        <v>3.7068399621572825E-4</v>
      </c>
    </row>
    <row r="852" spans="1:36" s="160" customFormat="1">
      <c r="A852" s="153" t="s">
        <v>1213</v>
      </c>
      <c r="B852" s="160">
        <v>62</v>
      </c>
      <c r="C852" s="153" t="s">
        <v>2576</v>
      </c>
      <c r="D852" s="153" t="s">
        <v>2577</v>
      </c>
      <c r="E852" s="153" t="s">
        <v>309</v>
      </c>
      <c r="F852" s="153" t="s">
        <v>2816</v>
      </c>
      <c r="G852" s="153" t="s">
        <v>2817</v>
      </c>
      <c r="H852" s="153" t="s">
        <v>321</v>
      </c>
      <c r="I852" s="153" t="s">
        <v>951</v>
      </c>
      <c r="J852" s="153" t="s">
        <v>204</v>
      </c>
      <c r="K852" s="153" t="s">
        <v>204</v>
      </c>
      <c r="L852" s="153" t="s">
        <v>325</v>
      </c>
      <c r="M852" s="153" t="s">
        <v>340</v>
      </c>
      <c r="N852" s="153" t="s">
        <v>451</v>
      </c>
      <c r="O852" s="153" t="s">
        <v>339</v>
      </c>
      <c r="P852" s="153" t="s">
        <v>1521</v>
      </c>
      <c r="Q852" s="153" t="s">
        <v>413</v>
      </c>
      <c r="R852" s="153" t="s">
        <v>407</v>
      </c>
      <c r="S852" s="153" t="s">
        <v>1212</v>
      </c>
      <c r="T852" s="154">
        <v>3.62</v>
      </c>
      <c r="U852" s="153" t="s">
        <v>2818</v>
      </c>
      <c r="V852" s="155">
        <v>4.7530000000000003E-2</v>
      </c>
      <c r="W852" s="155">
        <v>5.79E-2</v>
      </c>
      <c r="X852" s="153" t="s">
        <v>412</v>
      </c>
      <c r="Y852" s="153" t="s">
        <v>339</v>
      </c>
      <c r="Z852" s="154">
        <v>1706907</v>
      </c>
      <c r="AA852" s="154">
        <v>1</v>
      </c>
      <c r="AB852" s="154">
        <v>90.3</v>
      </c>
      <c r="AD852" s="154">
        <v>1541.337</v>
      </c>
      <c r="AG852" s="157" t="s">
        <v>15</v>
      </c>
      <c r="AH852" s="155">
        <v>2.2799999999999999E-3</v>
      </c>
      <c r="AI852" s="155">
        <f t="shared" si="13"/>
        <v>3.6689879712761462E-3</v>
      </c>
      <c r="AJ852" s="155">
        <v>3.4620621207549708E-4</v>
      </c>
    </row>
    <row r="853" spans="1:36" s="160" customFormat="1">
      <c r="A853" s="153" t="s">
        <v>1213</v>
      </c>
      <c r="B853" s="160">
        <v>62</v>
      </c>
      <c r="C853" s="153" t="s">
        <v>2032</v>
      </c>
      <c r="D853" s="153" t="s">
        <v>2033</v>
      </c>
      <c r="E853" s="153" t="s">
        <v>309</v>
      </c>
      <c r="F853" s="153" t="s">
        <v>2765</v>
      </c>
      <c r="G853" s="153" t="s">
        <v>2766</v>
      </c>
      <c r="H853" s="153" t="s">
        <v>321</v>
      </c>
      <c r="I853" s="153" t="s">
        <v>754</v>
      </c>
      <c r="J853" s="153" t="s">
        <v>204</v>
      </c>
      <c r="K853" s="153" t="s">
        <v>204</v>
      </c>
      <c r="L853" s="153" t="s">
        <v>325</v>
      </c>
      <c r="M853" s="153" t="s">
        <v>340</v>
      </c>
      <c r="N853" s="153" t="s">
        <v>445</v>
      </c>
      <c r="O853" s="153" t="s">
        <v>339</v>
      </c>
      <c r="P853" s="153" t="s">
        <v>1538</v>
      </c>
      <c r="Q853" s="153" t="s">
        <v>413</v>
      </c>
      <c r="R853" s="153" t="s">
        <v>407</v>
      </c>
      <c r="S853" s="153" t="s">
        <v>1212</v>
      </c>
      <c r="T853" s="154">
        <v>5.09</v>
      </c>
      <c r="U853" s="153" t="s">
        <v>2210</v>
      </c>
      <c r="V853" s="155">
        <v>2.2360000000000001E-2</v>
      </c>
      <c r="W853" s="155">
        <v>2.8899999999999999E-2</v>
      </c>
      <c r="X853" s="153" t="s">
        <v>412</v>
      </c>
      <c r="Y853" s="153" t="s">
        <v>339</v>
      </c>
      <c r="Z853" s="154">
        <v>1383199</v>
      </c>
      <c r="AA853" s="154">
        <v>1</v>
      </c>
      <c r="AB853" s="154">
        <v>100.89</v>
      </c>
      <c r="AD853" s="154">
        <v>1395.509</v>
      </c>
      <c r="AG853" s="157" t="s">
        <v>15</v>
      </c>
      <c r="AH853" s="155">
        <v>4.6100000000000004E-3</v>
      </c>
      <c r="AI853" s="155">
        <f t="shared" si="13"/>
        <v>3.3218600051822564E-3</v>
      </c>
      <c r="AJ853" s="155">
        <v>3.1345116921689735E-4</v>
      </c>
    </row>
    <row r="854" spans="1:36" s="160" customFormat="1">
      <c r="A854" s="153" t="s">
        <v>1213</v>
      </c>
      <c r="B854" s="160">
        <v>62</v>
      </c>
      <c r="C854" s="153" t="s">
        <v>2757</v>
      </c>
      <c r="D854" s="153" t="s">
        <v>2758</v>
      </c>
      <c r="E854" s="153" t="s">
        <v>309</v>
      </c>
      <c r="F854" s="153" t="s">
        <v>2759</v>
      </c>
      <c r="G854" s="153" t="s">
        <v>2760</v>
      </c>
      <c r="H854" s="153" t="s">
        <v>321</v>
      </c>
      <c r="I854" s="153" t="s">
        <v>755</v>
      </c>
      <c r="J854" s="153" t="s">
        <v>204</v>
      </c>
      <c r="K854" s="153" t="s">
        <v>204</v>
      </c>
      <c r="L854" s="153" t="s">
        <v>325</v>
      </c>
      <c r="M854" s="153" t="s">
        <v>340</v>
      </c>
      <c r="N854" s="153" t="s">
        <v>440</v>
      </c>
      <c r="O854" s="153" t="s">
        <v>339</v>
      </c>
      <c r="P854" s="153" t="s">
        <v>1521</v>
      </c>
      <c r="Q854" s="153" t="s">
        <v>413</v>
      </c>
      <c r="R854" s="153" t="s">
        <v>407</v>
      </c>
      <c r="S854" s="153" t="s">
        <v>1212</v>
      </c>
      <c r="T854" s="154">
        <v>0.74</v>
      </c>
      <c r="U854" s="153" t="s">
        <v>2761</v>
      </c>
      <c r="V854" s="155">
        <v>4.249E-2</v>
      </c>
      <c r="W854" s="155">
        <v>7.5899999999999995E-2</v>
      </c>
      <c r="X854" s="153" t="s">
        <v>412</v>
      </c>
      <c r="Y854" s="153" t="s">
        <v>339</v>
      </c>
      <c r="Z854" s="154">
        <v>1050300</v>
      </c>
      <c r="AA854" s="154">
        <v>1</v>
      </c>
      <c r="AB854" s="154">
        <v>100.15</v>
      </c>
      <c r="AD854" s="154">
        <v>1051.875</v>
      </c>
      <c r="AG854" s="157" t="s">
        <v>15</v>
      </c>
      <c r="AH854" s="155">
        <v>4.28E-3</v>
      </c>
      <c r="AI854" s="155">
        <f t="shared" si="13"/>
        <v>2.5038760000480726E-3</v>
      </c>
      <c r="AJ854" s="155">
        <v>2.3626608543551053E-4</v>
      </c>
    </row>
    <row r="855" spans="1:36" s="160" customFormat="1">
      <c r="A855" s="153" t="s">
        <v>1213</v>
      </c>
      <c r="B855" s="160">
        <v>62</v>
      </c>
      <c r="C855" s="153" t="s">
        <v>2361</v>
      </c>
      <c r="D855" s="153" t="s">
        <v>2362</v>
      </c>
      <c r="E855" s="153" t="s">
        <v>309</v>
      </c>
      <c r="F855" s="153" t="s">
        <v>2363</v>
      </c>
      <c r="G855" s="153" t="s">
        <v>2364</v>
      </c>
      <c r="H855" s="153" t="s">
        <v>321</v>
      </c>
      <c r="I855" s="153" t="s">
        <v>951</v>
      </c>
      <c r="J855" s="153" t="s">
        <v>204</v>
      </c>
      <c r="K855" s="153" t="s">
        <v>204</v>
      </c>
      <c r="L855" s="153" t="s">
        <v>325</v>
      </c>
      <c r="M855" s="153" t="s">
        <v>340</v>
      </c>
      <c r="N855" s="153" t="s">
        <v>446</v>
      </c>
      <c r="O855" s="153" t="s">
        <v>339</v>
      </c>
      <c r="P855" s="153" t="s">
        <v>1538</v>
      </c>
      <c r="Q855" s="153" t="s">
        <v>413</v>
      </c>
      <c r="R855" s="153" t="s">
        <v>407</v>
      </c>
      <c r="S855" s="153" t="s">
        <v>1212</v>
      </c>
      <c r="T855" s="154">
        <v>2.62</v>
      </c>
      <c r="U855" s="153" t="s">
        <v>1587</v>
      </c>
      <c r="V855" s="155">
        <v>4.8869999999999997E-2</v>
      </c>
      <c r="W855" s="155">
        <v>5.2200000000000003E-2</v>
      </c>
      <c r="X855" s="153" t="s">
        <v>412</v>
      </c>
      <c r="Y855" s="153" t="s">
        <v>339</v>
      </c>
      <c r="Z855" s="154">
        <v>1031017.14</v>
      </c>
      <c r="AA855" s="154">
        <v>1</v>
      </c>
      <c r="AB855" s="154">
        <v>90.15</v>
      </c>
      <c r="AD855" s="154">
        <v>929.46199999999999</v>
      </c>
      <c r="AG855" s="157" t="s">
        <v>15</v>
      </c>
      <c r="AH855" s="155">
        <v>1.1000000000000001E-3</v>
      </c>
      <c r="AI855" s="155">
        <f t="shared" si="13"/>
        <v>2.2124849385684437E-3</v>
      </c>
      <c r="AJ855" s="155">
        <v>2.0877038459993867E-4</v>
      </c>
    </row>
    <row r="856" spans="1:36" s="160" customFormat="1">
      <c r="A856" s="153" t="s">
        <v>1213</v>
      </c>
      <c r="B856" s="160">
        <v>62</v>
      </c>
      <c r="C856" s="153" t="s">
        <v>2238</v>
      </c>
      <c r="D856" s="153" t="s">
        <v>2239</v>
      </c>
      <c r="E856" s="153" t="s">
        <v>309</v>
      </c>
      <c r="F856" s="153" t="s">
        <v>2794</v>
      </c>
      <c r="G856" s="153" t="s">
        <v>2795</v>
      </c>
      <c r="H856" s="153" t="s">
        <v>321</v>
      </c>
      <c r="I856" s="153" t="s">
        <v>951</v>
      </c>
      <c r="J856" s="153" t="s">
        <v>204</v>
      </c>
      <c r="K856" s="153" t="s">
        <v>204</v>
      </c>
      <c r="L856" s="153" t="s">
        <v>325</v>
      </c>
      <c r="M856" s="153" t="s">
        <v>340</v>
      </c>
      <c r="N856" s="153" t="s">
        <v>447</v>
      </c>
      <c r="O856" s="153" t="s">
        <v>339</v>
      </c>
      <c r="P856" s="153" t="s">
        <v>1544</v>
      </c>
      <c r="Q856" s="153" t="s">
        <v>415</v>
      </c>
      <c r="R856" s="153" t="s">
        <v>407</v>
      </c>
      <c r="S856" s="153" t="s">
        <v>1212</v>
      </c>
      <c r="T856" s="154">
        <v>0.74</v>
      </c>
      <c r="U856" s="153" t="s">
        <v>1848</v>
      </c>
      <c r="V856" s="155">
        <v>5.2380000000000003E-2</v>
      </c>
      <c r="W856" s="155">
        <v>5.4600000000000003E-2</v>
      </c>
      <c r="X856" s="153" t="s">
        <v>412</v>
      </c>
      <c r="Y856" s="153" t="s">
        <v>339</v>
      </c>
      <c r="Z856" s="154">
        <v>898722.9</v>
      </c>
      <c r="AA856" s="154">
        <v>1</v>
      </c>
      <c r="AB856" s="154">
        <v>100.18</v>
      </c>
      <c r="AD856" s="154">
        <v>900.34100000000001</v>
      </c>
      <c r="AG856" s="157" t="s">
        <v>15</v>
      </c>
      <c r="AH856" s="155">
        <v>8.6099999999999996E-3</v>
      </c>
      <c r="AI856" s="155">
        <f t="shared" si="13"/>
        <v>2.1431655108822643E-3</v>
      </c>
      <c r="AJ856" s="155">
        <v>2.0222939382254831E-4</v>
      </c>
    </row>
    <row r="857" spans="1:36" s="160" customFormat="1">
      <c r="A857" s="153" t="s">
        <v>1213</v>
      </c>
      <c r="B857" s="160">
        <v>62</v>
      </c>
      <c r="C857" s="153" t="s">
        <v>1759</v>
      </c>
      <c r="D857" s="153" t="s">
        <v>1760</v>
      </c>
      <c r="E857" s="153" t="s">
        <v>309</v>
      </c>
      <c r="F857" s="153" t="s">
        <v>2819</v>
      </c>
      <c r="G857" s="153" t="s">
        <v>2820</v>
      </c>
      <c r="H857" s="153" t="s">
        <v>321</v>
      </c>
      <c r="I857" s="153" t="s">
        <v>754</v>
      </c>
      <c r="J857" s="153" t="s">
        <v>204</v>
      </c>
      <c r="K857" s="153" t="s">
        <v>204</v>
      </c>
      <c r="L857" s="153" t="s">
        <v>325</v>
      </c>
      <c r="M857" s="153" t="s">
        <v>340</v>
      </c>
      <c r="N857" s="153" t="s">
        <v>465</v>
      </c>
      <c r="O857" s="153" t="s">
        <v>339</v>
      </c>
      <c r="P857" s="153" t="s">
        <v>1614</v>
      </c>
      <c r="Q857" s="153" t="s">
        <v>415</v>
      </c>
      <c r="R857" s="153" t="s">
        <v>407</v>
      </c>
      <c r="S857" s="153" t="s">
        <v>1212</v>
      </c>
      <c r="T857" s="154">
        <v>0.74</v>
      </c>
      <c r="U857" s="153" t="s">
        <v>2821</v>
      </c>
      <c r="V857" s="155">
        <v>3.3579999999999999E-2</v>
      </c>
      <c r="W857" s="155">
        <v>2.7099999999999999E-2</v>
      </c>
      <c r="X857" s="153" t="s">
        <v>412</v>
      </c>
      <c r="Y857" s="153" t="s">
        <v>339</v>
      </c>
      <c r="Z857" s="154">
        <v>683937.2</v>
      </c>
      <c r="AA857" s="154">
        <v>1</v>
      </c>
      <c r="AB857" s="154">
        <v>118.92</v>
      </c>
      <c r="AD857" s="154">
        <v>813.33799999999997</v>
      </c>
      <c r="AG857" s="157" t="s">
        <v>15</v>
      </c>
      <c r="AH857" s="155">
        <v>4.7699999999999999E-3</v>
      </c>
      <c r="AI857" s="155">
        <f t="shared" si="13"/>
        <v>1.9360641693424593E-3</v>
      </c>
      <c r="AJ857" s="155">
        <v>1.8268728261052622E-4</v>
      </c>
    </row>
    <row r="858" spans="1:36" s="160" customFormat="1">
      <c r="A858" s="153" t="s">
        <v>1213</v>
      </c>
      <c r="B858" s="160">
        <v>62</v>
      </c>
      <c r="C858" s="153" t="s">
        <v>2824</v>
      </c>
      <c r="D858" s="153" t="s">
        <v>2825</v>
      </c>
      <c r="E858" s="153" t="s">
        <v>309</v>
      </c>
      <c r="F858" s="153" t="s">
        <v>2826</v>
      </c>
      <c r="G858" s="153" t="s">
        <v>2827</v>
      </c>
      <c r="H858" s="153" t="s">
        <v>321</v>
      </c>
      <c r="I858" s="153" t="s">
        <v>951</v>
      </c>
      <c r="J858" s="153" t="s">
        <v>204</v>
      </c>
      <c r="K858" s="153" t="s">
        <v>204</v>
      </c>
      <c r="L858" s="153" t="s">
        <v>325</v>
      </c>
      <c r="M858" s="153" t="s">
        <v>340</v>
      </c>
      <c r="N858" s="153" t="s">
        <v>463</v>
      </c>
      <c r="O858" s="153" t="s">
        <v>339</v>
      </c>
      <c r="P858" s="153" t="s">
        <v>1521</v>
      </c>
      <c r="Q858" s="153" t="s">
        <v>413</v>
      </c>
      <c r="R858" s="153" t="s">
        <v>407</v>
      </c>
      <c r="S858" s="153" t="s">
        <v>1212</v>
      </c>
      <c r="T858" s="154">
        <v>5.46</v>
      </c>
      <c r="U858" s="153" t="s">
        <v>2828</v>
      </c>
      <c r="V858" s="155">
        <v>2.24E-2</v>
      </c>
      <c r="W858" s="155">
        <v>6.0199999999999997E-2</v>
      </c>
      <c r="X858" s="153" t="s">
        <v>412</v>
      </c>
      <c r="Y858" s="153" t="s">
        <v>339</v>
      </c>
      <c r="Z858" s="154">
        <v>949508</v>
      </c>
      <c r="AA858" s="154">
        <v>1</v>
      </c>
      <c r="AB858" s="154">
        <v>82.39</v>
      </c>
      <c r="AD858" s="154">
        <v>782.3</v>
      </c>
      <c r="AG858" s="157" t="s">
        <v>15</v>
      </c>
      <c r="AH858" s="155">
        <v>9.6000000000000002E-4</v>
      </c>
      <c r="AI858" s="155">
        <f t="shared" si="13"/>
        <v>1.8621815280690263E-3</v>
      </c>
      <c r="AJ858" s="155">
        <v>1.7571570636834214E-4</v>
      </c>
    </row>
    <row r="859" spans="1:36" s="160" customFormat="1">
      <c r="A859" s="153" t="s">
        <v>1213</v>
      </c>
      <c r="B859" s="160">
        <v>62</v>
      </c>
      <c r="C859" s="153" t="s">
        <v>2845</v>
      </c>
      <c r="D859" s="153" t="s">
        <v>2846</v>
      </c>
      <c r="E859" s="153" t="s">
        <v>309</v>
      </c>
      <c r="F859" s="153" t="s">
        <v>2847</v>
      </c>
      <c r="G859" s="153" t="s">
        <v>2848</v>
      </c>
      <c r="H859" s="153" t="s">
        <v>321</v>
      </c>
      <c r="I859" s="153" t="s">
        <v>951</v>
      </c>
      <c r="J859" s="153" t="s">
        <v>204</v>
      </c>
      <c r="K859" s="153" t="s">
        <v>204</v>
      </c>
      <c r="L859" s="153" t="s">
        <v>325</v>
      </c>
      <c r="M859" s="153" t="s">
        <v>340</v>
      </c>
      <c r="N859" s="153" t="s">
        <v>446</v>
      </c>
      <c r="O859" s="153" t="s">
        <v>339</v>
      </c>
      <c r="P859" s="153" t="s">
        <v>1215</v>
      </c>
      <c r="Q859" s="153" t="s">
        <v>413</v>
      </c>
      <c r="R859" s="153" t="s">
        <v>407</v>
      </c>
      <c r="S859" s="153" t="s">
        <v>1212</v>
      </c>
      <c r="T859" s="154">
        <v>1.1299999999999999</v>
      </c>
      <c r="U859" s="153" t="s">
        <v>2372</v>
      </c>
      <c r="V859" s="155">
        <v>1.3500000000000001E-3</v>
      </c>
      <c r="W859" s="155">
        <v>5.2499999999999998E-2</v>
      </c>
      <c r="X859" s="153" t="s">
        <v>412</v>
      </c>
      <c r="Y859" s="153" t="s">
        <v>339</v>
      </c>
      <c r="Z859" s="154">
        <v>733348</v>
      </c>
      <c r="AA859" s="154">
        <v>1</v>
      </c>
      <c r="AB859" s="154">
        <v>102.1</v>
      </c>
      <c r="AD859" s="154">
        <v>748.74800000000005</v>
      </c>
      <c r="AG859" s="157" t="s">
        <v>15</v>
      </c>
      <c r="AH859" s="155">
        <v>4.7499999999999999E-3</v>
      </c>
      <c r="AI859" s="155">
        <f t="shared" si="13"/>
        <v>1.7823145785231082E-3</v>
      </c>
      <c r="AJ859" s="155">
        <v>1.6817944997045054E-4</v>
      </c>
    </row>
    <row r="860" spans="1:36" s="160" customFormat="1">
      <c r="A860" s="153" t="s">
        <v>1213</v>
      </c>
      <c r="B860" s="160">
        <v>62</v>
      </c>
      <c r="C860" s="153" t="s">
        <v>2298</v>
      </c>
      <c r="D860" s="153" t="s">
        <v>2299</v>
      </c>
      <c r="E860" s="153" t="s">
        <v>309</v>
      </c>
      <c r="F860" s="153" t="s">
        <v>2562</v>
      </c>
      <c r="G860" s="153" t="s">
        <v>2563</v>
      </c>
      <c r="H860" s="153" t="s">
        <v>321</v>
      </c>
      <c r="I860" s="153" t="s">
        <v>951</v>
      </c>
      <c r="J860" s="153" t="s">
        <v>204</v>
      </c>
      <c r="K860" s="153" t="s">
        <v>204</v>
      </c>
      <c r="L860" s="153" t="s">
        <v>325</v>
      </c>
      <c r="M860" s="153" t="s">
        <v>340</v>
      </c>
      <c r="N860" s="153" t="s">
        <v>462</v>
      </c>
      <c r="O860" s="153" t="s">
        <v>339</v>
      </c>
      <c r="P860" s="153" t="s">
        <v>1566</v>
      </c>
      <c r="Q860" s="153" t="s">
        <v>413</v>
      </c>
      <c r="R860" s="153" t="s">
        <v>407</v>
      </c>
      <c r="S860" s="153" t="s">
        <v>1212</v>
      </c>
      <c r="T860" s="154">
        <v>1.1499999999999999</v>
      </c>
      <c r="U860" s="153" t="s">
        <v>2232</v>
      </c>
      <c r="V860" s="155">
        <v>4.4630000000000003E-2</v>
      </c>
      <c r="W860" s="155">
        <v>5.5399999999999998E-2</v>
      </c>
      <c r="X860" s="153" t="s">
        <v>412</v>
      </c>
      <c r="Y860" s="153" t="s">
        <v>339</v>
      </c>
      <c r="Z860" s="154">
        <v>741738.89</v>
      </c>
      <c r="AA860" s="154">
        <v>1</v>
      </c>
      <c r="AB860" s="154">
        <v>97.21</v>
      </c>
      <c r="AD860" s="154">
        <v>721.04399999999998</v>
      </c>
      <c r="AG860" s="157" t="s">
        <v>15</v>
      </c>
      <c r="AH860" s="155">
        <v>4.1099999999999999E-3</v>
      </c>
      <c r="AI860" s="155">
        <f t="shared" si="13"/>
        <v>1.7163681678703862E-3</v>
      </c>
      <c r="AJ860" s="155">
        <v>1.6195673754653572E-4</v>
      </c>
    </row>
    <row r="861" spans="1:36" s="160" customFormat="1">
      <c r="A861" s="153" t="s">
        <v>1213</v>
      </c>
      <c r="B861" s="160">
        <v>62</v>
      </c>
      <c r="C861" s="153" t="s">
        <v>2576</v>
      </c>
      <c r="D861" s="153" t="s">
        <v>2577</v>
      </c>
      <c r="E861" s="153" t="s">
        <v>309</v>
      </c>
      <c r="F861" s="153" t="s">
        <v>2578</v>
      </c>
      <c r="G861" s="153" t="s">
        <v>2579</v>
      </c>
      <c r="H861" s="153" t="s">
        <v>321</v>
      </c>
      <c r="I861" s="153" t="s">
        <v>755</v>
      </c>
      <c r="J861" s="153" t="s">
        <v>204</v>
      </c>
      <c r="K861" s="153" t="s">
        <v>204</v>
      </c>
      <c r="L861" s="153" t="s">
        <v>325</v>
      </c>
      <c r="M861" s="153" t="s">
        <v>340</v>
      </c>
      <c r="N861" s="153" t="s">
        <v>451</v>
      </c>
      <c r="O861" s="153" t="s">
        <v>339</v>
      </c>
      <c r="P861" s="153" t="s">
        <v>1521</v>
      </c>
      <c r="Q861" s="153" t="s">
        <v>413</v>
      </c>
      <c r="R861" s="153" t="s">
        <v>407</v>
      </c>
      <c r="S861" s="153" t="s">
        <v>1212</v>
      </c>
      <c r="T861" s="154">
        <v>1.48</v>
      </c>
      <c r="U861" s="153" t="s">
        <v>1522</v>
      </c>
      <c r="V861" s="155">
        <v>5.4469999999999998E-2</v>
      </c>
      <c r="W861" s="155">
        <v>7.0099999999999996E-2</v>
      </c>
      <c r="X861" s="153" t="s">
        <v>412</v>
      </c>
      <c r="Y861" s="153" t="s">
        <v>339</v>
      </c>
      <c r="Z861" s="154">
        <v>494209.5</v>
      </c>
      <c r="AA861" s="154">
        <v>1</v>
      </c>
      <c r="AB861" s="154">
        <v>105.21</v>
      </c>
      <c r="AD861" s="154">
        <v>519.95799999999997</v>
      </c>
      <c r="AG861" s="157" t="s">
        <v>15</v>
      </c>
      <c r="AH861" s="155">
        <v>4.5900000000000003E-3</v>
      </c>
      <c r="AI861" s="155">
        <f t="shared" si="13"/>
        <v>1.2377044394371913E-3</v>
      </c>
      <c r="AJ861" s="155">
        <v>1.1678996197350177E-4</v>
      </c>
    </row>
    <row r="862" spans="1:36" s="160" customFormat="1">
      <c r="A862" s="153" t="s">
        <v>1213</v>
      </c>
      <c r="B862" s="160">
        <v>62</v>
      </c>
      <c r="C862" s="153" t="s">
        <v>2771</v>
      </c>
      <c r="D862" s="153" t="s">
        <v>2772</v>
      </c>
      <c r="E862" s="153" t="s">
        <v>309</v>
      </c>
      <c r="F862" s="153" t="s">
        <v>2822</v>
      </c>
      <c r="G862" s="153" t="s">
        <v>2823</v>
      </c>
      <c r="H862" s="153" t="s">
        <v>321</v>
      </c>
      <c r="I862" s="153" t="s">
        <v>951</v>
      </c>
      <c r="J862" s="153" t="s">
        <v>204</v>
      </c>
      <c r="K862" s="153" t="s">
        <v>204</v>
      </c>
      <c r="L862" s="153" t="s">
        <v>325</v>
      </c>
      <c r="M862" s="153" t="s">
        <v>340</v>
      </c>
      <c r="N862" s="153" t="s">
        <v>447</v>
      </c>
      <c r="O862" s="153" t="s">
        <v>339</v>
      </c>
      <c r="P862" s="153" t="s">
        <v>1614</v>
      </c>
      <c r="Q862" s="153" t="s">
        <v>415</v>
      </c>
      <c r="R862" s="153" t="s">
        <v>407</v>
      </c>
      <c r="S862" s="153" t="s">
        <v>1212</v>
      </c>
      <c r="T862" s="154">
        <v>1.36</v>
      </c>
      <c r="U862" s="153" t="s">
        <v>1659</v>
      </c>
      <c r="V862" s="155">
        <v>2.818E-2</v>
      </c>
      <c r="W862" s="155">
        <v>5.9299999999999999E-2</v>
      </c>
      <c r="X862" s="153" t="s">
        <v>412</v>
      </c>
      <c r="Y862" s="153" t="s">
        <v>339</v>
      </c>
      <c r="Z862" s="154">
        <v>428033.62</v>
      </c>
      <c r="AA862" s="154">
        <v>1</v>
      </c>
      <c r="AB862" s="154">
        <v>96.89</v>
      </c>
      <c r="AD862" s="154">
        <v>414.72199999999998</v>
      </c>
      <c r="AG862" s="157" t="s">
        <v>15</v>
      </c>
      <c r="AH862" s="155">
        <v>1.3799999999999999E-3</v>
      </c>
      <c r="AI862" s="155">
        <f t="shared" si="13"/>
        <v>9.8720139036666591E-4</v>
      </c>
      <c r="AJ862" s="155">
        <v>9.3152459640152876E-5</v>
      </c>
    </row>
    <row r="863" spans="1:36" s="160" customFormat="1">
      <c r="A863" s="153" t="s">
        <v>1213</v>
      </c>
      <c r="B863" s="160">
        <v>62</v>
      </c>
      <c r="C863" s="153" t="s">
        <v>2780</v>
      </c>
      <c r="D863" s="153" t="s">
        <v>2781</v>
      </c>
      <c r="E863" s="153" t="s">
        <v>309</v>
      </c>
      <c r="F863" s="153" t="s">
        <v>2782</v>
      </c>
      <c r="G863" s="153" t="s">
        <v>2783</v>
      </c>
      <c r="H863" s="153" t="s">
        <v>321</v>
      </c>
      <c r="I863" s="153" t="s">
        <v>754</v>
      </c>
      <c r="J863" s="153" t="s">
        <v>204</v>
      </c>
      <c r="K863" s="153" t="s">
        <v>204</v>
      </c>
      <c r="L863" s="153" t="s">
        <v>325</v>
      </c>
      <c r="M863" s="153" t="s">
        <v>340</v>
      </c>
      <c r="N863" s="153" t="s">
        <v>464</v>
      </c>
      <c r="O863" s="153" t="s">
        <v>339</v>
      </c>
      <c r="P863" s="153" t="s">
        <v>1560</v>
      </c>
      <c r="Q863" s="153" t="s">
        <v>413</v>
      </c>
      <c r="R863" s="153" t="s">
        <v>407</v>
      </c>
      <c r="S863" s="153" t="s">
        <v>1212</v>
      </c>
      <c r="T863" s="154">
        <v>1.44</v>
      </c>
      <c r="U863" s="153" t="s">
        <v>1741</v>
      </c>
      <c r="V863" s="155">
        <v>3.1660000000000001E-2</v>
      </c>
      <c r="W863" s="155">
        <v>2.7900000000000001E-2</v>
      </c>
      <c r="X863" s="153" t="s">
        <v>412</v>
      </c>
      <c r="Y863" s="153" t="s">
        <v>339</v>
      </c>
      <c r="Z863" s="154">
        <v>291668.49</v>
      </c>
      <c r="AA863" s="154">
        <v>1</v>
      </c>
      <c r="AB863" s="154">
        <v>118.52</v>
      </c>
      <c r="AD863" s="154">
        <v>345.685</v>
      </c>
      <c r="AG863" s="157" t="s">
        <v>15</v>
      </c>
      <c r="AH863" s="155">
        <v>8.4000000000000003E-4</v>
      </c>
      <c r="AI863" s="155">
        <f t="shared" si="13"/>
        <v>8.2286619139785428E-4</v>
      </c>
      <c r="AJ863" s="155">
        <v>7.7645767552013748E-5</v>
      </c>
    </row>
    <row r="864" spans="1:36" s="160" customFormat="1">
      <c r="A864" s="153" t="s">
        <v>1213</v>
      </c>
      <c r="B864" s="160">
        <v>62</v>
      </c>
      <c r="C864" s="153" t="s">
        <v>2336</v>
      </c>
      <c r="D864" s="153" t="s">
        <v>2337</v>
      </c>
      <c r="E864" s="153" t="s">
        <v>309</v>
      </c>
      <c r="F864" s="153" t="s">
        <v>2796</v>
      </c>
      <c r="G864" s="153" t="s">
        <v>2797</v>
      </c>
      <c r="H864" s="153" t="s">
        <v>321</v>
      </c>
      <c r="I864" s="153" t="s">
        <v>754</v>
      </c>
      <c r="J864" s="153" t="s">
        <v>204</v>
      </c>
      <c r="K864" s="153" t="s">
        <v>204</v>
      </c>
      <c r="L864" s="153" t="s">
        <v>325</v>
      </c>
      <c r="M864" s="153" t="s">
        <v>340</v>
      </c>
      <c r="N864" s="153" t="s">
        <v>464</v>
      </c>
      <c r="O864" s="153" t="s">
        <v>339</v>
      </c>
      <c r="P864" s="153" t="s">
        <v>1982</v>
      </c>
      <c r="Q864" s="153" t="s">
        <v>415</v>
      </c>
      <c r="R864" s="153" t="s">
        <v>407</v>
      </c>
      <c r="S864" s="153" t="s">
        <v>1212</v>
      </c>
      <c r="T864" s="154">
        <v>2.91</v>
      </c>
      <c r="U864" s="153" t="s">
        <v>2798</v>
      </c>
      <c r="V864" s="155">
        <v>6.3099999999999996E-3</v>
      </c>
      <c r="W864" s="155">
        <v>2.76E-2</v>
      </c>
      <c r="X864" s="153" t="s">
        <v>412</v>
      </c>
      <c r="Y864" s="153" t="s">
        <v>339</v>
      </c>
      <c r="Z864" s="154">
        <v>265404</v>
      </c>
      <c r="AA864" s="154">
        <v>1</v>
      </c>
      <c r="AB864" s="154">
        <v>114.46</v>
      </c>
      <c r="AD864" s="154">
        <v>303.78100000000001</v>
      </c>
      <c r="AG864" s="157" t="s">
        <v>15</v>
      </c>
      <c r="AH864" s="155">
        <v>2.3000000000000001E-4</v>
      </c>
      <c r="AI864" s="155">
        <f t="shared" si="13"/>
        <v>7.2311819861732964E-4</v>
      </c>
      <c r="AJ864" s="155">
        <v>6.8233533166664134E-5</v>
      </c>
    </row>
    <row r="865" spans="1:36" s="160" customFormat="1">
      <c r="A865" s="153" t="s">
        <v>1213</v>
      </c>
      <c r="B865" s="160">
        <v>62</v>
      </c>
      <c r="C865" s="153" t="s">
        <v>2771</v>
      </c>
      <c r="D865" s="153" t="s">
        <v>2772</v>
      </c>
      <c r="E865" s="153" t="s">
        <v>309</v>
      </c>
      <c r="F865" s="153" t="s">
        <v>2849</v>
      </c>
      <c r="G865" s="153" t="s">
        <v>2850</v>
      </c>
      <c r="H865" s="153" t="s">
        <v>321</v>
      </c>
      <c r="I865" s="153" t="s">
        <v>951</v>
      </c>
      <c r="J865" s="153" t="s">
        <v>204</v>
      </c>
      <c r="K865" s="153" t="s">
        <v>204</v>
      </c>
      <c r="L865" s="153" t="s">
        <v>325</v>
      </c>
      <c r="M865" s="153" t="s">
        <v>340</v>
      </c>
      <c r="N865" s="153" t="s">
        <v>447</v>
      </c>
      <c r="O865" s="153" t="s">
        <v>339</v>
      </c>
      <c r="P865" s="153" t="s">
        <v>1614</v>
      </c>
      <c r="Q865" s="153" t="s">
        <v>415</v>
      </c>
      <c r="R865" s="153" t="s">
        <v>407</v>
      </c>
      <c r="S865" s="153" t="s">
        <v>1212</v>
      </c>
      <c r="T865" s="154">
        <v>0.74</v>
      </c>
      <c r="U865" s="153" t="s">
        <v>1848</v>
      </c>
      <c r="V865" s="155">
        <v>3.134E-2</v>
      </c>
      <c r="W865" s="155">
        <v>5.8000000000000003E-2</v>
      </c>
      <c r="X865" s="153" t="s">
        <v>412</v>
      </c>
      <c r="Y865" s="153" t="s">
        <v>339</v>
      </c>
      <c r="Z865" s="154">
        <v>303233.63</v>
      </c>
      <c r="AA865" s="154">
        <v>1</v>
      </c>
      <c r="AB865" s="154">
        <v>98.95</v>
      </c>
      <c r="AD865" s="154">
        <v>300.05</v>
      </c>
      <c r="AG865" s="157" t="s">
        <v>15</v>
      </c>
      <c r="AH865" s="155">
        <v>5.3200000000000001E-3</v>
      </c>
      <c r="AI865" s="155">
        <f t="shared" si="13"/>
        <v>7.1423695193290483E-4</v>
      </c>
      <c r="AJ865" s="155">
        <v>6.7395497502008259E-5</v>
      </c>
    </row>
    <row r="866" spans="1:36" s="160" customFormat="1">
      <c r="A866" s="153" t="s">
        <v>1213</v>
      </c>
      <c r="B866" s="160">
        <v>62</v>
      </c>
      <c r="C866" s="153" t="s">
        <v>1973</v>
      </c>
      <c r="D866" s="153" t="s">
        <v>1974</v>
      </c>
      <c r="E866" s="153" t="s">
        <v>309</v>
      </c>
      <c r="F866" s="153" t="s">
        <v>2004</v>
      </c>
      <c r="G866" s="153" t="s">
        <v>2005</v>
      </c>
      <c r="H866" s="153" t="s">
        <v>321</v>
      </c>
      <c r="I866" s="153" t="s">
        <v>754</v>
      </c>
      <c r="J866" s="153" t="s">
        <v>204</v>
      </c>
      <c r="K866" s="153" t="s">
        <v>204</v>
      </c>
      <c r="L866" s="153" t="s">
        <v>325</v>
      </c>
      <c r="M866" s="153" t="s">
        <v>340</v>
      </c>
      <c r="N866" s="153" t="s">
        <v>464</v>
      </c>
      <c r="O866" s="153" t="s">
        <v>339</v>
      </c>
      <c r="P866" s="153" t="s">
        <v>1538</v>
      </c>
      <c r="Q866" s="153" t="s">
        <v>413</v>
      </c>
      <c r="R866" s="153" t="s">
        <v>407</v>
      </c>
      <c r="S866" s="153" t="s">
        <v>1212</v>
      </c>
      <c r="T866" s="154">
        <v>3.44</v>
      </c>
      <c r="U866" s="153" t="s">
        <v>1913</v>
      </c>
      <c r="V866" s="155">
        <v>4.4319999999999998E-2</v>
      </c>
      <c r="W866" s="155">
        <v>2.93E-2</v>
      </c>
      <c r="X866" s="153" t="s">
        <v>412</v>
      </c>
      <c r="Y866" s="153" t="s">
        <v>339</v>
      </c>
      <c r="Z866" s="154">
        <v>106565.25</v>
      </c>
      <c r="AA866" s="154">
        <v>1</v>
      </c>
      <c r="AB866" s="154">
        <v>117.13</v>
      </c>
      <c r="AD866" s="154">
        <v>124.82</v>
      </c>
      <c r="AG866" s="157" t="s">
        <v>15</v>
      </c>
      <c r="AH866" s="155">
        <v>8.0000000000000007E-5</v>
      </c>
      <c r="AI866" s="155">
        <f t="shared" si="13"/>
        <v>2.9712066768960228E-4</v>
      </c>
      <c r="AJ866" s="155">
        <v>2.8036347269457325E-5</v>
      </c>
    </row>
    <row r="867" spans="1:36" s="160" customFormat="1">
      <c r="A867" s="153" t="s">
        <v>1213</v>
      </c>
      <c r="B867" s="160">
        <v>62</v>
      </c>
      <c r="C867" s="153" t="s">
        <v>1917</v>
      </c>
      <c r="D867" s="153" t="s">
        <v>1918</v>
      </c>
      <c r="E867" s="153" t="s">
        <v>309</v>
      </c>
      <c r="F867" s="153" t="s">
        <v>2799</v>
      </c>
      <c r="G867" s="153" t="s">
        <v>2800</v>
      </c>
      <c r="H867" s="153" t="s">
        <v>321</v>
      </c>
      <c r="I867" s="153" t="s">
        <v>951</v>
      </c>
      <c r="J867" s="153" t="s">
        <v>204</v>
      </c>
      <c r="K867" s="153" t="s">
        <v>204</v>
      </c>
      <c r="L867" s="153" t="s">
        <v>325</v>
      </c>
      <c r="M867" s="153" t="s">
        <v>340</v>
      </c>
      <c r="N867" s="153" t="s">
        <v>447</v>
      </c>
      <c r="O867" s="153" t="s">
        <v>339</v>
      </c>
      <c r="P867" s="153" t="s">
        <v>1560</v>
      </c>
      <c r="Q867" s="153" t="s">
        <v>413</v>
      </c>
      <c r="R867" s="153" t="s">
        <v>407</v>
      </c>
      <c r="S867" s="153" t="s">
        <v>1212</v>
      </c>
      <c r="T867" s="154">
        <v>0.6</v>
      </c>
      <c r="U867" s="153" t="s">
        <v>2801</v>
      </c>
      <c r="V867" s="155">
        <v>4.0250000000000001E-2</v>
      </c>
      <c r="W867" s="155">
        <v>6.13E-2</v>
      </c>
      <c r="X867" s="153" t="s">
        <v>412</v>
      </c>
      <c r="Y867" s="153" t="s">
        <v>339</v>
      </c>
      <c r="Z867" s="154">
        <v>84289.5</v>
      </c>
      <c r="AA867" s="154">
        <v>1</v>
      </c>
      <c r="AB867" s="154">
        <v>100.56</v>
      </c>
      <c r="AD867" s="154">
        <v>84.762</v>
      </c>
      <c r="AG867" s="157" t="s">
        <v>15</v>
      </c>
      <c r="AH867" s="155">
        <v>6.9999999999999999E-4</v>
      </c>
      <c r="AI867" s="155">
        <f t="shared" si="13"/>
        <v>2.0176688058569196E-4</v>
      </c>
      <c r="AJ867" s="155">
        <v>1.9038750739094232E-5</v>
      </c>
    </row>
    <row r="868" spans="1:36" s="160" customFormat="1">
      <c r="A868" s="153" t="s">
        <v>1213</v>
      </c>
      <c r="B868" s="160">
        <v>62</v>
      </c>
      <c r="C868" s="153" t="s">
        <v>2851</v>
      </c>
      <c r="D868" s="153" t="s">
        <v>2852</v>
      </c>
      <c r="E868" s="153" t="s">
        <v>309</v>
      </c>
      <c r="F868" s="153" t="s">
        <v>2853</v>
      </c>
      <c r="G868" s="153" t="s">
        <v>2854</v>
      </c>
      <c r="H868" s="153" t="s">
        <v>321</v>
      </c>
      <c r="I868" s="153" t="s">
        <v>754</v>
      </c>
      <c r="J868" s="153" t="s">
        <v>204</v>
      </c>
      <c r="K868" s="153" t="s">
        <v>204</v>
      </c>
      <c r="L868" s="153" t="s">
        <v>325</v>
      </c>
      <c r="M868" s="153" t="s">
        <v>340</v>
      </c>
      <c r="N868" s="153" t="s">
        <v>465</v>
      </c>
      <c r="O868" s="153" t="s">
        <v>339</v>
      </c>
      <c r="P868" s="153" t="s">
        <v>1586</v>
      </c>
      <c r="Q868" s="153" t="s">
        <v>415</v>
      </c>
      <c r="R868" s="153" t="s">
        <v>407</v>
      </c>
      <c r="S868" s="153" t="s">
        <v>1212</v>
      </c>
      <c r="T868" s="154">
        <v>1.3</v>
      </c>
      <c r="U868" s="153" t="s">
        <v>1311</v>
      </c>
      <c r="V868" s="155">
        <v>0.03</v>
      </c>
      <c r="W868" s="155">
        <v>3.7900000000000003E-2</v>
      </c>
      <c r="X868" s="153" t="s">
        <v>412</v>
      </c>
      <c r="Y868" s="153" t="s">
        <v>339</v>
      </c>
      <c r="Z868" s="154">
        <v>61428</v>
      </c>
      <c r="AA868" s="154">
        <v>1</v>
      </c>
      <c r="AB868" s="154">
        <v>115.72</v>
      </c>
      <c r="AD868" s="154">
        <v>71.084000000000003</v>
      </c>
      <c r="AG868" s="157" t="s">
        <v>15</v>
      </c>
      <c r="AH868" s="155">
        <v>7.5000000000000002E-4</v>
      </c>
      <c r="AI868" s="155">
        <f t="shared" si="13"/>
        <v>1.69207863660052E-4</v>
      </c>
      <c r="AJ868" s="155">
        <v>1.5966477401875538E-5</v>
      </c>
    </row>
    <row r="869" spans="1:36" s="160" customFormat="1">
      <c r="A869" s="153" t="s">
        <v>1213</v>
      </c>
      <c r="B869" s="160">
        <v>62</v>
      </c>
      <c r="C869" s="153" t="s">
        <v>1986</v>
      </c>
      <c r="D869" s="153" t="s">
        <v>1987</v>
      </c>
      <c r="E869" s="153" t="s">
        <v>309</v>
      </c>
      <c r="F869" s="153" t="s">
        <v>2504</v>
      </c>
      <c r="G869" s="153" t="s">
        <v>2505</v>
      </c>
      <c r="H869" s="153" t="s">
        <v>321</v>
      </c>
      <c r="I869" s="153" t="s">
        <v>951</v>
      </c>
      <c r="J869" s="153" t="s">
        <v>204</v>
      </c>
      <c r="K869" s="153" t="s">
        <v>204</v>
      </c>
      <c r="L869" s="153" t="s">
        <v>325</v>
      </c>
      <c r="M869" s="153" t="s">
        <v>340</v>
      </c>
      <c r="N869" s="153" t="s">
        <v>484</v>
      </c>
      <c r="O869" s="153" t="s">
        <v>339</v>
      </c>
      <c r="P869" s="153" t="s">
        <v>1538</v>
      </c>
      <c r="Q869" s="153" t="s">
        <v>413</v>
      </c>
      <c r="R869" s="153" t="s">
        <v>407</v>
      </c>
      <c r="S869" s="153" t="s">
        <v>1212</v>
      </c>
      <c r="T869" s="154">
        <v>0.65</v>
      </c>
      <c r="U869" s="153" t="s">
        <v>2372</v>
      </c>
      <c r="V869" s="155">
        <v>3.066E-2</v>
      </c>
      <c r="W869" s="155">
        <v>5.0500000000000003E-2</v>
      </c>
      <c r="X869" s="153" t="s">
        <v>412</v>
      </c>
      <c r="Y869" s="153" t="s">
        <v>339</v>
      </c>
      <c r="Z869" s="154">
        <v>27246.54</v>
      </c>
      <c r="AA869" s="154">
        <v>1</v>
      </c>
      <c r="AB869" s="154">
        <v>100.35</v>
      </c>
      <c r="AD869" s="154">
        <v>27.341999999999999</v>
      </c>
      <c r="AG869" s="157" t="s">
        <v>15</v>
      </c>
      <c r="AH869" s="155">
        <v>3.0000000000000001E-5</v>
      </c>
      <c r="AI869" s="155">
        <f t="shared" si="13"/>
        <v>6.5084708347773641E-5</v>
      </c>
      <c r="AJ869" s="155">
        <v>6.1414020753204793E-6</v>
      </c>
    </row>
    <row r="870" spans="1:36" s="160" customFormat="1">
      <c r="A870" s="153" t="s">
        <v>1213</v>
      </c>
      <c r="B870" s="160">
        <v>62</v>
      </c>
      <c r="C870" s="153" t="s">
        <v>2775</v>
      </c>
      <c r="D870" s="153" t="s">
        <v>2776</v>
      </c>
      <c r="E870" s="153" t="s">
        <v>80</v>
      </c>
      <c r="F870" s="153" t="s">
        <v>2777</v>
      </c>
      <c r="G870" s="153" t="s">
        <v>2778</v>
      </c>
      <c r="H870" s="153" t="s">
        <v>321</v>
      </c>
      <c r="I870" s="153" t="s">
        <v>755</v>
      </c>
      <c r="J870" s="153" t="s">
        <v>205</v>
      </c>
      <c r="K870" s="153" t="s">
        <v>224</v>
      </c>
      <c r="L870" s="153" t="s">
        <v>325</v>
      </c>
      <c r="M870" s="153" t="s">
        <v>314</v>
      </c>
      <c r="N870" s="153" t="s">
        <v>546</v>
      </c>
      <c r="O870" s="153" t="s">
        <v>339</v>
      </c>
      <c r="P870" s="153" t="s">
        <v>2779</v>
      </c>
      <c r="Q870" s="153" t="s">
        <v>433</v>
      </c>
      <c r="R870" s="153" t="s">
        <v>407</v>
      </c>
      <c r="S870" s="153" t="s">
        <v>1216</v>
      </c>
      <c r="T870" s="154">
        <v>2.9239999999999999</v>
      </c>
      <c r="U870" s="153" t="s">
        <v>1488</v>
      </c>
      <c r="V870" s="155">
        <v>5.4489999999999997E-2</v>
      </c>
      <c r="W870" s="155">
        <v>4.6559999999999997E-2</v>
      </c>
      <c r="X870" s="153" t="s">
        <v>412</v>
      </c>
      <c r="Y870" s="153" t="s">
        <v>339</v>
      </c>
      <c r="Z870" s="154">
        <v>2318000</v>
      </c>
      <c r="AA870" s="154">
        <v>3.71</v>
      </c>
      <c r="AB870" s="154">
        <f>(AD870-(AC870*AA870))*1000/AA870/Z870*100</f>
        <v>106.40071025072734</v>
      </c>
      <c r="AD870" s="154">
        <v>9150.2270000000008</v>
      </c>
      <c r="AG870" s="157" t="s">
        <v>15</v>
      </c>
      <c r="AH870" s="155">
        <v>2.32E-3</v>
      </c>
      <c r="AI870" s="155">
        <f t="shared" si="13"/>
        <v>2.1781137283699945E-2</v>
      </c>
      <c r="AJ870" s="155">
        <v>2.0552711245502703E-3</v>
      </c>
    </row>
    <row r="871" spans="1:36" s="160" customFormat="1">
      <c r="A871" s="153" t="s">
        <v>1213</v>
      </c>
      <c r="B871" s="160">
        <v>62</v>
      </c>
      <c r="C871" s="153" t="s">
        <v>2829</v>
      </c>
      <c r="D871" s="153" t="s">
        <v>2830</v>
      </c>
      <c r="E871" s="153" t="s">
        <v>80</v>
      </c>
      <c r="F871" s="153" t="s">
        <v>2831</v>
      </c>
      <c r="G871" s="153" t="s">
        <v>2832</v>
      </c>
      <c r="H871" s="153" t="s">
        <v>321</v>
      </c>
      <c r="I871" s="153" t="s">
        <v>755</v>
      </c>
      <c r="J871" s="153" t="s">
        <v>205</v>
      </c>
      <c r="K871" s="153" t="s">
        <v>245</v>
      </c>
      <c r="L871" s="153" t="s">
        <v>325</v>
      </c>
      <c r="M871" s="153" t="s">
        <v>314</v>
      </c>
      <c r="N871" s="153" t="s">
        <v>491</v>
      </c>
      <c r="O871" s="153" t="s">
        <v>339</v>
      </c>
      <c r="P871" s="153" t="s">
        <v>2833</v>
      </c>
      <c r="Q871" s="153" t="s">
        <v>433</v>
      </c>
      <c r="R871" s="153" t="s">
        <v>407</v>
      </c>
      <c r="S871" s="153" t="s">
        <v>1216</v>
      </c>
      <c r="T871" s="154">
        <v>4.0339999999999998</v>
      </c>
      <c r="U871" s="153" t="s">
        <v>2834</v>
      </c>
      <c r="V871" s="155">
        <v>3.3059999999999999E-2</v>
      </c>
      <c r="W871" s="155">
        <v>5.1709999999999999E-2</v>
      </c>
      <c r="X871" s="153" t="s">
        <v>412</v>
      </c>
      <c r="Y871" s="153" t="s">
        <v>339</v>
      </c>
      <c r="Z871" s="154">
        <v>1798000</v>
      </c>
      <c r="AA871" s="154">
        <v>3.71</v>
      </c>
      <c r="AB871" s="154">
        <v>95.608999999999995</v>
      </c>
      <c r="AD871" s="154">
        <v>6377.6750000000002</v>
      </c>
      <c r="AG871" s="157" t="s">
        <v>15</v>
      </c>
      <c r="AH871" s="155">
        <v>3.5999999999999999E-3</v>
      </c>
      <c r="AI871" s="155">
        <f t="shared" si="13"/>
        <v>1.5181373612460218E-2</v>
      </c>
      <c r="AJ871" s="155">
        <v>1.4325165123516765E-3</v>
      </c>
    </row>
    <row r="872" spans="1:36" s="160" customFormat="1">
      <c r="A872" s="153" t="s">
        <v>1213</v>
      </c>
      <c r="B872" s="160">
        <v>8530</v>
      </c>
      <c r="C872" s="153" t="s">
        <v>1512</v>
      </c>
      <c r="D872" s="153" t="s">
        <v>1513</v>
      </c>
      <c r="E872" s="153" t="s">
        <v>309</v>
      </c>
      <c r="F872" s="153" t="s">
        <v>2220</v>
      </c>
      <c r="G872" s="153" t="s">
        <v>2221</v>
      </c>
      <c r="H872" s="153" t="s">
        <v>321</v>
      </c>
      <c r="I872" s="153" t="s">
        <v>951</v>
      </c>
      <c r="J872" s="153" t="s">
        <v>204</v>
      </c>
      <c r="K872" s="153" t="s">
        <v>204</v>
      </c>
      <c r="L872" s="153" t="s">
        <v>325</v>
      </c>
      <c r="M872" s="153" t="s">
        <v>340</v>
      </c>
      <c r="N872" s="153" t="s">
        <v>448</v>
      </c>
      <c r="O872" s="153" t="s">
        <v>339</v>
      </c>
      <c r="P872" s="153" t="s">
        <v>1215</v>
      </c>
      <c r="Q872" s="153" t="s">
        <v>413</v>
      </c>
      <c r="R872" s="153" t="s">
        <v>407</v>
      </c>
      <c r="S872" s="153" t="s">
        <v>1212</v>
      </c>
      <c r="T872" s="154">
        <v>0.68</v>
      </c>
      <c r="U872" s="153" t="s">
        <v>2222</v>
      </c>
      <c r="V872" s="155">
        <v>2.9399999999999999E-2</v>
      </c>
      <c r="W872" s="155">
        <v>4.4600000000000001E-2</v>
      </c>
      <c r="X872" s="153" t="s">
        <v>412</v>
      </c>
      <c r="Y872" s="153" t="s">
        <v>339</v>
      </c>
      <c r="Z872" s="154">
        <v>1627670</v>
      </c>
      <c r="AA872" s="154">
        <v>1</v>
      </c>
      <c r="AB872" s="154">
        <v>99.95</v>
      </c>
      <c r="AD872" s="154">
        <v>1626.856</v>
      </c>
      <c r="AG872" s="157" t="s">
        <v>15</v>
      </c>
      <c r="AH872" s="155">
        <v>6.4000000000000005E-4</v>
      </c>
      <c r="AI872" s="155">
        <f t="shared" si="13"/>
        <v>0.53993266672684881</v>
      </c>
      <c r="AJ872" s="155">
        <v>4.7016698309472011E-3</v>
      </c>
    </row>
    <row r="873" spans="1:36" s="160" customFormat="1">
      <c r="A873" s="153" t="s">
        <v>1213</v>
      </c>
      <c r="B873" s="160">
        <v>8530</v>
      </c>
      <c r="C873" s="153" t="s">
        <v>1600</v>
      </c>
      <c r="D873" s="153" t="s">
        <v>1601</v>
      </c>
      <c r="E873" s="153" t="s">
        <v>309</v>
      </c>
      <c r="F873" s="153" t="s">
        <v>2380</v>
      </c>
      <c r="G873" s="153" t="s">
        <v>2381</v>
      </c>
      <c r="H873" s="153" t="s">
        <v>321</v>
      </c>
      <c r="I873" s="153" t="s">
        <v>951</v>
      </c>
      <c r="J873" s="153" t="s">
        <v>204</v>
      </c>
      <c r="K873" s="153" t="s">
        <v>204</v>
      </c>
      <c r="L873" s="153" t="s">
        <v>325</v>
      </c>
      <c r="M873" s="153" t="s">
        <v>340</v>
      </c>
      <c r="N873" s="153" t="s">
        <v>448</v>
      </c>
      <c r="O873" s="153" t="s">
        <v>339</v>
      </c>
      <c r="P873" s="153" t="s">
        <v>1215</v>
      </c>
      <c r="Q873" s="153" t="s">
        <v>413</v>
      </c>
      <c r="R873" s="153" t="s">
        <v>407</v>
      </c>
      <c r="S873" s="153" t="s">
        <v>1212</v>
      </c>
      <c r="T873" s="154">
        <v>0.65</v>
      </c>
      <c r="U873" s="153" t="s">
        <v>2382</v>
      </c>
      <c r="V873" s="155">
        <v>3.9210000000000002E-2</v>
      </c>
      <c r="W873" s="155">
        <v>4.4499999999999998E-2</v>
      </c>
      <c r="X873" s="153" t="s">
        <v>412</v>
      </c>
      <c r="Y873" s="153" t="s">
        <v>339</v>
      </c>
      <c r="Z873" s="154">
        <v>740000</v>
      </c>
      <c r="AA873" s="154">
        <v>1</v>
      </c>
      <c r="AB873" s="154">
        <v>100.87</v>
      </c>
      <c r="AD873" s="154">
        <v>746.43799999999999</v>
      </c>
      <c r="AG873" s="157" t="s">
        <v>15</v>
      </c>
      <c r="AH873" s="155">
        <v>6.0999999999999997E-4</v>
      </c>
      <c r="AI873" s="155">
        <f t="shared" si="13"/>
        <v>0.24773321049082131</v>
      </c>
      <c r="AJ873" s="155">
        <v>2.1572315099016551E-3</v>
      </c>
    </row>
    <row r="874" spans="1:36" s="160" customFormat="1">
      <c r="A874" s="153" t="s">
        <v>1213</v>
      </c>
      <c r="B874" s="160">
        <v>8530</v>
      </c>
      <c r="C874" s="153" t="s">
        <v>1573</v>
      </c>
      <c r="D874" s="153" t="s">
        <v>1574</v>
      </c>
      <c r="E874" s="153" t="s">
        <v>309</v>
      </c>
      <c r="F874" s="153" t="s">
        <v>2534</v>
      </c>
      <c r="G874" s="153" t="s">
        <v>2535</v>
      </c>
      <c r="H874" s="153" t="s">
        <v>321</v>
      </c>
      <c r="I874" s="153" t="s">
        <v>951</v>
      </c>
      <c r="J874" s="153" t="s">
        <v>204</v>
      </c>
      <c r="K874" s="153" t="s">
        <v>204</v>
      </c>
      <c r="L874" s="153" t="s">
        <v>325</v>
      </c>
      <c r="M874" s="153" t="s">
        <v>340</v>
      </c>
      <c r="N874" s="153" t="s">
        <v>448</v>
      </c>
      <c r="O874" s="153" t="s">
        <v>339</v>
      </c>
      <c r="P874" s="153" t="s">
        <v>1215</v>
      </c>
      <c r="Q874" s="153" t="s">
        <v>413</v>
      </c>
      <c r="R874" s="153" t="s">
        <v>407</v>
      </c>
      <c r="S874" s="153" t="s">
        <v>1212</v>
      </c>
      <c r="T874" s="154">
        <v>0.41</v>
      </c>
      <c r="U874" s="153" t="s">
        <v>1392</v>
      </c>
      <c r="V874" s="155">
        <v>4.6359999999999998E-2</v>
      </c>
      <c r="W874" s="155">
        <v>4.4299999999999999E-2</v>
      </c>
      <c r="X874" s="153" t="s">
        <v>412</v>
      </c>
      <c r="Y874" s="153" t="s">
        <v>339</v>
      </c>
      <c r="Z874" s="154">
        <v>638373.5</v>
      </c>
      <c r="AA874" s="154">
        <v>1</v>
      </c>
      <c r="AB874" s="154">
        <v>100.22</v>
      </c>
      <c r="AD874" s="154">
        <v>639.77800000000002</v>
      </c>
      <c r="AG874" s="157" t="s">
        <v>15</v>
      </c>
      <c r="AH874" s="155">
        <v>7.6000000000000004E-4</v>
      </c>
      <c r="AI874" s="155">
        <f t="shared" si="13"/>
        <v>0.2123341227823298</v>
      </c>
      <c r="AJ874" s="155">
        <v>1.8489804390208714E-3</v>
      </c>
    </row>
    <row r="875" spans="1:36" s="160" customFormat="1">
      <c r="A875" s="153" t="s">
        <v>1213</v>
      </c>
      <c r="B875" s="160">
        <v>9300</v>
      </c>
      <c r="C875" s="153" t="s">
        <v>2263</v>
      </c>
      <c r="D875" s="153" t="s">
        <v>2264</v>
      </c>
      <c r="E875" s="153" t="s">
        <v>309</v>
      </c>
      <c r="F875" s="153" t="s">
        <v>2265</v>
      </c>
      <c r="G875" s="153" t="s">
        <v>2266</v>
      </c>
      <c r="H875" s="153" t="s">
        <v>321</v>
      </c>
      <c r="I875" s="153" t="s">
        <v>754</v>
      </c>
      <c r="J875" s="153" t="s">
        <v>204</v>
      </c>
      <c r="K875" s="153" t="s">
        <v>204</v>
      </c>
      <c r="L875" s="153" t="s">
        <v>325</v>
      </c>
      <c r="M875" s="153" t="s">
        <v>340</v>
      </c>
      <c r="N875" s="153" t="s">
        <v>436</v>
      </c>
      <c r="O875" s="153" t="s">
        <v>339</v>
      </c>
      <c r="P875" s="153" t="s">
        <v>1215</v>
      </c>
      <c r="Q875" s="153" t="s">
        <v>413</v>
      </c>
      <c r="R875" s="153" t="s">
        <v>407</v>
      </c>
      <c r="S875" s="153" t="s">
        <v>1212</v>
      </c>
      <c r="T875" s="154">
        <v>3.27</v>
      </c>
      <c r="U875" s="153" t="s">
        <v>2267</v>
      </c>
      <c r="V875" s="155">
        <v>5.0000000000000001E-4</v>
      </c>
      <c r="W875" s="155">
        <v>2.3400000000000001E-2</v>
      </c>
      <c r="X875" s="153" t="s">
        <v>412</v>
      </c>
      <c r="Y875" s="153" t="s">
        <v>339</v>
      </c>
      <c r="Z875" s="154">
        <v>1379412.48</v>
      </c>
      <c r="AA875" s="154">
        <v>1</v>
      </c>
      <c r="AB875" s="154">
        <v>106.4</v>
      </c>
      <c r="AD875" s="154">
        <v>1467.6949999999999</v>
      </c>
      <c r="AG875" s="157" t="s">
        <v>15</v>
      </c>
      <c r="AH875" s="155">
        <v>1.34E-3</v>
      </c>
      <c r="AI875" s="155">
        <f t="shared" si="13"/>
        <v>4.63144474657117E-2</v>
      </c>
      <c r="AJ875" s="155">
        <v>4.8056116680198699E-3</v>
      </c>
    </row>
    <row r="876" spans="1:36" s="160" customFormat="1">
      <c r="A876" s="153" t="s">
        <v>1213</v>
      </c>
      <c r="B876" s="160">
        <v>9300</v>
      </c>
      <c r="C876" s="153" t="s">
        <v>2273</v>
      </c>
      <c r="D876" s="153" t="s">
        <v>2274</v>
      </c>
      <c r="E876" s="153" t="s">
        <v>309</v>
      </c>
      <c r="F876" s="153" t="s">
        <v>2275</v>
      </c>
      <c r="G876" s="153" t="s">
        <v>2276</v>
      </c>
      <c r="H876" s="153" t="s">
        <v>321</v>
      </c>
      <c r="I876" s="153" t="s">
        <v>754</v>
      </c>
      <c r="J876" s="153" t="s">
        <v>204</v>
      </c>
      <c r="K876" s="153" t="s">
        <v>204</v>
      </c>
      <c r="L876" s="153" t="s">
        <v>325</v>
      </c>
      <c r="M876" s="153" t="s">
        <v>340</v>
      </c>
      <c r="N876" s="153" t="s">
        <v>477</v>
      </c>
      <c r="O876" s="153" t="s">
        <v>339</v>
      </c>
      <c r="P876" s="153" t="s">
        <v>1215</v>
      </c>
      <c r="Q876" s="153" t="s">
        <v>413</v>
      </c>
      <c r="R876" s="153" t="s">
        <v>407</v>
      </c>
      <c r="S876" s="153" t="s">
        <v>1212</v>
      </c>
      <c r="T876" s="154">
        <v>1.72</v>
      </c>
      <c r="U876" s="153" t="s">
        <v>1528</v>
      </c>
      <c r="V876" s="155">
        <v>-7.4099999999999999E-3</v>
      </c>
      <c r="W876" s="155">
        <v>1.9699999999999999E-2</v>
      </c>
      <c r="X876" s="153" t="s">
        <v>412</v>
      </c>
      <c r="Y876" s="153" t="s">
        <v>339</v>
      </c>
      <c r="Z876" s="154">
        <v>899000</v>
      </c>
      <c r="AA876" s="154">
        <v>1</v>
      </c>
      <c r="AB876" s="154">
        <v>110.07</v>
      </c>
      <c r="AD876" s="154">
        <v>989.529</v>
      </c>
      <c r="AG876" s="157" t="s">
        <v>15</v>
      </c>
      <c r="AH876" s="155">
        <v>1.0499999999999999E-3</v>
      </c>
      <c r="AI876" s="155">
        <f t="shared" si="13"/>
        <v>3.1225485462782279E-2</v>
      </c>
      <c r="AJ876" s="155">
        <v>3.2399729564003654E-3</v>
      </c>
    </row>
    <row r="877" spans="1:36" s="160" customFormat="1">
      <c r="A877" s="153" t="s">
        <v>1213</v>
      </c>
      <c r="B877" s="160">
        <v>9300</v>
      </c>
      <c r="C877" s="153" t="s">
        <v>1600</v>
      </c>
      <c r="D877" s="153" t="s">
        <v>1601</v>
      </c>
      <c r="E877" s="153" t="s">
        <v>309</v>
      </c>
      <c r="F877" s="153" t="s">
        <v>1954</v>
      </c>
      <c r="G877" s="153" t="s">
        <v>1955</v>
      </c>
      <c r="H877" s="153" t="s">
        <v>321</v>
      </c>
      <c r="I877" s="153" t="s">
        <v>754</v>
      </c>
      <c r="J877" s="153" t="s">
        <v>204</v>
      </c>
      <c r="K877" s="153" t="s">
        <v>204</v>
      </c>
      <c r="L877" s="153" t="s">
        <v>325</v>
      </c>
      <c r="M877" s="153" t="s">
        <v>340</v>
      </c>
      <c r="N877" s="153" t="s">
        <v>448</v>
      </c>
      <c r="O877" s="153" t="s">
        <v>339</v>
      </c>
      <c r="P877" s="153" t="s">
        <v>1215</v>
      </c>
      <c r="Q877" s="153" t="s">
        <v>413</v>
      </c>
      <c r="R877" s="153" t="s">
        <v>407</v>
      </c>
      <c r="S877" s="153" t="s">
        <v>1212</v>
      </c>
      <c r="T877" s="154">
        <v>3.02</v>
      </c>
      <c r="U877" s="153" t="s">
        <v>1956</v>
      </c>
      <c r="V877" s="155">
        <v>1.7500000000000002E-2</v>
      </c>
      <c r="W877" s="155">
        <v>2.35E-2</v>
      </c>
      <c r="X877" s="153" t="s">
        <v>412</v>
      </c>
      <c r="Y877" s="153" t="s">
        <v>339</v>
      </c>
      <c r="Z877" s="154">
        <v>701000.79</v>
      </c>
      <c r="AA877" s="154">
        <v>1</v>
      </c>
      <c r="AB877" s="154">
        <v>114.28</v>
      </c>
      <c r="AD877" s="154">
        <v>801.10400000000004</v>
      </c>
      <c r="AG877" s="157" t="s">
        <v>15</v>
      </c>
      <c r="AH877" s="155">
        <v>2.7E-4</v>
      </c>
      <c r="AI877" s="155">
        <f t="shared" si="13"/>
        <v>2.5279563616808335E-2</v>
      </c>
      <c r="AJ877" s="155">
        <v>2.6230209476065464E-3</v>
      </c>
    </row>
    <row r="878" spans="1:36" s="160" customFormat="1">
      <c r="A878" s="153" t="s">
        <v>1213</v>
      </c>
      <c r="B878" s="160">
        <v>9300</v>
      </c>
      <c r="C878" s="153" t="s">
        <v>2263</v>
      </c>
      <c r="D878" s="153" t="s">
        <v>2264</v>
      </c>
      <c r="E878" s="153" t="s">
        <v>309</v>
      </c>
      <c r="F878" s="153" t="s">
        <v>2855</v>
      </c>
      <c r="G878" s="153" t="s">
        <v>2856</v>
      </c>
      <c r="H878" s="153" t="s">
        <v>321</v>
      </c>
      <c r="I878" s="153" t="s">
        <v>755</v>
      </c>
      <c r="J878" s="153" t="s">
        <v>204</v>
      </c>
      <c r="K878" s="153" t="s">
        <v>204</v>
      </c>
      <c r="L878" s="153" t="s">
        <v>325</v>
      </c>
      <c r="M878" s="153" t="s">
        <v>340</v>
      </c>
      <c r="N878" s="153" t="s">
        <v>436</v>
      </c>
      <c r="O878" s="153" t="s">
        <v>339</v>
      </c>
      <c r="P878" s="153" t="s">
        <v>1215</v>
      </c>
      <c r="Q878" s="153" t="s">
        <v>413</v>
      </c>
      <c r="R878" s="153" t="s">
        <v>407</v>
      </c>
      <c r="S878" s="153" t="s">
        <v>1212</v>
      </c>
      <c r="T878" s="154">
        <v>1.46</v>
      </c>
      <c r="U878" s="153" t="s">
        <v>2857</v>
      </c>
      <c r="V878" s="155">
        <v>1.5200000000000001E-3</v>
      </c>
      <c r="W878" s="155">
        <v>6.3500000000000001E-2</v>
      </c>
      <c r="X878" s="153" t="s">
        <v>412</v>
      </c>
      <c r="Y878" s="153" t="s">
        <v>339</v>
      </c>
      <c r="Z878" s="154">
        <v>716000</v>
      </c>
      <c r="AA878" s="154">
        <v>1</v>
      </c>
      <c r="AB878" s="154">
        <v>108</v>
      </c>
      <c r="AD878" s="154">
        <v>773.28</v>
      </c>
      <c r="AG878" s="157" t="s">
        <v>15</v>
      </c>
      <c r="AH878" s="155">
        <v>3.8999999999999999E-4</v>
      </c>
      <c r="AI878" s="155">
        <f t="shared" si="13"/>
        <v>2.4401552050177692E-2</v>
      </c>
      <c r="AJ878" s="155">
        <v>2.531918001114949E-3</v>
      </c>
    </row>
    <row r="879" spans="1:36" s="160" customFormat="1">
      <c r="A879" s="153" t="s">
        <v>1213</v>
      </c>
      <c r="B879" s="160">
        <v>9300</v>
      </c>
      <c r="C879" s="153" t="s">
        <v>1512</v>
      </c>
      <c r="D879" s="153" t="s">
        <v>1513</v>
      </c>
      <c r="E879" s="153" t="s">
        <v>309</v>
      </c>
      <c r="F879" s="153" t="s">
        <v>2186</v>
      </c>
      <c r="G879" s="153" t="s">
        <v>2187</v>
      </c>
      <c r="H879" s="153" t="s">
        <v>321</v>
      </c>
      <c r="I879" s="153" t="s">
        <v>754</v>
      </c>
      <c r="J879" s="153" t="s">
        <v>204</v>
      </c>
      <c r="K879" s="153" t="s">
        <v>204</v>
      </c>
      <c r="L879" s="153" t="s">
        <v>325</v>
      </c>
      <c r="M879" s="153" t="s">
        <v>340</v>
      </c>
      <c r="N879" s="153" t="s">
        <v>448</v>
      </c>
      <c r="O879" s="153" t="s">
        <v>339</v>
      </c>
      <c r="P879" s="153" t="s">
        <v>1215</v>
      </c>
      <c r="Q879" s="153" t="s">
        <v>413</v>
      </c>
      <c r="R879" s="153" t="s">
        <v>407</v>
      </c>
      <c r="S879" s="153" t="s">
        <v>1212</v>
      </c>
      <c r="T879" s="154">
        <v>1.72</v>
      </c>
      <c r="U879" s="153" t="s">
        <v>2188</v>
      </c>
      <c r="V879" s="155">
        <v>4.7000000000000002E-3</v>
      </c>
      <c r="W879" s="155">
        <v>2.1399999999999999E-2</v>
      </c>
      <c r="X879" s="153" t="s">
        <v>412</v>
      </c>
      <c r="Y879" s="153" t="s">
        <v>339</v>
      </c>
      <c r="Z879" s="154">
        <v>593000</v>
      </c>
      <c r="AA879" s="154">
        <v>1</v>
      </c>
      <c r="AB879" s="154">
        <v>110.39</v>
      </c>
      <c r="AD879" s="154">
        <v>654.61300000000006</v>
      </c>
      <c r="AG879" s="157" t="s">
        <v>15</v>
      </c>
      <c r="AH879" s="155">
        <v>2.0000000000000001E-4</v>
      </c>
      <c r="AI879" s="155">
        <f t="shared" si="13"/>
        <v>2.0656907190439389E-2</v>
      </c>
      <c r="AJ879" s="155">
        <v>2.1433716615764796E-3</v>
      </c>
    </row>
    <row r="880" spans="1:36" s="160" customFormat="1">
      <c r="A880" s="153" t="s">
        <v>1213</v>
      </c>
      <c r="B880" s="160">
        <v>9300</v>
      </c>
      <c r="C880" s="153" t="s">
        <v>1512</v>
      </c>
      <c r="D880" s="153" t="s">
        <v>1513</v>
      </c>
      <c r="E880" s="153" t="s">
        <v>309</v>
      </c>
      <c r="F880" s="153" t="s">
        <v>1901</v>
      </c>
      <c r="G880" s="153" t="s">
        <v>1902</v>
      </c>
      <c r="H880" s="153" t="s">
        <v>321</v>
      </c>
      <c r="I880" s="153" t="s">
        <v>754</v>
      </c>
      <c r="J880" s="153" t="s">
        <v>204</v>
      </c>
      <c r="K880" s="153" t="s">
        <v>204</v>
      </c>
      <c r="L880" s="153" t="s">
        <v>325</v>
      </c>
      <c r="M880" s="153" t="s">
        <v>340</v>
      </c>
      <c r="N880" s="153" t="s">
        <v>448</v>
      </c>
      <c r="O880" s="153" t="s">
        <v>339</v>
      </c>
      <c r="P880" s="153" t="s">
        <v>1215</v>
      </c>
      <c r="Q880" s="153" t="s">
        <v>413</v>
      </c>
      <c r="R880" s="153" t="s">
        <v>407</v>
      </c>
      <c r="S880" s="153" t="s">
        <v>1212</v>
      </c>
      <c r="T880" s="154">
        <v>4.05</v>
      </c>
      <c r="U880" s="153" t="s">
        <v>1903</v>
      </c>
      <c r="V880" s="155">
        <v>-7.0400000000000003E-3</v>
      </c>
      <c r="W880" s="155">
        <v>2.5000000000000001E-2</v>
      </c>
      <c r="X880" s="153" t="s">
        <v>412</v>
      </c>
      <c r="Y880" s="153" t="s">
        <v>339</v>
      </c>
      <c r="Z880" s="154">
        <v>610000</v>
      </c>
      <c r="AA880" s="154">
        <v>1</v>
      </c>
      <c r="AB880" s="154">
        <v>102.41</v>
      </c>
      <c r="AD880" s="154">
        <v>624.70100000000002</v>
      </c>
      <c r="AG880" s="157" t="s">
        <v>15</v>
      </c>
      <c r="AH880" s="155">
        <v>1.8000000000000001E-4</v>
      </c>
      <c r="AI880" s="155">
        <f t="shared" si="13"/>
        <v>1.9713006889222603E-2</v>
      </c>
      <c r="AJ880" s="155">
        <v>2.045432064988762E-3</v>
      </c>
    </row>
    <row r="881" spans="1:36" s="160" customFormat="1">
      <c r="A881" s="153" t="s">
        <v>1213</v>
      </c>
      <c r="B881" s="160">
        <v>9300</v>
      </c>
      <c r="C881" s="153" t="s">
        <v>2858</v>
      </c>
      <c r="D881" s="153" t="s">
        <v>2859</v>
      </c>
      <c r="E881" s="153" t="s">
        <v>309</v>
      </c>
      <c r="F881" s="153" t="s">
        <v>2860</v>
      </c>
      <c r="G881" s="153" t="s">
        <v>2861</v>
      </c>
      <c r="H881" s="153" t="s">
        <v>321</v>
      </c>
      <c r="I881" s="153" t="s">
        <v>754</v>
      </c>
      <c r="J881" s="153" t="s">
        <v>204</v>
      </c>
      <c r="K881" s="153" t="s">
        <v>204</v>
      </c>
      <c r="L881" s="153" t="s">
        <v>325</v>
      </c>
      <c r="M881" s="153" t="s">
        <v>340</v>
      </c>
      <c r="N881" s="153" t="s">
        <v>477</v>
      </c>
      <c r="O881" s="153" t="s">
        <v>339</v>
      </c>
      <c r="P881" s="153" t="s">
        <v>1811</v>
      </c>
      <c r="Q881" s="153" t="s">
        <v>413</v>
      </c>
      <c r="R881" s="153" t="s">
        <v>407</v>
      </c>
      <c r="S881" s="153" t="s">
        <v>1212</v>
      </c>
      <c r="T881" s="154">
        <v>3.63</v>
      </c>
      <c r="U881" s="153" t="s">
        <v>1555</v>
      </c>
      <c r="V881" s="155">
        <v>-1.34E-3</v>
      </c>
      <c r="W881" s="155">
        <v>2.3300000000000001E-2</v>
      </c>
      <c r="X881" s="153" t="s">
        <v>412</v>
      </c>
      <c r="Y881" s="153" t="s">
        <v>339</v>
      </c>
      <c r="Z881" s="154">
        <v>513000.56</v>
      </c>
      <c r="AA881" s="154">
        <v>1</v>
      </c>
      <c r="AB881" s="154">
        <v>107.45</v>
      </c>
      <c r="AD881" s="154">
        <v>551.21900000000005</v>
      </c>
      <c r="AG881" s="157" t="s">
        <v>15</v>
      </c>
      <c r="AH881" s="155">
        <v>7.3299999999999997E-3</v>
      </c>
      <c r="AI881" s="155">
        <f t="shared" si="13"/>
        <v>1.73942157039454E-2</v>
      </c>
      <c r="AJ881" s="155">
        <v>1.8048330600255809E-3</v>
      </c>
    </row>
    <row r="882" spans="1:36" s="160" customFormat="1">
      <c r="A882" s="153" t="s">
        <v>1213</v>
      </c>
      <c r="B882" s="160">
        <v>9300</v>
      </c>
      <c r="C882" s="153" t="s">
        <v>2250</v>
      </c>
      <c r="D882" s="153" t="s">
        <v>2251</v>
      </c>
      <c r="E882" s="153" t="s">
        <v>309</v>
      </c>
      <c r="F882" s="153" t="s">
        <v>2252</v>
      </c>
      <c r="G882" s="153" t="s">
        <v>2253</v>
      </c>
      <c r="H882" s="153" t="s">
        <v>321</v>
      </c>
      <c r="I882" s="153" t="s">
        <v>754</v>
      </c>
      <c r="J882" s="153" t="s">
        <v>204</v>
      </c>
      <c r="K882" s="153" t="s">
        <v>204</v>
      </c>
      <c r="L882" s="153" t="s">
        <v>325</v>
      </c>
      <c r="M882" s="153" t="s">
        <v>340</v>
      </c>
      <c r="N882" s="153" t="s">
        <v>448</v>
      </c>
      <c r="O882" s="153" t="s">
        <v>339</v>
      </c>
      <c r="P882" s="153" t="s">
        <v>1215</v>
      </c>
      <c r="Q882" s="153" t="s">
        <v>413</v>
      </c>
      <c r="R882" s="153" t="s">
        <v>407</v>
      </c>
      <c r="S882" s="153" t="s">
        <v>1212</v>
      </c>
      <c r="T882" s="154">
        <v>0.94</v>
      </c>
      <c r="U882" s="153" t="s">
        <v>2254</v>
      </c>
      <c r="V882" s="155">
        <v>3.96E-3</v>
      </c>
      <c r="W882" s="155">
        <v>1.9699999999999999E-2</v>
      </c>
      <c r="X882" s="153" t="s">
        <v>412</v>
      </c>
      <c r="Y882" s="153" t="s">
        <v>339</v>
      </c>
      <c r="Z882" s="154">
        <v>483000</v>
      </c>
      <c r="AA882" s="154">
        <v>1</v>
      </c>
      <c r="AB882" s="154">
        <v>112.67</v>
      </c>
      <c r="AD882" s="154">
        <v>544.19600000000003</v>
      </c>
      <c r="AG882" s="157" t="s">
        <v>15</v>
      </c>
      <c r="AH882" s="155">
        <v>3.2000000000000003E-4</v>
      </c>
      <c r="AI882" s="155">
        <f t="shared" si="13"/>
        <v>1.7172598566494026E-2</v>
      </c>
      <c r="AJ882" s="155">
        <v>1.7818379481361873E-3</v>
      </c>
    </row>
    <row r="883" spans="1:36" s="160" customFormat="1">
      <c r="A883" s="153" t="s">
        <v>1213</v>
      </c>
      <c r="B883" s="160">
        <v>9300</v>
      </c>
      <c r="C883" s="153" t="s">
        <v>455</v>
      </c>
      <c r="D883" s="153" t="s">
        <v>2106</v>
      </c>
      <c r="E883" s="153" t="s">
        <v>309</v>
      </c>
      <c r="F883" s="153" t="s">
        <v>2160</v>
      </c>
      <c r="G883" s="153" t="s">
        <v>2161</v>
      </c>
      <c r="H883" s="153" t="s">
        <v>321</v>
      </c>
      <c r="I883" s="153" t="s">
        <v>754</v>
      </c>
      <c r="J883" s="153" t="s">
        <v>204</v>
      </c>
      <c r="K883" s="153" t="s">
        <v>204</v>
      </c>
      <c r="L883" s="153" t="s">
        <v>325</v>
      </c>
      <c r="M883" s="153" t="s">
        <v>340</v>
      </c>
      <c r="N883" s="153" t="s">
        <v>440</v>
      </c>
      <c r="O883" s="153" t="s">
        <v>339</v>
      </c>
      <c r="P883" s="153" t="s">
        <v>1923</v>
      </c>
      <c r="Q883" s="153" t="s">
        <v>415</v>
      </c>
      <c r="R883" s="153" t="s">
        <v>407</v>
      </c>
      <c r="S883" s="153" t="s">
        <v>1212</v>
      </c>
      <c r="T883" s="154">
        <v>0.9</v>
      </c>
      <c r="U883" s="153" t="s">
        <v>2162</v>
      </c>
      <c r="V883" s="155">
        <v>1.797E-2</v>
      </c>
      <c r="W883" s="155">
        <v>2.6100000000000002E-2</v>
      </c>
      <c r="X883" s="153" t="s">
        <v>412</v>
      </c>
      <c r="Y883" s="153" t="s">
        <v>339</v>
      </c>
      <c r="Z883" s="154">
        <v>410000</v>
      </c>
      <c r="AA883" s="154">
        <v>1</v>
      </c>
      <c r="AB883" s="154">
        <v>119.4</v>
      </c>
      <c r="AD883" s="154">
        <v>489.54</v>
      </c>
      <c r="AG883" s="157" t="s">
        <v>15</v>
      </c>
      <c r="AH883" s="155">
        <v>1.3999999999999999E-4</v>
      </c>
      <c r="AI883" s="155">
        <f t="shared" si="13"/>
        <v>1.5447878893342627E-2</v>
      </c>
      <c r="AJ883" s="155">
        <v>1.6028801188001916E-3</v>
      </c>
    </row>
    <row r="884" spans="1:36" s="160" customFormat="1">
      <c r="A884" s="153" t="s">
        <v>1213</v>
      </c>
      <c r="B884" s="160">
        <v>9300</v>
      </c>
      <c r="C884" s="153" t="s">
        <v>1512</v>
      </c>
      <c r="D884" s="153" t="s">
        <v>1513</v>
      </c>
      <c r="E884" s="153" t="s">
        <v>309</v>
      </c>
      <c r="F884" s="153" t="s">
        <v>1898</v>
      </c>
      <c r="G884" s="153" t="s">
        <v>1899</v>
      </c>
      <c r="H884" s="153" t="s">
        <v>321</v>
      </c>
      <c r="I884" s="153" t="s">
        <v>754</v>
      </c>
      <c r="J884" s="153" t="s">
        <v>204</v>
      </c>
      <c r="K884" s="153" t="s">
        <v>204</v>
      </c>
      <c r="L884" s="153" t="s">
        <v>325</v>
      </c>
      <c r="M884" s="153" t="s">
        <v>340</v>
      </c>
      <c r="N884" s="153" t="s">
        <v>448</v>
      </c>
      <c r="O884" s="153" t="s">
        <v>339</v>
      </c>
      <c r="P884" s="153" t="s">
        <v>1215</v>
      </c>
      <c r="Q884" s="153" t="s">
        <v>413</v>
      </c>
      <c r="R884" s="153" t="s">
        <v>407</v>
      </c>
      <c r="S884" s="153" t="s">
        <v>1212</v>
      </c>
      <c r="T884" s="154">
        <v>3.43</v>
      </c>
      <c r="U884" s="153" t="s">
        <v>1900</v>
      </c>
      <c r="V884" s="155">
        <v>1.5820000000000001E-2</v>
      </c>
      <c r="W884" s="155">
        <v>2.4799999999999999E-2</v>
      </c>
      <c r="X884" s="153" t="s">
        <v>412</v>
      </c>
      <c r="Y884" s="153" t="s">
        <v>339</v>
      </c>
      <c r="Z884" s="154">
        <v>475000.67</v>
      </c>
      <c r="AA884" s="154">
        <v>1</v>
      </c>
      <c r="AB884" s="154">
        <v>102.63</v>
      </c>
      <c r="AD884" s="154">
        <v>487.49299999999999</v>
      </c>
      <c r="AG884" s="157" t="s">
        <v>15</v>
      </c>
      <c r="AH884" s="155">
        <v>1.8000000000000001E-4</v>
      </c>
      <c r="AI884" s="155">
        <f t="shared" si="13"/>
        <v>1.5383283950958608E-2</v>
      </c>
      <c r="AJ884" s="155">
        <v>1.5961777132701349E-3</v>
      </c>
    </row>
    <row r="885" spans="1:36" s="160" customFormat="1">
      <c r="A885" s="153" t="s">
        <v>1213</v>
      </c>
      <c r="B885" s="160">
        <v>9300</v>
      </c>
      <c r="C885" s="153" t="s">
        <v>1807</v>
      </c>
      <c r="D885" s="153" t="s">
        <v>1808</v>
      </c>
      <c r="E885" s="153" t="s">
        <v>309</v>
      </c>
      <c r="F885" s="153" t="s">
        <v>2295</v>
      </c>
      <c r="G885" s="153" t="s">
        <v>2296</v>
      </c>
      <c r="H885" s="153" t="s">
        <v>321</v>
      </c>
      <c r="I885" s="153" t="s">
        <v>754</v>
      </c>
      <c r="J885" s="153" t="s">
        <v>204</v>
      </c>
      <c r="K885" s="153" t="s">
        <v>204</v>
      </c>
      <c r="L885" s="153" t="s">
        <v>325</v>
      </c>
      <c r="M885" s="153" t="s">
        <v>340</v>
      </c>
      <c r="N885" s="153" t="s">
        <v>464</v>
      </c>
      <c r="O885" s="153" t="s">
        <v>339</v>
      </c>
      <c r="P885" s="153" t="s">
        <v>1923</v>
      </c>
      <c r="Q885" s="153" t="s">
        <v>415</v>
      </c>
      <c r="R885" s="153" t="s">
        <v>407</v>
      </c>
      <c r="S885" s="153" t="s">
        <v>1212</v>
      </c>
      <c r="T885" s="154">
        <v>2.89</v>
      </c>
      <c r="U885" s="153" t="s">
        <v>2297</v>
      </c>
      <c r="V885" s="155">
        <v>2.0369999999999999E-2</v>
      </c>
      <c r="W885" s="155">
        <v>2.8199999999999999E-2</v>
      </c>
      <c r="X885" s="153" t="s">
        <v>412</v>
      </c>
      <c r="Y885" s="153" t="s">
        <v>339</v>
      </c>
      <c r="Z885" s="154">
        <v>398000.22</v>
      </c>
      <c r="AA885" s="154">
        <v>1</v>
      </c>
      <c r="AB885" s="154">
        <v>112.38</v>
      </c>
      <c r="AD885" s="154">
        <v>447.27300000000002</v>
      </c>
      <c r="AG885" s="157" t="s">
        <v>15</v>
      </c>
      <c r="AH885" s="155">
        <v>1.4999999999999999E-4</v>
      </c>
      <c r="AI885" s="155">
        <f t="shared" si="13"/>
        <v>1.4114105356583808E-2</v>
      </c>
      <c r="AJ885" s="155">
        <v>1.4644870682193859E-3</v>
      </c>
    </row>
    <row r="886" spans="1:36" s="160" customFormat="1">
      <c r="A886" s="153" t="s">
        <v>1213</v>
      </c>
      <c r="B886" s="160">
        <v>9300</v>
      </c>
      <c r="C886" s="153" t="s">
        <v>2323</v>
      </c>
      <c r="D886" s="153" t="s">
        <v>2324</v>
      </c>
      <c r="E886" s="153" t="s">
        <v>309</v>
      </c>
      <c r="F886" s="153" t="s">
        <v>2325</v>
      </c>
      <c r="G886" s="153" t="s">
        <v>2326</v>
      </c>
      <c r="H886" s="153" t="s">
        <v>321</v>
      </c>
      <c r="I886" s="153" t="s">
        <v>754</v>
      </c>
      <c r="J886" s="153" t="s">
        <v>204</v>
      </c>
      <c r="K886" s="153" t="s">
        <v>204</v>
      </c>
      <c r="L886" s="153" t="s">
        <v>325</v>
      </c>
      <c r="M886" s="153" t="s">
        <v>340</v>
      </c>
      <c r="N886" s="153" t="s">
        <v>448</v>
      </c>
      <c r="O886" s="153" t="s">
        <v>339</v>
      </c>
      <c r="P886" s="153" t="s">
        <v>1215</v>
      </c>
      <c r="Q886" s="153" t="s">
        <v>413</v>
      </c>
      <c r="R886" s="153" t="s">
        <v>407</v>
      </c>
      <c r="S886" s="153" t="s">
        <v>1212</v>
      </c>
      <c r="T886" s="154">
        <v>2.73</v>
      </c>
      <c r="U886" s="153" t="s">
        <v>2327</v>
      </c>
      <c r="V886" s="155">
        <v>1.4999999999999999E-2</v>
      </c>
      <c r="W886" s="155">
        <v>2.24E-2</v>
      </c>
      <c r="X886" s="153" t="s">
        <v>412</v>
      </c>
      <c r="Y886" s="153" t="s">
        <v>339</v>
      </c>
      <c r="Z886" s="154">
        <v>388000.51</v>
      </c>
      <c r="AA886" s="154">
        <v>1</v>
      </c>
      <c r="AB886" s="154">
        <v>114.19</v>
      </c>
      <c r="AD886" s="154">
        <v>443.05799999999999</v>
      </c>
      <c r="AG886" s="157" t="s">
        <v>15</v>
      </c>
      <c r="AH886" s="155">
        <v>1.39E-3</v>
      </c>
      <c r="AI886" s="155">
        <f t="shared" si="13"/>
        <v>1.3981097207024141E-2</v>
      </c>
      <c r="AJ886" s="155">
        <v>1.4506860719764988E-3</v>
      </c>
    </row>
    <row r="887" spans="1:36" s="160" customFormat="1">
      <c r="A887" s="153" t="s">
        <v>1213</v>
      </c>
      <c r="B887" s="160">
        <v>9300</v>
      </c>
      <c r="C887" s="153" t="s">
        <v>1512</v>
      </c>
      <c r="D887" s="153" t="s">
        <v>1513</v>
      </c>
      <c r="E887" s="153" t="s">
        <v>309</v>
      </c>
      <c r="F887" s="153" t="s">
        <v>2103</v>
      </c>
      <c r="G887" s="153" t="s">
        <v>2104</v>
      </c>
      <c r="H887" s="153" t="s">
        <v>321</v>
      </c>
      <c r="I887" s="153" t="s">
        <v>754</v>
      </c>
      <c r="J887" s="153" t="s">
        <v>204</v>
      </c>
      <c r="K887" s="153" t="s">
        <v>204</v>
      </c>
      <c r="L887" s="153" t="s">
        <v>325</v>
      </c>
      <c r="M887" s="153" t="s">
        <v>340</v>
      </c>
      <c r="N887" s="153" t="s">
        <v>448</v>
      </c>
      <c r="O887" s="153" t="s">
        <v>339</v>
      </c>
      <c r="P887" s="153" t="s">
        <v>1215</v>
      </c>
      <c r="Q887" s="153" t="s">
        <v>413</v>
      </c>
      <c r="R887" s="153" t="s">
        <v>407</v>
      </c>
      <c r="S887" s="153" t="s">
        <v>1212</v>
      </c>
      <c r="T887" s="154">
        <v>4.38</v>
      </c>
      <c r="U887" s="153" t="s">
        <v>2105</v>
      </c>
      <c r="V887" s="155">
        <v>1.7649999999999999E-2</v>
      </c>
      <c r="W887" s="155">
        <v>2.5700000000000001E-2</v>
      </c>
      <c r="X887" s="153" t="s">
        <v>412</v>
      </c>
      <c r="Y887" s="153" t="s">
        <v>339</v>
      </c>
      <c r="Z887" s="154">
        <v>408000</v>
      </c>
      <c r="AA887" s="154">
        <v>1</v>
      </c>
      <c r="AB887" s="154">
        <v>102.5</v>
      </c>
      <c r="AD887" s="154">
        <v>418.2</v>
      </c>
      <c r="AG887" s="157" t="s">
        <v>15</v>
      </c>
      <c r="AH887" s="155">
        <v>1.4999999999999999E-4</v>
      </c>
      <c r="AI887" s="155">
        <f t="shared" si="13"/>
        <v>1.319668046164948E-2</v>
      </c>
      <c r="AJ887" s="155">
        <v>1.3692945738494099E-3</v>
      </c>
    </row>
    <row r="888" spans="1:36" s="160" customFormat="1">
      <c r="A888" s="153" t="s">
        <v>1213</v>
      </c>
      <c r="B888" s="160">
        <v>9300</v>
      </c>
      <c r="C888" s="153" t="s">
        <v>1556</v>
      </c>
      <c r="D888" s="153" t="s">
        <v>1557</v>
      </c>
      <c r="E888" s="153" t="s">
        <v>311</v>
      </c>
      <c r="F888" s="153" t="s">
        <v>2862</v>
      </c>
      <c r="G888" s="153" t="s">
        <v>2863</v>
      </c>
      <c r="H888" s="153" t="s">
        <v>321</v>
      </c>
      <c r="I888" s="153" t="s">
        <v>951</v>
      </c>
      <c r="J888" s="153" t="s">
        <v>204</v>
      </c>
      <c r="K888" s="153" t="s">
        <v>224</v>
      </c>
      <c r="L888" s="153" t="s">
        <v>325</v>
      </c>
      <c r="M888" s="153" t="s">
        <v>340</v>
      </c>
      <c r="N888" s="153" t="s">
        <v>465</v>
      </c>
      <c r="O888" s="153" t="s">
        <v>339</v>
      </c>
      <c r="P888" s="153" t="s">
        <v>1521</v>
      </c>
      <c r="Q888" s="153" t="s">
        <v>413</v>
      </c>
      <c r="R888" s="153" t="s">
        <v>407</v>
      </c>
      <c r="S888" s="153" t="s">
        <v>1212</v>
      </c>
      <c r="T888" s="154">
        <v>0.17</v>
      </c>
      <c r="U888" s="153" t="s">
        <v>1503</v>
      </c>
      <c r="V888" s="155">
        <v>4.7849999999999997E-2</v>
      </c>
      <c r="W888" s="155">
        <v>5.8900000000000001E-2</v>
      </c>
      <c r="X888" s="153" t="s">
        <v>412</v>
      </c>
      <c r="Y888" s="153" t="s">
        <v>339</v>
      </c>
      <c r="Z888" s="154">
        <v>393000.64</v>
      </c>
      <c r="AA888" s="154">
        <v>1</v>
      </c>
      <c r="AB888" s="154">
        <v>100.98</v>
      </c>
      <c r="AD888" s="154">
        <v>396.85199999999998</v>
      </c>
      <c r="AG888" s="157" t="s">
        <v>15</v>
      </c>
      <c r="AH888" s="155">
        <v>1.01E-3</v>
      </c>
      <c r="AI888" s="155">
        <f t="shared" si="13"/>
        <v>1.2523024951139453E-2</v>
      </c>
      <c r="AJ888" s="155">
        <v>1.2993957202804543E-3</v>
      </c>
    </row>
    <row r="889" spans="1:36" s="160" customFormat="1">
      <c r="A889" s="153" t="s">
        <v>1213</v>
      </c>
      <c r="B889" s="160">
        <v>9300</v>
      </c>
      <c r="C889" s="153" t="s">
        <v>2391</v>
      </c>
      <c r="D889" s="153" t="s">
        <v>2392</v>
      </c>
      <c r="E889" s="153" t="s">
        <v>309</v>
      </c>
      <c r="F889" s="153" t="s">
        <v>2393</v>
      </c>
      <c r="G889" s="153" t="s">
        <v>2394</v>
      </c>
      <c r="H889" s="153" t="s">
        <v>321</v>
      </c>
      <c r="I889" s="153" t="s">
        <v>754</v>
      </c>
      <c r="J889" s="153" t="s">
        <v>204</v>
      </c>
      <c r="K889" s="153" t="s">
        <v>204</v>
      </c>
      <c r="L889" s="153" t="s">
        <v>325</v>
      </c>
      <c r="M889" s="153" t="s">
        <v>340</v>
      </c>
      <c r="N889" s="153" t="s">
        <v>464</v>
      </c>
      <c r="O889" s="153" t="s">
        <v>339</v>
      </c>
      <c r="P889" s="153" t="s">
        <v>1538</v>
      </c>
      <c r="Q889" s="153" t="s">
        <v>413</v>
      </c>
      <c r="R889" s="153" t="s">
        <v>407</v>
      </c>
      <c r="S889" s="153" t="s">
        <v>1212</v>
      </c>
      <c r="T889" s="154">
        <v>2.23</v>
      </c>
      <c r="U889" s="153" t="s">
        <v>2395</v>
      </c>
      <c r="V889" s="155">
        <v>9.0699999999999999E-3</v>
      </c>
      <c r="W889" s="155">
        <v>2.6599999999999999E-2</v>
      </c>
      <c r="X889" s="153" t="s">
        <v>412</v>
      </c>
      <c r="Y889" s="153" t="s">
        <v>339</v>
      </c>
      <c r="Z889" s="154">
        <v>331547.92</v>
      </c>
      <c r="AA889" s="154">
        <v>1</v>
      </c>
      <c r="AB889" s="154">
        <v>112.91</v>
      </c>
      <c r="AD889" s="154">
        <v>374.351</v>
      </c>
      <c r="AG889" s="157" t="s">
        <v>15</v>
      </c>
      <c r="AH889" s="155">
        <v>2.5999999999999998E-4</v>
      </c>
      <c r="AI889" s="155">
        <f t="shared" si="13"/>
        <v>1.1812985479433153E-2</v>
      </c>
      <c r="AJ889" s="155">
        <v>1.2257216475731719E-3</v>
      </c>
    </row>
    <row r="890" spans="1:36" s="160" customFormat="1">
      <c r="A890" s="153" t="s">
        <v>1213</v>
      </c>
      <c r="B890" s="160">
        <v>9300</v>
      </c>
      <c r="C890" s="153" t="s">
        <v>1893</v>
      </c>
      <c r="D890" s="153" t="s">
        <v>1894</v>
      </c>
      <c r="E890" s="153" t="s">
        <v>309</v>
      </c>
      <c r="F890" s="153" t="s">
        <v>2619</v>
      </c>
      <c r="G890" s="153" t="s">
        <v>2620</v>
      </c>
      <c r="H890" s="153" t="s">
        <v>321</v>
      </c>
      <c r="I890" s="153" t="s">
        <v>754</v>
      </c>
      <c r="J890" s="153" t="s">
        <v>204</v>
      </c>
      <c r="K890" s="153" t="s">
        <v>204</v>
      </c>
      <c r="L890" s="153" t="s">
        <v>325</v>
      </c>
      <c r="M890" s="153" t="s">
        <v>340</v>
      </c>
      <c r="N890" s="153" t="s">
        <v>464</v>
      </c>
      <c r="O890" s="153" t="s">
        <v>339</v>
      </c>
      <c r="P890" s="153" t="s">
        <v>1566</v>
      </c>
      <c r="Q890" s="153" t="s">
        <v>413</v>
      </c>
      <c r="R890" s="153" t="s">
        <v>407</v>
      </c>
      <c r="S890" s="153" t="s">
        <v>1212</v>
      </c>
      <c r="T890" s="154">
        <v>1.72</v>
      </c>
      <c r="U890" s="153" t="s">
        <v>1343</v>
      </c>
      <c r="V890" s="155">
        <v>1.44E-2</v>
      </c>
      <c r="W890" s="155">
        <v>2.4199999999999999E-2</v>
      </c>
      <c r="X890" s="153" t="s">
        <v>412</v>
      </c>
      <c r="Y890" s="153" t="s">
        <v>339</v>
      </c>
      <c r="Z890" s="154">
        <v>321000</v>
      </c>
      <c r="AA890" s="154">
        <v>1</v>
      </c>
      <c r="AB890" s="154">
        <v>113.95</v>
      </c>
      <c r="AD890" s="154">
        <v>365.78</v>
      </c>
      <c r="AG890" s="157" t="s">
        <v>15</v>
      </c>
      <c r="AH890" s="155">
        <v>4.0000000000000002E-4</v>
      </c>
      <c r="AI890" s="155">
        <f t="shared" si="13"/>
        <v>1.1542519797374813E-2</v>
      </c>
      <c r="AJ890" s="155">
        <v>1.1976579847504474E-3</v>
      </c>
    </row>
    <row r="891" spans="1:36" s="160" customFormat="1">
      <c r="A891" s="153" t="s">
        <v>1213</v>
      </c>
      <c r="B891" s="160">
        <v>9300</v>
      </c>
      <c r="C891" s="153" t="s">
        <v>1573</v>
      </c>
      <c r="D891" s="153" t="s">
        <v>1574</v>
      </c>
      <c r="E891" s="153" t="s">
        <v>309</v>
      </c>
      <c r="F891" s="153" t="s">
        <v>2696</v>
      </c>
      <c r="G891" s="153" t="s">
        <v>2697</v>
      </c>
      <c r="H891" s="153" t="s">
        <v>321</v>
      </c>
      <c r="I891" s="153" t="s">
        <v>754</v>
      </c>
      <c r="J891" s="153" t="s">
        <v>204</v>
      </c>
      <c r="K891" s="153" t="s">
        <v>204</v>
      </c>
      <c r="L891" s="153" t="s">
        <v>325</v>
      </c>
      <c r="M891" s="153" t="s">
        <v>340</v>
      </c>
      <c r="N891" s="153" t="s">
        <v>448</v>
      </c>
      <c r="O891" s="153" t="s">
        <v>339</v>
      </c>
      <c r="P891" s="153" t="s">
        <v>1215</v>
      </c>
      <c r="Q891" s="153" t="s">
        <v>413</v>
      </c>
      <c r="R891" s="153" t="s">
        <v>407</v>
      </c>
      <c r="S891" s="153" t="s">
        <v>1212</v>
      </c>
      <c r="T891" s="154">
        <v>2.58</v>
      </c>
      <c r="U891" s="153" t="s">
        <v>1561</v>
      </c>
      <c r="V891" s="155">
        <v>1.6080000000000001E-2</v>
      </c>
      <c r="W891" s="155">
        <v>2.2599999999999999E-2</v>
      </c>
      <c r="X891" s="153" t="s">
        <v>412</v>
      </c>
      <c r="Y891" s="153" t="s">
        <v>339</v>
      </c>
      <c r="Z891" s="154">
        <v>340000</v>
      </c>
      <c r="AA891" s="154">
        <v>1</v>
      </c>
      <c r="AB891" s="154">
        <v>102.67</v>
      </c>
      <c r="AD891" s="154">
        <v>349.07799999999997</v>
      </c>
      <c r="AG891" s="157" t="s">
        <v>15</v>
      </c>
      <c r="AH891" s="155">
        <v>1.8000000000000001E-4</v>
      </c>
      <c r="AI891" s="155">
        <f t="shared" si="13"/>
        <v>1.1015473032500424E-2</v>
      </c>
      <c r="AJ891" s="155">
        <v>1.1429713324969018E-3</v>
      </c>
    </row>
    <row r="892" spans="1:36" s="160" customFormat="1">
      <c r="A892" s="153" t="s">
        <v>1213</v>
      </c>
      <c r="B892" s="160">
        <v>9300</v>
      </c>
      <c r="C892" s="153" t="s">
        <v>1512</v>
      </c>
      <c r="D892" s="153" t="s">
        <v>1513</v>
      </c>
      <c r="E892" s="153" t="s">
        <v>309</v>
      </c>
      <c r="F892" s="153" t="s">
        <v>2220</v>
      </c>
      <c r="G892" s="153" t="s">
        <v>2221</v>
      </c>
      <c r="H892" s="153" t="s">
        <v>321</v>
      </c>
      <c r="I892" s="153" t="s">
        <v>951</v>
      </c>
      <c r="J892" s="153" t="s">
        <v>204</v>
      </c>
      <c r="K892" s="153" t="s">
        <v>204</v>
      </c>
      <c r="L892" s="153" t="s">
        <v>325</v>
      </c>
      <c r="M892" s="153" t="s">
        <v>340</v>
      </c>
      <c r="N892" s="153" t="s">
        <v>448</v>
      </c>
      <c r="O892" s="153" t="s">
        <v>339</v>
      </c>
      <c r="P892" s="153" t="s">
        <v>1215</v>
      </c>
      <c r="Q892" s="153" t="s">
        <v>413</v>
      </c>
      <c r="R892" s="153" t="s">
        <v>407</v>
      </c>
      <c r="S892" s="153" t="s">
        <v>1212</v>
      </c>
      <c r="T892" s="154">
        <v>0.68</v>
      </c>
      <c r="U892" s="153" t="s">
        <v>2222</v>
      </c>
      <c r="V892" s="155">
        <v>2.2069999999999999E-2</v>
      </c>
      <c r="W892" s="155">
        <v>4.4600000000000001E-2</v>
      </c>
      <c r="X892" s="153" t="s">
        <v>412</v>
      </c>
      <c r="Y892" s="153" t="s">
        <v>339</v>
      </c>
      <c r="Z892" s="154">
        <v>347000</v>
      </c>
      <c r="AA892" s="154">
        <v>1</v>
      </c>
      <c r="AB892" s="154">
        <v>99.95</v>
      </c>
      <c r="AD892" s="154">
        <v>346.827</v>
      </c>
      <c r="AG892" s="157" t="s">
        <v>15</v>
      </c>
      <c r="AH892" s="155">
        <v>1.3999999999999999E-4</v>
      </c>
      <c r="AI892" s="155">
        <f t="shared" si="13"/>
        <v>1.0944440685013162E-2</v>
      </c>
      <c r="AJ892" s="155">
        <v>1.1356009783942355E-3</v>
      </c>
    </row>
    <row r="893" spans="1:36" s="160" customFormat="1">
      <c r="A893" s="153" t="s">
        <v>1213</v>
      </c>
      <c r="B893" s="160">
        <v>9300</v>
      </c>
      <c r="C893" s="153" t="s">
        <v>2385</v>
      </c>
      <c r="D893" s="153" t="s">
        <v>2386</v>
      </c>
      <c r="E893" s="153" t="s">
        <v>309</v>
      </c>
      <c r="F893" s="153" t="s">
        <v>2539</v>
      </c>
      <c r="G893" s="153" t="s">
        <v>2540</v>
      </c>
      <c r="H893" s="153" t="s">
        <v>321</v>
      </c>
      <c r="I893" s="153" t="s">
        <v>951</v>
      </c>
      <c r="J893" s="153" t="s">
        <v>204</v>
      </c>
      <c r="K893" s="153" t="s">
        <v>204</v>
      </c>
      <c r="L893" s="153" t="s">
        <v>325</v>
      </c>
      <c r="M893" s="153" t="s">
        <v>340</v>
      </c>
      <c r="N893" s="153" t="s">
        <v>464</v>
      </c>
      <c r="O893" s="153" t="s">
        <v>339</v>
      </c>
      <c r="P893" s="153" t="s">
        <v>1211</v>
      </c>
      <c r="Q893" s="153" t="s">
        <v>415</v>
      </c>
      <c r="R893" s="153" t="s">
        <v>407</v>
      </c>
      <c r="S893" s="153" t="s">
        <v>1212</v>
      </c>
      <c r="T893" s="154">
        <v>0.25</v>
      </c>
      <c r="U893" s="153" t="s">
        <v>2541</v>
      </c>
      <c r="V893" s="155">
        <v>2.3130000000000001E-2</v>
      </c>
      <c r="W893" s="155">
        <v>4.5199999999999997E-2</v>
      </c>
      <c r="X893" s="153" t="s">
        <v>412</v>
      </c>
      <c r="Y893" s="153" t="s">
        <v>339</v>
      </c>
      <c r="Z893" s="154">
        <v>311000</v>
      </c>
      <c r="AA893" s="154">
        <v>1</v>
      </c>
      <c r="AB893" s="154">
        <v>99.71</v>
      </c>
      <c r="AD893" s="154">
        <v>310.09800000000001</v>
      </c>
      <c r="AG893" s="157" t="s">
        <v>15</v>
      </c>
      <c r="AH893" s="155">
        <v>2.99E-3</v>
      </c>
      <c r="AI893" s="155">
        <f t="shared" si="13"/>
        <v>9.7854237632629855E-3</v>
      </c>
      <c r="AJ893" s="155">
        <v>1.0153407670051514E-3</v>
      </c>
    </row>
    <row r="894" spans="1:36" s="160" customFormat="1">
      <c r="A894" s="153" t="s">
        <v>1213</v>
      </c>
      <c r="B894" s="160">
        <v>9300</v>
      </c>
      <c r="C894" s="153" t="s">
        <v>1691</v>
      </c>
      <c r="D894" s="153" t="s">
        <v>1692</v>
      </c>
      <c r="E894" s="153" t="s">
        <v>309</v>
      </c>
      <c r="F894" s="153" t="s">
        <v>2864</v>
      </c>
      <c r="G894" s="153" t="s">
        <v>2865</v>
      </c>
      <c r="H894" s="153" t="s">
        <v>321</v>
      </c>
      <c r="I894" s="153" t="s">
        <v>754</v>
      </c>
      <c r="J894" s="153" t="s">
        <v>204</v>
      </c>
      <c r="K894" s="153" t="s">
        <v>204</v>
      </c>
      <c r="L894" s="153" t="s">
        <v>325</v>
      </c>
      <c r="M894" s="153" t="s">
        <v>340</v>
      </c>
      <c r="N894" s="153" t="s">
        <v>464</v>
      </c>
      <c r="O894" s="153" t="s">
        <v>339</v>
      </c>
      <c r="P894" s="153" t="s">
        <v>1538</v>
      </c>
      <c r="Q894" s="153" t="s">
        <v>413</v>
      </c>
      <c r="R894" s="153" t="s">
        <v>407</v>
      </c>
      <c r="S894" s="153" t="s">
        <v>1212</v>
      </c>
      <c r="T894" s="154">
        <v>3.48</v>
      </c>
      <c r="U894" s="153" t="s">
        <v>2257</v>
      </c>
      <c r="V894" s="155">
        <v>1.316E-2</v>
      </c>
      <c r="W894" s="155">
        <v>2.8899999999999999E-2</v>
      </c>
      <c r="X894" s="153" t="s">
        <v>412</v>
      </c>
      <c r="Y894" s="153" t="s">
        <v>339</v>
      </c>
      <c r="Z894" s="154">
        <v>235005.05</v>
      </c>
      <c r="AA894" s="154">
        <v>1</v>
      </c>
      <c r="AB894" s="154">
        <v>119.87</v>
      </c>
      <c r="AD894" s="154">
        <v>281.70100000000002</v>
      </c>
      <c r="AG894" s="157" t="s">
        <v>15</v>
      </c>
      <c r="AH894" s="155">
        <v>2.7E-4</v>
      </c>
      <c r="AI894" s="155">
        <f t="shared" si="13"/>
        <v>8.8893306617099967E-3</v>
      </c>
      <c r="AJ894" s="155">
        <v>9.2236167084637174E-4</v>
      </c>
    </row>
    <row r="895" spans="1:36" s="160" customFormat="1">
      <c r="A895" s="153" t="s">
        <v>1213</v>
      </c>
      <c r="B895" s="160">
        <v>9300</v>
      </c>
      <c r="C895" s="153" t="s">
        <v>2273</v>
      </c>
      <c r="D895" s="153" t="s">
        <v>2274</v>
      </c>
      <c r="E895" s="153" t="s">
        <v>309</v>
      </c>
      <c r="F895" s="153" t="s">
        <v>2303</v>
      </c>
      <c r="G895" s="153" t="s">
        <v>2304</v>
      </c>
      <c r="H895" s="153" t="s">
        <v>321</v>
      </c>
      <c r="I895" s="153" t="s">
        <v>754</v>
      </c>
      <c r="J895" s="153" t="s">
        <v>204</v>
      </c>
      <c r="K895" s="153" t="s">
        <v>204</v>
      </c>
      <c r="L895" s="153" t="s">
        <v>325</v>
      </c>
      <c r="M895" s="153" t="s">
        <v>340</v>
      </c>
      <c r="N895" s="153" t="s">
        <v>477</v>
      </c>
      <c r="O895" s="153" t="s">
        <v>339</v>
      </c>
      <c r="P895" s="153" t="s">
        <v>1215</v>
      </c>
      <c r="Q895" s="153" t="s">
        <v>413</v>
      </c>
      <c r="R895" s="153" t="s">
        <v>407</v>
      </c>
      <c r="S895" s="153" t="s">
        <v>1212</v>
      </c>
      <c r="T895" s="154">
        <v>11.44</v>
      </c>
      <c r="U895" s="153" t="s">
        <v>2305</v>
      </c>
      <c r="V895" s="155">
        <v>1.7180000000000001E-2</v>
      </c>
      <c r="W895" s="155">
        <v>3.2899999999999999E-2</v>
      </c>
      <c r="X895" s="153" t="s">
        <v>412</v>
      </c>
      <c r="Y895" s="153" t="s">
        <v>339</v>
      </c>
      <c r="Z895" s="154">
        <v>279180.90000000002</v>
      </c>
      <c r="AA895" s="154">
        <v>1</v>
      </c>
      <c r="AB895" s="154">
        <v>99.37</v>
      </c>
      <c r="AD895" s="154">
        <v>277.42200000000003</v>
      </c>
      <c r="AG895" s="157" t="s">
        <v>15</v>
      </c>
      <c r="AH895" s="155">
        <v>6.0000000000000002E-5</v>
      </c>
      <c r="AI895" s="155">
        <f t="shared" si="13"/>
        <v>8.7543029340787244E-3</v>
      </c>
      <c r="AJ895" s="155">
        <v>9.0835112211011722E-4</v>
      </c>
    </row>
    <row r="896" spans="1:36" s="160" customFormat="1">
      <c r="A896" s="153" t="s">
        <v>1213</v>
      </c>
      <c r="B896" s="160">
        <v>9300</v>
      </c>
      <c r="C896" s="153" t="s">
        <v>1674</v>
      </c>
      <c r="D896" s="153" t="s">
        <v>1675</v>
      </c>
      <c r="E896" s="153" t="s">
        <v>309</v>
      </c>
      <c r="F896" s="153" t="s">
        <v>2477</v>
      </c>
      <c r="G896" s="153" t="s">
        <v>2478</v>
      </c>
      <c r="H896" s="153" t="s">
        <v>321</v>
      </c>
      <c r="I896" s="153" t="s">
        <v>754</v>
      </c>
      <c r="J896" s="153" t="s">
        <v>204</v>
      </c>
      <c r="K896" s="153" t="s">
        <v>204</v>
      </c>
      <c r="L896" s="153" t="s">
        <v>325</v>
      </c>
      <c r="M896" s="153" t="s">
        <v>340</v>
      </c>
      <c r="N896" s="153" t="s">
        <v>464</v>
      </c>
      <c r="O896" s="153" t="s">
        <v>339</v>
      </c>
      <c r="P896" s="153" t="s">
        <v>1538</v>
      </c>
      <c r="Q896" s="153" t="s">
        <v>413</v>
      </c>
      <c r="R896" s="153" t="s">
        <v>407</v>
      </c>
      <c r="S896" s="153" t="s">
        <v>1212</v>
      </c>
      <c r="T896" s="154">
        <v>1.1100000000000001</v>
      </c>
      <c r="U896" s="153" t="s">
        <v>2369</v>
      </c>
      <c r="V896" s="155">
        <v>4.1099999999999999E-3</v>
      </c>
      <c r="W896" s="155">
        <v>2.4199999999999999E-2</v>
      </c>
      <c r="X896" s="153" t="s">
        <v>412</v>
      </c>
      <c r="Y896" s="153" t="s">
        <v>339</v>
      </c>
      <c r="Z896" s="154">
        <v>248591.65</v>
      </c>
      <c r="AA896" s="154">
        <v>1</v>
      </c>
      <c r="AB896" s="154">
        <v>111.51</v>
      </c>
      <c r="AD896" s="154">
        <v>277.20499999999998</v>
      </c>
      <c r="AG896" s="157" t="s">
        <v>15</v>
      </c>
      <c r="AH896" s="155">
        <v>7.9000000000000001E-4</v>
      </c>
      <c r="AI896" s="155">
        <f t="shared" si="13"/>
        <v>8.7474553021796853E-3</v>
      </c>
      <c r="AJ896" s="155">
        <v>9.0764060818729233E-4</v>
      </c>
    </row>
    <row r="897" spans="1:36" s="160" customFormat="1">
      <c r="A897" s="153" t="s">
        <v>1213</v>
      </c>
      <c r="B897" s="160">
        <v>9300</v>
      </c>
      <c r="C897" s="153" t="s">
        <v>1573</v>
      </c>
      <c r="D897" s="153" t="s">
        <v>1574</v>
      </c>
      <c r="E897" s="153" t="s">
        <v>309</v>
      </c>
      <c r="F897" s="153" t="s">
        <v>2310</v>
      </c>
      <c r="G897" s="153" t="s">
        <v>2311</v>
      </c>
      <c r="H897" s="153" t="s">
        <v>321</v>
      </c>
      <c r="I897" s="153" t="s">
        <v>754</v>
      </c>
      <c r="J897" s="153" t="s">
        <v>204</v>
      </c>
      <c r="K897" s="153" t="s">
        <v>204</v>
      </c>
      <c r="L897" s="153" t="s">
        <v>325</v>
      </c>
      <c r="M897" s="153" t="s">
        <v>340</v>
      </c>
      <c r="N897" s="153" t="s">
        <v>448</v>
      </c>
      <c r="O897" s="153" t="s">
        <v>339</v>
      </c>
      <c r="P897" s="153" t="s">
        <v>1215</v>
      </c>
      <c r="Q897" s="153" t="s">
        <v>413</v>
      </c>
      <c r="R897" s="153" t="s">
        <v>407</v>
      </c>
      <c r="S897" s="153" t="s">
        <v>1212</v>
      </c>
      <c r="T897" s="154">
        <v>1.74</v>
      </c>
      <c r="U897" s="153" t="s">
        <v>1833</v>
      </c>
      <c r="V897" s="155">
        <v>-1.74E-3</v>
      </c>
      <c r="W897" s="155">
        <v>2.0400000000000001E-2</v>
      </c>
      <c r="X897" s="153" t="s">
        <v>412</v>
      </c>
      <c r="Y897" s="153" t="s">
        <v>339</v>
      </c>
      <c r="Z897" s="154">
        <v>242000</v>
      </c>
      <c r="AA897" s="154">
        <v>1</v>
      </c>
      <c r="AB897" s="154">
        <v>113.2</v>
      </c>
      <c r="AD897" s="154">
        <v>273.94400000000002</v>
      </c>
      <c r="AG897" s="157" t="s">
        <v>15</v>
      </c>
      <c r="AH897" s="155">
        <v>1.6000000000000001E-4</v>
      </c>
      <c r="AI897" s="155">
        <f t="shared" si="13"/>
        <v>8.644551488249894E-3</v>
      </c>
      <c r="AJ897" s="155">
        <v>8.969632537986676E-4</v>
      </c>
    </row>
    <row r="898" spans="1:36" s="160" customFormat="1">
      <c r="A898" s="153" t="s">
        <v>1213</v>
      </c>
      <c r="B898" s="160">
        <v>9300</v>
      </c>
      <c r="C898" s="153" t="s">
        <v>2866</v>
      </c>
      <c r="D898" s="153" t="s">
        <v>2867</v>
      </c>
      <c r="E898" s="153" t="s">
        <v>309</v>
      </c>
      <c r="F898" s="153" t="s">
        <v>2868</v>
      </c>
      <c r="G898" s="153" t="s">
        <v>2869</v>
      </c>
      <c r="H898" s="153" t="s">
        <v>321</v>
      </c>
      <c r="I898" s="153" t="s">
        <v>754</v>
      </c>
      <c r="J898" s="153" t="s">
        <v>204</v>
      </c>
      <c r="K898" s="153" t="s">
        <v>204</v>
      </c>
      <c r="L898" s="153" t="s">
        <v>325</v>
      </c>
      <c r="M898" s="153" t="s">
        <v>340</v>
      </c>
      <c r="N898" s="153" t="s">
        <v>464</v>
      </c>
      <c r="O898" s="153" t="s">
        <v>339</v>
      </c>
      <c r="P898" s="153" t="s">
        <v>1554</v>
      </c>
      <c r="Q898" s="153" t="s">
        <v>413</v>
      </c>
      <c r="R898" s="153" t="s">
        <v>407</v>
      </c>
      <c r="S898" s="153" t="s">
        <v>1212</v>
      </c>
      <c r="T898" s="154">
        <v>2.4900000000000002</v>
      </c>
      <c r="U898" s="153" t="s">
        <v>1343</v>
      </c>
      <c r="V898" s="155">
        <v>5.4999999999999997E-3</v>
      </c>
      <c r="W898" s="155">
        <v>3.1899999999999998E-2</v>
      </c>
      <c r="X898" s="153" t="s">
        <v>412</v>
      </c>
      <c r="Y898" s="153" t="s">
        <v>339</v>
      </c>
      <c r="Z898" s="154">
        <v>249000</v>
      </c>
      <c r="AA898" s="154">
        <v>1</v>
      </c>
      <c r="AB898" s="154">
        <v>103.74</v>
      </c>
      <c r="AD898" s="154">
        <v>258.31299999999999</v>
      </c>
      <c r="AG898" s="157" t="s">
        <v>15</v>
      </c>
      <c r="AH898" s="155">
        <v>4.8999999999999998E-4</v>
      </c>
      <c r="AI898" s="155">
        <f t="shared" si="13"/>
        <v>8.1513011001675319E-3</v>
      </c>
      <c r="AJ898" s="155">
        <v>8.4578333155132135E-4</v>
      </c>
    </row>
    <row r="899" spans="1:36" s="160" customFormat="1">
      <c r="A899" s="153" t="s">
        <v>1213</v>
      </c>
      <c r="B899" s="160">
        <v>9300</v>
      </c>
      <c r="C899" s="153" t="s">
        <v>1904</v>
      </c>
      <c r="D899" s="153" t="s">
        <v>1905</v>
      </c>
      <c r="E899" s="153" t="s">
        <v>309</v>
      </c>
      <c r="F899" s="153" t="s">
        <v>1906</v>
      </c>
      <c r="G899" s="153" t="s">
        <v>1907</v>
      </c>
      <c r="H899" s="153" t="s">
        <v>321</v>
      </c>
      <c r="I899" s="153" t="s">
        <v>754</v>
      </c>
      <c r="J899" s="153" t="s">
        <v>204</v>
      </c>
      <c r="K899" s="153" t="s">
        <v>204</v>
      </c>
      <c r="L899" s="153" t="s">
        <v>325</v>
      </c>
      <c r="M899" s="153" t="s">
        <v>340</v>
      </c>
      <c r="N899" s="153" t="s">
        <v>448</v>
      </c>
      <c r="O899" s="153" t="s">
        <v>339</v>
      </c>
      <c r="P899" s="153" t="s">
        <v>1215</v>
      </c>
      <c r="Q899" s="153" t="s">
        <v>413</v>
      </c>
      <c r="R899" s="153" t="s">
        <v>407</v>
      </c>
      <c r="S899" s="153" t="s">
        <v>1212</v>
      </c>
      <c r="T899" s="154">
        <v>3.98</v>
      </c>
      <c r="U899" s="153" t="s">
        <v>1908</v>
      </c>
      <c r="V899" s="155">
        <v>1.4300000000000001E-3</v>
      </c>
      <c r="W899" s="155">
        <v>2.52E-2</v>
      </c>
      <c r="X899" s="153" t="s">
        <v>412</v>
      </c>
      <c r="Y899" s="153" t="s">
        <v>339</v>
      </c>
      <c r="Z899" s="154">
        <v>246236.17</v>
      </c>
      <c r="AA899" s="154">
        <v>1</v>
      </c>
      <c r="AB899" s="154">
        <v>102.6</v>
      </c>
      <c r="AD899" s="154">
        <v>252.63800000000001</v>
      </c>
      <c r="AG899" s="157" t="s">
        <v>15</v>
      </c>
      <c r="AH899" s="155">
        <v>6.9999999999999994E-5</v>
      </c>
      <c r="AI899" s="155">
        <f t="shared" ref="AI899:AI962" si="14">AD899/SUMIF(B:B,B899,AD:AD)</f>
        <v>7.9722213258493577E-3</v>
      </c>
      <c r="AJ899" s="155">
        <v>8.2720191905348453E-4</v>
      </c>
    </row>
    <row r="900" spans="1:36" s="160" customFormat="1">
      <c r="A900" s="153" t="s">
        <v>1213</v>
      </c>
      <c r="B900" s="160">
        <v>9300</v>
      </c>
      <c r="C900" s="153" t="s">
        <v>1909</v>
      </c>
      <c r="D900" s="153" t="s">
        <v>1910</v>
      </c>
      <c r="E900" s="153" t="s">
        <v>309</v>
      </c>
      <c r="F900" s="153" t="s">
        <v>2870</v>
      </c>
      <c r="G900" s="153" t="s">
        <v>2871</v>
      </c>
      <c r="H900" s="153" t="s">
        <v>321</v>
      </c>
      <c r="I900" s="153" t="s">
        <v>754</v>
      </c>
      <c r="J900" s="153" t="s">
        <v>204</v>
      </c>
      <c r="K900" s="153" t="s">
        <v>204</v>
      </c>
      <c r="L900" s="153" t="s">
        <v>325</v>
      </c>
      <c r="M900" s="153" t="s">
        <v>340</v>
      </c>
      <c r="N900" s="153" t="s">
        <v>464</v>
      </c>
      <c r="O900" s="153" t="s">
        <v>339</v>
      </c>
      <c r="Q900" s="153" t="s">
        <v>410</v>
      </c>
      <c r="R900" s="153" t="s">
        <v>410</v>
      </c>
      <c r="S900" s="153" t="s">
        <v>1212</v>
      </c>
      <c r="T900" s="154">
        <v>2.78</v>
      </c>
      <c r="U900" s="153" t="s">
        <v>1528</v>
      </c>
      <c r="V900" s="155">
        <v>1.042E-2</v>
      </c>
      <c r="W900" s="155">
        <v>2.7099999999999999E-2</v>
      </c>
      <c r="X900" s="153" t="s">
        <v>412</v>
      </c>
      <c r="Y900" s="153" t="s">
        <v>339</v>
      </c>
      <c r="Z900" s="154">
        <v>214000.22</v>
      </c>
      <c r="AA900" s="154">
        <v>1</v>
      </c>
      <c r="AB900" s="154">
        <v>115.62</v>
      </c>
      <c r="AD900" s="154">
        <v>247.42699999999999</v>
      </c>
      <c r="AG900" s="157" t="s">
        <v>15</v>
      </c>
      <c r="AH900" s="155">
        <v>4.0000000000000002E-4</v>
      </c>
      <c r="AI900" s="155">
        <f t="shared" si="14"/>
        <v>7.8077834925503247E-3</v>
      </c>
      <c r="AJ900" s="155">
        <v>8.101397621325632E-4</v>
      </c>
    </row>
    <row r="901" spans="1:36" s="160" customFormat="1">
      <c r="A901" s="153" t="s">
        <v>1213</v>
      </c>
      <c r="B901" s="160">
        <v>9300</v>
      </c>
      <c r="C901" s="153" t="s">
        <v>2517</v>
      </c>
      <c r="D901" s="153" t="s">
        <v>2518</v>
      </c>
      <c r="E901" s="153" t="s">
        <v>309</v>
      </c>
      <c r="F901" s="153" t="s">
        <v>2519</v>
      </c>
      <c r="G901" s="153" t="s">
        <v>2520</v>
      </c>
      <c r="H901" s="153" t="s">
        <v>321</v>
      </c>
      <c r="I901" s="153" t="s">
        <v>951</v>
      </c>
      <c r="J901" s="153" t="s">
        <v>204</v>
      </c>
      <c r="K901" s="153" t="s">
        <v>204</v>
      </c>
      <c r="L901" s="153" t="s">
        <v>325</v>
      </c>
      <c r="M901" s="153" t="s">
        <v>340</v>
      </c>
      <c r="N901" s="153" t="s">
        <v>464</v>
      </c>
      <c r="O901" s="153" t="s">
        <v>339</v>
      </c>
      <c r="P901" s="153" t="s">
        <v>1211</v>
      </c>
      <c r="Q901" s="153" t="s">
        <v>415</v>
      </c>
      <c r="R901" s="153" t="s">
        <v>407</v>
      </c>
      <c r="S901" s="153" t="s">
        <v>1212</v>
      </c>
      <c r="T901" s="154">
        <v>1.94</v>
      </c>
      <c r="U901" s="153" t="s">
        <v>2521</v>
      </c>
      <c r="V901" s="155">
        <v>2.2519999999999998E-2</v>
      </c>
      <c r="W901" s="155">
        <v>4.8599999999999997E-2</v>
      </c>
      <c r="X901" s="153" t="s">
        <v>412</v>
      </c>
      <c r="Y901" s="153" t="s">
        <v>339</v>
      </c>
      <c r="Z901" s="154">
        <v>263000.45</v>
      </c>
      <c r="AA901" s="154">
        <v>1</v>
      </c>
      <c r="AB901" s="154">
        <v>93.75</v>
      </c>
      <c r="AD901" s="154">
        <v>246.56299999999999</v>
      </c>
      <c r="AG901" s="157" t="s">
        <v>15</v>
      </c>
      <c r="AH901" s="155">
        <v>7.5000000000000002E-4</v>
      </c>
      <c r="AI901" s="155">
        <f t="shared" si="14"/>
        <v>7.7805191885836457E-3</v>
      </c>
      <c r="AJ901" s="155">
        <v>8.0731080347209961E-4</v>
      </c>
    </row>
    <row r="902" spans="1:36" s="160" customFormat="1">
      <c r="A902" s="153" t="s">
        <v>1213</v>
      </c>
      <c r="B902" s="160">
        <v>9300</v>
      </c>
      <c r="C902" s="153" t="s">
        <v>1705</v>
      </c>
      <c r="D902" s="153" t="s">
        <v>1706</v>
      </c>
      <c r="E902" s="153" t="s">
        <v>311</v>
      </c>
      <c r="F902" s="153" t="s">
        <v>1707</v>
      </c>
      <c r="G902" s="153" t="s">
        <v>1708</v>
      </c>
      <c r="H902" s="153" t="s">
        <v>321</v>
      </c>
      <c r="I902" s="153" t="s">
        <v>951</v>
      </c>
      <c r="J902" s="153" t="s">
        <v>204</v>
      </c>
      <c r="K902" s="153" t="s">
        <v>224</v>
      </c>
      <c r="L902" s="153" t="s">
        <v>325</v>
      </c>
      <c r="M902" s="153" t="s">
        <v>340</v>
      </c>
      <c r="N902" s="153" t="s">
        <v>443</v>
      </c>
      <c r="O902" s="153" t="s">
        <v>339</v>
      </c>
      <c r="P902" s="153" t="s">
        <v>1544</v>
      </c>
      <c r="Q902" s="153" t="s">
        <v>415</v>
      </c>
      <c r="R902" s="153" t="s">
        <v>407</v>
      </c>
      <c r="S902" s="153" t="s">
        <v>1212</v>
      </c>
      <c r="T902" s="154">
        <v>0.96</v>
      </c>
      <c r="U902" s="153" t="s">
        <v>1709</v>
      </c>
      <c r="V902" s="155">
        <v>5.4919999999999997E-2</v>
      </c>
      <c r="W902" s="155">
        <v>6.4100000000000004E-2</v>
      </c>
      <c r="X902" s="153" t="s">
        <v>412</v>
      </c>
      <c r="Y902" s="153" t="s">
        <v>339</v>
      </c>
      <c r="Z902" s="154">
        <v>247619.76</v>
      </c>
      <c r="AA902" s="154">
        <v>1</v>
      </c>
      <c r="AB902" s="154">
        <v>98.68</v>
      </c>
      <c r="AD902" s="154">
        <v>244.351</v>
      </c>
      <c r="AG902" s="157" t="s">
        <v>15</v>
      </c>
      <c r="AH902" s="155">
        <v>3.8999999999999999E-4</v>
      </c>
      <c r="AI902" s="155">
        <f t="shared" si="14"/>
        <v>7.7107175214837691E-3</v>
      </c>
      <c r="AJ902" s="155">
        <v>8.0006814542007932E-4</v>
      </c>
    </row>
    <row r="903" spans="1:36" s="160" customFormat="1">
      <c r="A903" s="153" t="s">
        <v>1213</v>
      </c>
      <c r="B903" s="160">
        <v>9300</v>
      </c>
      <c r="C903" s="153" t="s">
        <v>1512</v>
      </c>
      <c r="D903" s="153" t="s">
        <v>1513</v>
      </c>
      <c r="E903" s="153" t="s">
        <v>309</v>
      </c>
      <c r="F903" s="153" t="s">
        <v>2531</v>
      </c>
      <c r="G903" s="153" t="s">
        <v>2532</v>
      </c>
      <c r="H903" s="153" t="s">
        <v>321</v>
      </c>
      <c r="I903" s="153" t="s">
        <v>754</v>
      </c>
      <c r="J903" s="153" t="s">
        <v>204</v>
      </c>
      <c r="K903" s="153" t="s">
        <v>204</v>
      </c>
      <c r="L903" s="153" t="s">
        <v>325</v>
      </c>
      <c r="M903" s="153" t="s">
        <v>340</v>
      </c>
      <c r="N903" s="153" t="s">
        <v>448</v>
      </c>
      <c r="O903" s="153" t="s">
        <v>339</v>
      </c>
      <c r="P903" s="153" t="s">
        <v>1215</v>
      </c>
      <c r="Q903" s="153" t="s">
        <v>413</v>
      </c>
      <c r="R903" s="153" t="s">
        <v>407</v>
      </c>
      <c r="S903" s="153" t="s">
        <v>1212</v>
      </c>
      <c r="T903" s="154">
        <v>3.48</v>
      </c>
      <c r="U903" s="153" t="s">
        <v>2533</v>
      </c>
      <c r="V903" s="155">
        <v>1.3050000000000001E-2</v>
      </c>
      <c r="W903" s="155">
        <v>2.4500000000000001E-2</v>
      </c>
      <c r="X903" s="153" t="s">
        <v>412</v>
      </c>
      <c r="Y903" s="153" t="s">
        <v>339</v>
      </c>
      <c r="Z903" s="154">
        <v>228000.67</v>
      </c>
      <c r="AA903" s="154">
        <v>1</v>
      </c>
      <c r="AB903" s="154">
        <v>105.53</v>
      </c>
      <c r="AD903" s="154">
        <v>240.60900000000001</v>
      </c>
      <c r="AG903" s="157" t="s">
        <v>15</v>
      </c>
      <c r="AH903" s="155">
        <v>2.1000000000000001E-4</v>
      </c>
      <c r="AI903" s="155">
        <f t="shared" si="14"/>
        <v>7.5926353161095651E-3</v>
      </c>
      <c r="AJ903" s="155">
        <v>7.8781587307348805E-4</v>
      </c>
    </row>
    <row r="904" spans="1:36" s="160" customFormat="1">
      <c r="A904" s="153" t="s">
        <v>1213</v>
      </c>
      <c r="B904" s="160">
        <v>9300</v>
      </c>
      <c r="C904" s="153" t="s">
        <v>455</v>
      </c>
      <c r="D904" s="153" t="s">
        <v>2106</v>
      </c>
      <c r="E904" s="153" t="s">
        <v>309</v>
      </c>
      <c r="F904" s="153" t="s">
        <v>2433</v>
      </c>
      <c r="G904" s="153" t="s">
        <v>2434</v>
      </c>
      <c r="H904" s="153" t="s">
        <v>321</v>
      </c>
      <c r="I904" s="153" t="s">
        <v>754</v>
      </c>
      <c r="J904" s="153" t="s">
        <v>204</v>
      </c>
      <c r="K904" s="153" t="s">
        <v>204</v>
      </c>
      <c r="L904" s="153" t="s">
        <v>325</v>
      </c>
      <c r="M904" s="153" t="s">
        <v>340</v>
      </c>
      <c r="N904" s="153" t="s">
        <v>440</v>
      </c>
      <c r="O904" s="153" t="s">
        <v>339</v>
      </c>
      <c r="P904" s="153" t="s">
        <v>1923</v>
      </c>
      <c r="Q904" s="153" t="s">
        <v>415</v>
      </c>
      <c r="R904" s="153" t="s">
        <v>407</v>
      </c>
      <c r="S904" s="153" t="s">
        <v>1212</v>
      </c>
      <c r="T904" s="154">
        <v>7.64</v>
      </c>
      <c r="U904" s="153" t="s">
        <v>2435</v>
      </c>
      <c r="V904" s="155">
        <v>2.8799999999999999E-2</v>
      </c>
      <c r="W904" s="155">
        <v>3.2599999999999997E-2</v>
      </c>
      <c r="X904" s="153" t="s">
        <v>412</v>
      </c>
      <c r="Y904" s="153" t="s">
        <v>339</v>
      </c>
      <c r="Z904" s="154">
        <v>225000</v>
      </c>
      <c r="AA904" s="154">
        <v>1</v>
      </c>
      <c r="AB904" s="154">
        <v>103.71</v>
      </c>
      <c r="AD904" s="154">
        <v>233.34800000000001</v>
      </c>
      <c r="AG904" s="157" t="s">
        <v>15</v>
      </c>
      <c r="AH904" s="155">
        <v>6.0000000000000002E-5</v>
      </c>
      <c r="AI904" s="155">
        <f t="shared" si="14"/>
        <v>7.363507872704407E-3</v>
      </c>
      <c r="AJ904" s="155">
        <v>7.6404148784938331E-4</v>
      </c>
    </row>
    <row r="905" spans="1:36" s="160" customFormat="1">
      <c r="A905" s="153" t="s">
        <v>1213</v>
      </c>
      <c r="B905" s="160">
        <v>9300</v>
      </c>
      <c r="C905" s="153" t="s">
        <v>1600</v>
      </c>
      <c r="D905" s="153" t="s">
        <v>1601</v>
      </c>
      <c r="E905" s="153" t="s">
        <v>309</v>
      </c>
      <c r="F905" s="153" t="s">
        <v>2380</v>
      </c>
      <c r="G905" s="153" t="s">
        <v>2381</v>
      </c>
      <c r="H905" s="153" t="s">
        <v>321</v>
      </c>
      <c r="I905" s="153" t="s">
        <v>951</v>
      </c>
      <c r="J905" s="153" t="s">
        <v>204</v>
      </c>
      <c r="K905" s="153" t="s">
        <v>204</v>
      </c>
      <c r="L905" s="153" t="s">
        <v>325</v>
      </c>
      <c r="M905" s="153" t="s">
        <v>340</v>
      </c>
      <c r="N905" s="153" t="s">
        <v>448</v>
      </c>
      <c r="O905" s="153" t="s">
        <v>339</v>
      </c>
      <c r="P905" s="153" t="s">
        <v>1215</v>
      </c>
      <c r="Q905" s="153" t="s">
        <v>413</v>
      </c>
      <c r="R905" s="153" t="s">
        <v>407</v>
      </c>
      <c r="S905" s="153" t="s">
        <v>1212</v>
      </c>
      <c r="T905" s="154">
        <v>0.65</v>
      </c>
      <c r="U905" s="153" t="s">
        <v>2382</v>
      </c>
      <c r="V905" s="155">
        <v>4.616E-2</v>
      </c>
      <c r="W905" s="155">
        <v>4.4499999999999998E-2</v>
      </c>
      <c r="X905" s="153" t="s">
        <v>412</v>
      </c>
      <c r="Y905" s="153" t="s">
        <v>339</v>
      </c>
      <c r="Z905" s="154">
        <v>230000</v>
      </c>
      <c r="AA905" s="154">
        <v>1</v>
      </c>
      <c r="AB905" s="154">
        <v>100.87</v>
      </c>
      <c r="AD905" s="154">
        <v>232.001</v>
      </c>
      <c r="AG905" s="157" t="s">
        <v>15</v>
      </c>
      <c r="AH905" s="155">
        <v>1.9000000000000001E-4</v>
      </c>
      <c r="AI905" s="155">
        <f t="shared" si="14"/>
        <v>7.3210020654785775E-3</v>
      </c>
      <c r="AJ905" s="155">
        <v>7.5963106271553554E-4</v>
      </c>
    </row>
    <row r="906" spans="1:36" s="160" customFormat="1">
      <c r="A906" s="153" t="s">
        <v>1213</v>
      </c>
      <c r="B906" s="160">
        <v>9300</v>
      </c>
      <c r="C906" s="153" t="s">
        <v>455</v>
      </c>
      <c r="D906" s="153" t="s">
        <v>2106</v>
      </c>
      <c r="E906" s="153" t="s">
        <v>309</v>
      </c>
      <c r="F906" s="153" t="s">
        <v>2289</v>
      </c>
      <c r="G906" s="153" t="s">
        <v>2290</v>
      </c>
      <c r="H906" s="153" t="s">
        <v>321</v>
      </c>
      <c r="I906" s="153" t="s">
        <v>754</v>
      </c>
      <c r="J906" s="153" t="s">
        <v>204</v>
      </c>
      <c r="K906" s="153" t="s">
        <v>204</v>
      </c>
      <c r="L906" s="153" t="s">
        <v>325</v>
      </c>
      <c r="M906" s="153" t="s">
        <v>340</v>
      </c>
      <c r="N906" s="153" t="s">
        <v>440</v>
      </c>
      <c r="O906" s="153" t="s">
        <v>339</v>
      </c>
      <c r="P906" s="153" t="s">
        <v>1923</v>
      </c>
      <c r="Q906" s="153" t="s">
        <v>415</v>
      </c>
      <c r="R906" s="153" t="s">
        <v>407</v>
      </c>
      <c r="S906" s="153" t="s">
        <v>1212</v>
      </c>
      <c r="T906" s="154">
        <v>3.44</v>
      </c>
      <c r="U906" s="153" t="s">
        <v>2291</v>
      </c>
      <c r="V906" s="155">
        <v>1.9109999999999999E-2</v>
      </c>
      <c r="W906" s="155">
        <v>2.5700000000000001E-2</v>
      </c>
      <c r="X906" s="153" t="s">
        <v>412</v>
      </c>
      <c r="Y906" s="153" t="s">
        <v>339</v>
      </c>
      <c r="Z906" s="154">
        <v>185000.13</v>
      </c>
      <c r="AA906" s="154">
        <v>1</v>
      </c>
      <c r="AB906" s="154">
        <v>121.2</v>
      </c>
      <c r="AC906" s="154">
        <v>4.1360000000000001</v>
      </c>
      <c r="AD906" s="154">
        <v>228.35599999999999</v>
      </c>
      <c r="AG906" s="157" t="s">
        <v>15</v>
      </c>
      <c r="AH906" s="155">
        <v>6.9999999999999994E-5</v>
      </c>
      <c r="AI906" s="155">
        <f t="shared" si="14"/>
        <v>7.2059807831191501E-3</v>
      </c>
      <c r="AJ906" s="155">
        <v>7.476963933667045E-4</v>
      </c>
    </row>
    <row r="907" spans="1:36" s="160" customFormat="1">
      <c r="A907" s="153" t="s">
        <v>1213</v>
      </c>
      <c r="B907" s="160">
        <v>9300</v>
      </c>
      <c r="C907" s="153" t="s">
        <v>1512</v>
      </c>
      <c r="D907" s="153" t="s">
        <v>1513</v>
      </c>
      <c r="E907" s="153" t="s">
        <v>309</v>
      </c>
      <c r="F907" s="153" t="s">
        <v>2474</v>
      </c>
      <c r="G907" s="153" t="s">
        <v>2475</v>
      </c>
      <c r="H907" s="153" t="s">
        <v>321</v>
      </c>
      <c r="I907" s="153" t="s">
        <v>754</v>
      </c>
      <c r="J907" s="153" t="s">
        <v>204</v>
      </c>
      <c r="K907" s="153" t="s">
        <v>204</v>
      </c>
      <c r="L907" s="153" t="s">
        <v>325</v>
      </c>
      <c r="M907" s="153" t="s">
        <v>340</v>
      </c>
      <c r="N907" s="153" t="s">
        <v>448</v>
      </c>
      <c r="O907" s="153" t="s">
        <v>339</v>
      </c>
      <c r="P907" s="153" t="s">
        <v>1215</v>
      </c>
      <c r="Q907" s="153" t="s">
        <v>413</v>
      </c>
      <c r="R907" s="153" t="s">
        <v>407</v>
      </c>
      <c r="S907" s="153" t="s">
        <v>1212</v>
      </c>
      <c r="T907" s="154">
        <v>2.96</v>
      </c>
      <c r="U907" s="153" t="s">
        <v>2476</v>
      </c>
      <c r="V907" s="155">
        <v>-3.98E-3</v>
      </c>
      <c r="W907" s="155">
        <v>2.2599999999999999E-2</v>
      </c>
      <c r="X907" s="153" t="s">
        <v>412</v>
      </c>
      <c r="Y907" s="153" t="s">
        <v>339</v>
      </c>
      <c r="Z907" s="154">
        <v>197000</v>
      </c>
      <c r="AA907" s="154">
        <v>1</v>
      </c>
      <c r="AB907" s="154">
        <v>113.04</v>
      </c>
      <c r="AD907" s="154">
        <v>222.68899999999999</v>
      </c>
      <c r="AG907" s="157" t="s">
        <v>15</v>
      </c>
      <c r="AH907" s="155">
        <v>6.9999999999999994E-5</v>
      </c>
      <c r="AI907" s="155">
        <f t="shared" si="14"/>
        <v>7.0271534560599263E-3</v>
      </c>
      <c r="AJ907" s="155">
        <v>7.2914117493053858E-4</v>
      </c>
    </row>
    <row r="908" spans="1:36" s="160" customFormat="1">
      <c r="A908" s="153" t="s">
        <v>1213</v>
      </c>
      <c r="B908" s="160">
        <v>9300</v>
      </c>
      <c r="C908" s="153" t="s">
        <v>2228</v>
      </c>
      <c r="D908" s="153" t="s">
        <v>2229</v>
      </c>
      <c r="E908" s="153" t="s">
        <v>309</v>
      </c>
      <c r="F908" s="153" t="s">
        <v>2449</v>
      </c>
      <c r="G908" s="153" t="s">
        <v>2450</v>
      </c>
      <c r="H908" s="153" t="s">
        <v>321</v>
      </c>
      <c r="I908" s="153" t="s">
        <v>952</v>
      </c>
      <c r="J908" s="153" t="s">
        <v>204</v>
      </c>
      <c r="K908" s="153" t="s">
        <v>204</v>
      </c>
      <c r="L908" s="153" t="s">
        <v>325</v>
      </c>
      <c r="M908" s="153" t="s">
        <v>340</v>
      </c>
      <c r="N908" s="153" t="s">
        <v>441</v>
      </c>
      <c r="O908" s="153" t="s">
        <v>339</v>
      </c>
      <c r="P908" s="153" t="s">
        <v>1614</v>
      </c>
      <c r="Q908" s="153" t="s">
        <v>415</v>
      </c>
      <c r="R908" s="153" t="s">
        <v>407</v>
      </c>
      <c r="S908" s="153" t="s">
        <v>1212</v>
      </c>
      <c r="T908" s="154">
        <v>3.86</v>
      </c>
      <c r="U908" s="153" t="s">
        <v>2451</v>
      </c>
      <c r="V908" s="155">
        <v>2.1569999999999999E-2</v>
      </c>
      <c r="W908" s="155">
        <v>5.9400000000000001E-2</v>
      </c>
      <c r="X908" s="153" t="s">
        <v>412</v>
      </c>
      <c r="Y908" s="153" t="s">
        <v>339</v>
      </c>
      <c r="Z908" s="154">
        <v>268000</v>
      </c>
      <c r="AA908" s="154">
        <v>1</v>
      </c>
      <c r="AB908" s="154">
        <v>82.4</v>
      </c>
      <c r="AD908" s="154">
        <v>220.83199999999999</v>
      </c>
      <c r="AG908" s="157" t="s">
        <v>15</v>
      </c>
      <c r="AH908" s="155">
        <v>5.0000000000000001E-4</v>
      </c>
      <c r="AI908" s="155">
        <f t="shared" si="14"/>
        <v>6.9685541360759874E-3</v>
      </c>
      <c r="AJ908" s="155">
        <v>7.2306087836516715E-4</v>
      </c>
    </row>
    <row r="909" spans="1:36" s="160" customFormat="1">
      <c r="A909" s="153" t="s">
        <v>1213</v>
      </c>
      <c r="B909" s="160">
        <v>9300</v>
      </c>
      <c r="C909" s="153" t="s">
        <v>2428</v>
      </c>
      <c r="D909" s="153" t="s">
        <v>2429</v>
      </c>
      <c r="E909" s="153" t="s">
        <v>309</v>
      </c>
      <c r="F909" s="153" t="s">
        <v>2430</v>
      </c>
      <c r="G909" s="153" t="s">
        <v>2431</v>
      </c>
      <c r="H909" s="153" t="s">
        <v>321</v>
      </c>
      <c r="I909" s="153" t="s">
        <v>755</v>
      </c>
      <c r="J909" s="153" t="s">
        <v>204</v>
      </c>
      <c r="K909" s="153" t="s">
        <v>204</v>
      </c>
      <c r="L909" s="153" t="s">
        <v>325</v>
      </c>
      <c r="M909" s="153" t="s">
        <v>340</v>
      </c>
      <c r="N909" s="153" t="s">
        <v>454</v>
      </c>
      <c r="O909" s="153" t="s">
        <v>339</v>
      </c>
      <c r="P909" s="153" t="s">
        <v>1538</v>
      </c>
      <c r="Q909" s="153" t="s">
        <v>413</v>
      </c>
      <c r="R909" s="153" t="s">
        <v>407</v>
      </c>
      <c r="S909" s="153" t="s">
        <v>1212</v>
      </c>
      <c r="T909" s="154">
        <v>0.5</v>
      </c>
      <c r="U909" s="153" t="s">
        <v>2432</v>
      </c>
      <c r="V909" s="155">
        <v>3.7900000000000003E-2</v>
      </c>
      <c r="W909" s="155">
        <v>8.8599999999999998E-2</v>
      </c>
      <c r="X909" s="153" t="s">
        <v>412</v>
      </c>
      <c r="Y909" s="153" t="s">
        <v>339</v>
      </c>
      <c r="Z909" s="154">
        <v>212000.07</v>
      </c>
      <c r="AA909" s="154">
        <v>1</v>
      </c>
      <c r="AB909" s="154">
        <v>102.3</v>
      </c>
      <c r="AD909" s="154">
        <v>216.876</v>
      </c>
      <c r="AG909" s="157" t="s">
        <v>15</v>
      </c>
      <c r="AH909" s="155">
        <v>4.2000000000000002E-4</v>
      </c>
      <c r="AI909" s="155">
        <f t="shared" si="14"/>
        <v>6.843718966524851E-3</v>
      </c>
      <c r="AJ909" s="155">
        <v>7.1010791486887767E-4</v>
      </c>
    </row>
    <row r="910" spans="1:36" s="160" customFormat="1">
      <c r="A910" s="153" t="s">
        <v>1213</v>
      </c>
      <c r="B910" s="160">
        <v>9300</v>
      </c>
      <c r="C910" s="153" t="s">
        <v>1573</v>
      </c>
      <c r="D910" s="153" t="s">
        <v>1574</v>
      </c>
      <c r="E910" s="153" t="s">
        <v>309</v>
      </c>
      <c r="F910" s="153" t="s">
        <v>2534</v>
      </c>
      <c r="G910" s="153" t="s">
        <v>2535</v>
      </c>
      <c r="H910" s="153" t="s">
        <v>321</v>
      </c>
      <c r="I910" s="153" t="s">
        <v>951</v>
      </c>
      <c r="J910" s="153" t="s">
        <v>204</v>
      </c>
      <c r="K910" s="153" t="s">
        <v>204</v>
      </c>
      <c r="L910" s="153" t="s">
        <v>325</v>
      </c>
      <c r="M910" s="153" t="s">
        <v>340</v>
      </c>
      <c r="N910" s="153" t="s">
        <v>448</v>
      </c>
      <c r="O910" s="153" t="s">
        <v>339</v>
      </c>
      <c r="P910" s="153" t="s">
        <v>1215</v>
      </c>
      <c r="Q910" s="153" t="s">
        <v>413</v>
      </c>
      <c r="R910" s="153" t="s">
        <v>407</v>
      </c>
      <c r="S910" s="153" t="s">
        <v>1212</v>
      </c>
      <c r="T910" s="154">
        <v>0.41</v>
      </c>
      <c r="U910" s="153" t="s">
        <v>1392</v>
      </c>
      <c r="V910" s="155">
        <v>1.9279999999999999E-2</v>
      </c>
      <c r="W910" s="155">
        <v>4.4299999999999999E-2</v>
      </c>
      <c r="X910" s="153" t="s">
        <v>412</v>
      </c>
      <c r="Y910" s="153" t="s">
        <v>339</v>
      </c>
      <c r="Z910" s="154">
        <v>213000</v>
      </c>
      <c r="AA910" s="154">
        <v>1</v>
      </c>
      <c r="AB910" s="154">
        <v>100.22</v>
      </c>
      <c r="AD910" s="154">
        <v>213.46899999999999</v>
      </c>
      <c r="AG910" s="157" t="s">
        <v>15</v>
      </c>
      <c r="AH910" s="155">
        <v>2.5000000000000001E-4</v>
      </c>
      <c r="AI910" s="155">
        <f t="shared" si="14"/>
        <v>6.7362079901192081E-3</v>
      </c>
      <c r="AJ910" s="155">
        <v>6.9895251885475774E-4</v>
      </c>
    </row>
    <row r="911" spans="1:36" s="160" customFormat="1">
      <c r="A911" s="153" t="s">
        <v>1213</v>
      </c>
      <c r="B911" s="160">
        <v>9300</v>
      </c>
      <c r="C911" s="153" t="s">
        <v>2872</v>
      </c>
      <c r="D911" s="153" t="s">
        <v>2873</v>
      </c>
      <c r="E911" s="153" t="s">
        <v>309</v>
      </c>
      <c r="F911" s="153" t="s">
        <v>2874</v>
      </c>
      <c r="G911" s="153" t="s">
        <v>2875</v>
      </c>
      <c r="H911" s="153" t="s">
        <v>321</v>
      </c>
      <c r="I911" s="153" t="s">
        <v>952</v>
      </c>
      <c r="J911" s="153" t="s">
        <v>204</v>
      </c>
      <c r="K911" s="153" t="s">
        <v>204</v>
      </c>
      <c r="L911" s="153" t="s">
        <v>325</v>
      </c>
      <c r="M911" s="153" t="s">
        <v>340</v>
      </c>
      <c r="N911" s="153" t="s">
        <v>441</v>
      </c>
      <c r="O911" s="153" t="s">
        <v>339</v>
      </c>
      <c r="Q911" s="153" t="s">
        <v>410</v>
      </c>
      <c r="R911" s="153" t="s">
        <v>410</v>
      </c>
      <c r="S911" s="153" t="s">
        <v>1212</v>
      </c>
      <c r="T911" s="154">
        <v>1.71</v>
      </c>
      <c r="U911" s="153" t="s">
        <v>1833</v>
      </c>
      <c r="V911" s="155">
        <v>7.2349999999999998E-2</v>
      </c>
      <c r="W911" s="155">
        <v>6.83E-2</v>
      </c>
      <c r="X911" s="153" t="s">
        <v>412</v>
      </c>
      <c r="Y911" s="153" t="s">
        <v>339</v>
      </c>
      <c r="Z911" s="154">
        <v>226000</v>
      </c>
      <c r="AA911" s="154">
        <v>1</v>
      </c>
      <c r="AB911" s="154">
        <v>93.8</v>
      </c>
      <c r="AD911" s="154">
        <v>211.988</v>
      </c>
      <c r="AG911" s="157" t="s">
        <v>15</v>
      </c>
      <c r="AH911" s="155">
        <v>6.8000000000000005E-4</v>
      </c>
      <c r="AI911" s="155">
        <f t="shared" si="14"/>
        <v>6.6894736913059539E-3</v>
      </c>
      <c r="AJ911" s="155">
        <v>6.9410334318792139E-4</v>
      </c>
    </row>
    <row r="912" spans="1:36" s="160" customFormat="1">
      <c r="A912" s="153" t="s">
        <v>1213</v>
      </c>
      <c r="B912" s="160">
        <v>9300</v>
      </c>
      <c r="C912" s="153" t="s">
        <v>2385</v>
      </c>
      <c r="D912" s="153" t="s">
        <v>2386</v>
      </c>
      <c r="E912" s="153" t="s">
        <v>309</v>
      </c>
      <c r="F912" s="153" t="s">
        <v>2400</v>
      </c>
      <c r="G912" s="153" t="s">
        <v>2401</v>
      </c>
      <c r="H912" s="153" t="s">
        <v>321</v>
      </c>
      <c r="I912" s="153" t="s">
        <v>754</v>
      </c>
      <c r="J912" s="153" t="s">
        <v>204</v>
      </c>
      <c r="K912" s="153" t="s">
        <v>204</v>
      </c>
      <c r="L912" s="153" t="s">
        <v>325</v>
      </c>
      <c r="M912" s="153" t="s">
        <v>340</v>
      </c>
      <c r="N912" s="153" t="s">
        <v>464</v>
      </c>
      <c r="O912" s="153" t="s">
        <v>339</v>
      </c>
      <c r="P912" s="153" t="s">
        <v>1211</v>
      </c>
      <c r="Q912" s="153" t="s">
        <v>415</v>
      </c>
      <c r="R912" s="153" t="s">
        <v>407</v>
      </c>
      <c r="S912" s="153" t="s">
        <v>1212</v>
      </c>
      <c r="T912" s="154">
        <v>4.99</v>
      </c>
      <c r="U912" s="153" t="s">
        <v>2227</v>
      </c>
      <c r="V912" s="155">
        <v>5.7400000000000003E-3</v>
      </c>
      <c r="W912" s="155">
        <v>2.7E-2</v>
      </c>
      <c r="X912" s="153" t="s">
        <v>412</v>
      </c>
      <c r="Y912" s="153" t="s">
        <v>339</v>
      </c>
      <c r="Z912" s="154">
        <v>190000</v>
      </c>
      <c r="AA912" s="154">
        <v>1</v>
      </c>
      <c r="AB912" s="154">
        <v>111.02</v>
      </c>
      <c r="AD912" s="154">
        <v>210.93799999999999</v>
      </c>
      <c r="AG912" s="157" t="s">
        <v>15</v>
      </c>
      <c r="AH912" s="155">
        <v>9.0000000000000006E-5</v>
      </c>
      <c r="AI912" s="155">
        <f t="shared" si="14"/>
        <v>6.6563399885686703E-3</v>
      </c>
      <c r="AJ912" s="155">
        <v>6.9066537259360791E-4</v>
      </c>
    </row>
    <row r="913" spans="1:36" s="160" customFormat="1">
      <c r="A913" s="153" t="s">
        <v>1213</v>
      </c>
      <c r="B913" s="160">
        <v>9300</v>
      </c>
      <c r="C913" s="153" t="s">
        <v>1807</v>
      </c>
      <c r="D913" s="153" t="s">
        <v>1808</v>
      </c>
      <c r="E913" s="153" t="s">
        <v>309</v>
      </c>
      <c r="F913" s="153" t="s">
        <v>1921</v>
      </c>
      <c r="G913" s="153" t="s">
        <v>1922</v>
      </c>
      <c r="H913" s="153" t="s">
        <v>321</v>
      </c>
      <c r="I913" s="153" t="s">
        <v>754</v>
      </c>
      <c r="J913" s="153" t="s">
        <v>204</v>
      </c>
      <c r="K913" s="153" t="s">
        <v>204</v>
      </c>
      <c r="L913" s="153" t="s">
        <v>325</v>
      </c>
      <c r="M913" s="153" t="s">
        <v>340</v>
      </c>
      <c r="N913" s="153" t="s">
        <v>464</v>
      </c>
      <c r="O913" s="153" t="s">
        <v>339</v>
      </c>
      <c r="P913" s="153" t="s">
        <v>1923</v>
      </c>
      <c r="Q913" s="153" t="s">
        <v>415</v>
      </c>
      <c r="R913" s="153" t="s">
        <v>407</v>
      </c>
      <c r="S913" s="153" t="s">
        <v>1212</v>
      </c>
      <c r="T913" s="154">
        <v>2.5499999999999998</v>
      </c>
      <c r="U913" s="153" t="s">
        <v>1744</v>
      </c>
      <c r="V913" s="155">
        <v>1.4120000000000001E-2</v>
      </c>
      <c r="W913" s="155">
        <v>2.7099999999999999E-2</v>
      </c>
      <c r="X913" s="153" t="s">
        <v>412</v>
      </c>
      <c r="Y913" s="153" t="s">
        <v>339</v>
      </c>
      <c r="Z913" s="154">
        <v>181000.33</v>
      </c>
      <c r="AA913" s="154">
        <v>1</v>
      </c>
      <c r="AB913" s="154">
        <v>113.19</v>
      </c>
      <c r="AD913" s="154">
        <v>204.874</v>
      </c>
      <c r="AG913" s="157" t="s">
        <v>15</v>
      </c>
      <c r="AH913" s="155">
        <v>6.9999999999999994E-5</v>
      </c>
      <c r="AI913" s="155">
        <f t="shared" si="14"/>
        <v>6.4649849662840164E-3</v>
      </c>
      <c r="AJ913" s="155">
        <v>6.7081027384702056E-4</v>
      </c>
    </row>
    <row r="914" spans="1:36" s="160" customFormat="1">
      <c r="A914" s="153" t="s">
        <v>1213</v>
      </c>
      <c r="B914" s="160">
        <v>9300</v>
      </c>
      <c r="C914" s="153" t="s">
        <v>1909</v>
      </c>
      <c r="D914" s="153" t="s">
        <v>1910</v>
      </c>
      <c r="E914" s="153" t="s">
        <v>309</v>
      </c>
      <c r="F914" s="153" t="s">
        <v>1911</v>
      </c>
      <c r="G914" s="153" t="s">
        <v>1912</v>
      </c>
      <c r="H914" s="153" t="s">
        <v>321</v>
      </c>
      <c r="I914" s="153" t="s">
        <v>754</v>
      </c>
      <c r="J914" s="153" t="s">
        <v>204</v>
      </c>
      <c r="K914" s="153" t="s">
        <v>204</v>
      </c>
      <c r="L914" s="153" t="s">
        <v>325</v>
      </c>
      <c r="M914" s="153" t="s">
        <v>340</v>
      </c>
      <c r="N914" s="153" t="s">
        <v>464</v>
      </c>
      <c r="O914" s="153" t="s">
        <v>339</v>
      </c>
      <c r="Q914" s="153" t="s">
        <v>410</v>
      </c>
      <c r="R914" s="153" t="s">
        <v>410</v>
      </c>
      <c r="S914" s="153" t="s">
        <v>1212</v>
      </c>
      <c r="T914" s="154">
        <v>4.2</v>
      </c>
      <c r="U914" s="153" t="s">
        <v>1913</v>
      </c>
      <c r="V914" s="155">
        <v>1.634E-2</v>
      </c>
      <c r="W914" s="155">
        <v>3.0300000000000001E-2</v>
      </c>
      <c r="X914" s="153" t="s">
        <v>412</v>
      </c>
      <c r="Y914" s="153" t="s">
        <v>339</v>
      </c>
      <c r="Z914" s="154">
        <v>191000</v>
      </c>
      <c r="AA914" s="154">
        <v>1</v>
      </c>
      <c r="AB914" s="154">
        <v>104.57</v>
      </c>
      <c r="AD914" s="154">
        <v>199.72900000000001</v>
      </c>
      <c r="AG914" s="157" t="s">
        <v>15</v>
      </c>
      <c r="AH914" s="155">
        <v>2.9E-4</v>
      </c>
      <c r="AI914" s="155">
        <f t="shared" si="14"/>
        <v>6.3026298228713281E-3</v>
      </c>
      <c r="AJ914" s="155">
        <v>6.5396421793488481E-4</v>
      </c>
    </row>
    <row r="915" spans="1:36" s="160" customFormat="1">
      <c r="A915" s="153" t="s">
        <v>1213</v>
      </c>
      <c r="B915" s="160">
        <v>9300</v>
      </c>
      <c r="C915" s="153" t="s">
        <v>455</v>
      </c>
      <c r="D915" s="153" t="s">
        <v>2106</v>
      </c>
      <c r="E915" s="153" t="s">
        <v>309</v>
      </c>
      <c r="F915" s="153" t="s">
        <v>2255</v>
      </c>
      <c r="G915" s="153" t="s">
        <v>2256</v>
      </c>
      <c r="H915" s="153" t="s">
        <v>321</v>
      </c>
      <c r="I915" s="153" t="s">
        <v>754</v>
      </c>
      <c r="J915" s="153" t="s">
        <v>204</v>
      </c>
      <c r="K915" s="153" t="s">
        <v>204</v>
      </c>
      <c r="L915" s="153" t="s">
        <v>325</v>
      </c>
      <c r="M915" s="153" t="s">
        <v>340</v>
      </c>
      <c r="N915" s="153" t="s">
        <v>440</v>
      </c>
      <c r="O915" s="153" t="s">
        <v>339</v>
      </c>
      <c r="P915" s="153" t="s">
        <v>1923</v>
      </c>
      <c r="Q915" s="153" t="s">
        <v>415</v>
      </c>
      <c r="R915" s="153" t="s">
        <v>407</v>
      </c>
      <c r="S915" s="153" t="s">
        <v>1212</v>
      </c>
      <c r="T915" s="154">
        <v>5.8</v>
      </c>
      <c r="U915" s="153" t="s">
        <v>2257</v>
      </c>
      <c r="V915" s="155">
        <v>5.77E-3</v>
      </c>
      <c r="W915" s="155">
        <v>2.92E-2</v>
      </c>
      <c r="X915" s="153" t="s">
        <v>412</v>
      </c>
      <c r="Y915" s="153" t="s">
        <v>339</v>
      </c>
      <c r="Z915" s="154">
        <v>175000</v>
      </c>
      <c r="AA915" s="154">
        <v>1</v>
      </c>
      <c r="AB915" s="154">
        <v>111.74</v>
      </c>
      <c r="AD915" s="154">
        <v>195.54499999999999</v>
      </c>
      <c r="AG915" s="157" t="s">
        <v>15</v>
      </c>
      <c r="AH915" s="155">
        <v>4.0000000000000003E-5</v>
      </c>
      <c r="AI915" s="155">
        <f t="shared" si="14"/>
        <v>6.1705999064400946E-3</v>
      </c>
      <c r="AJ915" s="155">
        <v>6.4026472368097288E-4</v>
      </c>
    </row>
    <row r="916" spans="1:36" s="160" customFormat="1">
      <c r="A916" s="153" t="s">
        <v>1213</v>
      </c>
      <c r="B916" s="160">
        <v>9300</v>
      </c>
      <c r="C916" s="153" t="s">
        <v>2876</v>
      </c>
      <c r="D916" s="153" t="s">
        <v>2877</v>
      </c>
      <c r="E916" s="153" t="s">
        <v>309</v>
      </c>
      <c r="F916" s="153" t="s">
        <v>2878</v>
      </c>
      <c r="G916" s="153" t="s">
        <v>2879</v>
      </c>
      <c r="H916" s="153" t="s">
        <v>321</v>
      </c>
      <c r="I916" s="153" t="s">
        <v>951</v>
      </c>
      <c r="J916" s="153" t="s">
        <v>204</v>
      </c>
      <c r="K916" s="153" t="s">
        <v>204</v>
      </c>
      <c r="L916" s="153" t="s">
        <v>325</v>
      </c>
      <c r="M916" s="153" t="s">
        <v>340</v>
      </c>
      <c r="N916" s="153" t="s">
        <v>436</v>
      </c>
      <c r="O916" s="153" t="s">
        <v>339</v>
      </c>
      <c r="P916" s="153" t="s">
        <v>1211</v>
      </c>
      <c r="Q916" s="153" t="s">
        <v>415</v>
      </c>
      <c r="R916" s="153" t="s">
        <v>407</v>
      </c>
      <c r="S916" s="153" t="s">
        <v>1212</v>
      </c>
      <c r="T916" s="154">
        <v>2.3199999999999998</v>
      </c>
      <c r="U916" s="153" t="s">
        <v>2880</v>
      </c>
      <c r="V916" s="155">
        <v>2.3279999999999999E-2</v>
      </c>
      <c r="W916" s="155">
        <v>5.1999999999999998E-2</v>
      </c>
      <c r="X916" s="153" t="s">
        <v>412</v>
      </c>
      <c r="Y916" s="153" t="s">
        <v>339</v>
      </c>
      <c r="Z916" s="154">
        <v>202000</v>
      </c>
      <c r="AA916" s="154">
        <v>1</v>
      </c>
      <c r="AB916" s="154">
        <v>96.67</v>
      </c>
      <c r="AD916" s="154">
        <v>195.273</v>
      </c>
      <c r="AG916" s="157" t="s">
        <v>15</v>
      </c>
      <c r="AH916" s="155">
        <v>1.8400000000000001E-3</v>
      </c>
      <c r="AI916" s="155">
        <f t="shared" si="14"/>
        <v>6.1620166996357697E-3</v>
      </c>
      <c r="AJ916" s="155">
        <v>6.3937412558416021E-4</v>
      </c>
    </row>
    <row r="917" spans="1:36" s="160" customFormat="1">
      <c r="A917" s="153" t="s">
        <v>1213</v>
      </c>
      <c r="B917" s="160">
        <v>9300</v>
      </c>
      <c r="C917" s="153" t="s">
        <v>2866</v>
      </c>
      <c r="D917" s="153" t="s">
        <v>2867</v>
      </c>
      <c r="E917" s="153" t="s">
        <v>309</v>
      </c>
      <c r="F917" s="153" t="s">
        <v>2881</v>
      </c>
      <c r="G917" s="153" t="s">
        <v>2882</v>
      </c>
      <c r="H917" s="153" t="s">
        <v>321</v>
      </c>
      <c r="I917" s="153" t="s">
        <v>754</v>
      </c>
      <c r="J917" s="153" t="s">
        <v>204</v>
      </c>
      <c r="K917" s="153" t="s">
        <v>204</v>
      </c>
      <c r="L917" s="153" t="s">
        <v>325</v>
      </c>
      <c r="M917" s="153" t="s">
        <v>340</v>
      </c>
      <c r="N917" s="153" t="s">
        <v>464</v>
      </c>
      <c r="O917" s="153" t="s">
        <v>339</v>
      </c>
      <c r="P917" s="153" t="s">
        <v>1554</v>
      </c>
      <c r="Q917" s="153" t="s">
        <v>413</v>
      </c>
      <c r="R917" s="153" t="s">
        <v>407</v>
      </c>
      <c r="S917" s="153" t="s">
        <v>1212</v>
      </c>
      <c r="T917" s="154">
        <v>1.25</v>
      </c>
      <c r="U917" s="153" t="s">
        <v>1777</v>
      </c>
      <c r="V917" s="155">
        <v>-8.9999999999999998E-4</v>
      </c>
      <c r="W917" s="155">
        <v>1.6500000000000001E-2</v>
      </c>
      <c r="X917" s="153" t="s">
        <v>412</v>
      </c>
      <c r="Y917" s="153" t="s">
        <v>339</v>
      </c>
      <c r="Z917" s="154">
        <v>162000</v>
      </c>
      <c r="AA917" s="154">
        <v>1</v>
      </c>
      <c r="AB917" s="154">
        <v>113.17</v>
      </c>
      <c r="AD917" s="154">
        <v>183.33500000000001</v>
      </c>
      <c r="AG917" s="157" t="s">
        <v>15</v>
      </c>
      <c r="AH917" s="155">
        <v>2.7999999999999998E-4</v>
      </c>
      <c r="AI917" s="155">
        <f t="shared" si="14"/>
        <v>5.785302277466541E-3</v>
      </c>
      <c r="AJ917" s="155">
        <v>6.0028603705567093E-4</v>
      </c>
    </row>
    <row r="918" spans="1:36" s="160" customFormat="1">
      <c r="A918" s="153" t="s">
        <v>1213</v>
      </c>
      <c r="B918" s="160">
        <v>9300</v>
      </c>
      <c r="C918" s="153" t="s">
        <v>2883</v>
      </c>
      <c r="D918" s="153">
        <v>53368</v>
      </c>
      <c r="E918" s="153" t="s">
        <v>311</v>
      </c>
      <c r="F918" s="153" t="s">
        <v>2885</v>
      </c>
      <c r="G918" s="153" t="s">
        <v>2886</v>
      </c>
      <c r="H918" s="153" t="s">
        <v>321</v>
      </c>
      <c r="I918" s="153" t="s">
        <v>755</v>
      </c>
      <c r="J918" s="153" t="s">
        <v>204</v>
      </c>
      <c r="K918" s="153" t="s">
        <v>204</v>
      </c>
      <c r="L918" s="153" t="s">
        <v>325</v>
      </c>
      <c r="M918" s="153" t="s">
        <v>340</v>
      </c>
      <c r="N918" s="153" t="s">
        <v>480</v>
      </c>
      <c r="O918" s="153" t="s">
        <v>339</v>
      </c>
      <c r="P918" s="153" t="s">
        <v>1566</v>
      </c>
      <c r="Q918" s="153" t="s">
        <v>413</v>
      </c>
      <c r="R918" s="153" t="s">
        <v>407</v>
      </c>
      <c r="S918" s="153" t="s">
        <v>1212</v>
      </c>
      <c r="T918" s="154">
        <v>0.73</v>
      </c>
      <c r="U918" s="153" t="s">
        <v>1749</v>
      </c>
      <c r="V918" s="155">
        <v>3.2730000000000002E-2</v>
      </c>
      <c r="W918" s="155">
        <v>7.2599999999999998E-2</v>
      </c>
      <c r="X918" s="153" t="s">
        <v>412</v>
      </c>
      <c r="Y918" s="153" t="s">
        <v>339</v>
      </c>
      <c r="Z918" s="154">
        <v>175000.37</v>
      </c>
      <c r="AA918" s="154">
        <v>1</v>
      </c>
      <c r="AB918" s="154">
        <v>103.4</v>
      </c>
      <c r="AD918" s="154">
        <v>180.95</v>
      </c>
      <c r="AG918" s="157" t="s">
        <v>15</v>
      </c>
      <c r="AH918" s="155">
        <v>1.25E-3</v>
      </c>
      <c r="AI918" s="155">
        <f t="shared" si="14"/>
        <v>5.710041438391854E-3</v>
      </c>
      <c r="AJ918" s="155">
        <v>5.9247693242001607E-4</v>
      </c>
    </row>
    <row r="919" spans="1:36" s="160" customFormat="1">
      <c r="A919" s="153" t="s">
        <v>1213</v>
      </c>
      <c r="B919" s="160">
        <v>9300</v>
      </c>
      <c r="C919" s="153" t="s">
        <v>1573</v>
      </c>
      <c r="D919" s="153" t="s">
        <v>1574</v>
      </c>
      <c r="E919" s="153" t="s">
        <v>309</v>
      </c>
      <c r="F919" s="153" t="s">
        <v>2094</v>
      </c>
      <c r="G919" s="153" t="s">
        <v>2095</v>
      </c>
      <c r="H919" s="153" t="s">
        <v>321</v>
      </c>
      <c r="I919" s="153" t="s">
        <v>754</v>
      </c>
      <c r="J919" s="153" t="s">
        <v>204</v>
      </c>
      <c r="K919" s="153" t="s">
        <v>204</v>
      </c>
      <c r="L919" s="153" t="s">
        <v>325</v>
      </c>
      <c r="M919" s="153" t="s">
        <v>340</v>
      </c>
      <c r="N919" s="153" t="s">
        <v>448</v>
      </c>
      <c r="O919" s="153" t="s">
        <v>339</v>
      </c>
      <c r="P919" s="153" t="s">
        <v>1215</v>
      </c>
      <c r="Q919" s="153" t="s">
        <v>413</v>
      </c>
      <c r="R919" s="153" t="s">
        <v>407</v>
      </c>
      <c r="S919" s="153" t="s">
        <v>1212</v>
      </c>
      <c r="T919" s="154">
        <v>5.04</v>
      </c>
      <c r="U919" s="153" t="s">
        <v>2096</v>
      </c>
      <c r="V919" s="155">
        <v>2.0969999999999999E-2</v>
      </c>
      <c r="W919" s="155">
        <v>2.5899999999999999E-2</v>
      </c>
      <c r="X919" s="153" t="s">
        <v>412</v>
      </c>
      <c r="Y919" s="153" t="s">
        <v>339</v>
      </c>
      <c r="Z919" s="154">
        <v>170000</v>
      </c>
      <c r="AA919" s="154">
        <v>1</v>
      </c>
      <c r="AB919" s="154">
        <v>101.35</v>
      </c>
      <c r="AD919" s="154">
        <v>172.29499999999999</v>
      </c>
      <c r="AG919" s="157" t="s">
        <v>15</v>
      </c>
      <c r="AH919" s="155">
        <v>5.0000000000000002E-5</v>
      </c>
      <c r="AI919" s="155">
        <f t="shared" si="14"/>
        <v>5.4369250601145318E-3</v>
      </c>
      <c r="AJ919" s="155">
        <v>5.6413823194974668E-4</v>
      </c>
    </row>
    <row r="920" spans="1:36" s="160" customFormat="1">
      <c r="A920" s="153" t="s">
        <v>1213</v>
      </c>
      <c r="B920" s="160">
        <v>9300</v>
      </c>
      <c r="C920" s="153" t="s">
        <v>1986</v>
      </c>
      <c r="D920" s="153" t="s">
        <v>1987</v>
      </c>
      <c r="E920" s="153" t="s">
        <v>309</v>
      </c>
      <c r="F920" s="153" t="s">
        <v>2504</v>
      </c>
      <c r="G920" s="153" t="s">
        <v>2505</v>
      </c>
      <c r="H920" s="153" t="s">
        <v>321</v>
      </c>
      <c r="I920" s="153" t="s">
        <v>951</v>
      </c>
      <c r="J920" s="153" t="s">
        <v>204</v>
      </c>
      <c r="K920" s="153" t="s">
        <v>204</v>
      </c>
      <c r="L920" s="153" t="s">
        <v>325</v>
      </c>
      <c r="M920" s="153" t="s">
        <v>340</v>
      </c>
      <c r="N920" s="153" t="s">
        <v>484</v>
      </c>
      <c r="O920" s="153" t="s">
        <v>339</v>
      </c>
      <c r="P920" s="153" t="s">
        <v>1538</v>
      </c>
      <c r="Q920" s="153" t="s">
        <v>413</v>
      </c>
      <c r="R920" s="153" t="s">
        <v>407</v>
      </c>
      <c r="S920" s="153" t="s">
        <v>1212</v>
      </c>
      <c r="T920" s="154">
        <v>0.65</v>
      </c>
      <c r="U920" s="153" t="s">
        <v>2372</v>
      </c>
      <c r="V920" s="155">
        <v>4.9050000000000003E-2</v>
      </c>
      <c r="W920" s="155">
        <v>5.0500000000000003E-2</v>
      </c>
      <c r="X920" s="153" t="s">
        <v>412</v>
      </c>
      <c r="Y920" s="153" t="s">
        <v>339</v>
      </c>
      <c r="Z920" s="154">
        <v>170000</v>
      </c>
      <c r="AA920" s="154">
        <v>1</v>
      </c>
      <c r="AB920" s="154">
        <v>100.35</v>
      </c>
      <c r="AD920" s="154">
        <v>170.595</v>
      </c>
      <c r="AG920" s="157" t="s">
        <v>15</v>
      </c>
      <c r="AH920" s="155">
        <v>1.6000000000000001E-4</v>
      </c>
      <c r="AI920" s="155">
        <f t="shared" si="14"/>
        <v>5.3832800175875016E-3</v>
      </c>
      <c r="AJ920" s="155">
        <v>5.5857199384466781E-4</v>
      </c>
    </row>
    <row r="921" spans="1:36" s="160" customFormat="1">
      <c r="A921" s="153" t="s">
        <v>1213</v>
      </c>
      <c r="B921" s="160">
        <v>9300</v>
      </c>
      <c r="C921" s="153" t="s">
        <v>1691</v>
      </c>
      <c r="D921" s="153" t="s">
        <v>1692</v>
      </c>
      <c r="E921" s="153" t="s">
        <v>309</v>
      </c>
      <c r="F921" s="153" t="s">
        <v>2133</v>
      </c>
      <c r="G921" s="153" t="s">
        <v>2134</v>
      </c>
      <c r="H921" s="153" t="s">
        <v>321</v>
      </c>
      <c r="I921" s="153" t="s">
        <v>754</v>
      </c>
      <c r="J921" s="153" t="s">
        <v>204</v>
      </c>
      <c r="K921" s="153" t="s">
        <v>204</v>
      </c>
      <c r="L921" s="153" t="s">
        <v>325</v>
      </c>
      <c r="M921" s="153" t="s">
        <v>340</v>
      </c>
      <c r="N921" s="153" t="s">
        <v>464</v>
      </c>
      <c r="O921" s="153" t="s">
        <v>339</v>
      </c>
      <c r="P921" s="153" t="s">
        <v>1538</v>
      </c>
      <c r="Q921" s="153" t="s">
        <v>413</v>
      </c>
      <c r="R921" s="153" t="s">
        <v>407</v>
      </c>
      <c r="S921" s="153" t="s">
        <v>1212</v>
      </c>
      <c r="T921" s="154">
        <v>2.14</v>
      </c>
      <c r="U921" s="153" t="s">
        <v>2135</v>
      </c>
      <c r="V921" s="155">
        <v>2.3369999999999998E-2</v>
      </c>
      <c r="W921" s="155">
        <v>2.63E-2</v>
      </c>
      <c r="X921" s="153" t="s">
        <v>412</v>
      </c>
      <c r="Y921" s="153" t="s">
        <v>339</v>
      </c>
      <c r="Z921" s="154">
        <v>141829.32999999999</v>
      </c>
      <c r="AA921" s="154">
        <v>1</v>
      </c>
      <c r="AB921" s="154">
        <v>119.57</v>
      </c>
      <c r="AD921" s="154">
        <v>169.58500000000001</v>
      </c>
      <c r="AG921" s="157" t="s">
        <v>15</v>
      </c>
      <c r="AH921" s="155">
        <v>1.4999999999999999E-4</v>
      </c>
      <c r="AI921" s="155">
        <f t="shared" si="14"/>
        <v>5.3514085511449719E-3</v>
      </c>
      <c r="AJ921" s="155">
        <v>5.5526499355870924E-4</v>
      </c>
    </row>
    <row r="922" spans="1:36" s="160" customFormat="1">
      <c r="A922" s="153" t="s">
        <v>1213</v>
      </c>
      <c r="B922" s="160">
        <v>9300</v>
      </c>
      <c r="C922" s="153" t="s">
        <v>1924</v>
      </c>
      <c r="D922" s="153" t="s">
        <v>1925</v>
      </c>
      <c r="E922" s="153" t="s">
        <v>309</v>
      </c>
      <c r="F922" s="153" t="s">
        <v>1926</v>
      </c>
      <c r="G922" s="153" t="s">
        <v>1927</v>
      </c>
      <c r="H922" s="153" t="s">
        <v>321</v>
      </c>
      <c r="I922" s="153" t="s">
        <v>754</v>
      </c>
      <c r="J922" s="153" t="s">
        <v>204</v>
      </c>
      <c r="K922" s="153" t="s">
        <v>204</v>
      </c>
      <c r="L922" s="153" t="s">
        <v>327</v>
      </c>
      <c r="M922" s="153" t="s">
        <v>340</v>
      </c>
      <c r="N922" s="153" t="s">
        <v>441</v>
      </c>
      <c r="O922" s="153" t="s">
        <v>339</v>
      </c>
      <c r="Q922" s="153" t="s">
        <v>410</v>
      </c>
      <c r="R922" s="153" t="s">
        <v>410</v>
      </c>
      <c r="S922" s="153" t="s">
        <v>1212</v>
      </c>
      <c r="T922" s="154">
        <v>2.09</v>
      </c>
      <c r="U922" s="153" t="s">
        <v>1528</v>
      </c>
      <c r="V922" s="155">
        <v>7.6969999999999997E-2</v>
      </c>
      <c r="W922" s="155">
        <v>5.04E-2</v>
      </c>
      <c r="X922" s="153" t="s">
        <v>412</v>
      </c>
      <c r="Y922" s="153" t="s">
        <v>339</v>
      </c>
      <c r="Z922" s="154">
        <v>15000</v>
      </c>
      <c r="AA922" s="154">
        <v>1</v>
      </c>
      <c r="AB922" s="154">
        <f>AD922*1000/Z922*100</f>
        <v>106.64320582877933</v>
      </c>
      <c r="AD922" s="154">
        <f>15996.4808743169/1000</f>
        <v>15.9964808743169</v>
      </c>
      <c r="AG922" s="157" t="s">
        <v>15</v>
      </c>
      <c r="AH922" s="155">
        <v>4.2000000000000002E-4</v>
      </c>
      <c r="AI922" s="155">
        <f t="shared" si="14"/>
        <v>5.047834686973874E-4</v>
      </c>
      <c r="AJ922" s="155">
        <v>5.2376600817522708E-5</v>
      </c>
    </row>
    <row r="923" spans="1:36" s="160" customFormat="1">
      <c r="A923" s="153" t="s">
        <v>1213</v>
      </c>
      <c r="B923" s="160">
        <v>9300</v>
      </c>
      <c r="C923" s="153" t="s">
        <v>2887</v>
      </c>
      <c r="D923" s="153" t="s">
        <v>2888</v>
      </c>
      <c r="E923" s="153" t="s">
        <v>311</v>
      </c>
      <c r="F923" s="153" t="s">
        <v>2889</v>
      </c>
      <c r="G923" s="153" t="s">
        <v>2890</v>
      </c>
      <c r="H923" s="153" t="s">
        <v>321</v>
      </c>
      <c r="I923" s="153" t="s">
        <v>951</v>
      </c>
      <c r="J923" s="153" t="s">
        <v>204</v>
      </c>
      <c r="K923" s="153" t="s">
        <v>204</v>
      </c>
      <c r="L923" s="153" t="s">
        <v>325</v>
      </c>
      <c r="M923" s="153" t="s">
        <v>340</v>
      </c>
      <c r="N923" s="153" t="s">
        <v>465</v>
      </c>
      <c r="O923" s="153" t="s">
        <v>339</v>
      </c>
      <c r="P923" s="153" t="s">
        <v>1586</v>
      </c>
      <c r="Q923" s="153" t="s">
        <v>415</v>
      </c>
      <c r="R923" s="153" t="s">
        <v>407</v>
      </c>
      <c r="S923" s="153" t="s">
        <v>1212</v>
      </c>
      <c r="T923" s="154">
        <v>2.81</v>
      </c>
      <c r="U923" s="153" t="s">
        <v>1528</v>
      </c>
      <c r="V923" s="155">
        <v>8.3349999999999994E-2</v>
      </c>
      <c r="W923" s="155">
        <v>7.6600000000000001E-2</v>
      </c>
      <c r="X923" s="153" t="s">
        <v>412</v>
      </c>
      <c r="Y923" s="153" t="s">
        <v>339</v>
      </c>
      <c r="Z923" s="154">
        <v>164000</v>
      </c>
      <c r="AA923" s="154">
        <v>1</v>
      </c>
      <c r="AB923" s="154">
        <v>102.7</v>
      </c>
      <c r="AD923" s="154">
        <v>168.428</v>
      </c>
      <c r="AG923" s="157" t="s">
        <v>15</v>
      </c>
      <c r="AH923" s="155">
        <v>9.2000000000000003E-4</v>
      </c>
      <c r="AI923" s="155">
        <f t="shared" si="14"/>
        <v>5.3148983663192225E-3</v>
      </c>
      <c r="AJ923" s="155">
        <v>5.5147667738954665E-4</v>
      </c>
    </row>
    <row r="924" spans="1:36" s="160" customFormat="1">
      <c r="A924" s="153" t="s">
        <v>1213</v>
      </c>
      <c r="B924" s="160">
        <v>9300</v>
      </c>
      <c r="C924" s="153" t="s">
        <v>1674</v>
      </c>
      <c r="D924" s="153" t="s">
        <v>1675</v>
      </c>
      <c r="E924" s="153" t="s">
        <v>309</v>
      </c>
      <c r="F924" s="153" t="s">
        <v>1676</v>
      </c>
      <c r="G924" s="153" t="s">
        <v>1677</v>
      </c>
      <c r="H924" s="153" t="s">
        <v>321</v>
      </c>
      <c r="I924" s="153" t="s">
        <v>754</v>
      </c>
      <c r="J924" s="153" t="s">
        <v>204</v>
      </c>
      <c r="K924" s="153" t="s">
        <v>204</v>
      </c>
      <c r="L924" s="153" t="s">
        <v>325</v>
      </c>
      <c r="M924" s="153" t="s">
        <v>340</v>
      </c>
      <c r="N924" s="153" t="s">
        <v>464</v>
      </c>
      <c r="O924" s="153" t="s">
        <v>339</v>
      </c>
      <c r="P924" s="153" t="s">
        <v>1538</v>
      </c>
      <c r="Q924" s="153" t="s">
        <v>413</v>
      </c>
      <c r="R924" s="153" t="s">
        <v>407</v>
      </c>
      <c r="S924" s="153" t="s">
        <v>1212</v>
      </c>
      <c r="T924" s="154">
        <v>1.43</v>
      </c>
      <c r="U924" s="153" t="s">
        <v>1678</v>
      </c>
      <c r="V924" s="155">
        <v>4.9199999999999999E-3</v>
      </c>
      <c r="W924" s="155">
        <v>2.58E-2</v>
      </c>
      <c r="X924" s="153" t="s">
        <v>412</v>
      </c>
      <c r="Y924" s="153" t="s">
        <v>339</v>
      </c>
      <c r="Z924" s="154">
        <v>140385.06</v>
      </c>
      <c r="AA924" s="154">
        <v>1</v>
      </c>
      <c r="AB924" s="154">
        <v>115.21</v>
      </c>
      <c r="AD924" s="154">
        <v>161.738</v>
      </c>
      <c r="AG924" s="157" t="s">
        <v>15</v>
      </c>
      <c r="AH924" s="155">
        <v>2.9E-4</v>
      </c>
      <c r="AI924" s="155">
        <f t="shared" si="14"/>
        <v>5.1037893460216732E-3</v>
      </c>
      <c r="AJ924" s="155">
        <v>5.2957189331720672E-4</v>
      </c>
    </row>
    <row r="925" spans="1:36" s="160" customFormat="1">
      <c r="A925" s="153" t="s">
        <v>1213</v>
      </c>
      <c r="B925" s="160">
        <v>9300</v>
      </c>
      <c r="C925" s="153" t="s">
        <v>2424</v>
      </c>
      <c r="D925" s="153" t="s">
        <v>2425</v>
      </c>
      <c r="E925" s="153" t="s">
        <v>309</v>
      </c>
      <c r="F925" s="153" t="s">
        <v>2426</v>
      </c>
      <c r="G925" s="153" t="s">
        <v>2427</v>
      </c>
      <c r="H925" s="153" t="s">
        <v>321</v>
      </c>
      <c r="I925" s="153" t="s">
        <v>754</v>
      </c>
      <c r="J925" s="153" t="s">
        <v>204</v>
      </c>
      <c r="K925" s="153" t="s">
        <v>204</v>
      </c>
      <c r="L925" s="153" t="s">
        <v>325</v>
      </c>
      <c r="M925" s="153" t="s">
        <v>340</v>
      </c>
      <c r="N925" s="153" t="s">
        <v>477</v>
      </c>
      <c r="O925" s="153" t="s">
        <v>339</v>
      </c>
      <c r="P925" s="153" t="s">
        <v>1923</v>
      </c>
      <c r="Q925" s="153" t="s">
        <v>415</v>
      </c>
      <c r="R925" s="153" t="s">
        <v>407</v>
      </c>
      <c r="S925" s="153" t="s">
        <v>1212</v>
      </c>
      <c r="T925" s="154">
        <v>5.47</v>
      </c>
      <c r="U925" s="153" t="s">
        <v>2177</v>
      </c>
      <c r="V925" s="155">
        <v>-3.0400000000000002E-3</v>
      </c>
      <c r="W925" s="155">
        <v>2.7400000000000001E-2</v>
      </c>
      <c r="X925" s="153" t="s">
        <v>412</v>
      </c>
      <c r="Y925" s="153" t="s">
        <v>339</v>
      </c>
      <c r="Z925" s="154">
        <v>138357.94</v>
      </c>
      <c r="AA925" s="154">
        <v>1</v>
      </c>
      <c r="AB925" s="154">
        <v>116.33</v>
      </c>
      <c r="AD925" s="154">
        <v>160.952</v>
      </c>
      <c r="AG925" s="157" t="s">
        <v>15</v>
      </c>
      <c r="AH925" s="155">
        <v>9.0000000000000006E-5</v>
      </c>
      <c r="AI925" s="155">
        <f t="shared" si="14"/>
        <v>5.0789864028297641E-3</v>
      </c>
      <c r="AJ925" s="155">
        <v>5.26998326758035E-4</v>
      </c>
    </row>
    <row r="926" spans="1:36" s="160" customFormat="1">
      <c r="A926" s="153" t="s">
        <v>1213</v>
      </c>
      <c r="B926" s="160">
        <v>9300</v>
      </c>
      <c r="C926" s="153" t="s">
        <v>1861</v>
      </c>
      <c r="D926" s="153" t="s">
        <v>1862</v>
      </c>
      <c r="E926" s="153" t="s">
        <v>309</v>
      </c>
      <c r="F926" s="153" t="s">
        <v>2458</v>
      </c>
      <c r="G926" s="153" t="s">
        <v>2459</v>
      </c>
      <c r="H926" s="153" t="s">
        <v>321</v>
      </c>
      <c r="I926" s="153" t="s">
        <v>754</v>
      </c>
      <c r="J926" s="153" t="s">
        <v>204</v>
      </c>
      <c r="K926" s="153" t="s">
        <v>204</v>
      </c>
      <c r="L926" s="153" t="s">
        <v>325</v>
      </c>
      <c r="M926" s="153" t="s">
        <v>340</v>
      </c>
      <c r="N926" s="153" t="s">
        <v>464</v>
      </c>
      <c r="O926" s="153" t="s">
        <v>339</v>
      </c>
      <c r="P926" s="153" t="s">
        <v>1538</v>
      </c>
      <c r="Q926" s="153" t="s">
        <v>413</v>
      </c>
      <c r="R926" s="153" t="s">
        <v>407</v>
      </c>
      <c r="S926" s="153" t="s">
        <v>1212</v>
      </c>
      <c r="T926" s="154">
        <v>0.76</v>
      </c>
      <c r="U926" s="153" t="s">
        <v>2460</v>
      </c>
      <c r="V926" s="155">
        <v>-1.6100000000000001E-3</v>
      </c>
      <c r="W926" s="155">
        <v>2.52E-2</v>
      </c>
      <c r="X926" s="153" t="s">
        <v>412</v>
      </c>
      <c r="Y926" s="153" t="s">
        <v>339</v>
      </c>
      <c r="Z926" s="154">
        <v>134404.93</v>
      </c>
      <c r="AA926" s="154">
        <v>1</v>
      </c>
      <c r="AB926" s="154">
        <v>117</v>
      </c>
      <c r="AD926" s="154">
        <v>157.25399999999999</v>
      </c>
      <c r="AG926" s="157" t="s">
        <v>15</v>
      </c>
      <c r="AH926" s="155">
        <v>1.7000000000000001E-4</v>
      </c>
      <c r="AI926" s="155">
        <f t="shared" si="14"/>
        <v>4.9622926573797878E-3</v>
      </c>
      <c r="AJ926" s="155">
        <v>5.1489012175063393E-4</v>
      </c>
    </row>
    <row r="927" spans="1:36" s="160" customFormat="1">
      <c r="A927" s="153" t="s">
        <v>1213</v>
      </c>
      <c r="B927" s="160">
        <v>9300</v>
      </c>
      <c r="C927" s="153" t="s">
        <v>1973</v>
      </c>
      <c r="D927" s="153" t="s">
        <v>1974</v>
      </c>
      <c r="E927" s="153" t="s">
        <v>309</v>
      </c>
      <c r="F927" s="153" t="s">
        <v>1984</v>
      </c>
      <c r="G927" s="153" t="s">
        <v>1985</v>
      </c>
      <c r="H927" s="153" t="s">
        <v>321</v>
      </c>
      <c r="I927" s="153" t="s">
        <v>754</v>
      </c>
      <c r="J927" s="153" t="s">
        <v>204</v>
      </c>
      <c r="K927" s="153" t="s">
        <v>204</v>
      </c>
      <c r="L927" s="153" t="s">
        <v>325</v>
      </c>
      <c r="M927" s="153" t="s">
        <v>340</v>
      </c>
      <c r="N927" s="153" t="s">
        <v>464</v>
      </c>
      <c r="O927" s="153" t="s">
        <v>339</v>
      </c>
      <c r="P927" s="153" t="s">
        <v>1538</v>
      </c>
      <c r="Q927" s="153" t="s">
        <v>413</v>
      </c>
      <c r="R927" s="153" t="s">
        <v>407</v>
      </c>
      <c r="S927" s="153" t="s">
        <v>1212</v>
      </c>
      <c r="T927" s="154">
        <v>1.89</v>
      </c>
      <c r="U927" s="153" t="s">
        <v>1522</v>
      </c>
      <c r="V927" s="155">
        <v>2.4E-2</v>
      </c>
      <c r="W927" s="155">
        <v>2.4899999999999999E-2</v>
      </c>
      <c r="X927" s="153" t="s">
        <v>412</v>
      </c>
      <c r="Y927" s="153" t="s">
        <v>339</v>
      </c>
      <c r="Z927" s="154">
        <v>135068.85</v>
      </c>
      <c r="AA927" s="154">
        <v>1</v>
      </c>
      <c r="AB927" s="154">
        <v>115.87</v>
      </c>
      <c r="AD927" s="154">
        <v>156.50399999999999</v>
      </c>
      <c r="AG927" s="157" t="s">
        <v>15</v>
      </c>
      <c r="AH927" s="155">
        <v>2.5000000000000001E-4</v>
      </c>
      <c r="AI927" s="155">
        <f t="shared" si="14"/>
        <v>4.938625726853157E-3</v>
      </c>
      <c r="AJ927" s="155">
        <v>5.1243442846898141E-4</v>
      </c>
    </row>
    <row r="928" spans="1:36" s="160" customFormat="1">
      <c r="A928" s="153" t="s">
        <v>1213</v>
      </c>
      <c r="B928" s="160">
        <v>9300</v>
      </c>
      <c r="C928" s="153" t="s">
        <v>1825</v>
      </c>
      <c r="D928" s="153" t="s">
        <v>1826</v>
      </c>
      <c r="E928" s="153" t="s">
        <v>309</v>
      </c>
      <c r="F928" s="153" t="s">
        <v>2891</v>
      </c>
      <c r="G928" s="153" t="s">
        <v>2892</v>
      </c>
      <c r="H928" s="153" t="s">
        <v>321</v>
      </c>
      <c r="I928" s="153" t="s">
        <v>951</v>
      </c>
      <c r="J928" s="153" t="s">
        <v>204</v>
      </c>
      <c r="K928" s="153" t="s">
        <v>204</v>
      </c>
      <c r="L928" s="153" t="s">
        <v>325</v>
      </c>
      <c r="M928" s="153" t="s">
        <v>340</v>
      </c>
      <c r="N928" s="153" t="s">
        <v>441</v>
      </c>
      <c r="O928" s="153" t="s">
        <v>339</v>
      </c>
      <c r="Q928" s="153" t="s">
        <v>410</v>
      </c>
      <c r="R928" s="153" t="s">
        <v>410</v>
      </c>
      <c r="S928" s="153" t="s">
        <v>1212</v>
      </c>
      <c r="T928" s="154">
        <v>0.74</v>
      </c>
      <c r="U928" s="153" t="s">
        <v>1848</v>
      </c>
      <c r="V928" s="155">
        <v>3.5389999999999998E-2</v>
      </c>
      <c r="W928" s="155">
        <v>6.2899999999999998E-2</v>
      </c>
      <c r="X928" s="153" t="s">
        <v>412</v>
      </c>
      <c r="Y928" s="153" t="s">
        <v>339</v>
      </c>
      <c r="Z928" s="154">
        <v>158000.23000000001</v>
      </c>
      <c r="AA928" s="154">
        <v>1</v>
      </c>
      <c r="AB928" s="154">
        <v>99</v>
      </c>
      <c r="AD928" s="154">
        <v>156.41999999999999</v>
      </c>
      <c r="AG928" s="157" t="s">
        <v>15</v>
      </c>
      <c r="AH928" s="155">
        <v>1.1000000000000001E-3</v>
      </c>
      <c r="AI928" s="155">
        <f t="shared" si="14"/>
        <v>4.9359750306341744E-3</v>
      </c>
      <c r="AJ928" s="155">
        <v>5.121593908214364E-4</v>
      </c>
    </row>
    <row r="929" spans="1:36" s="160" customFormat="1">
      <c r="A929" s="153" t="s">
        <v>1213</v>
      </c>
      <c r="B929" s="160">
        <v>9300</v>
      </c>
      <c r="C929" s="153" t="s">
        <v>2893</v>
      </c>
      <c r="D929" s="153" t="s">
        <v>2894</v>
      </c>
      <c r="E929" s="153" t="s">
        <v>309</v>
      </c>
      <c r="F929" s="153" t="s">
        <v>2895</v>
      </c>
      <c r="G929" s="153" t="s">
        <v>2896</v>
      </c>
      <c r="H929" s="153" t="s">
        <v>321</v>
      </c>
      <c r="I929" s="153" t="s">
        <v>754</v>
      </c>
      <c r="J929" s="153" t="s">
        <v>204</v>
      </c>
      <c r="K929" s="153" t="s">
        <v>204</v>
      </c>
      <c r="L929" s="153" t="s">
        <v>329</v>
      </c>
      <c r="M929" s="153" t="s">
        <v>340</v>
      </c>
      <c r="N929" s="153" t="s">
        <v>447</v>
      </c>
      <c r="O929" s="153" t="s">
        <v>339</v>
      </c>
      <c r="Q929" s="153" t="s">
        <v>410</v>
      </c>
      <c r="R929" s="153" t="s">
        <v>410</v>
      </c>
      <c r="S929" s="153" t="s">
        <v>1212</v>
      </c>
      <c r="T929" s="154">
        <v>3.44</v>
      </c>
      <c r="U929" s="153" t="s">
        <v>1654</v>
      </c>
      <c r="V929" s="155">
        <v>5.1860000000000003E-2</v>
      </c>
      <c r="W929" s="155">
        <v>3.8899999999999997E-2</v>
      </c>
      <c r="X929" s="153" t="s">
        <v>412</v>
      </c>
      <c r="Y929" s="153" t="s">
        <v>339</v>
      </c>
      <c r="Z929" s="154">
        <v>162000</v>
      </c>
      <c r="AA929" s="154">
        <v>1</v>
      </c>
      <c r="AB929" s="154">
        <v>96.1</v>
      </c>
      <c r="AD929" s="154">
        <v>155.68199999999999</v>
      </c>
      <c r="AG929" s="157" t="s">
        <v>15</v>
      </c>
      <c r="AH929" s="155">
        <v>1.33E-3</v>
      </c>
      <c r="AI929" s="155">
        <f t="shared" si="14"/>
        <v>4.9126867709959688E-3</v>
      </c>
      <c r="AJ929" s="155">
        <v>5.0974298863229039E-4</v>
      </c>
    </row>
    <row r="930" spans="1:36" s="160" customFormat="1">
      <c r="A930" s="153" t="s">
        <v>1213</v>
      </c>
      <c r="B930" s="160">
        <v>9300</v>
      </c>
      <c r="C930" s="153" t="s">
        <v>1546</v>
      </c>
      <c r="D930" s="153" t="s">
        <v>1547</v>
      </c>
      <c r="E930" s="153" t="s">
        <v>309</v>
      </c>
      <c r="F930" s="153" t="s">
        <v>2487</v>
      </c>
      <c r="G930" s="153" t="s">
        <v>2488</v>
      </c>
      <c r="H930" s="153" t="s">
        <v>321</v>
      </c>
      <c r="I930" s="153" t="s">
        <v>754</v>
      </c>
      <c r="J930" s="153" t="s">
        <v>204</v>
      </c>
      <c r="K930" s="153" t="s">
        <v>204</v>
      </c>
      <c r="L930" s="153" t="s">
        <v>325</v>
      </c>
      <c r="M930" s="153" t="s">
        <v>340</v>
      </c>
      <c r="N930" s="153" t="s">
        <v>443</v>
      </c>
      <c r="O930" s="153" t="s">
        <v>339</v>
      </c>
      <c r="P930" s="153" t="s">
        <v>1544</v>
      </c>
      <c r="Q930" s="153" t="s">
        <v>415</v>
      </c>
      <c r="R930" s="153" t="s">
        <v>407</v>
      </c>
      <c r="S930" s="153" t="s">
        <v>1212</v>
      </c>
      <c r="T930" s="154">
        <v>0.79</v>
      </c>
      <c r="U930" s="153" t="s">
        <v>1777</v>
      </c>
      <c r="V930" s="155">
        <v>8.1799999999999998E-3</v>
      </c>
      <c r="W930" s="155">
        <v>2.7199999999999998E-2</v>
      </c>
      <c r="X930" s="153" t="s">
        <v>412</v>
      </c>
      <c r="Y930" s="153" t="s">
        <v>339</v>
      </c>
      <c r="Z930" s="154">
        <v>134000</v>
      </c>
      <c r="AA930" s="154">
        <v>1</v>
      </c>
      <c r="AB930" s="154">
        <v>115.1</v>
      </c>
      <c r="AD930" s="154">
        <v>154.23400000000001</v>
      </c>
      <c r="AG930" s="157" t="s">
        <v>15</v>
      </c>
      <c r="AH930" s="155">
        <v>3.6000000000000002E-4</v>
      </c>
      <c r="AI930" s="155">
        <f t="shared" si="14"/>
        <v>4.8669938171258878E-3</v>
      </c>
      <c r="AJ930" s="155">
        <v>5.0500186346984677E-4</v>
      </c>
    </row>
    <row r="931" spans="1:36" s="160" customFormat="1">
      <c r="A931" s="153" t="s">
        <v>1213</v>
      </c>
      <c r="B931" s="160">
        <v>9300</v>
      </c>
      <c r="C931" s="153" t="s">
        <v>2897</v>
      </c>
      <c r="D931" s="153" t="s">
        <v>2898</v>
      </c>
      <c r="E931" s="153" t="s">
        <v>309</v>
      </c>
      <c r="F931" s="153" t="s">
        <v>2899</v>
      </c>
      <c r="G931" s="153" t="s">
        <v>2900</v>
      </c>
      <c r="H931" s="153" t="s">
        <v>321</v>
      </c>
      <c r="I931" s="153" t="s">
        <v>951</v>
      </c>
      <c r="J931" s="153" t="s">
        <v>204</v>
      </c>
      <c r="K931" s="153" t="s">
        <v>204</v>
      </c>
      <c r="L931" s="153" t="s">
        <v>325</v>
      </c>
      <c r="M931" s="153" t="s">
        <v>340</v>
      </c>
      <c r="N931" s="153" t="s">
        <v>447</v>
      </c>
      <c r="O931" s="153" t="s">
        <v>339</v>
      </c>
      <c r="P931" s="153" t="s">
        <v>1614</v>
      </c>
      <c r="Q931" s="153" t="s">
        <v>415</v>
      </c>
      <c r="R931" s="153" t="s">
        <v>407</v>
      </c>
      <c r="S931" s="153" t="s">
        <v>1212</v>
      </c>
      <c r="T931" s="154">
        <v>1.21</v>
      </c>
      <c r="U931" s="153" t="s">
        <v>1659</v>
      </c>
      <c r="V931" s="155">
        <v>5.6680000000000001E-2</v>
      </c>
      <c r="W931" s="155">
        <v>5.8400000000000001E-2</v>
      </c>
      <c r="X931" s="153" t="s">
        <v>412</v>
      </c>
      <c r="Y931" s="153" t="s">
        <v>339</v>
      </c>
      <c r="Z931" s="154">
        <v>160000</v>
      </c>
      <c r="AA931" s="154">
        <v>1</v>
      </c>
      <c r="AB931" s="154">
        <v>96.06</v>
      </c>
      <c r="AD931" s="154">
        <v>153.696</v>
      </c>
      <c r="AG931" s="157" t="s">
        <v>15</v>
      </c>
      <c r="AH931" s="155">
        <v>4.6000000000000001E-4</v>
      </c>
      <c r="AI931" s="155">
        <f t="shared" si="14"/>
        <v>4.8500167389614506E-3</v>
      </c>
      <c r="AJ931" s="155">
        <v>5.032403128224747E-4</v>
      </c>
    </row>
    <row r="932" spans="1:36" s="160" customFormat="1">
      <c r="A932" s="153" t="s">
        <v>1213</v>
      </c>
      <c r="B932" s="160">
        <v>9300</v>
      </c>
      <c r="C932" s="153" t="s">
        <v>2491</v>
      </c>
      <c r="D932" s="153" t="s">
        <v>2492</v>
      </c>
      <c r="E932" s="153" t="s">
        <v>311</v>
      </c>
      <c r="F932" s="153" t="s">
        <v>2506</v>
      </c>
      <c r="G932" s="153" t="s">
        <v>2507</v>
      </c>
      <c r="H932" s="153" t="s">
        <v>321</v>
      </c>
      <c r="I932" s="153" t="s">
        <v>951</v>
      </c>
      <c r="J932" s="153" t="s">
        <v>204</v>
      </c>
      <c r="K932" s="153" t="s">
        <v>224</v>
      </c>
      <c r="L932" s="153" t="s">
        <v>325</v>
      </c>
      <c r="M932" s="153" t="s">
        <v>340</v>
      </c>
      <c r="N932" s="153" t="s">
        <v>465</v>
      </c>
      <c r="O932" s="153" t="s">
        <v>339</v>
      </c>
      <c r="P932" s="153" t="s">
        <v>1521</v>
      </c>
      <c r="Q932" s="153" t="s">
        <v>413</v>
      </c>
      <c r="R932" s="153" t="s">
        <v>407</v>
      </c>
      <c r="S932" s="153" t="s">
        <v>1212</v>
      </c>
      <c r="T932" s="154">
        <v>0.88</v>
      </c>
      <c r="U932" s="153" t="s">
        <v>1289</v>
      </c>
      <c r="V932" s="155">
        <v>5.0299999999999997E-2</v>
      </c>
      <c r="W932" s="155">
        <v>8.5699999999999998E-2</v>
      </c>
      <c r="X932" s="153" t="s">
        <v>412</v>
      </c>
      <c r="Y932" s="153" t="s">
        <v>339</v>
      </c>
      <c r="Z932" s="154">
        <v>151258.48000000001</v>
      </c>
      <c r="AA932" s="154">
        <v>1</v>
      </c>
      <c r="AB932" s="154">
        <v>98.47</v>
      </c>
      <c r="AD932" s="154">
        <v>148.94399999999999</v>
      </c>
      <c r="AG932" s="157" t="s">
        <v>15</v>
      </c>
      <c r="AH932" s="155">
        <v>5.2999999999999998E-4</v>
      </c>
      <c r="AI932" s="155">
        <f t="shared" si="14"/>
        <v>4.700063067144716E-3</v>
      </c>
      <c r="AJ932" s="155">
        <v>4.8768104018992464E-4</v>
      </c>
    </row>
    <row r="933" spans="1:36" s="160" customFormat="1">
      <c r="A933" s="153" t="s">
        <v>1213</v>
      </c>
      <c r="B933" s="160">
        <v>9300</v>
      </c>
      <c r="C933" s="153" t="s">
        <v>1600</v>
      </c>
      <c r="D933" s="153" t="s">
        <v>1601</v>
      </c>
      <c r="E933" s="153" t="s">
        <v>309</v>
      </c>
      <c r="F933" s="153" t="s">
        <v>2333</v>
      </c>
      <c r="G933" s="153" t="s">
        <v>2334</v>
      </c>
      <c r="H933" s="153" t="s">
        <v>321</v>
      </c>
      <c r="I933" s="153" t="s">
        <v>754</v>
      </c>
      <c r="J933" s="153" t="s">
        <v>204</v>
      </c>
      <c r="K933" s="153" t="s">
        <v>204</v>
      </c>
      <c r="L933" s="153" t="s">
        <v>325</v>
      </c>
      <c r="M933" s="153" t="s">
        <v>340</v>
      </c>
      <c r="N933" s="153" t="s">
        <v>448</v>
      </c>
      <c r="O933" s="153" t="s">
        <v>339</v>
      </c>
      <c r="P933" s="153" t="s">
        <v>1215</v>
      </c>
      <c r="Q933" s="153" t="s">
        <v>413</v>
      </c>
      <c r="R933" s="153" t="s">
        <v>407</v>
      </c>
      <c r="S933" s="153" t="s">
        <v>1212</v>
      </c>
      <c r="T933" s="154">
        <v>3.56</v>
      </c>
      <c r="U933" s="153" t="s">
        <v>2335</v>
      </c>
      <c r="V933" s="155">
        <v>-6.8900000000000003E-3</v>
      </c>
      <c r="W933" s="155">
        <v>2.4E-2</v>
      </c>
      <c r="X933" s="153" t="s">
        <v>412</v>
      </c>
      <c r="Y933" s="153" t="s">
        <v>339</v>
      </c>
      <c r="Z933" s="154">
        <v>143000.89000000001</v>
      </c>
      <c r="AA933" s="154">
        <v>1</v>
      </c>
      <c r="AB933" s="154">
        <v>103.73</v>
      </c>
      <c r="AD933" s="154">
        <v>148.33500000000001</v>
      </c>
      <c r="AG933" s="157" t="s">
        <v>15</v>
      </c>
      <c r="AH933" s="155">
        <v>1.2999999999999999E-4</v>
      </c>
      <c r="AI933" s="155">
        <f t="shared" si="14"/>
        <v>4.6808455195570921E-3</v>
      </c>
      <c r="AJ933" s="155">
        <v>4.8568701724522294E-4</v>
      </c>
    </row>
    <row r="934" spans="1:36" s="160" customFormat="1">
      <c r="A934" s="153" t="s">
        <v>1213</v>
      </c>
      <c r="B934" s="160">
        <v>9300</v>
      </c>
      <c r="C934" s="153" t="s">
        <v>1600</v>
      </c>
      <c r="D934" s="153" t="s">
        <v>1601</v>
      </c>
      <c r="E934" s="153" t="s">
        <v>309</v>
      </c>
      <c r="F934" s="153" t="s">
        <v>1957</v>
      </c>
      <c r="G934" s="153" t="s">
        <v>1958</v>
      </c>
      <c r="H934" s="153" t="s">
        <v>321</v>
      </c>
      <c r="I934" s="153" t="s">
        <v>754</v>
      </c>
      <c r="J934" s="153" t="s">
        <v>204</v>
      </c>
      <c r="K934" s="153" t="s">
        <v>204</v>
      </c>
      <c r="L934" s="153" t="s">
        <v>325</v>
      </c>
      <c r="M934" s="153" t="s">
        <v>340</v>
      </c>
      <c r="N934" s="153" t="s">
        <v>448</v>
      </c>
      <c r="O934" s="153" t="s">
        <v>339</v>
      </c>
      <c r="P934" s="153" t="s">
        <v>1215</v>
      </c>
      <c r="Q934" s="153" t="s">
        <v>413</v>
      </c>
      <c r="R934" s="153" t="s">
        <v>407</v>
      </c>
      <c r="S934" s="153" t="s">
        <v>1212</v>
      </c>
      <c r="T934" s="154">
        <v>3.91</v>
      </c>
      <c r="U934" s="153" t="s">
        <v>1959</v>
      </c>
      <c r="V934" s="155">
        <v>1.3769999999999999E-2</v>
      </c>
      <c r="W934" s="155">
        <v>2.4799999999999999E-2</v>
      </c>
      <c r="X934" s="153" t="s">
        <v>412</v>
      </c>
      <c r="Y934" s="153" t="s">
        <v>339</v>
      </c>
      <c r="Z934" s="154">
        <v>141000</v>
      </c>
      <c r="AA934" s="154">
        <v>1</v>
      </c>
      <c r="AB934" s="154">
        <v>103.84</v>
      </c>
      <c r="AD934" s="154">
        <v>146.41399999999999</v>
      </c>
      <c r="AG934" s="157" t="s">
        <v>15</v>
      </c>
      <c r="AH934" s="155">
        <v>8.0000000000000007E-5</v>
      </c>
      <c r="AI934" s="155">
        <f t="shared" si="14"/>
        <v>4.6202266215015471E-3</v>
      </c>
      <c r="AJ934" s="155">
        <v>4.7939716818648373E-4</v>
      </c>
    </row>
    <row r="935" spans="1:36" s="160" customFormat="1">
      <c r="A935" s="153" t="s">
        <v>1213</v>
      </c>
      <c r="B935" s="160">
        <v>9300</v>
      </c>
      <c r="C935" s="153" t="s">
        <v>2373</v>
      </c>
      <c r="D935" s="153" t="s">
        <v>2374</v>
      </c>
      <c r="E935" s="153" t="s">
        <v>309</v>
      </c>
      <c r="F935" s="153" t="s">
        <v>2375</v>
      </c>
      <c r="G935" s="153" t="s">
        <v>2376</v>
      </c>
      <c r="H935" s="153" t="s">
        <v>321</v>
      </c>
      <c r="I935" s="153" t="s">
        <v>755</v>
      </c>
      <c r="J935" s="153" t="s">
        <v>204</v>
      </c>
      <c r="K935" s="153" t="s">
        <v>204</v>
      </c>
      <c r="L935" s="153" t="s">
        <v>325</v>
      </c>
      <c r="M935" s="153" t="s">
        <v>340</v>
      </c>
      <c r="N935" s="153" t="s">
        <v>454</v>
      </c>
      <c r="O935" s="153" t="s">
        <v>339</v>
      </c>
      <c r="P935" s="153" t="s">
        <v>1544</v>
      </c>
      <c r="Q935" s="153" t="s">
        <v>415</v>
      </c>
      <c r="R935" s="153" t="s">
        <v>407</v>
      </c>
      <c r="S935" s="153" t="s">
        <v>1212</v>
      </c>
      <c r="T935" s="154">
        <v>2.97</v>
      </c>
      <c r="U935" s="153" t="s">
        <v>2377</v>
      </c>
      <c r="V935" s="155">
        <v>5.0599999999999999E-2</v>
      </c>
      <c r="W935" s="155">
        <v>7.6100000000000001E-2</v>
      </c>
      <c r="X935" s="153" t="s">
        <v>412</v>
      </c>
      <c r="Y935" s="153" t="s">
        <v>339</v>
      </c>
      <c r="Z935" s="154">
        <v>146637.28</v>
      </c>
      <c r="AA935" s="154">
        <v>1</v>
      </c>
      <c r="AB935" s="154">
        <v>97.95</v>
      </c>
      <c r="AD935" s="154">
        <v>143.631</v>
      </c>
      <c r="AG935" s="157" t="s">
        <v>15</v>
      </c>
      <c r="AH935" s="155">
        <v>1.1E-4</v>
      </c>
      <c r="AI935" s="155">
        <f t="shared" si="14"/>
        <v>4.5324065312940618E-3</v>
      </c>
      <c r="AJ935" s="155">
        <v>4.7028490898269869E-4</v>
      </c>
    </row>
    <row r="936" spans="1:36" s="160" customFormat="1">
      <c r="A936" s="153" t="s">
        <v>1213</v>
      </c>
      <c r="B936" s="160">
        <v>9300</v>
      </c>
      <c r="C936" s="153" t="s">
        <v>1861</v>
      </c>
      <c r="D936" s="153" t="s">
        <v>1862</v>
      </c>
      <c r="E936" s="153" t="s">
        <v>309</v>
      </c>
      <c r="F936" s="153" t="s">
        <v>2642</v>
      </c>
      <c r="G936" s="153" t="s">
        <v>2643</v>
      </c>
      <c r="H936" s="153" t="s">
        <v>321</v>
      </c>
      <c r="I936" s="153" t="s">
        <v>754</v>
      </c>
      <c r="J936" s="153" t="s">
        <v>204</v>
      </c>
      <c r="K936" s="153" t="s">
        <v>204</v>
      </c>
      <c r="L936" s="153" t="s">
        <v>325</v>
      </c>
      <c r="M936" s="153" t="s">
        <v>340</v>
      </c>
      <c r="N936" s="153" t="s">
        <v>464</v>
      </c>
      <c r="O936" s="153" t="s">
        <v>339</v>
      </c>
      <c r="P936" s="153" t="s">
        <v>1538</v>
      </c>
      <c r="Q936" s="153" t="s">
        <v>413</v>
      </c>
      <c r="R936" s="153" t="s">
        <v>407</v>
      </c>
      <c r="S936" s="153" t="s">
        <v>1212</v>
      </c>
      <c r="T936" s="154">
        <v>2.38</v>
      </c>
      <c r="U936" s="153" t="s">
        <v>1951</v>
      </c>
      <c r="V936" s="155">
        <v>2.35E-2</v>
      </c>
      <c r="W936" s="155">
        <v>2.3900000000000001E-2</v>
      </c>
      <c r="X936" s="153" t="s">
        <v>412</v>
      </c>
      <c r="Y936" s="153" t="s">
        <v>339</v>
      </c>
      <c r="Z936" s="154">
        <v>120265.73</v>
      </c>
      <c r="AA936" s="154">
        <v>1</v>
      </c>
      <c r="AB936" s="154">
        <v>116.64</v>
      </c>
      <c r="AC936" s="154">
        <v>3.34</v>
      </c>
      <c r="AD936" s="154">
        <v>143.61799999999999</v>
      </c>
      <c r="AG936" s="157" t="s">
        <v>15</v>
      </c>
      <c r="AH936" s="155">
        <v>1.2999999999999999E-4</v>
      </c>
      <c r="AI936" s="155">
        <f t="shared" si="14"/>
        <v>4.5319963044982668E-3</v>
      </c>
      <c r="AJ936" s="155">
        <v>4.7024234363248336E-4</v>
      </c>
    </row>
    <row r="937" spans="1:36" s="160" customFormat="1">
      <c r="A937" s="153" t="s">
        <v>1213</v>
      </c>
      <c r="B937" s="160">
        <v>9300</v>
      </c>
      <c r="C937" s="153" t="s">
        <v>2866</v>
      </c>
      <c r="D937" s="153" t="s">
        <v>2867</v>
      </c>
      <c r="E937" s="153" t="s">
        <v>309</v>
      </c>
      <c r="F937" s="153" t="s">
        <v>2901</v>
      </c>
      <c r="G937" s="153" t="s">
        <v>2902</v>
      </c>
      <c r="H937" s="153" t="s">
        <v>321</v>
      </c>
      <c r="I937" s="153" t="s">
        <v>754</v>
      </c>
      <c r="J937" s="153" t="s">
        <v>204</v>
      </c>
      <c r="K937" s="153" t="s">
        <v>204</v>
      </c>
      <c r="L937" s="153" t="s">
        <v>325</v>
      </c>
      <c r="M937" s="153" t="s">
        <v>340</v>
      </c>
      <c r="N937" s="153" t="s">
        <v>464</v>
      </c>
      <c r="O937" s="153" t="s">
        <v>339</v>
      </c>
      <c r="P937" s="153" t="s">
        <v>1554</v>
      </c>
      <c r="Q937" s="153" t="s">
        <v>413</v>
      </c>
      <c r="R937" s="153" t="s">
        <v>407</v>
      </c>
      <c r="S937" s="153" t="s">
        <v>1212</v>
      </c>
      <c r="T937" s="154">
        <v>1.99</v>
      </c>
      <c r="U937" s="153" t="s">
        <v>1522</v>
      </c>
      <c r="V937" s="155">
        <v>4.4920000000000002E-2</v>
      </c>
      <c r="W937" s="155">
        <v>3.1899999999999998E-2</v>
      </c>
      <c r="X937" s="153" t="s">
        <v>412</v>
      </c>
      <c r="Y937" s="153" t="s">
        <v>339</v>
      </c>
      <c r="Z937" s="154">
        <v>140000</v>
      </c>
      <c r="AA937" s="154">
        <v>1</v>
      </c>
      <c r="AB937" s="154">
        <v>101.09</v>
      </c>
      <c r="AD937" s="154">
        <v>141.52600000000001</v>
      </c>
      <c r="AG937" s="157" t="s">
        <v>15</v>
      </c>
      <c r="AH937" s="155">
        <v>3.4000000000000002E-4</v>
      </c>
      <c r="AI937" s="155">
        <f t="shared" si="14"/>
        <v>4.4659813462826509E-3</v>
      </c>
      <c r="AJ937" s="155">
        <v>4.6339259650552751E-4</v>
      </c>
    </row>
    <row r="938" spans="1:36" s="160" customFormat="1">
      <c r="A938" s="153" t="s">
        <v>1213</v>
      </c>
      <c r="B938" s="160">
        <v>9300</v>
      </c>
      <c r="C938" s="153" t="s">
        <v>2463</v>
      </c>
      <c r="D938" s="153" t="s">
        <v>2464</v>
      </c>
      <c r="E938" s="153" t="s">
        <v>309</v>
      </c>
      <c r="F938" s="153" t="s">
        <v>2903</v>
      </c>
      <c r="G938" s="153" t="s">
        <v>2904</v>
      </c>
      <c r="H938" s="153" t="s">
        <v>321</v>
      </c>
      <c r="I938" s="153" t="s">
        <v>754</v>
      </c>
      <c r="J938" s="153" t="s">
        <v>204</v>
      </c>
      <c r="K938" s="153" t="s">
        <v>204</v>
      </c>
      <c r="L938" s="153" t="s">
        <v>325</v>
      </c>
      <c r="M938" s="153" t="s">
        <v>340</v>
      </c>
      <c r="N938" s="153" t="s">
        <v>465</v>
      </c>
      <c r="O938" s="153" t="s">
        <v>339</v>
      </c>
      <c r="P938" s="153" t="s">
        <v>1560</v>
      </c>
      <c r="Q938" s="153" t="s">
        <v>413</v>
      </c>
      <c r="R938" s="153" t="s">
        <v>407</v>
      </c>
      <c r="S938" s="153" t="s">
        <v>1212</v>
      </c>
      <c r="T938" s="154">
        <v>4.99</v>
      </c>
      <c r="U938" s="153" t="s">
        <v>2752</v>
      </c>
      <c r="V938" s="155">
        <v>4.1149999999999999E-2</v>
      </c>
      <c r="W938" s="155">
        <v>3.7900000000000003E-2</v>
      </c>
      <c r="X938" s="177"/>
      <c r="Y938" s="177"/>
      <c r="Z938" s="154">
        <v>132000</v>
      </c>
      <c r="AA938" s="154">
        <v>1</v>
      </c>
      <c r="AB938" s="154">
        <v>103.93</v>
      </c>
      <c r="AD938" s="154">
        <v>137.18799999999999</v>
      </c>
      <c r="AG938" s="157" t="s">
        <v>15</v>
      </c>
      <c r="AH938" s="155">
        <v>2.0000000000000001E-4</v>
      </c>
      <c r="AI938" s="155">
        <f t="shared" si="14"/>
        <v>4.3290918201166163E-3</v>
      </c>
      <c r="AJ938" s="155">
        <v>4.4918886656444964E-4</v>
      </c>
    </row>
    <row r="939" spans="1:36" s="160" customFormat="1">
      <c r="A939" s="153" t="s">
        <v>1213</v>
      </c>
      <c r="B939" s="160">
        <v>9300</v>
      </c>
      <c r="C939" s="153" t="s">
        <v>2905</v>
      </c>
      <c r="D939" s="153" t="s">
        <v>2906</v>
      </c>
      <c r="E939" s="153" t="s">
        <v>309</v>
      </c>
      <c r="F939" s="153" t="s">
        <v>2907</v>
      </c>
      <c r="G939" s="153" t="s">
        <v>2908</v>
      </c>
      <c r="H939" s="153" t="s">
        <v>321</v>
      </c>
      <c r="I939" s="153" t="s">
        <v>951</v>
      </c>
      <c r="J939" s="153" t="s">
        <v>204</v>
      </c>
      <c r="K939" s="153" t="s">
        <v>204</v>
      </c>
      <c r="L939" s="153" t="s">
        <v>325</v>
      </c>
      <c r="M939" s="153" t="s">
        <v>340</v>
      </c>
      <c r="N939" s="153" t="s">
        <v>477</v>
      </c>
      <c r="O939" s="153" t="s">
        <v>339</v>
      </c>
      <c r="P939" s="153" t="s">
        <v>1554</v>
      </c>
      <c r="Q939" s="153" t="s">
        <v>413</v>
      </c>
      <c r="R939" s="153" t="s">
        <v>407</v>
      </c>
      <c r="S939" s="153" t="s">
        <v>1212</v>
      </c>
      <c r="T939" s="154">
        <v>1.25</v>
      </c>
      <c r="U939" s="153" t="s">
        <v>1659</v>
      </c>
      <c r="V939" s="155">
        <v>3.6859999999999997E-2</v>
      </c>
      <c r="W939" s="155">
        <v>5.6300000000000003E-2</v>
      </c>
      <c r="X939" s="153" t="s">
        <v>412</v>
      </c>
      <c r="Y939" s="153" t="s">
        <v>339</v>
      </c>
      <c r="Z939" s="154">
        <v>136000.37</v>
      </c>
      <c r="AA939" s="154">
        <v>1</v>
      </c>
      <c r="AB939" s="154">
        <v>98</v>
      </c>
      <c r="AD939" s="154">
        <v>133.28</v>
      </c>
      <c r="AG939" s="157" t="s">
        <v>15</v>
      </c>
      <c r="AH939" s="155">
        <v>2.1800000000000001E-3</v>
      </c>
      <c r="AI939" s="155">
        <f t="shared" si="14"/>
        <v>4.2057713341191842E-3</v>
      </c>
      <c r="AJ939" s="155">
        <v>4.3639306743818593E-4</v>
      </c>
    </row>
    <row r="940" spans="1:36" s="160" customFormat="1">
      <c r="A940" s="153" t="s">
        <v>1213</v>
      </c>
      <c r="B940" s="160">
        <v>9300</v>
      </c>
      <c r="C940" s="153" t="s">
        <v>2391</v>
      </c>
      <c r="D940" s="153" t="s">
        <v>2392</v>
      </c>
      <c r="E940" s="153" t="s">
        <v>309</v>
      </c>
      <c r="F940" s="153" t="s">
        <v>2909</v>
      </c>
      <c r="G940" s="153" t="s">
        <v>2910</v>
      </c>
      <c r="H940" s="153" t="s">
        <v>321</v>
      </c>
      <c r="I940" s="153" t="s">
        <v>754</v>
      </c>
      <c r="J940" s="153" t="s">
        <v>204</v>
      </c>
      <c r="K940" s="153" t="s">
        <v>204</v>
      </c>
      <c r="L940" s="153" t="s">
        <v>327</v>
      </c>
      <c r="M940" s="153" t="s">
        <v>340</v>
      </c>
      <c r="N940" s="153" t="s">
        <v>464</v>
      </c>
      <c r="O940" s="153" t="s">
        <v>339</v>
      </c>
      <c r="P940" s="153" t="s">
        <v>1538</v>
      </c>
      <c r="Q940" s="153" t="s">
        <v>413</v>
      </c>
      <c r="R940" s="153" t="s">
        <v>407</v>
      </c>
      <c r="S940" s="153" t="s">
        <v>1212</v>
      </c>
      <c r="T940" s="154">
        <v>1.1599999999999999</v>
      </c>
      <c r="U940" s="153" t="s">
        <v>2530</v>
      </c>
      <c r="V940" s="155">
        <v>1.8579999999999999E-2</v>
      </c>
      <c r="W940" s="155">
        <v>2.4500000000000001E-2</v>
      </c>
      <c r="X940" s="153" t="s">
        <v>412</v>
      </c>
      <c r="Y940" s="153" t="s">
        <v>339</v>
      </c>
      <c r="Z940" s="154">
        <v>50000</v>
      </c>
      <c r="AA940" s="154">
        <v>1</v>
      </c>
      <c r="AB940" s="154">
        <f>AD940*1000/Z940*100</f>
        <v>115.77502732240441</v>
      </c>
      <c r="AD940" s="154">
        <f>57887.5136612022/1000</f>
        <v>57.887513661202206</v>
      </c>
      <c r="AG940" s="157" t="s">
        <v>15</v>
      </c>
      <c r="AH940" s="155">
        <v>2.7E-4</v>
      </c>
      <c r="AI940" s="155">
        <f t="shared" si="14"/>
        <v>1.826693018905439E-3</v>
      </c>
      <c r="AJ940" s="155">
        <v>1.8953863785250543E-4</v>
      </c>
    </row>
    <row r="941" spans="1:36" s="160" customFormat="1">
      <c r="A941" s="153" t="s">
        <v>1213</v>
      </c>
      <c r="B941" s="160">
        <v>9300</v>
      </c>
      <c r="C941" s="153" t="s">
        <v>1861</v>
      </c>
      <c r="D941" s="153" t="s">
        <v>1862</v>
      </c>
      <c r="E941" s="153" t="s">
        <v>309</v>
      </c>
      <c r="F941" s="153" t="s">
        <v>1995</v>
      </c>
      <c r="G941" s="153" t="s">
        <v>1996</v>
      </c>
      <c r="H941" s="153" t="s">
        <v>321</v>
      </c>
      <c r="I941" s="153" t="s">
        <v>754</v>
      </c>
      <c r="J941" s="153" t="s">
        <v>204</v>
      </c>
      <c r="K941" s="153" t="s">
        <v>204</v>
      </c>
      <c r="L941" s="153" t="s">
        <v>325</v>
      </c>
      <c r="M941" s="153" t="s">
        <v>340</v>
      </c>
      <c r="N941" s="153" t="s">
        <v>464</v>
      </c>
      <c r="O941" s="153" t="s">
        <v>339</v>
      </c>
      <c r="P941" s="153" t="s">
        <v>1538</v>
      </c>
      <c r="Q941" s="153" t="s">
        <v>413</v>
      </c>
      <c r="R941" s="153" t="s">
        <v>407</v>
      </c>
      <c r="S941" s="153" t="s">
        <v>1212</v>
      </c>
      <c r="T941" s="154">
        <v>1.5</v>
      </c>
      <c r="U941" s="153" t="s">
        <v>1997</v>
      </c>
      <c r="V941" s="155">
        <v>2.198E-2</v>
      </c>
      <c r="W941" s="155">
        <v>2.53E-2</v>
      </c>
      <c r="X941" s="153" t="s">
        <v>412</v>
      </c>
      <c r="Y941" s="153" t="s">
        <v>339</v>
      </c>
      <c r="Z941" s="154">
        <v>111000.53</v>
      </c>
      <c r="AA941" s="154">
        <v>1</v>
      </c>
      <c r="AB941" s="154">
        <v>117.88</v>
      </c>
      <c r="AD941" s="154">
        <v>130.84700000000001</v>
      </c>
      <c r="AG941" s="157" t="s">
        <v>15</v>
      </c>
      <c r="AH941" s="155">
        <v>9.0000000000000006E-5</v>
      </c>
      <c r="AI941" s="155">
        <f t="shared" si="14"/>
        <v>4.1289958114907929E-3</v>
      </c>
      <c r="AJ941" s="155">
        <v>4.2842679843250537E-4</v>
      </c>
    </row>
    <row r="942" spans="1:36" s="160" customFormat="1">
      <c r="A942" s="153" t="s">
        <v>1213</v>
      </c>
      <c r="B942" s="160">
        <v>9300</v>
      </c>
      <c r="C942" s="153" t="s">
        <v>1947</v>
      </c>
      <c r="D942" s="153" t="s">
        <v>1948</v>
      </c>
      <c r="E942" s="153" t="s">
        <v>309</v>
      </c>
      <c r="F942" s="153" t="s">
        <v>1949</v>
      </c>
      <c r="G942" s="153" t="s">
        <v>1950</v>
      </c>
      <c r="H942" s="153" t="s">
        <v>321</v>
      </c>
      <c r="I942" s="153" t="s">
        <v>754</v>
      </c>
      <c r="J942" s="153" t="s">
        <v>204</v>
      </c>
      <c r="K942" s="153" t="s">
        <v>204</v>
      </c>
      <c r="L942" s="153" t="s">
        <v>325</v>
      </c>
      <c r="M942" s="153" t="s">
        <v>340</v>
      </c>
      <c r="N942" s="153" t="s">
        <v>464</v>
      </c>
      <c r="O942" s="153" t="s">
        <v>339</v>
      </c>
      <c r="Q942" s="153" t="s">
        <v>410</v>
      </c>
      <c r="R942" s="153" t="s">
        <v>410</v>
      </c>
      <c r="S942" s="153" t="s">
        <v>1212</v>
      </c>
      <c r="T942" s="154">
        <v>2.37</v>
      </c>
      <c r="U942" s="153" t="s">
        <v>1951</v>
      </c>
      <c r="V942" s="155">
        <v>3.0439999999999998E-2</v>
      </c>
      <c r="W942" s="155">
        <v>3.5400000000000001E-2</v>
      </c>
      <c r="X942" s="153" t="s">
        <v>412</v>
      </c>
      <c r="Y942" s="153" t="s">
        <v>339</v>
      </c>
      <c r="Z942" s="154">
        <v>118365.72</v>
      </c>
      <c r="AA942" s="154">
        <v>1</v>
      </c>
      <c r="AB942" s="154">
        <v>106.58</v>
      </c>
      <c r="AC942" s="154">
        <v>3.3220000000000001</v>
      </c>
      <c r="AD942" s="154">
        <v>129.476</v>
      </c>
      <c r="AG942" s="157" t="s">
        <v>15</v>
      </c>
      <c r="AH942" s="155">
        <v>2.1000000000000001E-4</v>
      </c>
      <c r="AI942" s="155">
        <f t="shared" si="14"/>
        <v>4.0857326624881111E-3</v>
      </c>
      <c r="AJ942" s="155">
        <v>4.2393779111364464E-4</v>
      </c>
    </row>
    <row r="943" spans="1:36" s="160" customFormat="1">
      <c r="A943" s="153" t="s">
        <v>1213</v>
      </c>
      <c r="B943" s="160">
        <v>9300</v>
      </c>
      <c r="C943" s="153" t="s">
        <v>2228</v>
      </c>
      <c r="D943" s="153" t="s">
        <v>2229</v>
      </c>
      <c r="E943" s="153" t="s">
        <v>309</v>
      </c>
      <c r="F943" s="153" t="s">
        <v>2911</v>
      </c>
      <c r="G943" s="153" t="s">
        <v>2912</v>
      </c>
      <c r="H943" s="153" t="s">
        <v>321</v>
      </c>
      <c r="I943" s="153" t="s">
        <v>951</v>
      </c>
      <c r="J943" s="153" t="s">
        <v>204</v>
      </c>
      <c r="K943" s="153" t="s">
        <v>204</v>
      </c>
      <c r="L943" s="153" t="s">
        <v>325</v>
      </c>
      <c r="M943" s="153" t="s">
        <v>340</v>
      </c>
      <c r="N943" s="153" t="s">
        <v>441</v>
      </c>
      <c r="O943" s="153" t="s">
        <v>339</v>
      </c>
      <c r="Q943" s="153" t="s">
        <v>410</v>
      </c>
      <c r="R943" s="153" t="s">
        <v>410</v>
      </c>
      <c r="S943" s="153" t="s">
        <v>1212</v>
      </c>
      <c r="T943" s="154">
        <v>0.42</v>
      </c>
      <c r="U943" s="153" t="s">
        <v>2049</v>
      </c>
      <c r="V943" s="155">
        <v>2.9850000000000002E-2</v>
      </c>
      <c r="W943" s="155">
        <v>6.1199999999999997E-2</v>
      </c>
      <c r="X943" s="153" t="s">
        <v>412</v>
      </c>
      <c r="Y943" s="153" t="s">
        <v>339</v>
      </c>
      <c r="Z943" s="154">
        <v>128602.42</v>
      </c>
      <c r="AA943" s="154">
        <v>1</v>
      </c>
      <c r="AB943" s="154">
        <v>99.63</v>
      </c>
      <c r="AD943" s="154">
        <v>128.12700000000001</v>
      </c>
      <c r="AG943" s="157" t="s">
        <v>15</v>
      </c>
      <c r="AH943" s="155">
        <v>1.64E-3</v>
      </c>
      <c r="AI943" s="155">
        <f t="shared" si="14"/>
        <v>4.0431637434475446E-3</v>
      </c>
      <c r="AJ943" s="155">
        <v>4.1952081746437917E-4</v>
      </c>
    </row>
    <row r="944" spans="1:36" s="160" customFormat="1">
      <c r="A944" s="153" t="s">
        <v>1213</v>
      </c>
      <c r="B944" s="160">
        <v>9300</v>
      </c>
      <c r="C944" s="153" t="s">
        <v>1600</v>
      </c>
      <c r="D944" s="153" t="s">
        <v>1601</v>
      </c>
      <c r="E944" s="153" t="s">
        <v>309</v>
      </c>
      <c r="F944" s="153" t="s">
        <v>2353</v>
      </c>
      <c r="G944" s="153" t="s">
        <v>2354</v>
      </c>
      <c r="H944" s="153" t="s">
        <v>321</v>
      </c>
      <c r="I944" s="153" t="s">
        <v>754</v>
      </c>
      <c r="J944" s="153" t="s">
        <v>204</v>
      </c>
      <c r="K944" s="153" t="s">
        <v>204</v>
      </c>
      <c r="L944" s="153" t="s">
        <v>325</v>
      </c>
      <c r="M944" s="153" t="s">
        <v>340</v>
      </c>
      <c r="N944" s="153" t="s">
        <v>448</v>
      </c>
      <c r="O944" s="153" t="s">
        <v>339</v>
      </c>
      <c r="P944" s="153" t="s">
        <v>1215</v>
      </c>
      <c r="Q944" s="153" t="s">
        <v>413</v>
      </c>
      <c r="R944" s="153" t="s">
        <v>407</v>
      </c>
      <c r="S944" s="153" t="s">
        <v>1212</v>
      </c>
      <c r="T944" s="154">
        <v>2.04</v>
      </c>
      <c r="U944" s="153" t="s">
        <v>2355</v>
      </c>
      <c r="V944" s="155">
        <v>6.0000000000000001E-3</v>
      </c>
      <c r="W944" s="155">
        <v>2.07E-2</v>
      </c>
      <c r="X944" s="153" t="s">
        <v>412</v>
      </c>
      <c r="Y944" s="153" t="s">
        <v>339</v>
      </c>
      <c r="Z944" s="154">
        <v>112000.46</v>
      </c>
      <c r="AA944" s="154">
        <v>1</v>
      </c>
      <c r="AB944" s="154">
        <v>113.24</v>
      </c>
      <c r="AD944" s="154">
        <v>126.82899999999999</v>
      </c>
      <c r="AG944" s="157" t="s">
        <v>15</v>
      </c>
      <c r="AH944" s="155">
        <v>1.2999999999999999E-4</v>
      </c>
      <c r="AI944" s="155">
        <f t="shared" si="14"/>
        <v>4.0022041756827883E-3</v>
      </c>
      <c r="AJ944" s="155">
        <v>4.1527083095826593E-4</v>
      </c>
    </row>
    <row r="945" spans="1:36" s="160" customFormat="1">
      <c r="A945" s="153" t="s">
        <v>1213</v>
      </c>
      <c r="B945" s="160">
        <v>9300</v>
      </c>
      <c r="C945" s="153" t="s">
        <v>2396</v>
      </c>
      <c r="D945" s="153" t="s">
        <v>2397</v>
      </c>
      <c r="E945" s="153" t="s">
        <v>309</v>
      </c>
      <c r="F945" s="153" t="s">
        <v>2398</v>
      </c>
      <c r="G945" s="153" t="s">
        <v>2399</v>
      </c>
      <c r="H945" s="153" t="s">
        <v>321</v>
      </c>
      <c r="I945" s="153" t="s">
        <v>754</v>
      </c>
      <c r="J945" s="153" t="s">
        <v>204</v>
      </c>
      <c r="K945" s="153" t="s">
        <v>204</v>
      </c>
      <c r="L945" s="153" t="s">
        <v>325</v>
      </c>
      <c r="M945" s="153" t="s">
        <v>340</v>
      </c>
      <c r="N945" s="153" t="s">
        <v>451</v>
      </c>
      <c r="O945" s="153" t="s">
        <v>339</v>
      </c>
      <c r="P945" s="153" t="s">
        <v>1521</v>
      </c>
      <c r="Q945" s="153" t="s">
        <v>413</v>
      </c>
      <c r="R945" s="153" t="s">
        <v>407</v>
      </c>
      <c r="S945" s="153" t="s">
        <v>1212</v>
      </c>
      <c r="T945" s="154">
        <v>4.7</v>
      </c>
      <c r="U945" s="153" t="s">
        <v>2174</v>
      </c>
      <c r="V945" s="155">
        <v>3.5650000000000001E-2</v>
      </c>
      <c r="W945" s="155">
        <v>3.6700000000000003E-2</v>
      </c>
      <c r="X945" s="153" t="s">
        <v>412</v>
      </c>
      <c r="Y945" s="153" t="s">
        <v>339</v>
      </c>
      <c r="Z945" s="154">
        <v>129627</v>
      </c>
      <c r="AA945" s="154">
        <v>1</v>
      </c>
      <c r="AB945" s="154">
        <v>97.72</v>
      </c>
      <c r="AD945" s="154">
        <v>126.672</v>
      </c>
      <c r="AG945" s="157" t="s">
        <v>15</v>
      </c>
      <c r="AH945" s="155">
        <v>1.3999999999999999E-4</v>
      </c>
      <c r="AI945" s="155">
        <f t="shared" si="14"/>
        <v>3.9972498982258796E-3</v>
      </c>
      <c r="AJ945" s="155">
        <v>4.1475677249797332E-4</v>
      </c>
    </row>
    <row r="946" spans="1:36" s="160" customFormat="1">
      <c r="A946" s="153" t="s">
        <v>1213</v>
      </c>
      <c r="B946" s="160">
        <v>9300</v>
      </c>
      <c r="C946" s="153" t="s">
        <v>2463</v>
      </c>
      <c r="D946" s="153" t="s">
        <v>2464</v>
      </c>
      <c r="E946" s="153" t="s">
        <v>309</v>
      </c>
      <c r="F946" s="153" t="s">
        <v>2472</v>
      </c>
      <c r="G946" s="153" t="s">
        <v>2473</v>
      </c>
      <c r="H946" s="153" t="s">
        <v>321</v>
      </c>
      <c r="I946" s="153" t="s">
        <v>754</v>
      </c>
      <c r="J946" s="153" t="s">
        <v>204</v>
      </c>
      <c r="K946" s="153" t="s">
        <v>204</v>
      </c>
      <c r="L946" s="153" t="s">
        <v>327</v>
      </c>
      <c r="M946" s="153" t="s">
        <v>340</v>
      </c>
      <c r="N946" s="153" t="s">
        <v>465</v>
      </c>
      <c r="O946" s="153" t="s">
        <v>339</v>
      </c>
      <c r="P946" s="153" t="s">
        <v>1554</v>
      </c>
      <c r="Q946" s="153" t="s">
        <v>413</v>
      </c>
      <c r="R946" s="153" t="s">
        <v>407</v>
      </c>
      <c r="S946" s="153" t="s">
        <v>1212</v>
      </c>
      <c r="T946" s="154">
        <v>2.23</v>
      </c>
      <c r="U946" s="153" t="s">
        <v>1744</v>
      </c>
      <c r="V946" s="155">
        <v>5.0470000000000001E-2</v>
      </c>
      <c r="W946" s="155">
        <v>4.3999999999999997E-2</v>
      </c>
      <c r="X946" s="153" t="s">
        <v>412</v>
      </c>
      <c r="Y946" s="153" t="s">
        <v>339</v>
      </c>
      <c r="Z946" s="154">
        <v>110000</v>
      </c>
      <c r="AA946" s="154">
        <v>1</v>
      </c>
      <c r="AB946" s="154">
        <f>AD946*1000/Z946*100</f>
        <v>114.27272727272728</v>
      </c>
      <c r="AD946" s="154">
        <f>126.566-0.866</f>
        <v>125.7</v>
      </c>
      <c r="AG946" s="157" t="s">
        <v>15</v>
      </c>
      <c r="AH946" s="155">
        <v>6.9999999999999994E-5</v>
      </c>
      <c r="AI946" s="155">
        <f t="shared" si="14"/>
        <v>3.9665775562633659E-3</v>
      </c>
      <c r="AJ946" s="155">
        <v>4.1157419400495175E-4</v>
      </c>
    </row>
    <row r="947" spans="1:36" s="160" customFormat="1">
      <c r="A947" s="153" t="s">
        <v>1213</v>
      </c>
      <c r="B947" s="160">
        <v>9300</v>
      </c>
      <c r="C947" s="153" t="s">
        <v>1534</v>
      </c>
      <c r="D947" s="153" t="s">
        <v>1535</v>
      </c>
      <c r="E947" s="153" t="s">
        <v>309</v>
      </c>
      <c r="F947" s="153" t="s">
        <v>2913</v>
      </c>
      <c r="G947" s="153" t="s">
        <v>2914</v>
      </c>
      <c r="H947" s="153" t="s">
        <v>321</v>
      </c>
      <c r="I947" s="153" t="s">
        <v>951</v>
      </c>
      <c r="J947" s="153" t="s">
        <v>204</v>
      </c>
      <c r="K947" s="153" t="s">
        <v>204</v>
      </c>
      <c r="L947" s="153" t="s">
        <v>325</v>
      </c>
      <c r="M947" s="153" t="s">
        <v>340</v>
      </c>
      <c r="N947" s="153" t="s">
        <v>464</v>
      </c>
      <c r="O947" s="153" t="s">
        <v>339</v>
      </c>
      <c r="P947" s="153" t="s">
        <v>1538</v>
      </c>
      <c r="Q947" s="153" t="s">
        <v>413</v>
      </c>
      <c r="R947" s="153" t="s">
        <v>407</v>
      </c>
      <c r="S947" s="153" t="s">
        <v>1212</v>
      </c>
      <c r="T947" s="154">
        <v>0.74</v>
      </c>
      <c r="U947" s="153" t="s">
        <v>2915</v>
      </c>
      <c r="V947" s="155">
        <v>5.176E-2</v>
      </c>
      <c r="W947" s="155">
        <v>5.45E-2</v>
      </c>
      <c r="X947" s="153" t="s">
        <v>412</v>
      </c>
      <c r="Y947" s="153" t="s">
        <v>339</v>
      </c>
      <c r="Z947" s="154">
        <v>125000</v>
      </c>
      <c r="AA947" s="154">
        <v>1</v>
      </c>
      <c r="AB947" s="154">
        <v>101</v>
      </c>
      <c r="AD947" s="154">
        <v>126.25</v>
      </c>
      <c r="AG947" s="157" t="s">
        <v>15</v>
      </c>
      <c r="AH947" s="155">
        <v>2.9E-4</v>
      </c>
      <c r="AI947" s="155">
        <f t="shared" si="14"/>
        <v>3.9839333053162292E-3</v>
      </c>
      <c r="AJ947" s="155">
        <v>4.1337503574483022E-4</v>
      </c>
    </row>
    <row r="948" spans="1:36" s="160" customFormat="1">
      <c r="A948" s="153" t="s">
        <v>1213</v>
      </c>
      <c r="B948" s="160">
        <v>9300</v>
      </c>
      <c r="C948" s="153" t="s">
        <v>2385</v>
      </c>
      <c r="D948" s="153" t="s">
        <v>2386</v>
      </c>
      <c r="E948" s="153" t="s">
        <v>309</v>
      </c>
      <c r="F948" s="153" t="s">
        <v>2387</v>
      </c>
      <c r="G948" s="153" t="s">
        <v>2388</v>
      </c>
      <c r="H948" s="153" t="s">
        <v>321</v>
      </c>
      <c r="I948" s="153" t="s">
        <v>754</v>
      </c>
      <c r="J948" s="153" t="s">
        <v>204</v>
      </c>
      <c r="K948" s="153" t="s">
        <v>204</v>
      </c>
      <c r="L948" s="153" t="s">
        <v>325</v>
      </c>
      <c r="M948" s="153" t="s">
        <v>340</v>
      </c>
      <c r="N948" s="153" t="s">
        <v>464</v>
      </c>
      <c r="O948" s="153" t="s">
        <v>339</v>
      </c>
      <c r="P948" s="153" t="s">
        <v>1211</v>
      </c>
      <c r="Q948" s="153" t="s">
        <v>415</v>
      </c>
      <c r="R948" s="153" t="s">
        <v>407</v>
      </c>
      <c r="S948" s="153" t="s">
        <v>1212</v>
      </c>
      <c r="T948" s="154">
        <v>1.46</v>
      </c>
      <c r="U948" s="153" t="s">
        <v>1659</v>
      </c>
      <c r="V948" s="155">
        <v>1.477E-2</v>
      </c>
      <c r="W948" s="155">
        <v>2.1899999999999999E-2</v>
      </c>
      <c r="X948" s="153" t="s">
        <v>412</v>
      </c>
      <c r="Y948" s="153" t="s">
        <v>339</v>
      </c>
      <c r="Z948" s="154">
        <v>106000.31</v>
      </c>
      <c r="AA948" s="154">
        <v>1</v>
      </c>
      <c r="AB948" s="154">
        <v>114.36</v>
      </c>
      <c r="AD948" s="154">
        <v>121.22199999999999</v>
      </c>
      <c r="AG948" s="157" t="s">
        <v>15</v>
      </c>
      <c r="AH948" s="155">
        <v>9.0000000000000006E-5</v>
      </c>
      <c r="AI948" s="155">
        <f t="shared" si="14"/>
        <v>3.825270203065694E-3</v>
      </c>
      <c r="AJ948" s="155">
        <v>3.9691206798463216E-4</v>
      </c>
    </row>
    <row r="949" spans="1:36" s="160" customFormat="1">
      <c r="A949" s="153" t="s">
        <v>1213</v>
      </c>
      <c r="B949" s="160">
        <v>9300</v>
      </c>
      <c r="C949" s="153" t="s">
        <v>1904</v>
      </c>
      <c r="D949" s="153" t="s">
        <v>1905</v>
      </c>
      <c r="E949" s="153" t="s">
        <v>309</v>
      </c>
      <c r="F949" s="153" t="s">
        <v>2916</v>
      </c>
      <c r="G949" s="153" t="s">
        <v>2917</v>
      </c>
      <c r="H949" s="153" t="s">
        <v>321</v>
      </c>
      <c r="I949" s="153" t="s">
        <v>951</v>
      </c>
      <c r="J949" s="153" t="s">
        <v>204</v>
      </c>
      <c r="K949" s="153" t="s">
        <v>204</v>
      </c>
      <c r="L949" s="153" t="s">
        <v>325</v>
      </c>
      <c r="M949" s="153" t="s">
        <v>340</v>
      </c>
      <c r="N949" s="153" t="s">
        <v>448</v>
      </c>
      <c r="O949" s="153" t="s">
        <v>339</v>
      </c>
      <c r="P949" s="153" t="s">
        <v>1211</v>
      </c>
      <c r="Q949" s="153" t="s">
        <v>415</v>
      </c>
      <c r="R949" s="153" t="s">
        <v>407</v>
      </c>
      <c r="S949" s="153" t="s">
        <v>1212</v>
      </c>
      <c r="T949" s="154">
        <v>0.94</v>
      </c>
      <c r="U949" s="153" t="s">
        <v>2918</v>
      </c>
      <c r="V949" s="155">
        <v>5.0000000000000001E-4</v>
      </c>
      <c r="W949" s="155">
        <v>4.6399999999999997E-2</v>
      </c>
      <c r="X949" s="153" t="s">
        <v>412</v>
      </c>
      <c r="Y949" s="153" t="s">
        <v>339</v>
      </c>
      <c r="Z949" s="154">
        <v>12100</v>
      </c>
      <c r="AA949" s="154">
        <v>1</v>
      </c>
      <c r="AB949" s="154">
        <v>1001.72</v>
      </c>
      <c r="AD949" s="154">
        <v>121.208</v>
      </c>
      <c r="AG949" s="157" t="s">
        <v>15</v>
      </c>
      <c r="AH949" s="155">
        <v>1.0000000000000001E-5</v>
      </c>
      <c r="AI949" s="155">
        <f t="shared" si="14"/>
        <v>3.8248284203625305E-3</v>
      </c>
      <c r="AJ949" s="155">
        <v>3.9686622837670796E-4</v>
      </c>
    </row>
    <row r="950" spans="1:36" s="160" customFormat="1">
      <c r="A950" s="153" t="s">
        <v>1213</v>
      </c>
      <c r="B950" s="160">
        <v>9300</v>
      </c>
      <c r="C950" s="153" t="s">
        <v>1893</v>
      </c>
      <c r="D950" s="153" t="s">
        <v>1894</v>
      </c>
      <c r="E950" s="153" t="s">
        <v>309</v>
      </c>
      <c r="F950" s="153" t="s">
        <v>2919</v>
      </c>
      <c r="G950" s="153" t="s">
        <v>2920</v>
      </c>
      <c r="H950" s="153" t="s">
        <v>321</v>
      </c>
      <c r="I950" s="153" t="s">
        <v>951</v>
      </c>
      <c r="J950" s="153" t="s">
        <v>204</v>
      </c>
      <c r="K950" s="153" t="s">
        <v>204</v>
      </c>
      <c r="L950" s="153" t="s">
        <v>325</v>
      </c>
      <c r="M950" s="153" t="s">
        <v>340</v>
      </c>
      <c r="N950" s="153" t="s">
        <v>464</v>
      </c>
      <c r="O950" s="153" t="s">
        <v>339</v>
      </c>
      <c r="P950" s="153" t="s">
        <v>1560</v>
      </c>
      <c r="Q950" s="153" t="s">
        <v>413</v>
      </c>
      <c r="R950" s="153" t="s">
        <v>407</v>
      </c>
      <c r="S950" s="153" t="s">
        <v>1212</v>
      </c>
      <c r="T950" s="154">
        <v>0.79</v>
      </c>
      <c r="U950" s="153" t="s">
        <v>2667</v>
      </c>
      <c r="V950" s="155">
        <v>6.0000000000000001E-3</v>
      </c>
      <c r="W950" s="155">
        <v>5.3400000000000003E-2</v>
      </c>
      <c r="X950" s="153" t="s">
        <v>412</v>
      </c>
      <c r="Y950" s="153" t="s">
        <v>339</v>
      </c>
      <c r="Z950" s="154">
        <v>12000</v>
      </c>
      <c r="AA950" s="154">
        <v>1</v>
      </c>
      <c r="AB950" s="154">
        <v>1009</v>
      </c>
      <c r="AD950" s="154">
        <v>121.08</v>
      </c>
      <c r="AG950" s="157" t="s">
        <v>15</v>
      </c>
      <c r="AH950" s="155">
        <v>6.9999999999999994E-5</v>
      </c>
      <c r="AI950" s="155">
        <f t="shared" si="14"/>
        <v>3.8207892642193185E-3</v>
      </c>
      <c r="AJ950" s="155">
        <v>3.9644712338997263E-4</v>
      </c>
    </row>
    <row r="951" spans="1:36" s="160" customFormat="1">
      <c r="A951" s="153" t="s">
        <v>1213</v>
      </c>
      <c r="B951" s="160">
        <v>9300</v>
      </c>
      <c r="C951" s="153" t="s">
        <v>2921</v>
      </c>
      <c r="D951" s="153" t="s">
        <v>2922</v>
      </c>
      <c r="E951" s="153" t="s">
        <v>309</v>
      </c>
      <c r="F951" s="153" t="s">
        <v>2923</v>
      </c>
      <c r="G951" s="153" t="s">
        <v>2924</v>
      </c>
      <c r="H951" s="153" t="s">
        <v>321</v>
      </c>
      <c r="I951" s="153" t="s">
        <v>951</v>
      </c>
      <c r="J951" s="153" t="s">
        <v>204</v>
      </c>
      <c r="K951" s="153" t="s">
        <v>204</v>
      </c>
      <c r="L951" s="153" t="s">
        <v>325</v>
      </c>
      <c r="M951" s="153" t="s">
        <v>340</v>
      </c>
      <c r="N951" s="153" t="s">
        <v>447</v>
      </c>
      <c r="O951" s="153" t="s">
        <v>339</v>
      </c>
      <c r="P951" s="153" t="s">
        <v>1554</v>
      </c>
      <c r="Q951" s="153" t="s">
        <v>413</v>
      </c>
      <c r="R951" s="153" t="s">
        <v>407</v>
      </c>
      <c r="S951" s="153" t="s">
        <v>1212</v>
      </c>
      <c r="T951" s="154">
        <v>0.73</v>
      </c>
      <c r="U951" s="153" t="s">
        <v>1777</v>
      </c>
      <c r="V951" s="155">
        <v>4.7660000000000001E-2</v>
      </c>
      <c r="W951" s="155">
        <v>6.2899999999999998E-2</v>
      </c>
      <c r="X951" s="153" t="s">
        <v>412</v>
      </c>
      <c r="Y951" s="153" t="s">
        <v>339</v>
      </c>
      <c r="Z951" s="154">
        <v>117000</v>
      </c>
      <c r="AA951" s="154">
        <v>1</v>
      </c>
      <c r="AB951" s="154">
        <v>100.35</v>
      </c>
      <c r="AD951" s="154">
        <v>117.41</v>
      </c>
      <c r="AG951" s="157" t="s">
        <v>15</v>
      </c>
      <c r="AH951" s="155">
        <v>1.7700000000000001E-3</v>
      </c>
      <c r="AI951" s="155">
        <f t="shared" si="14"/>
        <v>3.7049790841756705E-3</v>
      </c>
      <c r="AJ951" s="155">
        <v>3.8443059759841992E-4</v>
      </c>
    </row>
    <row r="952" spans="1:36" s="160" customFormat="1">
      <c r="A952" s="153" t="s">
        <v>1213</v>
      </c>
      <c r="B952" s="160">
        <v>9300</v>
      </c>
      <c r="C952" s="153" t="s">
        <v>1909</v>
      </c>
      <c r="D952" s="153" t="s">
        <v>1910</v>
      </c>
      <c r="E952" s="153" t="s">
        <v>309</v>
      </c>
      <c r="F952" s="153" t="s">
        <v>2925</v>
      </c>
      <c r="G952" s="153" t="s">
        <v>2926</v>
      </c>
      <c r="H952" s="153" t="s">
        <v>321</v>
      </c>
      <c r="I952" s="153" t="s">
        <v>754</v>
      </c>
      <c r="J952" s="153" t="s">
        <v>204</v>
      </c>
      <c r="K952" s="153" t="s">
        <v>204</v>
      </c>
      <c r="L952" s="153" t="s">
        <v>325</v>
      </c>
      <c r="M952" s="153" t="s">
        <v>340</v>
      </c>
      <c r="N952" s="153" t="s">
        <v>464</v>
      </c>
      <c r="O952" s="153" t="s">
        <v>339</v>
      </c>
      <c r="Q952" s="153" t="s">
        <v>410</v>
      </c>
      <c r="R952" s="153" t="s">
        <v>410</v>
      </c>
      <c r="S952" s="153" t="s">
        <v>1212</v>
      </c>
      <c r="T952" s="154">
        <v>5.66</v>
      </c>
      <c r="U952" s="153" t="s">
        <v>2227</v>
      </c>
      <c r="V952" s="155">
        <v>3.159E-2</v>
      </c>
      <c r="W952" s="155">
        <v>3.44E-2</v>
      </c>
      <c r="X952" s="153" t="s">
        <v>412</v>
      </c>
      <c r="Y952" s="153" t="s">
        <v>339</v>
      </c>
      <c r="Z952" s="154">
        <v>107715</v>
      </c>
      <c r="AA952" s="154">
        <v>1</v>
      </c>
      <c r="AB952" s="154">
        <v>107.36</v>
      </c>
      <c r="AD952" s="154">
        <v>115.643</v>
      </c>
      <c r="AG952" s="157" t="s">
        <v>15</v>
      </c>
      <c r="AH952" s="155">
        <v>2.5000000000000001E-4</v>
      </c>
      <c r="AI952" s="155">
        <f t="shared" si="14"/>
        <v>3.649219795854928E-3</v>
      </c>
      <c r="AJ952" s="155">
        <v>3.7864498422684675E-4</v>
      </c>
    </row>
    <row r="953" spans="1:36" s="160" customFormat="1">
      <c r="A953" s="153" t="s">
        <v>1213</v>
      </c>
      <c r="B953" s="160">
        <v>9300</v>
      </c>
      <c r="C953" s="153" t="s">
        <v>2927</v>
      </c>
      <c r="D953" s="153" t="s">
        <v>2928</v>
      </c>
      <c r="E953" s="153" t="s">
        <v>309</v>
      </c>
      <c r="F953" s="153" t="s">
        <v>2929</v>
      </c>
      <c r="G953" s="153" t="s">
        <v>2930</v>
      </c>
      <c r="H953" s="153" t="s">
        <v>321</v>
      </c>
      <c r="I953" s="153" t="s">
        <v>951</v>
      </c>
      <c r="J953" s="153" t="s">
        <v>204</v>
      </c>
      <c r="K953" s="153" t="s">
        <v>204</v>
      </c>
      <c r="L953" s="153" t="s">
        <v>325</v>
      </c>
      <c r="M953" s="153" t="s">
        <v>314</v>
      </c>
      <c r="N953" s="153" t="s">
        <v>451</v>
      </c>
      <c r="O953" s="153" t="s">
        <v>339</v>
      </c>
      <c r="Q953" s="153" t="s">
        <v>410</v>
      </c>
      <c r="R953" s="153" t="s">
        <v>410</v>
      </c>
      <c r="S953" s="153" t="s">
        <v>1212</v>
      </c>
      <c r="T953" s="154">
        <v>2.2000000000000002</v>
      </c>
      <c r="U953" s="153" t="s">
        <v>1572</v>
      </c>
      <c r="V953" s="155">
        <v>7.8640000000000002E-2</v>
      </c>
      <c r="W953" s="155">
        <v>7.1400000000000005E-2</v>
      </c>
      <c r="X953" s="153" t="s">
        <v>412</v>
      </c>
      <c r="Y953" s="153" t="s">
        <v>339</v>
      </c>
      <c r="Z953" s="154">
        <v>110000.05</v>
      </c>
      <c r="AA953" s="154">
        <v>1</v>
      </c>
      <c r="AB953" s="154">
        <v>104.77</v>
      </c>
      <c r="AD953" s="154">
        <v>115.247</v>
      </c>
      <c r="AG953" s="157" t="s">
        <v>15</v>
      </c>
      <c r="AH953" s="155">
        <v>1.3699999999999999E-3</v>
      </c>
      <c r="AI953" s="155">
        <f t="shared" si="14"/>
        <v>3.6367236565368667E-3</v>
      </c>
      <c r="AJ953" s="155">
        <v>3.7734837817413427E-4</v>
      </c>
    </row>
    <row r="954" spans="1:36" s="160" customFormat="1">
      <c r="A954" s="153" t="s">
        <v>1213</v>
      </c>
      <c r="B954" s="160">
        <v>9300</v>
      </c>
      <c r="C954" s="153" t="s">
        <v>2150</v>
      </c>
      <c r="D954" s="153" t="s">
        <v>2151</v>
      </c>
      <c r="E954" s="153" t="s">
        <v>309</v>
      </c>
      <c r="F954" s="153" t="s">
        <v>2469</v>
      </c>
      <c r="G954" s="153" t="s">
        <v>2470</v>
      </c>
      <c r="H954" s="153" t="s">
        <v>321</v>
      </c>
      <c r="I954" s="153" t="s">
        <v>754</v>
      </c>
      <c r="J954" s="153" t="s">
        <v>204</v>
      </c>
      <c r="K954" s="153" t="s">
        <v>204</v>
      </c>
      <c r="L954" s="153" t="s">
        <v>325</v>
      </c>
      <c r="M954" s="153" t="s">
        <v>340</v>
      </c>
      <c r="N954" s="153" t="s">
        <v>477</v>
      </c>
      <c r="O954" s="153" t="s">
        <v>339</v>
      </c>
      <c r="P954" s="153" t="s">
        <v>1538</v>
      </c>
      <c r="Q954" s="153" t="s">
        <v>413</v>
      </c>
      <c r="R954" s="153" t="s">
        <v>407</v>
      </c>
      <c r="S954" s="153" t="s">
        <v>1212</v>
      </c>
      <c r="T954" s="154">
        <v>0.96</v>
      </c>
      <c r="U954" s="153" t="s">
        <v>2471</v>
      </c>
      <c r="V954" s="155">
        <v>-2.9999999999999997E-4</v>
      </c>
      <c r="W954" s="155">
        <v>2.2800000000000001E-2</v>
      </c>
      <c r="X954" s="153" t="s">
        <v>412</v>
      </c>
      <c r="Y954" s="153" t="s">
        <v>339</v>
      </c>
      <c r="Z954" s="154">
        <v>98870.27</v>
      </c>
      <c r="AA954" s="154">
        <v>1</v>
      </c>
      <c r="AB954" s="154">
        <v>115.47</v>
      </c>
      <c r="AD954" s="154">
        <v>114.166</v>
      </c>
      <c r="AG954" s="157" t="s">
        <v>15</v>
      </c>
      <c r="AH954" s="155">
        <v>1.7000000000000001E-4</v>
      </c>
      <c r="AI954" s="155">
        <f t="shared" si="14"/>
        <v>3.602611720671149E-3</v>
      </c>
      <c r="AJ954" s="155">
        <v>3.7380890559084585E-4</v>
      </c>
    </row>
    <row r="955" spans="1:36" s="160" customFormat="1">
      <c r="A955" s="153" t="s">
        <v>1213</v>
      </c>
      <c r="B955" s="160">
        <v>9300</v>
      </c>
      <c r="C955" s="153" t="s">
        <v>2203</v>
      </c>
      <c r="D955" s="153" t="s">
        <v>2204</v>
      </c>
      <c r="E955" s="153" t="s">
        <v>309</v>
      </c>
      <c r="F955" s="153" t="s">
        <v>2733</v>
      </c>
      <c r="G955" s="153" t="s">
        <v>2734</v>
      </c>
      <c r="H955" s="153" t="s">
        <v>321</v>
      </c>
      <c r="I955" s="153" t="s">
        <v>951</v>
      </c>
      <c r="J955" s="153" t="s">
        <v>204</v>
      </c>
      <c r="K955" s="153" t="s">
        <v>204</v>
      </c>
      <c r="L955" s="153" t="s">
        <v>325</v>
      </c>
      <c r="M955" s="153" t="s">
        <v>340</v>
      </c>
      <c r="N955" s="153" t="s">
        <v>459</v>
      </c>
      <c r="O955" s="153" t="s">
        <v>339</v>
      </c>
      <c r="P955" s="153" t="s">
        <v>1811</v>
      </c>
      <c r="Q955" s="153" t="s">
        <v>413</v>
      </c>
      <c r="R955" s="153" t="s">
        <v>407</v>
      </c>
      <c r="S955" s="153" t="s">
        <v>1212</v>
      </c>
      <c r="T955" s="154">
        <v>1.69</v>
      </c>
      <c r="U955" s="153" t="s">
        <v>1572</v>
      </c>
      <c r="V955" s="155">
        <v>2.4830000000000001E-2</v>
      </c>
      <c r="W955" s="155">
        <v>4.6899999999999997E-2</v>
      </c>
      <c r="X955" s="153" t="s">
        <v>412</v>
      </c>
      <c r="Y955" s="153" t="s">
        <v>339</v>
      </c>
      <c r="Z955" s="154">
        <v>117000.16</v>
      </c>
      <c r="AA955" s="154">
        <v>1</v>
      </c>
      <c r="AB955" s="154">
        <v>97.33</v>
      </c>
      <c r="AD955" s="154">
        <v>113.876</v>
      </c>
      <c r="AG955" s="157" t="s">
        <v>15</v>
      </c>
      <c r="AH955" s="155">
        <v>3.2000000000000003E-4</v>
      </c>
      <c r="AI955" s="155">
        <f t="shared" si="14"/>
        <v>3.5934605075341854E-3</v>
      </c>
      <c r="AJ955" s="155">
        <v>3.7285937085527359E-4</v>
      </c>
    </row>
    <row r="956" spans="1:36" s="160" customFormat="1">
      <c r="A956" s="153" t="s">
        <v>1213</v>
      </c>
      <c r="B956" s="160">
        <v>9300</v>
      </c>
      <c r="C956" s="153" t="s">
        <v>1512</v>
      </c>
      <c r="D956" s="153" t="s">
        <v>1513</v>
      </c>
      <c r="E956" s="153" t="s">
        <v>309</v>
      </c>
      <c r="F956" s="153" t="s">
        <v>2632</v>
      </c>
      <c r="G956" s="153" t="s">
        <v>2633</v>
      </c>
      <c r="H956" s="153" t="s">
        <v>321</v>
      </c>
      <c r="I956" s="153" t="s">
        <v>754</v>
      </c>
      <c r="J956" s="153" t="s">
        <v>204</v>
      </c>
      <c r="K956" s="153" t="s">
        <v>204</v>
      </c>
      <c r="L956" s="153" t="s">
        <v>325</v>
      </c>
      <c r="M956" s="153" t="s">
        <v>340</v>
      </c>
      <c r="N956" s="153" t="s">
        <v>448</v>
      </c>
      <c r="O956" s="153" t="s">
        <v>339</v>
      </c>
      <c r="P956" s="153" t="s">
        <v>1211</v>
      </c>
      <c r="Q956" s="153" t="s">
        <v>415</v>
      </c>
      <c r="R956" s="153" t="s">
        <v>407</v>
      </c>
      <c r="S956" s="153" t="s">
        <v>1212</v>
      </c>
      <c r="T956" s="154">
        <v>2.16</v>
      </c>
      <c r="U956" s="153" t="s">
        <v>2634</v>
      </c>
      <c r="V956" s="155">
        <v>5.0000000000000001E-3</v>
      </c>
      <c r="W956" s="155">
        <v>2.1399999999999999E-2</v>
      </c>
      <c r="X956" s="153" t="s">
        <v>412</v>
      </c>
      <c r="Y956" s="153" t="s">
        <v>339</v>
      </c>
      <c r="Z956" s="154">
        <v>100000</v>
      </c>
      <c r="AA956" s="154">
        <v>1</v>
      </c>
      <c r="AB956" s="154">
        <v>110.72</v>
      </c>
      <c r="AD956" s="154">
        <v>110.72</v>
      </c>
      <c r="AG956" s="157" t="s">
        <v>15</v>
      </c>
      <c r="AH956" s="155">
        <v>1.2999999999999999E-4</v>
      </c>
      <c r="AI956" s="155">
        <f t="shared" si="14"/>
        <v>3.4938700638781216E-3</v>
      </c>
      <c r="AJ956" s="155">
        <v>3.6252581352608004E-4</v>
      </c>
    </row>
    <row r="957" spans="1:36" s="160" customFormat="1">
      <c r="A957" s="153" t="s">
        <v>1213</v>
      </c>
      <c r="B957" s="160">
        <v>9300</v>
      </c>
      <c r="C957" s="153" t="s">
        <v>2343</v>
      </c>
      <c r="D957" s="153" t="s">
        <v>2344</v>
      </c>
      <c r="E957" s="153" t="s">
        <v>309</v>
      </c>
      <c r="F957" s="153" t="s">
        <v>2931</v>
      </c>
      <c r="G957" s="153" t="s">
        <v>2932</v>
      </c>
      <c r="H957" s="153" t="s">
        <v>321</v>
      </c>
      <c r="I957" s="153" t="s">
        <v>951</v>
      </c>
      <c r="J957" s="153" t="s">
        <v>204</v>
      </c>
      <c r="K957" s="153" t="s">
        <v>204</v>
      </c>
      <c r="L957" s="153" t="s">
        <v>325</v>
      </c>
      <c r="M957" s="153" t="s">
        <v>340</v>
      </c>
      <c r="N957" s="153" t="s">
        <v>476</v>
      </c>
      <c r="O957" s="153" t="s">
        <v>339</v>
      </c>
      <c r="P957" s="153" t="s">
        <v>1566</v>
      </c>
      <c r="Q957" s="153" t="s">
        <v>413</v>
      </c>
      <c r="R957" s="153" t="s">
        <v>407</v>
      </c>
      <c r="S957" s="153" t="s">
        <v>1212</v>
      </c>
      <c r="T957" s="154">
        <v>1.33</v>
      </c>
      <c r="U957" s="153" t="s">
        <v>2933</v>
      </c>
      <c r="V957" s="155">
        <v>3.968E-2</v>
      </c>
      <c r="W957" s="155">
        <v>5.2200000000000003E-2</v>
      </c>
      <c r="X957" s="153" t="s">
        <v>412</v>
      </c>
      <c r="Y957" s="153" t="s">
        <v>339</v>
      </c>
      <c r="Z957" s="154">
        <v>114000.57</v>
      </c>
      <c r="AA957" s="154">
        <v>1</v>
      </c>
      <c r="AB957" s="154">
        <v>97.05</v>
      </c>
      <c r="AD957" s="154">
        <v>110.63800000000001</v>
      </c>
      <c r="AG957" s="157" t="s">
        <v>15</v>
      </c>
      <c r="AH957" s="155">
        <v>2.7999999999999998E-4</v>
      </c>
      <c r="AI957" s="155">
        <f t="shared" si="14"/>
        <v>3.4912824794738769E-3</v>
      </c>
      <c r="AJ957" s="155">
        <v>3.6225732439395272E-4</v>
      </c>
    </row>
    <row r="958" spans="1:36" s="160" customFormat="1">
      <c r="A958" s="153" t="s">
        <v>1213</v>
      </c>
      <c r="B958" s="160">
        <v>9300</v>
      </c>
      <c r="C958" s="153" t="s">
        <v>2150</v>
      </c>
      <c r="D958" s="153" t="s">
        <v>2151</v>
      </c>
      <c r="E958" s="153" t="s">
        <v>309</v>
      </c>
      <c r="F958" s="153" t="s">
        <v>2934</v>
      </c>
      <c r="G958" s="153" t="s">
        <v>2935</v>
      </c>
      <c r="H958" s="153" t="s">
        <v>321</v>
      </c>
      <c r="I958" s="153" t="s">
        <v>951</v>
      </c>
      <c r="J958" s="153" t="s">
        <v>204</v>
      </c>
      <c r="K958" s="153" t="s">
        <v>204</v>
      </c>
      <c r="L958" s="153" t="s">
        <v>325</v>
      </c>
      <c r="M958" s="153" t="s">
        <v>340</v>
      </c>
      <c r="N958" s="153" t="s">
        <v>477</v>
      </c>
      <c r="O958" s="153" t="s">
        <v>339</v>
      </c>
      <c r="P958" s="153" t="s">
        <v>1538</v>
      </c>
      <c r="Q958" s="153" t="s">
        <v>413</v>
      </c>
      <c r="R958" s="153" t="s">
        <v>407</v>
      </c>
      <c r="S958" s="153" t="s">
        <v>1212</v>
      </c>
      <c r="T958" s="154">
        <v>0.95</v>
      </c>
      <c r="U958" s="153" t="s">
        <v>2471</v>
      </c>
      <c r="V958" s="155">
        <v>4.6989999999999997E-2</v>
      </c>
      <c r="W958" s="155">
        <v>5.5800000000000002E-2</v>
      </c>
      <c r="X958" s="153" t="s">
        <v>412</v>
      </c>
      <c r="Y958" s="153" t="s">
        <v>339</v>
      </c>
      <c r="Z958" s="154">
        <v>109000.31</v>
      </c>
      <c r="AA958" s="154">
        <v>1</v>
      </c>
      <c r="AB958" s="154">
        <v>97.51</v>
      </c>
      <c r="AD958" s="154">
        <v>106.286</v>
      </c>
      <c r="AG958" s="157" t="s">
        <v>15</v>
      </c>
      <c r="AH958" s="155">
        <v>1E-3</v>
      </c>
      <c r="AI958" s="155">
        <f t="shared" si="14"/>
        <v>3.3539511706046788E-3</v>
      </c>
      <c r="AJ958" s="155">
        <v>3.4800775484495071E-4</v>
      </c>
    </row>
    <row r="959" spans="1:36" s="160" customFormat="1">
      <c r="A959" s="153" t="s">
        <v>1213</v>
      </c>
      <c r="B959" s="160">
        <v>9300</v>
      </c>
      <c r="C959" s="153" t="s">
        <v>1670</v>
      </c>
      <c r="D959" s="153" t="s">
        <v>1671</v>
      </c>
      <c r="E959" s="153" t="s">
        <v>309</v>
      </c>
      <c r="F959" s="153" t="s">
        <v>2936</v>
      </c>
      <c r="G959" s="153" t="s">
        <v>2937</v>
      </c>
      <c r="H959" s="153" t="s">
        <v>321</v>
      </c>
      <c r="I959" s="153" t="s">
        <v>951</v>
      </c>
      <c r="J959" s="153" t="s">
        <v>204</v>
      </c>
      <c r="K959" s="153" t="s">
        <v>204</v>
      </c>
      <c r="L959" s="153" t="s">
        <v>325</v>
      </c>
      <c r="M959" s="153" t="s">
        <v>340</v>
      </c>
      <c r="N959" s="153" t="s">
        <v>465</v>
      </c>
      <c r="O959" s="153" t="s">
        <v>339</v>
      </c>
      <c r="P959" s="153" t="s">
        <v>1614</v>
      </c>
      <c r="Q959" s="153" t="s">
        <v>415</v>
      </c>
      <c r="R959" s="153" t="s">
        <v>407</v>
      </c>
      <c r="S959" s="153" t="s">
        <v>1212</v>
      </c>
      <c r="T959" s="154">
        <v>1.58</v>
      </c>
      <c r="U959" s="153" t="s">
        <v>1522</v>
      </c>
      <c r="V959" s="155">
        <v>5.339E-2</v>
      </c>
      <c r="W959" s="155">
        <v>5.6800000000000003E-2</v>
      </c>
      <c r="X959" s="153" t="s">
        <v>412</v>
      </c>
      <c r="Y959" s="153" t="s">
        <v>339</v>
      </c>
      <c r="Z959" s="154">
        <v>100000.43</v>
      </c>
      <c r="AA959" s="154">
        <v>1</v>
      </c>
      <c r="AB959" s="154">
        <v>99.08</v>
      </c>
      <c r="AD959" s="154">
        <v>99.08</v>
      </c>
      <c r="AG959" s="157" t="s">
        <v>15</v>
      </c>
      <c r="AH959" s="155">
        <v>3.6000000000000002E-4</v>
      </c>
      <c r="AI959" s="155">
        <f t="shared" si="14"/>
        <v>3.1265593021048074E-3</v>
      </c>
      <c r="AJ959" s="155">
        <v>3.2441345379483386E-4</v>
      </c>
    </row>
    <row r="960" spans="1:36" s="160" customFormat="1">
      <c r="A960" s="153" t="s">
        <v>1213</v>
      </c>
      <c r="B960" s="160">
        <v>9300</v>
      </c>
      <c r="C960" s="153" t="s">
        <v>2893</v>
      </c>
      <c r="D960" s="153" t="s">
        <v>2894</v>
      </c>
      <c r="E960" s="153" t="s">
        <v>309</v>
      </c>
      <c r="F960" s="153" t="s">
        <v>2938</v>
      </c>
      <c r="G960" s="153" t="s">
        <v>2939</v>
      </c>
      <c r="H960" s="153" t="s">
        <v>321</v>
      </c>
      <c r="I960" s="153" t="s">
        <v>754</v>
      </c>
      <c r="J960" s="153" t="s">
        <v>204</v>
      </c>
      <c r="K960" s="153" t="s">
        <v>204</v>
      </c>
      <c r="L960" s="153" t="s">
        <v>329</v>
      </c>
      <c r="M960" s="153" t="s">
        <v>340</v>
      </c>
      <c r="N960" s="153" t="s">
        <v>447</v>
      </c>
      <c r="O960" s="153" t="s">
        <v>339</v>
      </c>
      <c r="Q960" s="153" t="s">
        <v>410</v>
      </c>
      <c r="R960" s="153" t="s">
        <v>410</v>
      </c>
      <c r="S960" s="153" t="s">
        <v>1212</v>
      </c>
      <c r="T960" s="154">
        <v>1.6</v>
      </c>
      <c r="U960" s="153" t="s">
        <v>2071</v>
      </c>
      <c r="V960" s="155">
        <v>3.4299999999999997E-2</v>
      </c>
      <c r="W960" s="155">
        <v>-3.7000000000000002E-3</v>
      </c>
      <c r="X960" s="153" t="s">
        <v>412</v>
      </c>
      <c r="Y960" s="153" t="s">
        <v>339</v>
      </c>
      <c r="Z960" s="154">
        <v>95088.28</v>
      </c>
      <c r="AA960" s="154">
        <v>1</v>
      </c>
      <c r="AB960" s="154">
        <v>103.4</v>
      </c>
      <c r="AD960" s="154">
        <v>98.320999999999998</v>
      </c>
      <c r="AG960" s="157" t="s">
        <v>15</v>
      </c>
      <c r="AH960" s="155">
        <v>7.2000000000000005E-4</v>
      </c>
      <c r="AI960" s="155">
        <f t="shared" si="14"/>
        <v>3.1026083684118568E-3</v>
      </c>
      <c r="AJ960" s="155">
        <v>3.2192829219380162E-4</v>
      </c>
    </row>
    <row r="961" spans="1:36" s="160" customFormat="1">
      <c r="A961" s="153" t="s">
        <v>1213</v>
      </c>
      <c r="B961" s="160">
        <v>9300</v>
      </c>
      <c r="C961" s="153" t="s">
        <v>1512</v>
      </c>
      <c r="D961" s="153" t="s">
        <v>1513</v>
      </c>
      <c r="E961" s="153" t="s">
        <v>309</v>
      </c>
      <c r="F961" s="153" t="s">
        <v>2940</v>
      </c>
      <c r="G961" s="153" t="s">
        <v>2941</v>
      </c>
      <c r="H961" s="153" t="s">
        <v>321</v>
      </c>
      <c r="I961" s="153" t="s">
        <v>754</v>
      </c>
      <c r="J961" s="153" t="s">
        <v>204</v>
      </c>
      <c r="K961" s="153" t="s">
        <v>204</v>
      </c>
      <c r="L961" s="153" t="s">
        <v>325</v>
      </c>
      <c r="M961" s="153" t="s">
        <v>340</v>
      </c>
      <c r="N961" s="153" t="s">
        <v>448</v>
      </c>
      <c r="O961" s="153" t="s">
        <v>339</v>
      </c>
      <c r="P961" s="153" t="s">
        <v>1215</v>
      </c>
      <c r="Q961" s="153" t="s">
        <v>413</v>
      </c>
      <c r="R961" s="153" t="s">
        <v>407</v>
      </c>
      <c r="S961" s="153" t="s">
        <v>1212</v>
      </c>
      <c r="T961" s="154">
        <v>4.4000000000000004</v>
      </c>
      <c r="U961" s="153" t="s">
        <v>2435</v>
      </c>
      <c r="V961" s="155">
        <v>1.423E-2</v>
      </c>
      <c r="W961" s="155">
        <v>2.6100000000000002E-2</v>
      </c>
      <c r="X961" s="153" t="s">
        <v>412</v>
      </c>
      <c r="Y961" s="153" t="s">
        <v>339</v>
      </c>
      <c r="Z961" s="154">
        <v>93556.800000000003</v>
      </c>
      <c r="AA961" s="154">
        <v>1</v>
      </c>
      <c r="AB961" s="154">
        <v>102.78</v>
      </c>
      <c r="AD961" s="154">
        <v>96.158000000000001</v>
      </c>
      <c r="AG961" s="157" t="s">
        <v>15</v>
      </c>
      <c r="AH961" s="155">
        <v>5.0000000000000002E-5</v>
      </c>
      <c r="AI961" s="155">
        <f t="shared" si="14"/>
        <v>3.0343529407730529E-3</v>
      </c>
      <c r="AJ961" s="155">
        <v>3.1484607276951592E-4</v>
      </c>
    </row>
    <row r="962" spans="1:36" s="160" customFormat="1">
      <c r="A962" s="153" t="s">
        <v>1213</v>
      </c>
      <c r="B962" s="160">
        <v>9300</v>
      </c>
      <c r="C962" s="153" t="s">
        <v>1674</v>
      </c>
      <c r="D962" s="153" t="s">
        <v>1675</v>
      </c>
      <c r="E962" s="153" t="s">
        <v>309</v>
      </c>
      <c r="F962" s="153" t="s">
        <v>2942</v>
      </c>
      <c r="G962" s="153" t="s">
        <v>2943</v>
      </c>
      <c r="H962" s="153" t="s">
        <v>321</v>
      </c>
      <c r="I962" s="153" t="s">
        <v>754</v>
      </c>
      <c r="J962" s="153" t="s">
        <v>204</v>
      </c>
      <c r="K962" s="153" t="s">
        <v>204</v>
      </c>
      <c r="L962" s="153" t="s">
        <v>325</v>
      </c>
      <c r="M962" s="153" t="s">
        <v>340</v>
      </c>
      <c r="N962" s="153" t="s">
        <v>464</v>
      </c>
      <c r="O962" s="153" t="s">
        <v>339</v>
      </c>
      <c r="P962" s="153" t="s">
        <v>1538</v>
      </c>
      <c r="Q962" s="153" t="s">
        <v>413</v>
      </c>
      <c r="R962" s="153" t="s">
        <v>407</v>
      </c>
      <c r="S962" s="153" t="s">
        <v>1212</v>
      </c>
      <c r="T962" s="154">
        <v>5.35</v>
      </c>
      <c r="U962" s="153" t="s">
        <v>1409</v>
      </c>
      <c r="V962" s="155">
        <v>2.1149999999999999E-2</v>
      </c>
      <c r="W962" s="155">
        <v>0.03</v>
      </c>
      <c r="X962" s="153" t="s">
        <v>412</v>
      </c>
      <c r="Y962" s="153" t="s">
        <v>339</v>
      </c>
      <c r="Z962" s="154">
        <v>93000</v>
      </c>
      <c r="AA962" s="154">
        <v>1</v>
      </c>
      <c r="AB962" s="154">
        <v>102.12</v>
      </c>
      <c r="AD962" s="154">
        <v>94.971999999999994</v>
      </c>
      <c r="AG962" s="157" t="s">
        <v>15</v>
      </c>
      <c r="AH962" s="155">
        <v>1.7000000000000001E-4</v>
      </c>
      <c r="AI962" s="155">
        <f t="shared" si="14"/>
        <v>2.9969276346336069E-3</v>
      </c>
      <c r="AJ962" s="155">
        <v>3.1096280312679616E-4</v>
      </c>
    </row>
    <row r="963" spans="1:36" s="160" customFormat="1">
      <c r="A963" s="153" t="s">
        <v>1213</v>
      </c>
      <c r="B963" s="160">
        <v>9300</v>
      </c>
      <c r="C963" s="153" t="s">
        <v>2944</v>
      </c>
      <c r="D963" s="153" t="s">
        <v>2945</v>
      </c>
      <c r="E963" s="153" t="s">
        <v>309</v>
      </c>
      <c r="F963" s="153" t="s">
        <v>2946</v>
      </c>
      <c r="G963" s="153" t="s">
        <v>2947</v>
      </c>
      <c r="H963" s="153" t="s">
        <v>321</v>
      </c>
      <c r="I963" s="153" t="s">
        <v>951</v>
      </c>
      <c r="J963" s="153" t="s">
        <v>204</v>
      </c>
      <c r="K963" s="153" t="s">
        <v>204</v>
      </c>
      <c r="L963" s="159" t="s">
        <v>325</v>
      </c>
      <c r="M963" s="153" t="s">
        <v>340</v>
      </c>
      <c r="N963" s="153" t="s">
        <v>478</v>
      </c>
      <c r="O963" s="153" t="s">
        <v>339</v>
      </c>
      <c r="P963" s="153" t="s">
        <v>1982</v>
      </c>
      <c r="Q963" s="153" t="s">
        <v>415</v>
      </c>
      <c r="R963" s="153" t="s">
        <v>407</v>
      </c>
      <c r="S963" s="153" t="s">
        <v>1212</v>
      </c>
      <c r="T963" s="154">
        <v>0.57999999999999996</v>
      </c>
      <c r="U963" s="153" t="s">
        <v>2948</v>
      </c>
      <c r="V963" s="155">
        <v>4.6739999999999997E-2</v>
      </c>
      <c r="W963" s="155">
        <v>6.0299999999999999E-2</v>
      </c>
      <c r="X963" s="177"/>
      <c r="Y963" s="177"/>
      <c r="Z963" s="154">
        <v>94000</v>
      </c>
      <c r="AA963" s="154">
        <v>1</v>
      </c>
      <c r="AB963" s="154">
        <v>99.67</v>
      </c>
      <c r="AD963" s="154">
        <v>93.69</v>
      </c>
      <c r="AG963" s="157" t="s">
        <v>15</v>
      </c>
      <c r="AH963" s="155">
        <v>4.2999999999999999E-4</v>
      </c>
      <c r="AI963" s="155">
        <f t="shared" ref="AI963:AI1026" si="15">AD963/SUMIF(B:B,B963,AD:AD)</f>
        <v>2.9564729613867522E-3</v>
      </c>
      <c r="AJ963" s="155">
        <v>3.0676520474402487E-4</v>
      </c>
    </row>
    <row r="964" spans="1:36" s="160" customFormat="1">
      <c r="A964" s="153" t="s">
        <v>1213</v>
      </c>
      <c r="B964" s="160">
        <v>9300</v>
      </c>
      <c r="C964" s="153" t="s">
        <v>1723</v>
      </c>
      <c r="D964" s="153" t="s">
        <v>1724</v>
      </c>
      <c r="E964" s="153" t="s">
        <v>309</v>
      </c>
      <c r="F964" s="153" t="s">
        <v>1725</v>
      </c>
      <c r="G964" s="153" t="s">
        <v>1726</v>
      </c>
      <c r="H964" s="153" t="s">
        <v>321</v>
      </c>
      <c r="I964" s="153" t="s">
        <v>951</v>
      </c>
      <c r="J964" s="153" t="s">
        <v>204</v>
      </c>
      <c r="K964" s="153" t="s">
        <v>204</v>
      </c>
      <c r="L964" s="153" t="s">
        <v>325</v>
      </c>
      <c r="M964" s="153" t="s">
        <v>340</v>
      </c>
      <c r="N964" s="153" t="s">
        <v>447</v>
      </c>
      <c r="O964" s="153" t="s">
        <v>339</v>
      </c>
      <c r="Q964" s="153" t="s">
        <v>410</v>
      </c>
      <c r="R964" s="153" t="s">
        <v>410</v>
      </c>
      <c r="S964" s="153" t="s">
        <v>1212</v>
      </c>
      <c r="T964" s="154">
        <v>4.03</v>
      </c>
      <c r="U964" s="153" t="s">
        <v>1727</v>
      </c>
      <c r="V964" s="155">
        <v>5.8889999999999998E-2</v>
      </c>
      <c r="W964" s="155">
        <v>6.6600000000000006E-2</v>
      </c>
      <c r="X964" s="153" t="s">
        <v>412</v>
      </c>
      <c r="Y964" s="153" t="s">
        <v>339</v>
      </c>
      <c r="Z964" s="154">
        <v>90000</v>
      </c>
      <c r="AA964" s="154">
        <v>1</v>
      </c>
      <c r="AB964" s="154">
        <v>103.07</v>
      </c>
      <c r="AD964" s="154">
        <v>92.763000000000005</v>
      </c>
      <c r="AG964" s="157" t="s">
        <v>15</v>
      </c>
      <c r="AH964" s="155">
        <v>3.3E-4</v>
      </c>
      <c r="AI964" s="155">
        <f t="shared" si="15"/>
        <v>2.9272206352558366E-3</v>
      </c>
      <c r="AJ964" s="155">
        <v>3.0372996784790249E-4</v>
      </c>
    </row>
    <row r="965" spans="1:36" s="160" customFormat="1">
      <c r="A965" s="153" t="s">
        <v>1213</v>
      </c>
      <c r="B965" s="160">
        <v>9300</v>
      </c>
      <c r="C965" s="153" t="s">
        <v>2298</v>
      </c>
      <c r="D965" s="153" t="s">
        <v>2299</v>
      </c>
      <c r="E965" s="153" t="s">
        <v>309</v>
      </c>
      <c r="F965" s="153" t="s">
        <v>2949</v>
      </c>
      <c r="G965" s="153" t="s">
        <v>2950</v>
      </c>
      <c r="H965" s="153" t="s">
        <v>321</v>
      </c>
      <c r="I965" s="153" t="s">
        <v>951</v>
      </c>
      <c r="J965" s="153" t="s">
        <v>204</v>
      </c>
      <c r="K965" s="153" t="s">
        <v>204</v>
      </c>
      <c r="L965" s="153" t="s">
        <v>325</v>
      </c>
      <c r="M965" s="153" t="s">
        <v>340</v>
      </c>
      <c r="N965" s="153" t="s">
        <v>462</v>
      </c>
      <c r="O965" s="153" t="s">
        <v>339</v>
      </c>
      <c r="P965" s="153" t="s">
        <v>1566</v>
      </c>
      <c r="Q965" s="153" t="s">
        <v>413</v>
      </c>
      <c r="R965" s="153" t="s">
        <v>407</v>
      </c>
      <c r="S965" s="153" t="s">
        <v>1212</v>
      </c>
      <c r="T965" s="154">
        <v>2.0299999999999998</v>
      </c>
      <c r="U965" s="153" t="s">
        <v>1654</v>
      </c>
      <c r="V965" s="155">
        <v>3.5959999999999999E-2</v>
      </c>
      <c r="W965" s="155">
        <v>5.7000000000000002E-2</v>
      </c>
      <c r="X965" s="153" t="s">
        <v>412</v>
      </c>
      <c r="Y965" s="153" t="s">
        <v>339</v>
      </c>
      <c r="Z965" s="154">
        <v>90685.79</v>
      </c>
      <c r="AA965" s="154">
        <v>1</v>
      </c>
      <c r="AB965" s="154">
        <v>93.26</v>
      </c>
      <c r="AC965" s="154">
        <v>6.1749999999999998</v>
      </c>
      <c r="AD965" s="154">
        <v>90.748999999999995</v>
      </c>
      <c r="AG965" s="157" t="s">
        <v>15</v>
      </c>
      <c r="AH965" s="155">
        <v>1E-4</v>
      </c>
      <c r="AI965" s="155">
        <f t="shared" si="15"/>
        <v>2.8636670378149897E-3</v>
      </c>
      <c r="AJ965" s="155">
        <v>2.971356128222384E-4</v>
      </c>
    </row>
    <row r="966" spans="1:36" s="160" customFormat="1">
      <c r="A966" s="153" t="s">
        <v>1213</v>
      </c>
      <c r="B966" s="160">
        <v>9300</v>
      </c>
      <c r="C966" s="153" t="s">
        <v>1893</v>
      </c>
      <c r="D966" s="153" t="s">
        <v>1894</v>
      </c>
      <c r="E966" s="153" t="s">
        <v>309</v>
      </c>
      <c r="F966" s="153" t="s">
        <v>1895</v>
      </c>
      <c r="G966" s="153" t="s">
        <v>1896</v>
      </c>
      <c r="H966" s="153" t="s">
        <v>321</v>
      </c>
      <c r="I966" s="153" t="s">
        <v>754</v>
      </c>
      <c r="J966" s="153" t="s">
        <v>204</v>
      </c>
      <c r="K966" s="153" t="s">
        <v>204</v>
      </c>
      <c r="L966" s="153" t="s">
        <v>325</v>
      </c>
      <c r="M966" s="153" t="s">
        <v>340</v>
      </c>
      <c r="N966" s="153" t="s">
        <v>464</v>
      </c>
      <c r="O966" s="153" t="s">
        <v>339</v>
      </c>
      <c r="P966" s="153" t="s">
        <v>1566</v>
      </c>
      <c r="Q966" s="153" t="s">
        <v>413</v>
      </c>
      <c r="R966" s="153" t="s">
        <v>407</v>
      </c>
      <c r="S966" s="153" t="s">
        <v>1212</v>
      </c>
      <c r="T966" s="154">
        <v>5.66</v>
      </c>
      <c r="U966" s="153" t="s">
        <v>1897</v>
      </c>
      <c r="V966" s="155">
        <v>2.7019999999999999E-2</v>
      </c>
      <c r="W966" s="155">
        <v>3.2199999999999999E-2</v>
      </c>
      <c r="X966" s="153" t="s">
        <v>412</v>
      </c>
      <c r="Y966" s="153" t="s">
        <v>339</v>
      </c>
      <c r="Z966" s="154">
        <v>89000</v>
      </c>
      <c r="AA966" s="154">
        <v>1</v>
      </c>
      <c r="AB966" s="154">
        <v>100.92</v>
      </c>
      <c r="AD966" s="154">
        <v>89.819000000000003</v>
      </c>
      <c r="AG966" s="157" t="s">
        <v>15</v>
      </c>
      <c r="AH966" s="155">
        <v>2.5000000000000001E-4</v>
      </c>
      <c r="AI966" s="155">
        <f t="shared" si="15"/>
        <v>2.8343200439619673E-3</v>
      </c>
      <c r="AJ966" s="155">
        <v>2.9409055315298934E-4</v>
      </c>
    </row>
    <row r="967" spans="1:36" s="160" customFormat="1">
      <c r="A967" s="153" t="s">
        <v>1213</v>
      </c>
      <c r="B967" s="160">
        <v>9300</v>
      </c>
      <c r="C967" s="153" t="s">
        <v>2951</v>
      </c>
      <c r="D967" s="153" t="s">
        <v>2952</v>
      </c>
      <c r="E967" s="153" t="s">
        <v>309</v>
      </c>
      <c r="F967" s="153" t="s">
        <v>2953</v>
      </c>
      <c r="G967" s="153" t="s">
        <v>2954</v>
      </c>
      <c r="H967" s="153" t="s">
        <v>321</v>
      </c>
      <c r="I967" s="153" t="s">
        <v>951</v>
      </c>
      <c r="J967" s="153" t="s">
        <v>204</v>
      </c>
      <c r="K967" s="153" t="s">
        <v>204</v>
      </c>
      <c r="L967" s="153" t="s">
        <v>325</v>
      </c>
      <c r="M967" s="153" t="s">
        <v>340</v>
      </c>
      <c r="N967" s="153" t="s">
        <v>454</v>
      </c>
      <c r="O967" s="153" t="s">
        <v>339</v>
      </c>
      <c r="P967" s="153" t="s">
        <v>1538</v>
      </c>
      <c r="Q967" s="153" t="s">
        <v>413</v>
      </c>
      <c r="R967" s="153" t="s">
        <v>407</v>
      </c>
      <c r="S967" s="153" t="s">
        <v>1212</v>
      </c>
      <c r="T967" s="154">
        <v>0.32</v>
      </c>
      <c r="U967" s="153" t="s">
        <v>2955</v>
      </c>
      <c r="V967" s="155">
        <v>2.3699999999999999E-2</v>
      </c>
      <c r="W967" s="155">
        <v>4.7399999999999998E-2</v>
      </c>
      <c r="X967" s="153" t="s">
        <v>412</v>
      </c>
      <c r="Y967" s="153" t="s">
        <v>339</v>
      </c>
      <c r="Z967" s="154">
        <v>90000.14</v>
      </c>
      <c r="AA967" s="154">
        <v>1</v>
      </c>
      <c r="AB967" s="154">
        <v>99.69</v>
      </c>
      <c r="AD967" s="154">
        <v>89.721000000000004</v>
      </c>
      <c r="AG967" s="157" t="s">
        <v>15</v>
      </c>
      <c r="AH967" s="155">
        <v>2.8600000000000001E-3</v>
      </c>
      <c r="AI967" s="155">
        <f t="shared" si="15"/>
        <v>2.8312275650398209E-3</v>
      </c>
      <c r="AJ967" s="155">
        <v>2.9376967589752012E-4</v>
      </c>
    </row>
    <row r="968" spans="1:36" s="160" customFormat="1">
      <c r="A968" s="153" t="s">
        <v>1213</v>
      </c>
      <c r="B968" s="160">
        <v>9300</v>
      </c>
      <c r="C968" s="153" t="s">
        <v>1687</v>
      </c>
      <c r="D968" s="153" t="s">
        <v>1688</v>
      </c>
      <c r="E968" s="153" t="s">
        <v>309</v>
      </c>
      <c r="F968" s="153" t="s">
        <v>2956</v>
      </c>
      <c r="G968" s="153" t="s">
        <v>2957</v>
      </c>
      <c r="H968" s="153" t="s">
        <v>321</v>
      </c>
      <c r="I968" s="153" t="s">
        <v>951</v>
      </c>
      <c r="J968" s="153" t="s">
        <v>204</v>
      </c>
      <c r="K968" s="153" t="s">
        <v>204</v>
      </c>
      <c r="L968" s="153" t="s">
        <v>325</v>
      </c>
      <c r="M968" s="153" t="s">
        <v>340</v>
      </c>
      <c r="N968" s="153" t="s">
        <v>465</v>
      </c>
      <c r="O968" s="153" t="s">
        <v>339</v>
      </c>
      <c r="P968" s="153" t="s">
        <v>1614</v>
      </c>
      <c r="Q968" s="153" t="s">
        <v>415</v>
      </c>
      <c r="R968" s="153" t="s">
        <v>407</v>
      </c>
      <c r="S968" s="153" t="s">
        <v>1212</v>
      </c>
      <c r="T968" s="154">
        <v>2.65</v>
      </c>
      <c r="U968" s="153" t="s">
        <v>2613</v>
      </c>
      <c r="V968" s="155">
        <v>4.5150000000000003E-2</v>
      </c>
      <c r="W968" s="155">
        <v>5.6399999999999999E-2</v>
      </c>
      <c r="X968" s="153" t="s">
        <v>412</v>
      </c>
      <c r="Y968" s="153" t="s">
        <v>339</v>
      </c>
      <c r="Z968" s="154">
        <v>96250.47</v>
      </c>
      <c r="AA968" s="154">
        <v>1</v>
      </c>
      <c r="AB968" s="154">
        <v>91.94</v>
      </c>
      <c r="AD968" s="154">
        <v>88.492999999999995</v>
      </c>
      <c r="AG968" s="157" t="s">
        <v>15</v>
      </c>
      <c r="AH968" s="155">
        <v>1.2999999999999999E-4</v>
      </c>
      <c r="AI968" s="155">
        <f t="shared" si="15"/>
        <v>2.7924769107908836E-3</v>
      </c>
      <c r="AJ968" s="155">
        <v>2.897488874310278E-4</v>
      </c>
    </row>
    <row r="969" spans="1:36" s="160" customFormat="1">
      <c r="A969" s="153" t="s">
        <v>1213</v>
      </c>
      <c r="B969" s="160">
        <v>9300</v>
      </c>
      <c r="C969" s="153" t="s">
        <v>2757</v>
      </c>
      <c r="D969" s="153" t="s">
        <v>2758</v>
      </c>
      <c r="E969" s="153" t="s">
        <v>309</v>
      </c>
      <c r="F969" s="153" t="s">
        <v>2759</v>
      </c>
      <c r="G969" s="153" t="s">
        <v>2760</v>
      </c>
      <c r="H969" s="153" t="s">
        <v>321</v>
      </c>
      <c r="I969" s="153" t="s">
        <v>755</v>
      </c>
      <c r="J969" s="153" t="s">
        <v>204</v>
      </c>
      <c r="K969" s="153" t="s">
        <v>204</v>
      </c>
      <c r="L969" s="153" t="s">
        <v>325</v>
      </c>
      <c r="M969" s="153" t="s">
        <v>340</v>
      </c>
      <c r="N969" s="153" t="s">
        <v>440</v>
      </c>
      <c r="O969" s="153" t="s">
        <v>339</v>
      </c>
      <c r="P969" s="153" t="s">
        <v>1521</v>
      </c>
      <c r="Q969" s="153" t="s">
        <v>413</v>
      </c>
      <c r="R969" s="153" t="s">
        <v>407</v>
      </c>
      <c r="S969" s="153" t="s">
        <v>1212</v>
      </c>
      <c r="T969" s="154">
        <v>0.74</v>
      </c>
      <c r="U969" s="153" t="s">
        <v>2761</v>
      </c>
      <c r="V969" s="155">
        <v>7.9289999999999999E-2</v>
      </c>
      <c r="W969" s="155">
        <v>7.5899999999999995E-2</v>
      </c>
      <c r="X969" s="153" t="s">
        <v>412</v>
      </c>
      <c r="Y969" s="153" t="s">
        <v>339</v>
      </c>
      <c r="Z969" s="154">
        <v>87333.33</v>
      </c>
      <c r="AA969" s="154">
        <v>1</v>
      </c>
      <c r="AB969" s="154">
        <v>100.15</v>
      </c>
      <c r="AD969" s="154">
        <v>87.463999999999999</v>
      </c>
      <c r="AG969" s="157" t="s">
        <v>15</v>
      </c>
      <c r="AH969" s="155">
        <v>3.6000000000000002E-4</v>
      </c>
      <c r="AI969" s="155">
        <f t="shared" si="15"/>
        <v>2.7600058821083458E-3</v>
      </c>
      <c r="AJ969" s="155">
        <v>2.8637967624860065E-4</v>
      </c>
    </row>
    <row r="970" spans="1:36" s="160" customFormat="1">
      <c r="A970" s="153" t="s">
        <v>1213</v>
      </c>
      <c r="B970" s="160">
        <v>9300</v>
      </c>
      <c r="C970" s="153" t="s">
        <v>1904</v>
      </c>
      <c r="D970" s="153" t="s">
        <v>1905</v>
      </c>
      <c r="E970" s="153" t="s">
        <v>309</v>
      </c>
      <c r="F970" s="153" t="s">
        <v>2097</v>
      </c>
      <c r="G970" s="153" t="s">
        <v>2098</v>
      </c>
      <c r="H970" s="153" t="s">
        <v>321</v>
      </c>
      <c r="I970" s="153" t="s">
        <v>754</v>
      </c>
      <c r="J970" s="153" t="s">
        <v>204</v>
      </c>
      <c r="K970" s="153" t="s">
        <v>204</v>
      </c>
      <c r="L970" s="153" t="s">
        <v>325</v>
      </c>
      <c r="M970" s="153" t="s">
        <v>340</v>
      </c>
      <c r="N970" s="153" t="s">
        <v>448</v>
      </c>
      <c r="O970" s="153" t="s">
        <v>339</v>
      </c>
      <c r="P970" s="153" t="s">
        <v>1215</v>
      </c>
      <c r="Q970" s="153" t="s">
        <v>413</v>
      </c>
      <c r="R970" s="153" t="s">
        <v>407</v>
      </c>
      <c r="S970" s="153" t="s">
        <v>1212</v>
      </c>
      <c r="T970" s="154">
        <v>5.05</v>
      </c>
      <c r="U970" s="153" t="s">
        <v>2099</v>
      </c>
      <c r="V970" s="155">
        <v>1.478E-2</v>
      </c>
      <c r="W970" s="155">
        <v>2.58E-2</v>
      </c>
      <c r="X970" s="153" t="s">
        <v>412</v>
      </c>
      <c r="Y970" s="153" t="s">
        <v>339</v>
      </c>
      <c r="Z970" s="154">
        <v>85000</v>
      </c>
      <c r="AA970" s="154">
        <v>1</v>
      </c>
      <c r="AB970" s="154">
        <v>102.7</v>
      </c>
      <c r="AD970" s="154">
        <v>87.295000000000002</v>
      </c>
      <c r="AG970" s="157" t="s">
        <v>15</v>
      </c>
      <c r="AH970" s="155">
        <v>3.0000000000000001E-5</v>
      </c>
      <c r="AI970" s="155">
        <f t="shared" si="15"/>
        <v>2.7546729337630115E-3</v>
      </c>
      <c r="AJ970" s="155">
        <v>2.8582632669580163E-4</v>
      </c>
    </row>
    <row r="971" spans="1:36" s="160" customFormat="1">
      <c r="A971" s="153" t="s">
        <v>1213</v>
      </c>
      <c r="B971" s="160">
        <v>9300</v>
      </c>
      <c r="C971" s="153" t="s">
        <v>2361</v>
      </c>
      <c r="D971" s="153" t="s">
        <v>2362</v>
      </c>
      <c r="E971" s="153" t="s">
        <v>309</v>
      </c>
      <c r="F971" s="153" t="s">
        <v>2718</v>
      </c>
      <c r="G971" s="153" t="s">
        <v>2719</v>
      </c>
      <c r="H971" s="153" t="s">
        <v>321</v>
      </c>
      <c r="I971" s="153" t="s">
        <v>755</v>
      </c>
      <c r="J971" s="153" t="s">
        <v>204</v>
      </c>
      <c r="K971" s="153" t="s">
        <v>204</v>
      </c>
      <c r="L971" s="153" t="s">
        <v>325</v>
      </c>
      <c r="M971" s="153" t="s">
        <v>340</v>
      </c>
      <c r="N971" s="153" t="s">
        <v>446</v>
      </c>
      <c r="O971" s="153" t="s">
        <v>339</v>
      </c>
      <c r="P971" s="153" t="s">
        <v>1538</v>
      </c>
      <c r="Q971" s="153" t="s">
        <v>413</v>
      </c>
      <c r="R971" s="153" t="s">
        <v>407</v>
      </c>
      <c r="S971" s="153" t="s">
        <v>1212</v>
      </c>
      <c r="T971" s="154">
        <v>4.92</v>
      </c>
      <c r="U971" s="153" t="s">
        <v>1860</v>
      </c>
      <c r="V971" s="155">
        <v>2.4750000000000001E-2</v>
      </c>
      <c r="W971" s="155">
        <v>5.8700000000000002E-2</v>
      </c>
      <c r="X971" s="153" t="s">
        <v>412</v>
      </c>
      <c r="Y971" s="153" t="s">
        <v>339</v>
      </c>
      <c r="Z971" s="154">
        <v>87087.87</v>
      </c>
      <c r="AA971" s="154">
        <v>1</v>
      </c>
      <c r="AB971" s="154">
        <v>98.14</v>
      </c>
      <c r="AD971" s="154">
        <v>85.468000000000004</v>
      </c>
      <c r="AG971" s="157" t="s">
        <v>15</v>
      </c>
      <c r="AH971" s="155">
        <v>5.5000000000000003E-4</v>
      </c>
      <c r="AI971" s="155">
        <f t="shared" si="15"/>
        <v>2.6970202910001385E-3</v>
      </c>
      <c r="AJ971" s="155">
        <v>2.7984425786169626E-4</v>
      </c>
    </row>
    <row r="972" spans="1:36" s="160" customFormat="1">
      <c r="A972" s="153" t="s">
        <v>1213</v>
      </c>
      <c r="B972" s="160">
        <v>9300</v>
      </c>
      <c r="C972" s="153" t="s">
        <v>1973</v>
      </c>
      <c r="D972" s="153" t="s">
        <v>1974</v>
      </c>
      <c r="E972" s="153" t="s">
        <v>309</v>
      </c>
      <c r="F972" s="153" t="s">
        <v>1975</v>
      </c>
      <c r="G972" s="153" t="s">
        <v>1976</v>
      </c>
      <c r="H972" s="153" t="s">
        <v>321</v>
      </c>
      <c r="I972" s="153" t="s">
        <v>754</v>
      </c>
      <c r="J972" s="153" t="s">
        <v>204</v>
      </c>
      <c r="K972" s="153" t="s">
        <v>204</v>
      </c>
      <c r="L972" s="153" t="s">
        <v>325</v>
      </c>
      <c r="M972" s="153" t="s">
        <v>340</v>
      </c>
      <c r="N972" s="153" t="s">
        <v>464</v>
      </c>
      <c r="O972" s="153" t="s">
        <v>339</v>
      </c>
      <c r="P972" s="153" t="s">
        <v>1538</v>
      </c>
      <c r="Q972" s="153" t="s">
        <v>413</v>
      </c>
      <c r="R972" s="153" t="s">
        <v>407</v>
      </c>
      <c r="S972" s="153" t="s">
        <v>1212</v>
      </c>
      <c r="T972" s="154">
        <v>2.25</v>
      </c>
      <c r="U972" s="153" t="s">
        <v>1343</v>
      </c>
      <c r="V972" s="155">
        <v>1.1939999999999999E-2</v>
      </c>
      <c r="W972" s="155">
        <v>2.47E-2</v>
      </c>
      <c r="X972" s="153" t="s">
        <v>412</v>
      </c>
      <c r="Y972" s="153" t="s">
        <v>339</v>
      </c>
      <c r="Z972" s="154">
        <v>72000.06</v>
      </c>
      <c r="AA972" s="154">
        <v>1</v>
      </c>
      <c r="AB972" s="154">
        <v>116.75</v>
      </c>
      <c r="AD972" s="154">
        <v>84.06</v>
      </c>
      <c r="AG972" s="157" t="s">
        <v>15</v>
      </c>
      <c r="AH972" s="155">
        <v>2.0000000000000001E-4</v>
      </c>
      <c r="AI972" s="155">
        <f t="shared" si="15"/>
        <v>2.6525895734248097E-3</v>
      </c>
      <c r="AJ972" s="155">
        <v>2.7523410300760734E-4</v>
      </c>
    </row>
    <row r="973" spans="1:36" s="160" customFormat="1">
      <c r="A973" s="153" t="s">
        <v>1213</v>
      </c>
      <c r="B973" s="160">
        <v>9300</v>
      </c>
      <c r="C973" s="153" t="s">
        <v>1674</v>
      </c>
      <c r="D973" s="153" t="s">
        <v>1675</v>
      </c>
      <c r="E973" s="153" t="s">
        <v>309</v>
      </c>
      <c r="F973" s="153" t="s">
        <v>2958</v>
      </c>
      <c r="G973" s="153" t="s">
        <v>2959</v>
      </c>
      <c r="H973" s="153" t="s">
        <v>321</v>
      </c>
      <c r="I973" s="153" t="s">
        <v>754</v>
      </c>
      <c r="J973" s="153" t="s">
        <v>204</v>
      </c>
      <c r="K973" s="153" t="s">
        <v>204</v>
      </c>
      <c r="L973" s="153" t="s">
        <v>325</v>
      </c>
      <c r="M973" s="153" t="s">
        <v>340</v>
      </c>
      <c r="N973" s="153" t="s">
        <v>464</v>
      </c>
      <c r="O973" s="153" t="s">
        <v>339</v>
      </c>
      <c r="P973" s="153" t="s">
        <v>1538</v>
      </c>
      <c r="Q973" s="153" t="s">
        <v>413</v>
      </c>
      <c r="R973" s="153" t="s">
        <v>407</v>
      </c>
      <c r="S973" s="153" t="s">
        <v>1212</v>
      </c>
      <c r="T973" s="154">
        <v>3.57</v>
      </c>
      <c r="U973" s="153" t="s">
        <v>2960</v>
      </c>
      <c r="V973" s="155">
        <v>2.5300000000000001E-3</v>
      </c>
      <c r="W973" s="155">
        <v>2.6599999999999999E-2</v>
      </c>
      <c r="X973" s="153" t="s">
        <v>412</v>
      </c>
      <c r="Y973" s="153" t="s">
        <v>339</v>
      </c>
      <c r="Z973" s="154">
        <v>76363.759999999995</v>
      </c>
      <c r="AA973" s="154">
        <v>1</v>
      </c>
      <c r="AB973" s="154">
        <v>107.68</v>
      </c>
      <c r="AD973" s="154">
        <v>82.227999999999994</v>
      </c>
      <c r="AG973" s="157" t="s">
        <v>15</v>
      </c>
      <c r="AH973" s="155">
        <v>4.0999999999999999E-4</v>
      </c>
      <c r="AI973" s="155">
        <f t="shared" si="15"/>
        <v>2.5947791511250918E-3</v>
      </c>
      <c r="AJ973" s="155">
        <v>2.6923566288495758E-4</v>
      </c>
    </row>
    <row r="974" spans="1:36" s="160" customFormat="1">
      <c r="A974" s="153" t="s">
        <v>1213</v>
      </c>
      <c r="B974" s="160">
        <v>9300</v>
      </c>
      <c r="C974" s="153" t="s">
        <v>2961</v>
      </c>
      <c r="D974" s="153" t="s">
        <v>2962</v>
      </c>
      <c r="E974" s="153" t="s">
        <v>309</v>
      </c>
      <c r="F974" s="153" t="s">
        <v>2963</v>
      </c>
      <c r="G974" s="153" t="s">
        <v>2964</v>
      </c>
      <c r="H974" s="153" t="s">
        <v>321</v>
      </c>
      <c r="I974" s="153" t="s">
        <v>754</v>
      </c>
      <c r="J974" s="153" t="s">
        <v>204</v>
      </c>
      <c r="K974" s="153" t="s">
        <v>204</v>
      </c>
      <c r="L974" s="153" t="s">
        <v>325</v>
      </c>
      <c r="M974" s="153" t="s">
        <v>340</v>
      </c>
      <c r="N974" s="153" t="s">
        <v>464</v>
      </c>
      <c r="O974" s="153" t="s">
        <v>339</v>
      </c>
      <c r="Q974" s="153" t="s">
        <v>410</v>
      </c>
      <c r="R974" s="153" t="s">
        <v>410</v>
      </c>
      <c r="S974" s="153" t="s">
        <v>1212</v>
      </c>
      <c r="T974" s="154">
        <v>3.61</v>
      </c>
      <c r="U974" s="153" t="s">
        <v>2451</v>
      </c>
      <c r="V974" s="155">
        <v>3.4529999999999998E-2</v>
      </c>
      <c r="W974" s="155">
        <v>3.5999999999999997E-2</v>
      </c>
      <c r="X974" s="153" t="s">
        <v>412</v>
      </c>
      <c r="Y974" s="153" t="s">
        <v>339</v>
      </c>
      <c r="Z974" s="154">
        <v>80000</v>
      </c>
      <c r="AA974" s="154">
        <v>1</v>
      </c>
      <c r="AB974" s="154">
        <v>102.4</v>
      </c>
      <c r="AD974" s="154">
        <v>81.92</v>
      </c>
      <c r="AG974" s="157" t="s">
        <v>15</v>
      </c>
      <c r="AH974" s="155">
        <v>4.0000000000000002E-4</v>
      </c>
      <c r="AI974" s="155">
        <f t="shared" si="15"/>
        <v>2.5850599316554891E-3</v>
      </c>
      <c r="AJ974" s="155">
        <v>2.6822719151062567E-4</v>
      </c>
    </row>
    <row r="975" spans="1:36" s="160" customFormat="1">
      <c r="A975" s="153" t="s">
        <v>1213</v>
      </c>
      <c r="B975" s="160">
        <v>9300</v>
      </c>
      <c r="C975" s="153" t="s">
        <v>2463</v>
      </c>
      <c r="D975" s="153" t="s">
        <v>2464</v>
      </c>
      <c r="E975" s="153" t="s">
        <v>309</v>
      </c>
      <c r="F975" s="153" t="s">
        <v>2465</v>
      </c>
      <c r="G975" s="153" t="s">
        <v>2466</v>
      </c>
      <c r="H975" s="153" t="s">
        <v>321</v>
      </c>
      <c r="I975" s="153" t="s">
        <v>754</v>
      </c>
      <c r="J975" s="153" t="s">
        <v>204</v>
      </c>
      <c r="K975" s="153" t="s">
        <v>204</v>
      </c>
      <c r="L975" s="153" t="s">
        <v>325</v>
      </c>
      <c r="M975" s="153" t="s">
        <v>340</v>
      </c>
      <c r="N975" s="153" t="s">
        <v>465</v>
      </c>
      <c r="O975" s="153" t="s">
        <v>339</v>
      </c>
      <c r="P975" s="153" t="s">
        <v>1554</v>
      </c>
      <c r="Q975" s="153" t="s">
        <v>413</v>
      </c>
      <c r="R975" s="153" t="s">
        <v>407</v>
      </c>
      <c r="S975" s="153" t="s">
        <v>1212</v>
      </c>
      <c r="T975" s="154">
        <v>3.56</v>
      </c>
      <c r="U975" s="153" t="s">
        <v>1669</v>
      </c>
      <c r="V975" s="155">
        <v>4.5069999999999999E-2</v>
      </c>
      <c r="W975" s="155">
        <v>5.1200000000000002E-2</v>
      </c>
      <c r="X975" s="153" t="s">
        <v>412</v>
      </c>
      <c r="Y975" s="153" t="s">
        <v>339</v>
      </c>
      <c r="Z975" s="154">
        <v>81000</v>
      </c>
      <c r="AA975" s="154">
        <v>1</v>
      </c>
      <c r="AB975" s="154">
        <v>100.76</v>
      </c>
      <c r="AD975" s="154">
        <v>81.616</v>
      </c>
      <c r="AG975" s="157" t="s">
        <v>15</v>
      </c>
      <c r="AH975" s="155">
        <v>6.9999999999999994E-5</v>
      </c>
      <c r="AI975" s="155">
        <f t="shared" si="15"/>
        <v>2.5754669358153612E-3</v>
      </c>
      <c r="AJ975" s="155">
        <v>2.672318171671292E-4</v>
      </c>
    </row>
    <row r="976" spans="1:36" s="160" customFormat="1">
      <c r="A976" s="153" t="s">
        <v>1213</v>
      </c>
      <c r="B976" s="160">
        <v>9300</v>
      </c>
      <c r="C976" s="153" t="s">
        <v>2866</v>
      </c>
      <c r="D976" s="153" t="s">
        <v>2867</v>
      </c>
      <c r="E976" s="153" t="s">
        <v>309</v>
      </c>
      <c r="F976" s="153" t="s">
        <v>2965</v>
      </c>
      <c r="G976" s="153" t="s">
        <v>2966</v>
      </c>
      <c r="H976" s="153" t="s">
        <v>321</v>
      </c>
      <c r="I976" s="153" t="s">
        <v>754</v>
      </c>
      <c r="J976" s="153" t="s">
        <v>204</v>
      </c>
      <c r="K976" s="153" t="s">
        <v>204</v>
      </c>
      <c r="L976" s="153" t="s">
        <v>327</v>
      </c>
      <c r="M976" s="153" t="s">
        <v>340</v>
      </c>
      <c r="N976" s="153" t="s">
        <v>464</v>
      </c>
      <c r="O976" s="153" t="s">
        <v>339</v>
      </c>
      <c r="P976" s="153" t="s">
        <v>1554</v>
      </c>
      <c r="Q976" s="153" t="s">
        <v>413</v>
      </c>
      <c r="R976" s="153" t="s">
        <v>407</v>
      </c>
      <c r="S976" s="153" t="s">
        <v>1212</v>
      </c>
      <c r="T976" s="154">
        <v>2.2400000000000002</v>
      </c>
      <c r="U976" s="153" t="s">
        <v>1659</v>
      </c>
      <c r="V976" s="155">
        <v>3.8830000000000003E-2</v>
      </c>
      <c r="W976" s="155">
        <v>3.1699999999999999E-2</v>
      </c>
      <c r="X976" s="153" t="s">
        <v>412</v>
      </c>
      <c r="Y976" s="153" t="s">
        <v>339</v>
      </c>
      <c r="Z976" s="154">
        <v>80000</v>
      </c>
      <c r="AA976" s="154">
        <v>1</v>
      </c>
      <c r="AB976" s="154">
        <f>AD976*1000/Z976*100</f>
        <v>96.444644808743121</v>
      </c>
      <c r="AD976" s="154">
        <f>77155.7158469945/1000</f>
        <v>77.155715846994497</v>
      </c>
      <c r="AG976" s="157" t="s">
        <v>15</v>
      </c>
      <c r="AH976" s="155">
        <v>2.5000000000000001E-4</v>
      </c>
      <c r="AI976" s="155">
        <f t="shared" si="15"/>
        <v>2.4347186222444081E-3</v>
      </c>
      <c r="AJ976" s="155">
        <v>2.5262769739540049E-4</v>
      </c>
    </row>
    <row r="977" spans="1:36" s="160" customFormat="1">
      <c r="A977" s="153" t="s">
        <v>1213</v>
      </c>
      <c r="B977" s="160">
        <v>9300</v>
      </c>
      <c r="C977" s="153" t="s">
        <v>2298</v>
      </c>
      <c r="D977" s="153" t="s">
        <v>2299</v>
      </c>
      <c r="E977" s="153" t="s">
        <v>309</v>
      </c>
      <c r="F977" s="153" t="s">
        <v>2562</v>
      </c>
      <c r="G977" s="153" t="s">
        <v>2563</v>
      </c>
      <c r="H977" s="153" t="s">
        <v>321</v>
      </c>
      <c r="I977" s="153" t="s">
        <v>951</v>
      </c>
      <c r="J977" s="153" t="s">
        <v>204</v>
      </c>
      <c r="K977" s="153" t="s">
        <v>204</v>
      </c>
      <c r="L977" s="153" t="s">
        <v>325</v>
      </c>
      <c r="M977" s="153" t="s">
        <v>340</v>
      </c>
      <c r="N977" s="153" t="s">
        <v>462</v>
      </c>
      <c r="O977" s="153" t="s">
        <v>339</v>
      </c>
      <c r="P977" s="153" t="s">
        <v>1566</v>
      </c>
      <c r="Q977" s="153" t="s">
        <v>413</v>
      </c>
      <c r="R977" s="153" t="s">
        <v>407</v>
      </c>
      <c r="S977" s="153" t="s">
        <v>1212</v>
      </c>
      <c r="T977" s="154">
        <v>1.1499999999999999</v>
      </c>
      <c r="U977" s="153" t="s">
        <v>2232</v>
      </c>
      <c r="V977" s="155">
        <v>2.6589999999999999E-2</v>
      </c>
      <c r="W977" s="155">
        <v>5.5399999999999998E-2</v>
      </c>
      <c r="X977" s="153" t="s">
        <v>412</v>
      </c>
      <c r="Y977" s="153" t="s">
        <v>339</v>
      </c>
      <c r="Z977" s="154">
        <v>82000.929999999993</v>
      </c>
      <c r="AA977" s="154">
        <v>1</v>
      </c>
      <c r="AB977" s="154">
        <v>97.21</v>
      </c>
      <c r="AD977" s="154">
        <v>79.712999999999994</v>
      </c>
      <c r="AG977" s="157" t="s">
        <v>15</v>
      </c>
      <c r="AH977" s="155">
        <v>4.4999999999999999E-4</v>
      </c>
      <c r="AI977" s="155">
        <f t="shared" si="15"/>
        <v>2.5154160440924557E-3</v>
      </c>
      <c r="AJ977" s="155">
        <v>2.6100090474714971E-4</v>
      </c>
    </row>
    <row r="978" spans="1:36" s="160" customFormat="1">
      <c r="A978" s="153" t="s">
        <v>1213</v>
      </c>
      <c r="B978" s="160">
        <v>9300</v>
      </c>
      <c r="C978" s="153" t="s">
        <v>2967</v>
      </c>
      <c r="D978" s="153" t="s">
        <v>2968</v>
      </c>
      <c r="E978" s="153" t="s">
        <v>309</v>
      </c>
      <c r="F978" s="153" t="s">
        <v>2969</v>
      </c>
      <c r="G978" s="153" t="s">
        <v>2970</v>
      </c>
      <c r="H978" s="153" t="s">
        <v>321</v>
      </c>
      <c r="I978" s="153" t="s">
        <v>754</v>
      </c>
      <c r="J978" s="153" t="s">
        <v>204</v>
      </c>
      <c r="K978" s="153" t="s">
        <v>204</v>
      </c>
      <c r="L978" s="153" t="s">
        <v>325</v>
      </c>
      <c r="M978" s="153" t="s">
        <v>340</v>
      </c>
      <c r="N978" s="153" t="s">
        <v>464</v>
      </c>
      <c r="O978" s="153" t="s">
        <v>339</v>
      </c>
      <c r="Q978" s="153" t="s">
        <v>410</v>
      </c>
      <c r="R978" s="153" t="s">
        <v>410</v>
      </c>
      <c r="S978" s="153" t="s">
        <v>1212</v>
      </c>
      <c r="T978" s="154">
        <v>5.25</v>
      </c>
      <c r="U978" s="153" t="s">
        <v>1717</v>
      </c>
      <c r="V978" s="155">
        <v>3.8260000000000002E-2</v>
      </c>
      <c r="W978" s="155">
        <v>4.2099999999999999E-2</v>
      </c>
      <c r="X978" s="153" t="s">
        <v>412</v>
      </c>
      <c r="Y978" s="153" t="s">
        <v>339</v>
      </c>
      <c r="Z978" s="154">
        <v>83502.78</v>
      </c>
      <c r="AA978" s="154">
        <v>1</v>
      </c>
      <c r="AB978" s="154">
        <v>95.16</v>
      </c>
      <c r="AD978" s="154">
        <v>79.460999999999999</v>
      </c>
      <c r="AG978" s="157" t="s">
        <v>15</v>
      </c>
      <c r="AH978" s="155">
        <v>3.3E-4</v>
      </c>
      <c r="AI978" s="155">
        <f t="shared" si="15"/>
        <v>2.5074639554355078E-3</v>
      </c>
      <c r="AJ978" s="155">
        <v>2.601757918045145E-4</v>
      </c>
    </row>
    <row r="979" spans="1:36" s="160" customFormat="1">
      <c r="A979" s="153" t="s">
        <v>1213</v>
      </c>
      <c r="B979" s="160">
        <v>9300</v>
      </c>
      <c r="C979" s="153" t="s">
        <v>2845</v>
      </c>
      <c r="D979" s="153" t="s">
        <v>2846</v>
      </c>
      <c r="E979" s="153" t="s">
        <v>309</v>
      </c>
      <c r="F979" s="153" t="s">
        <v>2847</v>
      </c>
      <c r="G979" s="153" t="s">
        <v>2848</v>
      </c>
      <c r="H979" s="153" t="s">
        <v>321</v>
      </c>
      <c r="I979" s="153" t="s">
        <v>951</v>
      </c>
      <c r="J979" s="153" t="s">
        <v>204</v>
      </c>
      <c r="K979" s="153" t="s">
        <v>204</v>
      </c>
      <c r="L979" s="153" t="s">
        <v>325</v>
      </c>
      <c r="M979" s="153" t="s">
        <v>340</v>
      </c>
      <c r="N979" s="153" t="s">
        <v>446</v>
      </c>
      <c r="O979" s="153" t="s">
        <v>339</v>
      </c>
      <c r="P979" s="153" t="s">
        <v>1215</v>
      </c>
      <c r="Q979" s="153" t="s">
        <v>413</v>
      </c>
      <c r="R979" s="153" t="s">
        <v>407</v>
      </c>
      <c r="S979" s="153" t="s">
        <v>1212</v>
      </c>
      <c r="T979" s="154">
        <v>1.1299999999999999</v>
      </c>
      <c r="U979" s="153" t="s">
        <v>2372</v>
      </c>
      <c r="V979" s="155">
        <v>-6.9499999999999996E-3</v>
      </c>
      <c r="W979" s="155">
        <v>5.2499999999999998E-2</v>
      </c>
      <c r="X979" s="153" t="s">
        <v>412</v>
      </c>
      <c r="Y979" s="153" t="s">
        <v>339</v>
      </c>
      <c r="Z979" s="154">
        <v>77633.2</v>
      </c>
      <c r="AA979" s="154">
        <v>1</v>
      </c>
      <c r="AB979" s="154">
        <v>102.1</v>
      </c>
      <c r="AD979" s="154">
        <v>79.263000000000005</v>
      </c>
      <c r="AG979" s="157" t="s">
        <v>15</v>
      </c>
      <c r="AH979" s="155">
        <v>5.0000000000000001E-4</v>
      </c>
      <c r="AI979" s="155">
        <f t="shared" si="15"/>
        <v>2.5012158857764775E-3</v>
      </c>
      <c r="AJ979" s="155">
        <v>2.5952748877815826E-4</v>
      </c>
    </row>
    <row r="980" spans="1:36" s="160" customFormat="1">
      <c r="A980" s="153" t="s">
        <v>1213</v>
      </c>
      <c r="B980" s="160">
        <v>9300</v>
      </c>
      <c r="C980" s="153" t="s">
        <v>1840</v>
      </c>
      <c r="D980" s="153" t="s">
        <v>1841</v>
      </c>
      <c r="E980" s="153" t="s">
        <v>309</v>
      </c>
      <c r="F980" s="153" t="s">
        <v>2971</v>
      </c>
      <c r="G980" s="153" t="s">
        <v>2972</v>
      </c>
      <c r="H980" s="153" t="s">
        <v>321</v>
      </c>
      <c r="I980" s="153" t="s">
        <v>951</v>
      </c>
      <c r="J980" s="153" t="s">
        <v>204</v>
      </c>
      <c r="K980" s="153" t="s">
        <v>204</v>
      </c>
      <c r="L980" s="153" t="s">
        <v>325</v>
      </c>
      <c r="M980" s="153" t="s">
        <v>340</v>
      </c>
      <c r="N980" s="153" t="s">
        <v>447</v>
      </c>
      <c r="O980" s="153" t="s">
        <v>339</v>
      </c>
      <c r="Q980" s="153" t="s">
        <v>410</v>
      </c>
      <c r="R980" s="153" t="s">
        <v>410</v>
      </c>
      <c r="S980" s="153" t="s">
        <v>1212</v>
      </c>
      <c r="T980" s="154">
        <v>1.65</v>
      </c>
      <c r="U980" s="153" t="s">
        <v>1833</v>
      </c>
      <c r="V980" s="155">
        <v>5.3269999999999998E-2</v>
      </c>
      <c r="W980" s="155">
        <v>6.25E-2</v>
      </c>
      <c r="X980" s="153" t="s">
        <v>412</v>
      </c>
      <c r="Y980" s="153" t="s">
        <v>339</v>
      </c>
      <c r="Z980" s="154">
        <v>80000.100000000006</v>
      </c>
      <c r="AA980" s="154">
        <v>1</v>
      </c>
      <c r="AB980" s="154">
        <v>97.34</v>
      </c>
      <c r="AD980" s="154">
        <v>77.872</v>
      </c>
      <c r="AG980" s="157" t="s">
        <v>15</v>
      </c>
      <c r="AH980" s="155">
        <v>2.4000000000000001E-4</v>
      </c>
      <c r="AI980" s="155">
        <f t="shared" si="15"/>
        <v>2.4573216186264189E-3</v>
      </c>
      <c r="AJ980" s="155">
        <v>2.5497299630512018E-4</v>
      </c>
    </row>
    <row r="981" spans="1:36" s="160" customFormat="1">
      <c r="A981" s="153" t="s">
        <v>1213</v>
      </c>
      <c r="B981" s="160">
        <v>9300</v>
      </c>
      <c r="C981" s="153" t="s">
        <v>1799</v>
      </c>
      <c r="D981" s="153" t="s">
        <v>1800</v>
      </c>
      <c r="E981" s="153" t="s">
        <v>309</v>
      </c>
      <c r="F981" s="153" t="s">
        <v>1801</v>
      </c>
      <c r="G981" s="153" t="s">
        <v>1802</v>
      </c>
      <c r="H981" s="153" t="s">
        <v>321</v>
      </c>
      <c r="I981" s="153" t="s">
        <v>754</v>
      </c>
      <c r="J981" s="153" t="s">
        <v>204</v>
      </c>
      <c r="K981" s="153" t="s">
        <v>204</v>
      </c>
      <c r="L981" s="153" t="s">
        <v>325</v>
      </c>
      <c r="M981" s="153" t="s">
        <v>340</v>
      </c>
      <c r="N981" s="153" t="s">
        <v>464</v>
      </c>
      <c r="O981" s="153" t="s">
        <v>339</v>
      </c>
      <c r="P981" s="153" t="s">
        <v>1538</v>
      </c>
      <c r="Q981" s="153" t="s">
        <v>413</v>
      </c>
      <c r="R981" s="153" t="s">
        <v>407</v>
      </c>
      <c r="S981" s="153" t="s">
        <v>1212</v>
      </c>
      <c r="T981" s="154">
        <v>4.75</v>
      </c>
      <c r="U981" s="153" t="s">
        <v>1803</v>
      </c>
      <c r="V981" s="155">
        <v>2.5579999999999999E-2</v>
      </c>
      <c r="W981" s="155">
        <v>2.92E-2</v>
      </c>
      <c r="X981" s="153" t="s">
        <v>412</v>
      </c>
      <c r="Y981" s="153" t="s">
        <v>339</v>
      </c>
      <c r="Z981" s="154">
        <v>74461.539999999994</v>
      </c>
      <c r="AA981" s="154">
        <v>1</v>
      </c>
      <c r="AB981" s="154">
        <v>104.22</v>
      </c>
      <c r="AD981" s="154">
        <v>77.603999999999999</v>
      </c>
      <c r="AG981" s="157" t="s">
        <v>15</v>
      </c>
      <c r="AH981" s="155">
        <v>9.0000000000000006E-5</v>
      </c>
      <c r="AI981" s="155">
        <f t="shared" si="15"/>
        <v>2.4488646354515692E-3</v>
      </c>
      <c r="AJ981" s="155">
        <v>2.5409549523914302E-4</v>
      </c>
    </row>
    <row r="982" spans="1:36" s="160" customFormat="1">
      <c r="A982" s="153" t="s">
        <v>1213</v>
      </c>
      <c r="B982" s="160">
        <v>9300</v>
      </c>
      <c r="C982" s="153" t="s">
        <v>2211</v>
      </c>
      <c r="D982" s="153" t="s">
        <v>2212</v>
      </c>
      <c r="E982" s="153" t="s">
        <v>309</v>
      </c>
      <c r="F982" s="153" t="s">
        <v>2213</v>
      </c>
      <c r="G982" s="153" t="s">
        <v>2214</v>
      </c>
      <c r="H982" s="153" t="s">
        <v>321</v>
      </c>
      <c r="I982" s="153" t="s">
        <v>951</v>
      </c>
      <c r="J982" s="153" t="s">
        <v>204</v>
      </c>
      <c r="K982" s="153" t="s">
        <v>204</v>
      </c>
      <c r="L982" s="153" t="s">
        <v>325</v>
      </c>
      <c r="M982" s="153" t="s">
        <v>340</v>
      </c>
      <c r="N982" s="153" t="s">
        <v>454</v>
      </c>
      <c r="O982" s="153" t="s">
        <v>339</v>
      </c>
      <c r="P982" s="153" t="s">
        <v>1527</v>
      </c>
      <c r="Q982" s="153" t="s">
        <v>415</v>
      </c>
      <c r="R982" s="153" t="s">
        <v>407</v>
      </c>
      <c r="S982" s="153" t="s">
        <v>1212</v>
      </c>
      <c r="T982" s="154">
        <v>3.82</v>
      </c>
      <c r="U982" s="153" t="s">
        <v>2215</v>
      </c>
      <c r="V982" s="155">
        <v>4.5670000000000002E-2</v>
      </c>
      <c r="W982" s="155">
        <v>6.5299999999999997E-2</v>
      </c>
      <c r="X982" s="153" t="s">
        <v>412</v>
      </c>
      <c r="Y982" s="153" t="s">
        <v>339</v>
      </c>
      <c r="Z982" s="154">
        <v>75000</v>
      </c>
      <c r="AA982" s="154">
        <v>1</v>
      </c>
      <c r="AB982" s="154">
        <v>103.07</v>
      </c>
      <c r="AD982" s="154">
        <v>77.302999999999997</v>
      </c>
      <c r="AG982" s="157" t="s">
        <v>15</v>
      </c>
      <c r="AH982" s="155">
        <v>6.0000000000000002E-5</v>
      </c>
      <c r="AI982" s="155">
        <f t="shared" si="15"/>
        <v>2.439366307333548E-3</v>
      </c>
      <c r="AJ982" s="155">
        <v>2.5310994366877317E-4</v>
      </c>
    </row>
    <row r="983" spans="1:36" s="160" customFormat="1">
      <c r="A983" s="153" t="s">
        <v>1213</v>
      </c>
      <c r="B983" s="160">
        <v>9300</v>
      </c>
      <c r="C983" s="153" t="s">
        <v>1713</v>
      </c>
      <c r="D983" s="153" t="s">
        <v>1714</v>
      </c>
      <c r="E983" s="153" t="s">
        <v>309</v>
      </c>
      <c r="F983" s="153" t="s">
        <v>1715</v>
      </c>
      <c r="G983" s="153" t="s">
        <v>1716</v>
      </c>
      <c r="H983" s="153" t="s">
        <v>321</v>
      </c>
      <c r="I983" s="153" t="s">
        <v>754</v>
      </c>
      <c r="J983" s="153" t="s">
        <v>204</v>
      </c>
      <c r="K983" s="153" t="s">
        <v>204</v>
      </c>
      <c r="L983" s="153" t="s">
        <v>325</v>
      </c>
      <c r="M983" s="153" t="s">
        <v>340</v>
      </c>
      <c r="N983" s="153" t="s">
        <v>459</v>
      </c>
      <c r="O983" s="153" t="s">
        <v>339</v>
      </c>
      <c r="Q983" s="153" t="s">
        <v>410</v>
      </c>
      <c r="R983" s="153" t="s">
        <v>410</v>
      </c>
      <c r="S983" s="153" t="s">
        <v>1212</v>
      </c>
      <c r="T983" s="154">
        <v>4.58</v>
      </c>
      <c r="U983" s="153" t="s">
        <v>1717</v>
      </c>
      <c r="V983" s="155">
        <v>3.5150000000000001E-2</v>
      </c>
      <c r="W983" s="155">
        <v>3.8899999999999997E-2</v>
      </c>
      <c r="X983" s="153" t="s">
        <v>412</v>
      </c>
      <c r="Y983" s="153" t="s">
        <v>339</v>
      </c>
      <c r="Z983" s="154">
        <v>76000</v>
      </c>
      <c r="AA983" s="154">
        <v>1</v>
      </c>
      <c r="AB983" s="154">
        <v>101.18</v>
      </c>
      <c r="AD983" s="154">
        <v>76.897000000000006</v>
      </c>
      <c r="AG983" s="157" t="s">
        <v>15</v>
      </c>
      <c r="AH983" s="155">
        <v>2.2000000000000001E-4</v>
      </c>
      <c r="AI983" s="155">
        <f t="shared" si="15"/>
        <v>2.4265546089417985E-3</v>
      </c>
      <c r="AJ983" s="155">
        <v>2.5178059503897199E-4</v>
      </c>
    </row>
    <row r="984" spans="1:36" s="160" customFormat="1">
      <c r="A984" s="153" t="s">
        <v>1213</v>
      </c>
      <c r="B984" s="160">
        <v>9300</v>
      </c>
      <c r="C984" s="153" t="s">
        <v>1683</v>
      </c>
      <c r="D984" s="153" t="s">
        <v>1684</v>
      </c>
      <c r="E984" s="153" t="s">
        <v>309</v>
      </c>
      <c r="F984" s="153" t="s">
        <v>2242</v>
      </c>
      <c r="G984" s="153" t="s">
        <v>2243</v>
      </c>
      <c r="H984" s="153" t="s">
        <v>321</v>
      </c>
      <c r="I984" s="153" t="s">
        <v>952</v>
      </c>
      <c r="J984" s="153" t="s">
        <v>204</v>
      </c>
      <c r="K984" s="153" t="s">
        <v>204</v>
      </c>
      <c r="L984" s="153" t="s">
        <v>325</v>
      </c>
      <c r="M984" s="153" t="s">
        <v>340</v>
      </c>
      <c r="N984" s="153" t="s">
        <v>441</v>
      </c>
      <c r="O984" s="153" t="s">
        <v>339</v>
      </c>
      <c r="Q984" s="153" t="s">
        <v>410</v>
      </c>
      <c r="R984" s="153" t="s">
        <v>410</v>
      </c>
      <c r="S984" s="153" t="s">
        <v>1212</v>
      </c>
      <c r="T984" s="154">
        <v>3.85</v>
      </c>
      <c r="U984" s="153" t="s">
        <v>1587</v>
      </c>
      <c r="V984" s="155">
        <v>5.2839999999999998E-2</v>
      </c>
      <c r="W984" s="155">
        <v>3.49E-2</v>
      </c>
      <c r="X984" s="153" t="s">
        <v>412</v>
      </c>
      <c r="Y984" s="153" t="s">
        <v>339</v>
      </c>
      <c r="Z984" s="154">
        <v>69000</v>
      </c>
      <c r="AA984" s="154">
        <v>1</v>
      </c>
      <c r="AB984" s="154">
        <v>107.3</v>
      </c>
      <c r="AD984" s="154">
        <v>74.037000000000006</v>
      </c>
      <c r="AG984" s="157" t="s">
        <v>15</v>
      </c>
      <c r="AH984" s="155">
        <v>1.7000000000000001E-4</v>
      </c>
      <c r="AI984" s="155">
        <f t="shared" si="15"/>
        <v>2.3363047138669122E-3</v>
      </c>
      <c r="AJ984" s="155">
        <v>2.4241621799160395E-4</v>
      </c>
    </row>
    <row r="985" spans="1:36" s="160" customFormat="1">
      <c r="A985" s="153" t="s">
        <v>1213</v>
      </c>
      <c r="B985" s="160">
        <v>9300</v>
      </c>
      <c r="C985" s="153" t="s">
        <v>1782</v>
      </c>
      <c r="D985" s="153" t="s">
        <v>1783</v>
      </c>
      <c r="E985" s="153" t="s">
        <v>309</v>
      </c>
      <c r="F985" s="153" t="s">
        <v>1784</v>
      </c>
      <c r="G985" s="153" t="s">
        <v>1785</v>
      </c>
      <c r="H985" s="153" t="s">
        <v>321</v>
      </c>
      <c r="I985" s="153" t="s">
        <v>952</v>
      </c>
      <c r="J985" s="153" t="s">
        <v>204</v>
      </c>
      <c r="K985" s="153" t="s">
        <v>204</v>
      </c>
      <c r="L985" s="153" t="s">
        <v>325</v>
      </c>
      <c r="M985" s="153" t="s">
        <v>340</v>
      </c>
      <c r="N985" s="153" t="s">
        <v>461</v>
      </c>
      <c r="O985" s="153" t="s">
        <v>339</v>
      </c>
      <c r="Q985" s="153" t="s">
        <v>410</v>
      </c>
      <c r="R985" s="153" t="s">
        <v>410</v>
      </c>
      <c r="S985" s="153" t="s">
        <v>1212</v>
      </c>
      <c r="T985" s="154">
        <v>3.43</v>
      </c>
      <c r="U985" s="153" t="s">
        <v>1744</v>
      </c>
      <c r="V985" s="155">
        <v>4.7039999999999998E-2</v>
      </c>
      <c r="W985" s="155">
        <v>0.05</v>
      </c>
      <c r="X985" s="153" t="s">
        <v>412</v>
      </c>
      <c r="Y985" s="153" t="s">
        <v>339</v>
      </c>
      <c r="Z985" s="154">
        <v>72000</v>
      </c>
      <c r="AA985" s="154">
        <v>1</v>
      </c>
      <c r="AB985" s="154">
        <v>100.9</v>
      </c>
      <c r="AD985" s="154">
        <v>72.647999999999996</v>
      </c>
      <c r="AG985" s="157" t="s">
        <v>15</v>
      </c>
      <c r="AH985" s="155">
        <v>2.4000000000000001E-4</v>
      </c>
      <c r="AI985" s="155">
        <f t="shared" si="15"/>
        <v>2.2924735585315909E-3</v>
      </c>
      <c r="AJ985" s="155">
        <v>2.3786827403398357E-4</v>
      </c>
    </row>
    <row r="986" spans="1:36" s="160" customFormat="1">
      <c r="A986" s="153" t="s">
        <v>1213</v>
      </c>
      <c r="B986" s="160">
        <v>9300</v>
      </c>
      <c r="C986" s="153" t="s">
        <v>2973</v>
      </c>
      <c r="D986" s="153" t="s">
        <v>2974</v>
      </c>
      <c r="E986" s="153" t="s">
        <v>309</v>
      </c>
      <c r="F986" s="153" t="s">
        <v>2975</v>
      </c>
      <c r="G986" s="153" t="s">
        <v>2976</v>
      </c>
      <c r="H986" s="153" t="s">
        <v>321</v>
      </c>
      <c r="I986" s="153" t="s">
        <v>951</v>
      </c>
      <c r="J986" s="153" t="s">
        <v>204</v>
      </c>
      <c r="K986" s="153" t="s">
        <v>204</v>
      </c>
      <c r="L986" s="153" t="s">
        <v>325</v>
      </c>
      <c r="M986" s="153" t="s">
        <v>340</v>
      </c>
      <c r="N986" s="153" t="s">
        <v>458</v>
      </c>
      <c r="O986" s="153" t="s">
        <v>339</v>
      </c>
      <c r="Q986" s="153" t="s">
        <v>410</v>
      </c>
      <c r="R986" s="153" t="s">
        <v>410</v>
      </c>
      <c r="S986" s="153" t="s">
        <v>1212</v>
      </c>
      <c r="T986" s="154">
        <v>1.23</v>
      </c>
      <c r="U986" s="153" t="s">
        <v>1777</v>
      </c>
      <c r="V986" s="155">
        <v>4.4200000000000003E-2</v>
      </c>
      <c r="W986" s="155">
        <v>5.45E-2</v>
      </c>
      <c r="X986" s="153" t="s">
        <v>412</v>
      </c>
      <c r="Y986" s="153" t="s">
        <v>339</v>
      </c>
      <c r="Z986" s="154">
        <v>75000</v>
      </c>
      <c r="AA986" s="154">
        <v>1</v>
      </c>
      <c r="AB986" s="154">
        <v>96.45</v>
      </c>
      <c r="AD986" s="154">
        <v>72.337999999999994</v>
      </c>
      <c r="AG986" s="157" t="s">
        <v>15</v>
      </c>
      <c r="AH986" s="155">
        <v>5.0000000000000001E-4</v>
      </c>
      <c r="AI986" s="155">
        <f t="shared" si="15"/>
        <v>2.2826912272472504E-3</v>
      </c>
      <c r="AJ986" s="155">
        <v>2.3685325414423387E-4</v>
      </c>
    </row>
    <row r="987" spans="1:36" s="160" customFormat="1">
      <c r="A987" s="153" t="s">
        <v>1213</v>
      </c>
      <c r="B987" s="160">
        <v>9300</v>
      </c>
      <c r="C987" s="153" t="s">
        <v>2018</v>
      </c>
      <c r="D987" s="153" t="s">
        <v>2019</v>
      </c>
      <c r="E987" s="153" t="s">
        <v>309</v>
      </c>
      <c r="F987" s="153" t="s">
        <v>2020</v>
      </c>
      <c r="G987" s="153" t="s">
        <v>2021</v>
      </c>
      <c r="H987" s="153" t="s">
        <v>321</v>
      </c>
      <c r="I987" s="153" t="s">
        <v>951</v>
      </c>
      <c r="J987" s="153" t="s">
        <v>204</v>
      </c>
      <c r="K987" s="153" t="s">
        <v>204</v>
      </c>
      <c r="L987" s="153" t="s">
        <v>325</v>
      </c>
      <c r="M987" s="153" t="s">
        <v>340</v>
      </c>
      <c r="N987" s="153" t="s">
        <v>451</v>
      </c>
      <c r="O987" s="153" t="s">
        <v>339</v>
      </c>
      <c r="P987" s="153" t="s">
        <v>1538</v>
      </c>
      <c r="Q987" s="153" t="s">
        <v>413</v>
      </c>
      <c r="R987" s="153" t="s">
        <v>407</v>
      </c>
      <c r="S987" s="153" t="s">
        <v>1212</v>
      </c>
      <c r="T987" s="154">
        <v>2.87</v>
      </c>
      <c r="U987" s="153" t="s">
        <v>2022</v>
      </c>
      <c r="V987" s="155">
        <v>4.8399999999999999E-2</v>
      </c>
      <c r="W987" s="155">
        <v>5.4899999999999997E-2</v>
      </c>
      <c r="X987" s="153" t="s">
        <v>412</v>
      </c>
      <c r="Y987" s="153" t="s">
        <v>339</v>
      </c>
      <c r="Z987" s="154">
        <v>80000</v>
      </c>
      <c r="AA987" s="154">
        <v>1</v>
      </c>
      <c r="AB987" s="154">
        <v>89.72</v>
      </c>
      <c r="AD987" s="154">
        <v>71.775999999999996</v>
      </c>
      <c r="AG987" s="157" t="s">
        <v>15</v>
      </c>
      <c r="AH987" s="155">
        <v>2.5999999999999998E-4</v>
      </c>
      <c r="AI987" s="155">
        <f t="shared" si="15"/>
        <v>2.2649568073059615E-3</v>
      </c>
      <c r="AJ987" s="155">
        <v>2.3501312131184897E-4</v>
      </c>
    </row>
    <row r="988" spans="1:36" s="160" customFormat="1">
      <c r="A988" s="153" t="s">
        <v>1213</v>
      </c>
      <c r="B988" s="160">
        <v>9300</v>
      </c>
      <c r="C988" s="153" t="s">
        <v>2463</v>
      </c>
      <c r="D988" s="153" t="s">
        <v>2464</v>
      </c>
      <c r="E988" s="153" t="s">
        <v>309</v>
      </c>
      <c r="F988" s="153" t="s">
        <v>2977</v>
      </c>
      <c r="G988" s="153" t="s">
        <v>2978</v>
      </c>
      <c r="H988" s="153" t="s">
        <v>321</v>
      </c>
      <c r="I988" s="153" t="s">
        <v>952</v>
      </c>
      <c r="J988" s="153" t="s">
        <v>204</v>
      </c>
      <c r="K988" s="153" t="s">
        <v>204</v>
      </c>
      <c r="L988" s="153" t="s">
        <v>325</v>
      </c>
      <c r="M988" s="153" t="s">
        <v>340</v>
      </c>
      <c r="N988" s="153" t="s">
        <v>465</v>
      </c>
      <c r="O988" s="153" t="s">
        <v>339</v>
      </c>
      <c r="P988" s="153" t="s">
        <v>1554</v>
      </c>
      <c r="Q988" s="153" t="s">
        <v>413</v>
      </c>
      <c r="R988" s="153" t="s">
        <v>407</v>
      </c>
      <c r="S988" s="153" t="s">
        <v>1212</v>
      </c>
      <c r="T988" s="154">
        <v>3.91</v>
      </c>
      <c r="U988" s="153" t="s">
        <v>1587</v>
      </c>
      <c r="V988" s="155">
        <v>6.3219999999999998E-2</v>
      </c>
      <c r="W988" s="155">
        <v>5.33E-2</v>
      </c>
      <c r="X988" s="153" t="s">
        <v>412</v>
      </c>
      <c r="Y988" s="153" t="s">
        <v>339</v>
      </c>
      <c r="Z988" s="154">
        <v>70000</v>
      </c>
      <c r="AA988" s="154">
        <v>1</v>
      </c>
      <c r="AB988" s="154">
        <v>102</v>
      </c>
      <c r="AD988" s="154">
        <v>71.400000000000006</v>
      </c>
      <c r="AG988" s="157" t="s">
        <v>15</v>
      </c>
      <c r="AH988" s="155">
        <v>1.2E-4</v>
      </c>
      <c r="AI988" s="155">
        <f t="shared" si="15"/>
        <v>2.2530917861352776E-3</v>
      </c>
      <c r="AJ988" s="155">
        <v>2.3378200041331392E-4</v>
      </c>
    </row>
    <row r="989" spans="1:36" s="160" customFormat="1">
      <c r="A989" s="153" t="s">
        <v>1213</v>
      </c>
      <c r="B989" s="160">
        <v>9300</v>
      </c>
      <c r="C989" s="153" t="s">
        <v>2576</v>
      </c>
      <c r="D989" s="153" t="s">
        <v>2577</v>
      </c>
      <c r="E989" s="153" t="s">
        <v>309</v>
      </c>
      <c r="F989" s="153" t="s">
        <v>2584</v>
      </c>
      <c r="G989" s="153" t="s">
        <v>2585</v>
      </c>
      <c r="H989" s="153" t="s">
        <v>321</v>
      </c>
      <c r="I989" s="153" t="s">
        <v>951</v>
      </c>
      <c r="J989" s="153" t="s">
        <v>204</v>
      </c>
      <c r="K989" s="153" t="s">
        <v>204</v>
      </c>
      <c r="L989" s="153" t="s">
        <v>325</v>
      </c>
      <c r="M989" s="153" t="s">
        <v>340</v>
      </c>
      <c r="N989" s="153" t="s">
        <v>451</v>
      </c>
      <c r="O989" s="153" t="s">
        <v>339</v>
      </c>
      <c r="P989" s="153" t="s">
        <v>1521</v>
      </c>
      <c r="Q989" s="153" t="s">
        <v>413</v>
      </c>
      <c r="R989" s="153" t="s">
        <v>407</v>
      </c>
      <c r="S989" s="153" t="s">
        <v>1212</v>
      </c>
      <c r="T989" s="154">
        <v>1.49</v>
      </c>
      <c r="U989" s="153" t="s">
        <v>1522</v>
      </c>
      <c r="V989" s="155">
        <v>4.9140000000000003E-2</v>
      </c>
      <c r="W989" s="155">
        <v>5.4399999999999997E-2</v>
      </c>
      <c r="X989" s="153" t="s">
        <v>412</v>
      </c>
      <c r="Y989" s="153" t="s">
        <v>339</v>
      </c>
      <c r="Z989" s="154">
        <v>73000.05</v>
      </c>
      <c r="AA989" s="154">
        <v>1</v>
      </c>
      <c r="AB989" s="154">
        <v>97.46</v>
      </c>
      <c r="AD989" s="154">
        <v>71.146000000000001</v>
      </c>
      <c r="AG989" s="157" t="s">
        <v>15</v>
      </c>
      <c r="AH989" s="155">
        <v>3.5E-4</v>
      </c>
      <c r="AI989" s="155">
        <f t="shared" si="15"/>
        <v>2.2450765856635913E-3</v>
      </c>
      <c r="AJ989" s="155">
        <v>2.3295033895526094E-4</v>
      </c>
    </row>
    <row r="990" spans="1:36" s="160" customFormat="1">
      <c r="A990" s="153" t="s">
        <v>1213</v>
      </c>
      <c r="B990" s="160">
        <v>9300</v>
      </c>
      <c r="C990" s="153" t="s">
        <v>1679</v>
      </c>
      <c r="D990" s="153" t="s">
        <v>1680</v>
      </c>
      <c r="E990" s="153" t="s">
        <v>309</v>
      </c>
      <c r="F990" s="153" t="s">
        <v>1681</v>
      </c>
      <c r="G990" s="153" t="s">
        <v>1682</v>
      </c>
      <c r="H990" s="153" t="s">
        <v>321</v>
      </c>
      <c r="I990" s="153" t="s">
        <v>951</v>
      </c>
      <c r="J990" s="153" t="s">
        <v>204</v>
      </c>
      <c r="K990" s="153" t="s">
        <v>204</v>
      </c>
      <c r="L990" s="153" t="s">
        <v>325</v>
      </c>
      <c r="M990" s="153" t="s">
        <v>340</v>
      </c>
      <c r="N990" s="153" t="s">
        <v>447</v>
      </c>
      <c r="O990" s="153" t="s">
        <v>339</v>
      </c>
      <c r="Q990" s="153" t="s">
        <v>410</v>
      </c>
      <c r="R990" s="153" t="s">
        <v>410</v>
      </c>
      <c r="S990" s="153" t="s">
        <v>1212</v>
      </c>
      <c r="T990" s="154">
        <v>2.0499999999999998</v>
      </c>
      <c r="U990" s="153" t="s">
        <v>1572</v>
      </c>
      <c r="V990" s="155">
        <v>7.3969999999999994E-2</v>
      </c>
      <c r="W990" s="155">
        <v>7.1099999999999997E-2</v>
      </c>
      <c r="X990" s="153" t="s">
        <v>412</v>
      </c>
      <c r="Y990" s="153" t="s">
        <v>339</v>
      </c>
      <c r="Z990" s="154">
        <v>67000</v>
      </c>
      <c r="AA990" s="154">
        <v>1</v>
      </c>
      <c r="AB990" s="154">
        <v>105.22</v>
      </c>
      <c r="AD990" s="154">
        <v>70.497</v>
      </c>
      <c r="AG990" s="157" t="s">
        <v>15</v>
      </c>
      <c r="AH990" s="155">
        <v>5.1999999999999995E-4</v>
      </c>
      <c r="AI990" s="155">
        <f t="shared" si="15"/>
        <v>2.2245968017812132E-3</v>
      </c>
      <c r="AJ990" s="155">
        <v>2.3082534570220432E-4</v>
      </c>
    </row>
    <row r="991" spans="1:36" s="160" customFormat="1">
      <c r="A991" s="153" t="s">
        <v>1213</v>
      </c>
      <c r="B991" s="160">
        <v>9300</v>
      </c>
      <c r="C991" s="153" t="s">
        <v>2441</v>
      </c>
      <c r="D991" s="153" t="s">
        <v>2442</v>
      </c>
      <c r="E991" s="153" t="s">
        <v>309</v>
      </c>
      <c r="F991" s="153" t="s">
        <v>2979</v>
      </c>
      <c r="G991" s="153" t="s">
        <v>2980</v>
      </c>
      <c r="H991" s="153" t="s">
        <v>321</v>
      </c>
      <c r="I991" s="153" t="s">
        <v>951</v>
      </c>
      <c r="J991" s="153" t="s">
        <v>204</v>
      </c>
      <c r="K991" s="153" t="s">
        <v>204</v>
      </c>
      <c r="L991" s="153" t="s">
        <v>325</v>
      </c>
      <c r="M991" s="153" t="s">
        <v>340</v>
      </c>
      <c r="N991" s="153" t="s">
        <v>462</v>
      </c>
      <c r="O991" s="153" t="s">
        <v>339</v>
      </c>
      <c r="P991" s="153" t="s">
        <v>1566</v>
      </c>
      <c r="Q991" s="153" t="s">
        <v>413</v>
      </c>
      <c r="R991" s="153" t="s">
        <v>407</v>
      </c>
      <c r="S991" s="153" t="s">
        <v>1212</v>
      </c>
      <c r="T991" s="154">
        <v>2.11</v>
      </c>
      <c r="U991" s="153" t="s">
        <v>2981</v>
      </c>
      <c r="V991" s="155">
        <v>4.6760000000000003E-2</v>
      </c>
      <c r="W991" s="155">
        <v>5.6899999999999999E-2</v>
      </c>
      <c r="X991" s="153" t="s">
        <v>412</v>
      </c>
      <c r="Y991" s="153" t="s">
        <v>339</v>
      </c>
      <c r="Z991" s="154">
        <v>74000.23</v>
      </c>
      <c r="AA991" s="154">
        <v>1</v>
      </c>
      <c r="AB991" s="154">
        <v>93.37</v>
      </c>
      <c r="AD991" s="154">
        <v>69.093999999999994</v>
      </c>
      <c r="AG991" s="157" t="s">
        <v>15</v>
      </c>
      <c r="AH991" s="155">
        <v>2.2000000000000001E-4</v>
      </c>
      <c r="AI991" s="155">
        <f t="shared" si="15"/>
        <v>2.1803238637427289E-3</v>
      </c>
      <c r="AJ991" s="155">
        <v>2.2623156213665978E-4</v>
      </c>
    </row>
    <row r="992" spans="1:36" s="160" customFormat="1">
      <c r="A992" s="153" t="s">
        <v>1213</v>
      </c>
      <c r="B992" s="160">
        <v>9300</v>
      </c>
      <c r="C992" s="153" t="s">
        <v>1917</v>
      </c>
      <c r="D992" s="153" t="s">
        <v>1918</v>
      </c>
      <c r="E992" s="153" t="s">
        <v>309</v>
      </c>
      <c r="F992" s="153" t="s">
        <v>2799</v>
      </c>
      <c r="G992" s="153" t="s">
        <v>2800</v>
      </c>
      <c r="H992" s="153" t="s">
        <v>321</v>
      </c>
      <c r="I992" s="153" t="s">
        <v>951</v>
      </c>
      <c r="J992" s="153" t="s">
        <v>204</v>
      </c>
      <c r="K992" s="153" t="s">
        <v>204</v>
      </c>
      <c r="L992" s="153" t="s">
        <v>325</v>
      </c>
      <c r="M992" s="153" t="s">
        <v>340</v>
      </c>
      <c r="N992" s="153" t="s">
        <v>447</v>
      </c>
      <c r="O992" s="153" t="s">
        <v>339</v>
      </c>
      <c r="P992" s="153" t="s">
        <v>1560</v>
      </c>
      <c r="Q992" s="153" t="s">
        <v>413</v>
      </c>
      <c r="R992" s="153" t="s">
        <v>407</v>
      </c>
      <c r="S992" s="153" t="s">
        <v>1212</v>
      </c>
      <c r="T992" s="154">
        <v>0.6</v>
      </c>
      <c r="U992" s="153" t="s">
        <v>2801</v>
      </c>
      <c r="V992" s="155">
        <v>5.672E-2</v>
      </c>
      <c r="W992" s="155">
        <v>6.13E-2</v>
      </c>
      <c r="X992" s="153" t="s">
        <v>412</v>
      </c>
      <c r="Y992" s="153" t="s">
        <v>339</v>
      </c>
      <c r="Z992" s="154">
        <v>66000</v>
      </c>
      <c r="AA992" s="154">
        <v>1</v>
      </c>
      <c r="AB992" s="154">
        <v>100.56</v>
      </c>
      <c r="AD992" s="154">
        <v>66.37</v>
      </c>
      <c r="AG992" s="157" t="s">
        <v>15</v>
      </c>
      <c r="AH992" s="155">
        <v>5.5000000000000003E-4</v>
      </c>
      <c r="AI992" s="155">
        <f t="shared" si="15"/>
        <v>2.094365572070005E-3</v>
      </c>
      <c r="AJ992" s="155">
        <v>2.1731248413769808E-4</v>
      </c>
    </row>
    <row r="993" spans="1:36" s="160" customFormat="1">
      <c r="A993" s="153" t="s">
        <v>1213</v>
      </c>
      <c r="B993" s="160">
        <v>9300</v>
      </c>
      <c r="C993" s="153" t="s">
        <v>1573</v>
      </c>
      <c r="D993" s="153" t="s">
        <v>1574</v>
      </c>
      <c r="E993" s="153" t="s">
        <v>309</v>
      </c>
      <c r="F993" s="153" t="s">
        <v>2982</v>
      </c>
      <c r="G993" s="153" t="s">
        <v>2983</v>
      </c>
      <c r="H993" s="153" t="s">
        <v>321</v>
      </c>
      <c r="I993" s="153" t="s">
        <v>951</v>
      </c>
      <c r="J993" s="153" t="s">
        <v>204</v>
      </c>
      <c r="K993" s="153" t="s">
        <v>204</v>
      </c>
      <c r="L993" s="153" t="s">
        <v>325</v>
      </c>
      <c r="M993" s="153" t="s">
        <v>340</v>
      </c>
      <c r="N993" s="153" t="s">
        <v>448</v>
      </c>
      <c r="O993" s="153" t="s">
        <v>339</v>
      </c>
      <c r="P993" s="153" t="s">
        <v>1211</v>
      </c>
      <c r="Q993" s="153" t="s">
        <v>415</v>
      </c>
      <c r="R993" s="153" t="s">
        <v>407</v>
      </c>
      <c r="S993" s="153" t="s">
        <v>1212</v>
      </c>
      <c r="T993" s="154">
        <v>0.94</v>
      </c>
      <c r="U993" s="153" t="s">
        <v>2918</v>
      </c>
      <c r="V993" s="155">
        <v>5.0000000000000001E-4</v>
      </c>
      <c r="W993" s="155">
        <v>4.6399999999999997E-2</v>
      </c>
      <c r="X993" s="153" t="s">
        <v>412</v>
      </c>
      <c r="Y993" s="153" t="s">
        <v>339</v>
      </c>
      <c r="Z993" s="154">
        <v>6600</v>
      </c>
      <c r="AA993" s="154">
        <v>1</v>
      </c>
      <c r="AB993" s="154">
        <v>1001.9</v>
      </c>
      <c r="AD993" s="154">
        <v>66.125</v>
      </c>
      <c r="AG993" s="157" t="s">
        <v>15</v>
      </c>
      <c r="AH993" s="155">
        <v>0</v>
      </c>
      <c r="AI993" s="155">
        <f t="shared" si="15"/>
        <v>2.0866343747646386E-3</v>
      </c>
      <c r="AJ993" s="155">
        <v>2.1651029099902495E-4</v>
      </c>
    </row>
    <row r="994" spans="1:36" s="160" customFormat="1">
      <c r="A994" s="153" t="s">
        <v>1213</v>
      </c>
      <c r="B994" s="160">
        <v>9300</v>
      </c>
      <c r="C994" s="153" t="s">
        <v>1825</v>
      </c>
      <c r="D994" s="153" t="s">
        <v>1826</v>
      </c>
      <c r="E994" s="153" t="s">
        <v>309</v>
      </c>
      <c r="F994" s="153" t="s">
        <v>2787</v>
      </c>
      <c r="G994" s="153" t="s">
        <v>2788</v>
      </c>
      <c r="H994" s="153" t="s">
        <v>321</v>
      </c>
      <c r="I994" s="153" t="s">
        <v>951</v>
      </c>
      <c r="J994" s="153" t="s">
        <v>204</v>
      </c>
      <c r="K994" s="153" t="s">
        <v>204</v>
      </c>
      <c r="L994" s="153" t="s">
        <v>325</v>
      </c>
      <c r="M994" s="153" t="s">
        <v>340</v>
      </c>
      <c r="N994" s="153" t="s">
        <v>441</v>
      </c>
      <c r="O994" s="153" t="s">
        <v>339</v>
      </c>
      <c r="Q994" s="153" t="s">
        <v>410</v>
      </c>
      <c r="R994" s="153" t="s">
        <v>410</v>
      </c>
      <c r="S994" s="153" t="s">
        <v>1212</v>
      </c>
      <c r="T994" s="154">
        <v>2.76</v>
      </c>
      <c r="U994" s="153" t="s">
        <v>1669</v>
      </c>
      <c r="V994" s="155">
        <v>5.1549999999999999E-2</v>
      </c>
      <c r="W994" s="155">
        <v>5.9299999999999999E-2</v>
      </c>
      <c r="X994" s="153" t="s">
        <v>412</v>
      </c>
      <c r="Y994" s="153" t="s">
        <v>339</v>
      </c>
      <c r="Z994" s="154">
        <v>63000</v>
      </c>
      <c r="AA994" s="154">
        <v>1</v>
      </c>
      <c r="AB994" s="154">
        <v>100.56</v>
      </c>
      <c r="AD994" s="154">
        <v>63.353000000000002</v>
      </c>
      <c r="AG994" s="157" t="s">
        <v>15</v>
      </c>
      <c r="AH994" s="155">
        <v>2.9E-4</v>
      </c>
      <c r="AI994" s="155">
        <f t="shared" si="15"/>
        <v>1.9991613995382104E-3</v>
      </c>
      <c r="AJ994" s="155">
        <v>2.0743404863003746E-4</v>
      </c>
    </row>
    <row r="995" spans="1:36" s="160" customFormat="1">
      <c r="A995" s="153" t="s">
        <v>1213</v>
      </c>
      <c r="B995" s="160">
        <v>9300</v>
      </c>
      <c r="C995" s="153" t="s">
        <v>2984</v>
      </c>
      <c r="D995" s="153" t="s">
        <v>2985</v>
      </c>
      <c r="E995" s="153" t="s">
        <v>309</v>
      </c>
      <c r="F995" s="153" t="s">
        <v>2986</v>
      </c>
      <c r="G995" s="153" t="s">
        <v>2987</v>
      </c>
      <c r="H995" s="153" t="s">
        <v>321</v>
      </c>
      <c r="I995" s="153" t="s">
        <v>952</v>
      </c>
      <c r="J995" s="153" t="s">
        <v>204</v>
      </c>
      <c r="K995" s="153" t="s">
        <v>204</v>
      </c>
      <c r="L995" s="153" t="s">
        <v>325</v>
      </c>
      <c r="M995" s="153" t="s">
        <v>340</v>
      </c>
      <c r="N995" s="153" t="s">
        <v>478</v>
      </c>
      <c r="O995" s="153" t="s">
        <v>339</v>
      </c>
      <c r="P995" s="153" t="s">
        <v>1544</v>
      </c>
      <c r="Q995" s="153" t="s">
        <v>415</v>
      </c>
      <c r="R995" s="153" t="s">
        <v>407</v>
      </c>
      <c r="S995" s="153" t="s">
        <v>1212</v>
      </c>
      <c r="T995" s="154">
        <v>1.23</v>
      </c>
      <c r="U995" s="153" t="s">
        <v>1833</v>
      </c>
      <c r="V995" s="155">
        <v>5.9389999999999998E-2</v>
      </c>
      <c r="W995" s="155">
        <v>5.6899999999999999E-2</v>
      </c>
      <c r="X995" s="153" t="s">
        <v>412</v>
      </c>
      <c r="Y995" s="153" t="s">
        <v>339</v>
      </c>
      <c r="Z995" s="154">
        <v>65224.67</v>
      </c>
      <c r="AA995" s="154">
        <v>1</v>
      </c>
      <c r="AB995" s="154">
        <v>95.5</v>
      </c>
      <c r="AD995" s="154">
        <v>62.29</v>
      </c>
      <c r="AG995" s="157" t="s">
        <v>15</v>
      </c>
      <c r="AH995" s="155">
        <v>1.91E-3</v>
      </c>
      <c r="AI995" s="155">
        <f t="shared" si="15"/>
        <v>1.9656174700051318E-3</v>
      </c>
      <c r="AJ995" s="155">
        <v>2.039535126855087E-4</v>
      </c>
    </row>
    <row r="996" spans="1:36" s="160" customFormat="1">
      <c r="A996" s="153" t="s">
        <v>1213</v>
      </c>
      <c r="B996" s="160">
        <v>9300</v>
      </c>
      <c r="C996" s="153" t="s">
        <v>455</v>
      </c>
      <c r="D996" s="153" t="s">
        <v>2106</v>
      </c>
      <c r="E996" s="153" t="s">
        <v>309</v>
      </c>
      <c r="F996" s="153" t="s">
        <v>2107</v>
      </c>
      <c r="G996" s="153" t="s">
        <v>2108</v>
      </c>
      <c r="H996" s="153" t="s">
        <v>321</v>
      </c>
      <c r="I996" s="153" t="s">
        <v>754</v>
      </c>
      <c r="J996" s="153" t="s">
        <v>204</v>
      </c>
      <c r="K996" s="153" t="s">
        <v>204</v>
      </c>
      <c r="L996" s="153" t="s">
        <v>325</v>
      </c>
      <c r="M996" s="153" t="s">
        <v>340</v>
      </c>
      <c r="N996" s="153" t="s">
        <v>440</v>
      </c>
      <c r="O996" s="153" t="s">
        <v>339</v>
      </c>
      <c r="P996" s="153" t="s">
        <v>1923</v>
      </c>
      <c r="Q996" s="153" t="s">
        <v>415</v>
      </c>
      <c r="R996" s="153" t="s">
        <v>407</v>
      </c>
      <c r="S996" s="153" t="s">
        <v>1212</v>
      </c>
      <c r="T996" s="154">
        <v>10.4</v>
      </c>
      <c r="U996" s="153" t="s">
        <v>2109</v>
      </c>
      <c r="V996" s="155">
        <v>2.3980000000000001E-2</v>
      </c>
      <c r="W996" s="155">
        <v>3.4799999999999998E-2</v>
      </c>
      <c r="X996" s="153" t="s">
        <v>412</v>
      </c>
      <c r="Y996" s="153" t="s">
        <v>339</v>
      </c>
      <c r="Z996" s="154">
        <v>60000</v>
      </c>
      <c r="AA996" s="154">
        <v>1</v>
      </c>
      <c r="AB996" s="154">
        <v>102.97</v>
      </c>
      <c r="AD996" s="154">
        <v>61.781999999999996</v>
      </c>
      <c r="AG996" s="157" t="s">
        <v>15</v>
      </c>
      <c r="AH996" s="155">
        <v>1.0000000000000001E-5</v>
      </c>
      <c r="AI996" s="155">
        <f t="shared" si="15"/>
        <v>1.9495870690617602E-3</v>
      </c>
      <c r="AJ996" s="155">
        <v>2.0229018976940276E-4</v>
      </c>
    </row>
    <row r="997" spans="1:36" s="160" customFormat="1">
      <c r="A997" s="153" t="s">
        <v>1213</v>
      </c>
      <c r="B997" s="160">
        <v>9300</v>
      </c>
      <c r="C997" s="153" t="s">
        <v>1674</v>
      </c>
      <c r="D997" s="153" t="s">
        <v>1675</v>
      </c>
      <c r="E997" s="153" t="s">
        <v>309</v>
      </c>
      <c r="F997" s="153" t="s">
        <v>2312</v>
      </c>
      <c r="G997" s="153" t="s">
        <v>2313</v>
      </c>
      <c r="H997" s="153" t="s">
        <v>321</v>
      </c>
      <c r="I997" s="153" t="s">
        <v>754</v>
      </c>
      <c r="J997" s="153" t="s">
        <v>204</v>
      </c>
      <c r="K997" s="153" t="s">
        <v>204</v>
      </c>
      <c r="L997" s="153" t="s">
        <v>325</v>
      </c>
      <c r="M997" s="153" t="s">
        <v>340</v>
      </c>
      <c r="N997" s="153" t="s">
        <v>464</v>
      </c>
      <c r="O997" s="153" t="s">
        <v>339</v>
      </c>
      <c r="P997" s="153" t="s">
        <v>1538</v>
      </c>
      <c r="Q997" s="153" t="s">
        <v>413</v>
      </c>
      <c r="R997" s="153" t="s">
        <v>407</v>
      </c>
      <c r="S997" s="153" t="s">
        <v>1212</v>
      </c>
      <c r="T997" s="154">
        <v>2.89</v>
      </c>
      <c r="U997" s="153" t="s">
        <v>2314</v>
      </c>
      <c r="V997" s="155">
        <v>2.8000000000000001E-2</v>
      </c>
      <c r="W997" s="155">
        <v>2.5499999999999998E-2</v>
      </c>
      <c r="X997" s="153" t="s">
        <v>412</v>
      </c>
      <c r="Y997" s="153" t="s">
        <v>339</v>
      </c>
      <c r="Z997" s="154">
        <v>53418.5</v>
      </c>
      <c r="AA997" s="154">
        <v>1</v>
      </c>
      <c r="AB997" s="154">
        <v>113.8</v>
      </c>
      <c r="AD997" s="154">
        <v>60.79</v>
      </c>
      <c r="AG997" s="157" t="s">
        <v>15</v>
      </c>
      <c r="AH997" s="155">
        <v>1.1E-4</v>
      </c>
      <c r="AI997" s="155">
        <f t="shared" si="15"/>
        <v>1.9182836089518696E-3</v>
      </c>
      <c r="AJ997" s="155">
        <v>1.990421261222038E-4</v>
      </c>
    </row>
    <row r="998" spans="1:36" s="160" customFormat="1">
      <c r="A998" s="153" t="s">
        <v>1213</v>
      </c>
      <c r="B998" s="160">
        <v>9300</v>
      </c>
      <c r="C998" s="153" t="s">
        <v>2988</v>
      </c>
      <c r="D998" s="153" t="s">
        <v>2989</v>
      </c>
      <c r="E998" s="153" t="s">
        <v>309</v>
      </c>
      <c r="F998" s="153" t="s">
        <v>2990</v>
      </c>
      <c r="G998" s="153" t="s">
        <v>2991</v>
      </c>
      <c r="H998" s="153" t="s">
        <v>321</v>
      </c>
      <c r="I998" s="153" t="s">
        <v>951</v>
      </c>
      <c r="J998" s="153" t="s">
        <v>204</v>
      </c>
      <c r="K998" s="153" t="s">
        <v>204</v>
      </c>
      <c r="L998" s="153" t="s">
        <v>325</v>
      </c>
      <c r="M998" s="153" t="s">
        <v>340</v>
      </c>
      <c r="N998" s="153" t="s">
        <v>445</v>
      </c>
      <c r="O998" s="153" t="s">
        <v>339</v>
      </c>
      <c r="P998" s="153" t="s">
        <v>1614</v>
      </c>
      <c r="Q998" s="153" t="s">
        <v>415</v>
      </c>
      <c r="R998" s="153" t="s">
        <v>407</v>
      </c>
      <c r="S998" s="153" t="s">
        <v>1212</v>
      </c>
      <c r="T998" s="154">
        <v>1.1000000000000001</v>
      </c>
      <c r="U998" s="153" t="s">
        <v>2992</v>
      </c>
      <c r="V998" s="155">
        <v>5.4559999999999997E-2</v>
      </c>
      <c r="W998" s="155">
        <v>5.5399999999999998E-2</v>
      </c>
      <c r="X998" s="153" t="s">
        <v>412</v>
      </c>
      <c r="Y998" s="153" t="s">
        <v>339</v>
      </c>
      <c r="Z998" s="154">
        <v>61000</v>
      </c>
      <c r="AA998" s="154">
        <v>1</v>
      </c>
      <c r="AB998" s="154">
        <v>98.85</v>
      </c>
      <c r="AD998" s="154">
        <v>60.298999999999999</v>
      </c>
      <c r="AG998" s="157" t="s">
        <v>15</v>
      </c>
      <c r="AH998" s="155">
        <v>1.9000000000000001E-4</v>
      </c>
      <c r="AI998" s="155">
        <f t="shared" si="15"/>
        <v>1.9027896584337687E-3</v>
      </c>
      <c r="AJ998" s="155">
        <v>1.9743446558714866E-4</v>
      </c>
    </row>
    <row r="999" spans="1:36" s="160" customFormat="1">
      <c r="A999" s="153" t="s">
        <v>1213</v>
      </c>
      <c r="B999" s="160">
        <v>9300</v>
      </c>
      <c r="C999" s="153" t="s">
        <v>2993</v>
      </c>
      <c r="D999" s="153" t="s">
        <v>2994</v>
      </c>
      <c r="E999" s="153" t="s">
        <v>309</v>
      </c>
      <c r="F999" s="153" t="s">
        <v>2995</v>
      </c>
      <c r="G999" s="153" t="s">
        <v>2996</v>
      </c>
      <c r="H999" s="153" t="s">
        <v>321</v>
      </c>
      <c r="I999" s="153" t="s">
        <v>755</v>
      </c>
      <c r="J999" s="153" t="s">
        <v>204</v>
      </c>
      <c r="K999" s="153" t="s">
        <v>204</v>
      </c>
      <c r="L999" s="153" t="s">
        <v>325</v>
      </c>
      <c r="M999" s="153" t="s">
        <v>340</v>
      </c>
      <c r="N999" s="153" t="s">
        <v>454</v>
      </c>
      <c r="O999" s="153" t="s">
        <v>339</v>
      </c>
      <c r="P999" s="153" t="s">
        <v>1982</v>
      </c>
      <c r="Q999" s="153" t="s">
        <v>415</v>
      </c>
      <c r="R999" s="153" t="s">
        <v>407</v>
      </c>
      <c r="S999" s="153" t="s">
        <v>1212</v>
      </c>
      <c r="T999" s="154">
        <v>2.74</v>
      </c>
      <c r="U999" s="153" t="s">
        <v>2377</v>
      </c>
      <c r="V999" s="155">
        <v>5.1119999999999999E-2</v>
      </c>
      <c r="W999" s="155">
        <v>7.0000000000000007E-2</v>
      </c>
      <c r="X999" s="153" t="s">
        <v>412</v>
      </c>
      <c r="Y999" s="153" t="s">
        <v>339</v>
      </c>
      <c r="Z999" s="154">
        <v>57749.21</v>
      </c>
      <c r="AA999" s="154">
        <v>1</v>
      </c>
      <c r="AB999" s="154">
        <v>101.15</v>
      </c>
      <c r="AD999" s="154">
        <v>58.412999999999997</v>
      </c>
      <c r="AG999" s="157" t="s">
        <v>15</v>
      </c>
      <c r="AH999" s="155">
        <v>2.2000000000000001E-4</v>
      </c>
      <c r="AI999" s="155">
        <f t="shared" si="15"/>
        <v>1.8432752171361336E-3</v>
      </c>
      <c r="AJ999" s="155">
        <v>1.9125921554821994E-4</v>
      </c>
    </row>
    <row r="1000" spans="1:36" s="160" customFormat="1">
      <c r="A1000" s="153" t="s">
        <v>1213</v>
      </c>
      <c r="B1000" s="160">
        <v>9300</v>
      </c>
      <c r="C1000" s="153" t="s">
        <v>2638</v>
      </c>
      <c r="D1000" s="153" t="s">
        <v>2639</v>
      </c>
      <c r="E1000" s="153" t="s">
        <v>311</v>
      </c>
      <c r="F1000" s="153" t="s">
        <v>2640</v>
      </c>
      <c r="G1000" s="153" t="s">
        <v>2641</v>
      </c>
      <c r="H1000" s="153" t="s">
        <v>321</v>
      </c>
      <c r="I1000" s="153" t="s">
        <v>755</v>
      </c>
      <c r="J1000" s="153" t="s">
        <v>204</v>
      </c>
      <c r="K1000" s="153" t="s">
        <v>204</v>
      </c>
      <c r="L1000" s="153" t="s">
        <v>325</v>
      </c>
      <c r="M1000" s="153" t="s">
        <v>340</v>
      </c>
      <c r="N1000" s="153" t="s">
        <v>465</v>
      </c>
      <c r="O1000" s="153" t="s">
        <v>339</v>
      </c>
      <c r="P1000" s="153" t="s">
        <v>1982</v>
      </c>
      <c r="Q1000" s="153" t="s">
        <v>415</v>
      </c>
      <c r="R1000" s="153" t="s">
        <v>407</v>
      </c>
      <c r="S1000" s="153" t="s">
        <v>1212</v>
      </c>
      <c r="T1000" s="154">
        <v>2.91</v>
      </c>
      <c r="U1000" s="153" t="s">
        <v>1664</v>
      </c>
      <c r="V1000" s="155">
        <v>4.7960000000000003E-2</v>
      </c>
      <c r="W1000" s="155">
        <v>0.10150000000000001</v>
      </c>
      <c r="X1000" s="153" t="s">
        <v>412</v>
      </c>
      <c r="Y1000" s="153" t="s">
        <v>339</v>
      </c>
      <c r="Z1000" s="154">
        <v>64666.559999999998</v>
      </c>
      <c r="AA1000" s="154">
        <v>1</v>
      </c>
      <c r="AB1000" s="154">
        <v>89.69</v>
      </c>
      <c r="AD1000" s="154">
        <v>57.999000000000002</v>
      </c>
      <c r="AG1000" s="157" t="s">
        <v>15</v>
      </c>
      <c r="AH1000" s="155">
        <v>6.0000000000000002E-5</v>
      </c>
      <c r="AI1000" s="155">
        <f t="shared" si="15"/>
        <v>1.8302110714854334E-3</v>
      </c>
      <c r="AJ1000" s="155">
        <v>1.899036728567478E-4</v>
      </c>
    </row>
    <row r="1001" spans="1:36" s="160" customFormat="1">
      <c r="A1001" s="153" t="s">
        <v>1213</v>
      </c>
      <c r="B1001" s="160">
        <v>9300</v>
      </c>
      <c r="C1001" s="153" t="s">
        <v>2445</v>
      </c>
      <c r="D1001" s="153" t="s">
        <v>2446</v>
      </c>
      <c r="E1001" s="153" t="s">
        <v>309</v>
      </c>
      <c r="F1001" s="153" t="s">
        <v>2447</v>
      </c>
      <c r="G1001" s="153" t="s">
        <v>2448</v>
      </c>
      <c r="H1001" s="153" t="s">
        <v>321</v>
      </c>
      <c r="I1001" s="153" t="s">
        <v>951</v>
      </c>
      <c r="J1001" s="153" t="s">
        <v>204</v>
      </c>
      <c r="K1001" s="153" t="s">
        <v>204</v>
      </c>
      <c r="L1001" s="153" t="s">
        <v>325</v>
      </c>
      <c r="M1001" s="153" t="s">
        <v>340</v>
      </c>
      <c r="N1001" s="153" t="s">
        <v>440</v>
      </c>
      <c r="O1001" s="153" t="s">
        <v>339</v>
      </c>
      <c r="P1001" s="153" t="s">
        <v>1614</v>
      </c>
      <c r="Q1001" s="153" t="s">
        <v>415</v>
      </c>
      <c r="R1001" s="153" t="s">
        <v>407</v>
      </c>
      <c r="S1001" s="153" t="s">
        <v>1212</v>
      </c>
      <c r="T1001" s="154">
        <v>1.92</v>
      </c>
      <c r="U1001" s="153" t="s">
        <v>1370</v>
      </c>
      <c r="V1001" s="155">
        <v>5.9249999999999997E-2</v>
      </c>
      <c r="W1001" s="155">
        <v>5.7599999999999998E-2</v>
      </c>
      <c r="X1001" s="153" t="s">
        <v>412</v>
      </c>
      <c r="Y1001" s="153" t="s">
        <v>339</v>
      </c>
      <c r="Z1001" s="154">
        <v>60000</v>
      </c>
      <c r="AA1001" s="154">
        <v>1</v>
      </c>
      <c r="AB1001" s="154">
        <v>95.6</v>
      </c>
      <c r="AD1001" s="154">
        <v>57.36</v>
      </c>
      <c r="AG1001" s="157" t="s">
        <v>15</v>
      </c>
      <c r="AH1001" s="155">
        <v>8.0000000000000007E-5</v>
      </c>
      <c r="AI1001" s="155">
        <f t="shared" si="15"/>
        <v>1.8100468466767437E-3</v>
      </c>
      <c r="AJ1001" s="155">
        <v>1.8781142218077989E-4</v>
      </c>
    </row>
    <row r="1002" spans="1:36" s="160" customFormat="1">
      <c r="A1002" s="153" t="s">
        <v>1213</v>
      </c>
      <c r="B1002" s="160">
        <v>9300</v>
      </c>
      <c r="C1002" s="153" t="s">
        <v>2824</v>
      </c>
      <c r="D1002" s="153" t="s">
        <v>2825</v>
      </c>
      <c r="E1002" s="153" t="s">
        <v>309</v>
      </c>
      <c r="F1002" s="153" t="s">
        <v>2997</v>
      </c>
      <c r="G1002" s="153" t="s">
        <v>2998</v>
      </c>
      <c r="H1002" s="153" t="s">
        <v>321</v>
      </c>
      <c r="I1002" s="153" t="s">
        <v>951</v>
      </c>
      <c r="J1002" s="153" t="s">
        <v>204</v>
      </c>
      <c r="K1002" s="153" t="s">
        <v>204</v>
      </c>
      <c r="L1002" s="159" t="s">
        <v>325</v>
      </c>
      <c r="M1002" s="153" t="s">
        <v>340</v>
      </c>
      <c r="N1002" s="153" t="s">
        <v>463</v>
      </c>
      <c r="O1002" s="153" t="s">
        <v>339</v>
      </c>
      <c r="P1002" s="153" t="s">
        <v>1521</v>
      </c>
      <c r="Q1002" s="153" t="s">
        <v>413</v>
      </c>
      <c r="R1002" s="153" t="s">
        <v>407</v>
      </c>
      <c r="S1002" s="153" t="s">
        <v>1212</v>
      </c>
      <c r="T1002" s="154">
        <v>1</v>
      </c>
      <c r="U1002" s="153" t="s">
        <v>2999</v>
      </c>
      <c r="V1002" s="155">
        <v>5.7540000000000001E-2</v>
      </c>
      <c r="W1002" s="155">
        <v>5.7299999999999997E-2</v>
      </c>
      <c r="X1002" s="177"/>
      <c r="Y1002" s="177"/>
      <c r="Z1002" s="154">
        <v>36000</v>
      </c>
      <c r="AA1002" s="154">
        <v>1</v>
      </c>
      <c r="AB1002" s="154">
        <v>97.76</v>
      </c>
      <c r="AC1002" s="154">
        <v>21.704000000000001</v>
      </c>
      <c r="AD1002" s="154">
        <v>56.896999999999998</v>
      </c>
      <c r="AG1002" s="157" t="s">
        <v>15</v>
      </c>
      <c r="AH1002" s="155">
        <v>5.1999999999999995E-4</v>
      </c>
      <c r="AI1002" s="155">
        <f t="shared" si="15"/>
        <v>1.7954364615649701E-3</v>
      </c>
      <c r="AJ1002" s="155">
        <v>1.8629544086157311E-4</v>
      </c>
    </row>
    <row r="1003" spans="1:36" s="160" customFormat="1">
      <c r="A1003" s="153" t="s">
        <v>1213</v>
      </c>
      <c r="B1003" s="160">
        <v>9300</v>
      </c>
      <c r="C1003" s="153" t="s">
        <v>1687</v>
      </c>
      <c r="D1003" s="153" t="s">
        <v>1688</v>
      </c>
      <c r="E1003" s="153" t="s">
        <v>309</v>
      </c>
      <c r="F1003" s="153" t="s">
        <v>3000</v>
      </c>
      <c r="G1003" s="153" t="s">
        <v>3001</v>
      </c>
      <c r="H1003" s="153" t="s">
        <v>321</v>
      </c>
      <c r="I1003" s="153" t="s">
        <v>754</v>
      </c>
      <c r="J1003" s="153" t="s">
        <v>204</v>
      </c>
      <c r="K1003" s="153" t="s">
        <v>204</v>
      </c>
      <c r="L1003" s="153" t="s">
        <v>325</v>
      </c>
      <c r="M1003" s="153" t="s">
        <v>340</v>
      </c>
      <c r="N1003" s="153" t="s">
        <v>465</v>
      </c>
      <c r="O1003" s="153" t="s">
        <v>339</v>
      </c>
      <c r="P1003" s="153" t="s">
        <v>1614</v>
      </c>
      <c r="Q1003" s="153" t="s">
        <v>415</v>
      </c>
      <c r="R1003" s="153" t="s">
        <v>407</v>
      </c>
      <c r="S1003" s="153" t="s">
        <v>1212</v>
      </c>
      <c r="T1003" s="154">
        <v>0.74</v>
      </c>
      <c r="U1003" s="153" t="s">
        <v>1848</v>
      </c>
      <c r="V1003" s="155">
        <v>3.1370000000000002E-2</v>
      </c>
      <c r="W1003" s="155">
        <v>2.6499999999999999E-2</v>
      </c>
      <c r="X1003" s="153" t="s">
        <v>412</v>
      </c>
      <c r="Y1003" s="153" t="s">
        <v>339</v>
      </c>
      <c r="Z1003" s="154">
        <v>48000</v>
      </c>
      <c r="AA1003" s="154">
        <v>1</v>
      </c>
      <c r="AB1003" s="154">
        <v>114.5</v>
      </c>
      <c r="AD1003" s="154">
        <v>54.96</v>
      </c>
      <c r="AG1003" s="157" t="s">
        <v>15</v>
      </c>
      <c r="AH1003" s="155">
        <v>2.1000000000000001E-4</v>
      </c>
      <c r="AI1003" s="155">
        <f t="shared" si="15"/>
        <v>1.7343126689915243E-3</v>
      </c>
      <c r="AJ1003" s="155">
        <v>1.7995320367949203E-4</v>
      </c>
    </row>
    <row r="1004" spans="1:36" s="160" customFormat="1">
      <c r="A1004" s="153" t="s">
        <v>1213</v>
      </c>
      <c r="B1004" s="160">
        <v>9300</v>
      </c>
      <c r="C1004" s="153" t="s">
        <v>1683</v>
      </c>
      <c r="D1004" s="153" t="s">
        <v>1684</v>
      </c>
      <c r="E1004" s="153" t="s">
        <v>309</v>
      </c>
      <c r="F1004" s="153" t="s">
        <v>1685</v>
      </c>
      <c r="G1004" s="153" t="s">
        <v>1686</v>
      </c>
      <c r="H1004" s="153" t="s">
        <v>321</v>
      </c>
      <c r="I1004" s="153" t="s">
        <v>754</v>
      </c>
      <c r="J1004" s="153" t="s">
        <v>204</v>
      </c>
      <c r="K1004" s="153" t="s">
        <v>204</v>
      </c>
      <c r="L1004" s="153" t="s">
        <v>325</v>
      </c>
      <c r="M1004" s="153" t="s">
        <v>340</v>
      </c>
      <c r="N1004" s="153" t="s">
        <v>441</v>
      </c>
      <c r="O1004" s="153" t="s">
        <v>339</v>
      </c>
      <c r="Q1004" s="153" t="s">
        <v>410</v>
      </c>
      <c r="R1004" s="153" t="s">
        <v>410</v>
      </c>
      <c r="S1004" s="153" t="s">
        <v>1212</v>
      </c>
      <c r="T1004" s="154">
        <v>2.4900000000000002</v>
      </c>
      <c r="U1004" s="153" t="s">
        <v>1528</v>
      </c>
      <c r="V1004" s="155">
        <v>4.4429999999999997E-2</v>
      </c>
      <c r="W1004" s="155">
        <v>3.1399999999999997E-2</v>
      </c>
      <c r="X1004" s="153" t="s">
        <v>412</v>
      </c>
      <c r="Y1004" s="153" t="s">
        <v>339</v>
      </c>
      <c r="Z1004" s="154">
        <v>50000.57</v>
      </c>
      <c r="AA1004" s="154">
        <v>1</v>
      </c>
      <c r="AB1004" s="154">
        <v>109.1</v>
      </c>
      <c r="AD1004" s="154">
        <v>54.551000000000002</v>
      </c>
      <c r="AG1004" s="157" t="s">
        <v>15</v>
      </c>
      <c r="AH1004" s="155">
        <v>6.9999999999999994E-5</v>
      </c>
      <c r="AI1004" s="155">
        <f t="shared" si="15"/>
        <v>1.7214063028776682E-3</v>
      </c>
      <c r="AJ1004" s="155">
        <v>1.7861403227656424E-4</v>
      </c>
    </row>
    <row r="1005" spans="1:36" s="160" customFormat="1">
      <c r="A1005" s="153" t="s">
        <v>1213</v>
      </c>
      <c r="B1005" s="160">
        <v>9300</v>
      </c>
      <c r="C1005" s="153" t="s">
        <v>2408</v>
      </c>
      <c r="D1005" s="153" t="s">
        <v>2409</v>
      </c>
      <c r="E1005" s="153" t="s">
        <v>309</v>
      </c>
      <c r="F1005" s="153" t="s">
        <v>2410</v>
      </c>
      <c r="G1005" s="153" t="s">
        <v>2411</v>
      </c>
      <c r="H1005" s="153" t="s">
        <v>321</v>
      </c>
      <c r="I1005" s="153" t="s">
        <v>951</v>
      </c>
      <c r="J1005" s="153" t="s">
        <v>204</v>
      </c>
      <c r="K1005" s="153" t="s">
        <v>204</v>
      </c>
      <c r="L1005" s="153" t="s">
        <v>325</v>
      </c>
      <c r="M1005" s="153" t="s">
        <v>340</v>
      </c>
      <c r="N1005" s="153" t="s">
        <v>451</v>
      </c>
      <c r="O1005" s="153" t="s">
        <v>339</v>
      </c>
      <c r="P1005" s="153" t="s">
        <v>1521</v>
      </c>
      <c r="Q1005" s="153" t="s">
        <v>413</v>
      </c>
      <c r="R1005" s="153" t="s">
        <v>407</v>
      </c>
      <c r="S1005" s="153" t="s">
        <v>1212</v>
      </c>
      <c r="T1005" s="154">
        <v>1.46</v>
      </c>
      <c r="U1005" s="153" t="s">
        <v>1522</v>
      </c>
      <c r="V1005" s="155">
        <v>5.5460000000000002E-2</v>
      </c>
      <c r="W1005" s="155">
        <v>5.8700000000000002E-2</v>
      </c>
      <c r="X1005" s="153" t="s">
        <v>412</v>
      </c>
      <c r="Y1005" s="153" t="s">
        <v>339</v>
      </c>
      <c r="Z1005" s="154">
        <v>56000</v>
      </c>
      <c r="AA1005" s="154">
        <v>1</v>
      </c>
      <c r="AB1005" s="154">
        <v>97.35</v>
      </c>
      <c r="AD1005" s="154">
        <v>54.515999999999998</v>
      </c>
      <c r="AG1005" s="157" t="s">
        <v>15</v>
      </c>
      <c r="AH1005" s="155">
        <v>1E-4</v>
      </c>
      <c r="AI1005" s="155">
        <f t="shared" si="15"/>
        <v>1.7203018461197587E-3</v>
      </c>
      <c r="AJ1005" s="155">
        <v>1.7849943325675378E-4</v>
      </c>
    </row>
    <row r="1006" spans="1:36" s="160" customFormat="1">
      <c r="A1006" s="153" t="s">
        <v>1213</v>
      </c>
      <c r="B1006" s="160">
        <v>9300</v>
      </c>
      <c r="C1006" s="153" t="s">
        <v>1813</v>
      </c>
      <c r="D1006" s="153" t="s">
        <v>1814</v>
      </c>
      <c r="E1006" s="153" t="s">
        <v>309</v>
      </c>
      <c r="F1006" s="153" t="s">
        <v>1815</v>
      </c>
      <c r="G1006" s="153" t="s">
        <v>1816</v>
      </c>
      <c r="H1006" s="153" t="s">
        <v>321</v>
      </c>
      <c r="I1006" s="153" t="s">
        <v>951</v>
      </c>
      <c r="J1006" s="153" t="s">
        <v>204</v>
      </c>
      <c r="K1006" s="153" t="s">
        <v>204</v>
      </c>
      <c r="L1006" s="153" t="s">
        <v>325</v>
      </c>
      <c r="M1006" s="153" t="s">
        <v>340</v>
      </c>
      <c r="N1006" s="153" t="s">
        <v>443</v>
      </c>
      <c r="O1006" s="153" t="s">
        <v>339</v>
      </c>
      <c r="P1006" s="153" t="s">
        <v>1527</v>
      </c>
      <c r="Q1006" s="153" t="s">
        <v>415</v>
      </c>
      <c r="R1006" s="153" t="s">
        <v>407</v>
      </c>
      <c r="S1006" s="153" t="s">
        <v>1212</v>
      </c>
      <c r="T1006" s="154">
        <v>1.45</v>
      </c>
      <c r="U1006" s="153" t="s">
        <v>1522</v>
      </c>
      <c r="V1006" s="155">
        <v>3.1099999999999999E-3</v>
      </c>
      <c r="W1006" s="155">
        <v>6.6000000000000003E-2</v>
      </c>
      <c r="X1006" s="153" t="s">
        <v>412</v>
      </c>
      <c r="Y1006" s="153" t="s">
        <v>339</v>
      </c>
      <c r="Z1006" s="154">
        <v>53600</v>
      </c>
      <c r="AA1006" s="154">
        <v>1</v>
      </c>
      <c r="AB1006" s="154">
        <v>100.59</v>
      </c>
      <c r="AD1006" s="154">
        <v>53.915999999999997</v>
      </c>
      <c r="AG1006" s="157" t="s">
        <v>15</v>
      </c>
      <c r="AH1006" s="155">
        <v>2.2000000000000001E-4</v>
      </c>
      <c r="AI1006" s="155">
        <f t="shared" si="15"/>
        <v>1.7013683016984537E-3</v>
      </c>
      <c r="AJ1006" s="155">
        <v>1.765348786314318E-4</v>
      </c>
    </row>
    <row r="1007" spans="1:36" s="160" customFormat="1">
      <c r="A1007" s="153" t="s">
        <v>1213</v>
      </c>
      <c r="B1007" s="160">
        <v>9300</v>
      </c>
      <c r="C1007" s="153" t="s">
        <v>2228</v>
      </c>
      <c r="D1007" s="153" t="s">
        <v>2229</v>
      </c>
      <c r="E1007" s="153" t="s">
        <v>309</v>
      </c>
      <c r="F1007" s="153" t="s">
        <v>2230</v>
      </c>
      <c r="G1007" s="153" t="s">
        <v>2231</v>
      </c>
      <c r="H1007" s="153" t="s">
        <v>321</v>
      </c>
      <c r="I1007" s="153" t="s">
        <v>951</v>
      </c>
      <c r="J1007" s="153" t="s">
        <v>204</v>
      </c>
      <c r="K1007" s="153" t="s">
        <v>204</v>
      </c>
      <c r="L1007" s="153" t="s">
        <v>325</v>
      </c>
      <c r="M1007" s="153" t="s">
        <v>340</v>
      </c>
      <c r="N1007" s="153" t="s">
        <v>441</v>
      </c>
      <c r="O1007" s="153" t="s">
        <v>339</v>
      </c>
      <c r="P1007" s="153" t="s">
        <v>1614</v>
      </c>
      <c r="Q1007" s="153" t="s">
        <v>415</v>
      </c>
      <c r="R1007" s="153" t="s">
        <v>407</v>
      </c>
      <c r="S1007" s="153" t="s">
        <v>1212</v>
      </c>
      <c r="T1007" s="154">
        <v>1.74</v>
      </c>
      <c r="U1007" s="153" t="s">
        <v>2232</v>
      </c>
      <c r="V1007" s="155">
        <v>3.5319999999999997E-2</v>
      </c>
      <c r="W1007" s="155">
        <v>5.7200000000000001E-2</v>
      </c>
      <c r="X1007" s="153" t="s">
        <v>412</v>
      </c>
      <c r="Y1007" s="153" t="s">
        <v>339</v>
      </c>
      <c r="Z1007" s="154">
        <v>54705.88</v>
      </c>
      <c r="AA1007" s="154">
        <v>1</v>
      </c>
      <c r="AB1007" s="154">
        <v>96.61</v>
      </c>
      <c r="AD1007" s="154">
        <v>52.850999999999999</v>
      </c>
      <c r="AG1007" s="157" t="s">
        <v>15</v>
      </c>
      <c r="AH1007" s="155">
        <v>9.0000000000000006E-5</v>
      </c>
      <c r="AI1007" s="155">
        <f t="shared" si="15"/>
        <v>1.6677612603506378E-3</v>
      </c>
      <c r="AJ1007" s="155">
        <v>1.7304779417148531E-4</v>
      </c>
    </row>
    <row r="1008" spans="1:36" s="160" customFormat="1">
      <c r="A1008" s="153" t="s">
        <v>1213</v>
      </c>
      <c r="B1008" s="160">
        <v>9300</v>
      </c>
      <c r="C1008" s="153" t="s">
        <v>1512</v>
      </c>
      <c r="D1008" s="153" t="s">
        <v>1513</v>
      </c>
      <c r="E1008" s="153" t="s">
        <v>309</v>
      </c>
      <c r="F1008" s="153" t="s">
        <v>3002</v>
      </c>
      <c r="G1008" s="153" t="s">
        <v>3003</v>
      </c>
      <c r="H1008" s="153" t="s">
        <v>321</v>
      </c>
      <c r="I1008" s="153" t="s">
        <v>754</v>
      </c>
      <c r="J1008" s="153" t="s">
        <v>204</v>
      </c>
      <c r="K1008" s="153" t="s">
        <v>204</v>
      </c>
      <c r="L1008" s="153" t="s">
        <v>325</v>
      </c>
      <c r="M1008" s="153" t="s">
        <v>340</v>
      </c>
      <c r="N1008" s="153" t="s">
        <v>448</v>
      </c>
      <c r="O1008" s="153" t="s">
        <v>339</v>
      </c>
      <c r="P1008" s="153" t="s">
        <v>1211</v>
      </c>
      <c r="Q1008" s="153" t="s">
        <v>415</v>
      </c>
      <c r="R1008" s="153" t="s">
        <v>407</v>
      </c>
      <c r="S1008" s="153" t="s">
        <v>1212</v>
      </c>
      <c r="T1008" s="154">
        <v>0.42</v>
      </c>
      <c r="U1008" s="153" t="s">
        <v>2049</v>
      </c>
      <c r="V1008" s="155">
        <v>9.4999999999999998E-3</v>
      </c>
      <c r="W1008" s="155">
        <v>2.6599999999999999E-2</v>
      </c>
      <c r="X1008" s="153" t="s">
        <v>412</v>
      </c>
      <c r="Y1008" s="153" t="s">
        <v>339</v>
      </c>
      <c r="Z1008" s="154">
        <v>43968.52</v>
      </c>
      <c r="AA1008" s="154">
        <v>1</v>
      </c>
      <c r="AB1008" s="154">
        <v>116.08</v>
      </c>
      <c r="AD1008" s="154">
        <v>51.039000000000001</v>
      </c>
      <c r="AG1008" s="157" t="s">
        <v>15</v>
      </c>
      <c r="AH1008" s="155">
        <v>2.7E-4</v>
      </c>
      <c r="AI1008" s="155">
        <f t="shared" si="15"/>
        <v>1.6105819561982972E-3</v>
      </c>
      <c r="AJ1008" s="155">
        <v>1.6711483920301299E-4</v>
      </c>
    </row>
    <row r="1009" spans="1:36" s="160" customFormat="1">
      <c r="A1009" s="153" t="s">
        <v>1213</v>
      </c>
      <c r="B1009" s="160">
        <v>9300</v>
      </c>
      <c r="C1009" s="153" t="s">
        <v>3004</v>
      </c>
      <c r="D1009" s="153" t="s">
        <v>3005</v>
      </c>
      <c r="E1009" s="153" t="s">
        <v>309</v>
      </c>
      <c r="F1009" s="153" t="s">
        <v>3006</v>
      </c>
      <c r="G1009" s="153" t="s">
        <v>3007</v>
      </c>
      <c r="H1009" s="153" t="s">
        <v>321</v>
      </c>
      <c r="I1009" s="153" t="s">
        <v>754</v>
      </c>
      <c r="J1009" s="153" t="s">
        <v>204</v>
      </c>
      <c r="K1009" s="153" t="s">
        <v>204</v>
      </c>
      <c r="L1009" s="153" t="s">
        <v>325</v>
      </c>
      <c r="M1009" s="153" t="s">
        <v>340</v>
      </c>
      <c r="N1009" s="153" t="s">
        <v>440</v>
      </c>
      <c r="O1009" s="153" t="s">
        <v>339</v>
      </c>
      <c r="Q1009" s="153" t="s">
        <v>410</v>
      </c>
      <c r="R1009" s="153" t="s">
        <v>410</v>
      </c>
      <c r="S1009" s="153" t="s">
        <v>1212</v>
      </c>
      <c r="T1009" s="154">
        <v>1.45</v>
      </c>
      <c r="U1009" s="153" t="s">
        <v>1768</v>
      </c>
      <c r="V1009" s="155">
        <v>2.1049999999999999E-2</v>
      </c>
      <c r="W1009" s="155">
        <v>3.0700000000000002E-2</v>
      </c>
      <c r="X1009" s="153" t="s">
        <v>412</v>
      </c>
      <c r="Y1009" s="153" t="s">
        <v>339</v>
      </c>
      <c r="Z1009" s="154">
        <v>42929.1</v>
      </c>
      <c r="AA1009" s="154">
        <v>1</v>
      </c>
      <c r="AB1009" s="154">
        <v>113.14</v>
      </c>
      <c r="AD1009" s="154">
        <v>48.57</v>
      </c>
      <c r="AG1009" s="157" t="s">
        <v>15</v>
      </c>
      <c r="AH1009" s="155">
        <v>1.8000000000000001E-4</v>
      </c>
      <c r="AI1009" s="155">
        <f t="shared" si="15"/>
        <v>1.5326704209046276E-3</v>
      </c>
      <c r="AJ1009" s="155">
        <v>1.5903069691981309E-4</v>
      </c>
    </row>
    <row r="1010" spans="1:36" s="160" customFormat="1">
      <c r="A1010" s="153" t="s">
        <v>1213</v>
      </c>
      <c r="B1010" s="160">
        <v>9300</v>
      </c>
      <c r="C1010" s="153" t="s">
        <v>2441</v>
      </c>
      <c r="D1010" s="153" t="s">
        <v>2442</v>
      </c>
      <c r="E1010" s="153" t="s">
        <v>309</v>
      </c>
      <c r="F1010" s="153" t="s">
        <v>2443</v>
      </c>
      <c r="G1010" s="153" t="s">
        <v>2444</v>
      </c>
      <c r="H1010" s="153" t="s">
        <v>321</v>
      </c>
      <c r="I1010" s="153" t="s">
        <v>754</v>
      </c>
      <c r="J1010" s="153" t="s">
        <v>204</v>
      </c>
      <c r="K1010" s="153" t="s">
        <v>204</v>
      </c>
      <c r="L1010" s="153" t="s">
        <v>325</v>
      </c>
      <c r="M1010" s="153" t="s">
        <v>340</v>
      </c>
      <c r="N1010" s="153" t="s">
        <v>462</v>
      </c>
      <c r="O1010" s="153" t="s">
        <v>339</v>
      </c>
      <c r="P1010" s="153" t="s">
        <v>1566</v>
      </c>
      <c r="Q1010" s="153" t="s">
        <v>413</v>
      </c>
      <c r="R1010" s="153" t="s">
        <v>407</v>
      </c>
      <c r="S1010" s="153" t="s">
        <v>1212</v>
      </c>
      <c r="T1010" s="154">
        <v>3.06</v>
      </c>
      <c r="U1010" s="153" t="s">
        <v>2267</v>
      </c>
      <c r="V1010" s="155">
        <v>1.856E-2</v>
      </c>
      <c r="W1010" s="155">
        <v>2.9000000000000001E-2</v>
      </c>
      <c r="X1010" s="153" t="s">
        <v>412</v>
      </c>
      <c r="Y1010" s="153" t="s">
        <v>339</v>
      </c>
      <c r="Z1010" s="154">
        <v>45000.5</v>
      </c>
      <c r="AA1010" s="154">
        <v>1</v>
      </c>
      <c r="AB1010" s="154">
        <v>105.14</v>
      </c>
      <c r="AD1010" s="154">
        <v>47.314</v>
      </c>
      <c r="AG1010" s="157" t="s">
        <v>15</v>
      </c>
      <c r="AH1010" s="155">
        <v>1.2999999999999999E-4</v>
      </c>
      <c r="AI1010" s="155">
        <f t="shared" si="15"/>
        <v>1.4930362012493628E-3</v>
      </c>
      <c r="AJ1010" s="155">
        <v>1.5491822923747247E-4</v>
      </c>
    </row>
    <row r="1011" spans="1:36" s="160" customFormat="1">
      <c r="A1011" s="153" t="s">
        <v>1213</v>
      </c>
      <c r="B1011" s="160">
        <v>9300</v>
      </c>
      <c r="C1011" s="153" t="s">
        <v>3008</v>
      </c>
      <c r="D1011" s="153" t="s">
        <v>3009</v>
      </c>
      <c r="E1011" s="153" t="s">
        <v>309</v>
      </c>
      <c r="F1011" s="153" t="s">
        <v>3010</v>
      </c>
      <c r="G1011" s="153" t="s">
        <v>3011</v>
      </c>
      <c r="H1011" s="153" t="s">
        <v>321</v>
      </c>
      <c r="I1011" s="153" t="s">
        <v>951</v>
      </c>
      <c r="J1011" s="153" t="s">
        <v>204</v>
      </c>
      <c r="K1011" s="153" t="s">
        <v>204</v>
      </c>
      <c r="L1011" s="153" t="s">
        <v>325</v>
      </c>
      <c r="M1011" s="153" t="s">
        <v>340</v>
      </c>
      <c r="N1011" s="153" t="s">
        <v>477</v>
      </c>
      <c r="O1011" s="153" t="s">
        <v>339</v>
      </c>
      <c r="P1011" s="153" t="s">
        <v>1521</v>
      </c>
      <c r="Q1011" s="153" t="s">
        <v>413</v>
      </c>
      <c r="R1011" s="153" t="s">
        <v>407</v>
      </c>
      <c r="S1011" s="153" t="s">
        <v>1212</v>
      </c>
      <c r="T1011" s="154">
        <v>0.25</v>
      </c>
      <c r="U1011" s="153" t="s">
        <v>2541</v>
      </c>
      <c r="V1011" s="155">
        <v>3.1850000000000003E-2</v>
      </c>
      <c r="W1011" s="155">
        <v>5.8400000000000001E-2</v>
      </c>
      <c r="X1011" s="153" t="s">
        <v>412</v>
      </c>
      <c r="Y1011" s="153" t="s">
        <v>339</v>
      </c>
      <c r="Z1011" s="154">
        <v>47000.86</v>
      </c>
      <c r="AA1011" s="154">
        <v>1</v>
      </c>
      <c r="AB1011" s="154">
        <v>100.05</v>
      </c>
      <c r="AD1011" s="154">
        <v>47.024000000000001</v>
      </c>
      <c r="AG1011" s="157" t="s">
        <v>15</v>
      </c>
      <c r="AH1011" s="155">
        <v>2.63E-3</v>
      </c>
      <c r="AI1011" s="155">
        <f t="shared" si="15"/>
        <v>1.4838849881123987E-3</v>
      </c>
      <c r="AJ1011" s="155">
        <v>1.5396869450190018E-4</v>
      </c>
    </row>
    <row r="1012" spans="1:36" s="160" customFormat="1">
      <c r="A1012" s="153" t="s">
        <v>1213</v>
      </c>
      <c r="B1012" s="160">
        <v>9300</v>
      </c>
      <c r="C1012" s="153" t="s">
        <v>2238</v>
      </c>
      <c r="D1012" s="153" t="s">
        <v>2239</v>
      </c>
      <c r="E1012" s="153" t="s">
        <v>309</v>
      </c>
      <c r="F1012" s="153" t="s">
        <v>2794</v>
      </c>
      <c r="G1012" s="153" t="s">
        <v>2795</v>
      </c>
      <c r="H1012" s="153" t="s">
        <v>321</v>
      </c>
      <c r="I1012" s="153" t="s">
        <v>951</v>
      </c>
      <c r="J1012" s="153" t="s">
        <v>204</v>
      </c>
      <c r="K1012" s="153" t="s">
        <v>204</v>
      </c>
      <c r="L1012" s="153" t="s">
        <v>325</v>
      </c>
      <c r="M1012" s="153" t="s">
        <v>340</v>
      </c>
      <c r="N1012" s="153" t="s">
        <v>447</v>
      </c>
      <c r="O1012" s="153" t="s">
        <v>339</v>
      </c>
      <c r="P1012" s="153" t="s">
        <v>1544</v>
      </c>
      <c r="Q1012" s="153" t="s">
        <v>415</v>
      </c>
      <c r="R1012" s="153" t="s">
        <v>407</v>
      </c>
      <c r="S1012" s="153" t="s">
        <v>1212</v>
      </c>
      <c r="T1012" s="154">
        <v>0.74</v>
      </c>
      <c r="U1012" s="153" t="s">
        <v>1848</v>
      </c>
      <c r="V1012" s="155">
        <v>5.5739999999999998E-2</v>
      </c>
      <c r="W1012" s="155">
        <v>5.4600000000000003E-2</v>
      </c>
      <c r="X1012" s="153" t="s">
        <v>412</v>
      </c>
      <c r="Y1012" s="153" t="s">
        <v>339</v>
      </c>
      <c r="Z1012" s="154">
        <v>45000.09</v>
      </c>
      <c r="AA1012" s="154">
        <v>1</v>
      </c>
      <c r="AB1012" s="154">
        <v>100.18</v>
      </c>
      <c r="AD1012" s="154">
        <v>45.081000000000003</v>
      </c>
      <c r="AG1012" s="157" t="s">
        <v>15</v>
      </c>
      <c r="AH1012" s="155">
        <v>4.2999999999999999E-4</v>
      </c>
      <c r="AI1012" s="155">
        <f t="shared" si="15"/>
        <v>1.4225718600947401E-3</v>
      </c>
      <c r="AJ1012" s="155">
        <v>1.4760681177356587E-4</v>
      </c>
    </row>
    <row r="1013" spans="1:36" s="160" customFormat="1">
      <c r="A1013" s="153" t="s">
        <v>1213</v>
      </c>
      <c r="B1013" s="160">
        <v>9300</v>
      </c>
      <c r="C1013" s="153" t="s">
        <v>1861</v>
      </c>
      <c r="D1013" s="153" t="s">
        <v>1862</v>
      </c>
      <c r="E1013" s="153" t="s">
        <v>309</v>
      </c>
      <c r="F1013" s="153" t="s">
        <v>1936</v>
      </c>
      <c r="G1013" s="153" t="s">
        <v>1937</v>
      </c>
      <c r="H1013" s="153" t="s">
        <v>321</v>
      </c>
      <c r="I1013" s="153" t="s">
        <v>754</v>
      </c>
      <c r="J1013" s="153" t="s">
        <v>204</v>
      </c>
      <c r="K1013" s="153" t="s">
        <v>204</v>
      </c>
      <c r="L1013" s="153" t="s">
        <v>325</v>
      </c>
      <c r="M1013" s="153" t="s">
        <v>340</v>
      </c>
      <c r="N1013" s="153" t="s">
        <v>464</v>
      </c>
      <c r="O1013" s="153" t="s">
        <v>339</v>
      </c>
      <c r="P1013" s="153" t="s">
        <v>1538</v>
      </c>
      <c r="Q1013" s="153" t="s">
        <v>413</v>
      </c>
      <c r="R1013" s="153" t="s">
        <v>407</v>
      </c>
      <c r="S1013" s="153" t="s">
        <v>1212</v>
      </c>
      <c r="T1013" s="154">
        <v>4.34</v>
      </c>
      <c r="U1013" s="153" t="s">
        <v>1587</v>
      </c>
      <c r="V1013" s="155">
        <v>1.7600000000000001E-3</v>
      </c>
      <c r="W1013" s="155">
        <v>2.9399999999999999E-2</v>
      </c>
      <c r="X1013" s="153" t="s">
        <v>412</v>
      </c>
      <c r="Y1013" s="153" t="s">
        <v>339</v>
      </c>
      <c r="Z1013" s="154">
        <v>39149.129999999997</v>
      </c>
      <c r="AA1013" s="154">
        <v>1</v>
      </c>
      <c r="AB1013" s="154">
        <v>108.57</v>
      </c>
      <c r="AD1013" s="154">
        <v>42.503999999999998</v>
      </c>
      <c r="AG1013" s="157" t="s">
        <v>15</v>
      </c>
      <c r="AH1013" s="155">
        <v>3.0000000000000001E-5</v>
      </c>
      <c r="AI1013" s="155">
        <f t="shared" si="15"/>
        <v>1.3412522868052356E-3</v>
      </c>
      <c r="AJ1013" s="155">
        <v>1.3916904965780803E-4</v>
      </c>
    </row>
    <row r="1014" spans="1:36" s="160" customFormat="1">
      <c r="A1014" s="153" t="s">
        <v>1213</v>
      </c>
      <c r="B1014" s="160">
        <v>9300</v>
      </c>
      <c r="C1014" s="153" t="s">
        <v>2211</v>
      </c>
      <c r="D1014" s="153" t="s">
        <v>2212</v>
      </c>
      <c r="E1014" s="153" t="s">
        <v>309</v>
      </c>
      <c r="F1014" s="153" t="s">
        <v>2389</v>
      </c>
      <c r="G1014" s="153" t="s">
        <v>2390</v>
      </c>
      <c r="H1014" s="153" t="s">
        <v>321</v>
      </c>
      <c r="I1014" s="153" t="s">
        <v>951</v>
      </c>
      <c r="J1014" s="153" t="s">
        <v>204</v>
      </c>
      <c r="K1014" s="153" t="s">
        <v>204</v>
      </c>
      <c r="L1014" s="153" t="s">
        <v>325</v>
      </c>
      <c r="M1014" s="153" t="s">
        <v>340</v>
      </c>
      <c r="N1014" s="153" t="s">
        <v>454</v>
      </c>
      <c r="O1014" s="153" t="s">
        <v>339</v>
      </c>
      <c r="P1014" s="153" t="s">
        <v>1527</v>
      </c>
      <c r="Q1014" s="153" t="s">
        <v>415</v>
      </c>
      <c r="R1014" s="153" t="s">
        <v>407</v>
      </c>
      <c r="S1014" s="153" t="s">
        <v>1212</v>
      </c>
      <c r="T1014" s="154">
        <v>2.72</v>
      </c>
      <c r="U1014" s="153" t="s">
        <v>1628</v>
      </c>
      <c r="V1014" s="155">
        <v>6.4570000000000002E-2</v>
      </c>
      <c r="W1014" s="155">
        <v>6.4399999999999999E-2</v>
      </c>
      <c r="X1014" s="153" t="s">
        <v>412</v>
      </c>
      <c r="Y1014" s="153" t="s">
        <v>339</v>
      </c>
      <c r="Z1014" s="154">
        <v>39000.959999999999</v>
      </c>
      <c r="AA1014" s="154">
        <v>1</v>
      </c>
      <c r="AB1014" s="154">
        <v>102.2</v>
      </c>
      <c r="AD1014" s="154">
        <v>39.859000000000002</v>
      </c>
      <c r="AG1014" s="157" t="s">
        <v>15</v>
      </c>
      <c r="AH1014" s="155">
        <v>2.0000000000000002E-5</v>
      </c>
      <c r="AI1014" s="155">
        <f t="shared" si="15"/>
        <v>1.2577869118146501E-3</v>
      </c>
      <c r="AJ1014" s="155">
        <v>1.3050863801784704E-4</v>
      </c>
    </row>
    <row r="1015" spans="1:36" s="160" customFormat="1">
      <c r="A1015" s="153" t="s">
        <v>1213</v>
      </c>
      <c r="B1015" s="160">
        <v>9300</v>
      </c>
      <c r="C1015" s="153" t="s">
        <v>1998</v>
      </c>
      <c r="D1015" s="153" t="s">
        <v>1999</v>
      </c>
      <c r="E1015" s="153" t="s">
        <v>309</v>
      </c>
      <c r="F1015" s="153" t="s">
        <v>2000</v>
      </c>
      <c r="G1015" s="153" t="s">
        <v>2001</v>
      </c>
      <c r="H1015" s="153" t="s">
        <v>321</v>
      </c>
      <c r="I1015" s="153" t="s">
        <v>754</v>
      </c>
      <c r="J1015" s="153" t="s">
        <v>204</v>
      </c>
      <c r="K1015" s="153" t="s">
        <v>204</v>
      </c>
      <c r="L1015" s="153" t="s">
        <v>325</v>
      </c>
      <c r="M1015" s="153" t="s">
        <v>340</v>
      </c>
      <c r="N1015" s="153" t="s">
        <v>464</v>
      </c>
      <c r="O1015" s="153" t="s">
        <v>339</v>
      </c>
      <c r="P1015" s="153" t="s">
        <v>1560</v>
      </c>
      <c r="Q1015" s="153" t="s">
        <v>413</v>
      </c>
      <c r="R1015" s="153" t="s">
        <v>407</v>
      </c>
      <c r="S1015" s="153" t="s">
        <v>1212</v>
      </c>
      <c r="T1015" s="154">
        <v>3.2</v>
      </c>
      <c r="U1015" s="153" t="s">
        <v>1913</v>
      </c>
      <c r="V1015" s="155">
        <v>2.4920000000000001E-2</v>
      </c>
      <c r="W1015" s="155">
        <v>3.32E-2</v>
      </c>
      <c r="X1015" s="153" t="s">
        <v>412</v>
      </c>
      <c r="Y1015" s="153" t="s">
        <v>339</v>
      </c>
      <c r="Z1015" s="154">
        <v>37000</v>
      </c>
      <c r="AA1015" s="154">
        <v>1</v>
      </c>
      <c r="AB1015" s="154">
        <v>105.81</v>
      </c>
      <c r="AD1015" s="154">
        <v>39.15</v>
      </c>
      <c r="AG1015" s="157" t="s">
        <v>15</v>
      </c>
      <c r="AH1015" s="155">
        <v>8.0000000000000007E-5</v>
      </c>
      <c r="AI1015" s="155">
        <f t="shared" si="15"/>
        <v>1.2354137734901414E-3</v>
      </c>
      <c r="AJ1015" s="155">
        <v>1.2818718930225823E-4</v>
      </c>
    </row>
    <row r="1016" spans="1:36" s="160" customFormat="1">
      <c r="A1016" s="153" t="s">
        <v>1213</v>
      </c>
      <c r="B1016" s="160">
        <v>9300</v>
      </c>
      <c r="C1016" s="153" t="s">
        <v>2812</v>
      </c>
      <c r="D1016" s="153" t="s">
        <v>2813</v>
      </c>
      <c r="E1016" s="153" t="s">
        <v>309</v>
      </c>
      <c r="F1016" s="153" t="s">
        <v>3012</v>
      </c>
      <c r="G1016" s="153" t="s">
        <v>3013</v>
      </c>
      <c r="H1016" s="153" t="s">
        <v>321</v>
      </c>
      <c r="I1016" s="153" t="s">
        <v>951</v>
      </c>
      <c r="J1016" s="153" t="s">
        <v>204</v>
      </c>
      <c r="K1016" s="153" t="s">
        <v>204</v>
      </c>
      <c r="L1016" s="153" t="s">
        <v>325</v>
      </c>
      <c r="M1016" s="153" t="s">
        <v>340</v>
      </c>
      <c r="N1016" s="153" t="s">
        <v>447</v>
      </c>
      <c r="O1016" s="153" t="s">
        <v>339</v>
      </c>
      <c r="P1016" s="153" t="s">
        <v>1614</v>
      </c>
      <c r="Q1016" s="153" t="s">
        <v>415</v>
      </c>
      <c r="R1016" s="153" t="s">
        <v>407</v>
      </c>
      <c r="S1016" s="153" t="s">
        <v>1212</v>
      </c>
      <c r="T1016" s="154">
        <v>0.5</v>
      </c>
      <c r="U1016" s="153" t="s">
        <v>3014</v>
      </c>
      <c r="V1016" s="155">
        <v>5.6869999999999997E-2</v>
      </c>
      <c r="W1016" s="155">
        <v>5.8900000000000001E-2</v>
      </c>
      <c r="X1016" s="153" t="s">
        <v>412</v>
      </c>
      <c r="Y1016" s="153" t="s">
        <v>339</v>
      </c>
      <c r="Z1016" s="154">
        <v>39000</v>
      </c>
      <c r="AA1016" s="154">
        <v>1</v>
      </c>
      <c r="AB1016" s="154">
        <v>98.54</v>
      </c>
      <c r="AD1016" s="154">
        <v>38.430999999999997</v>
      </c>
      <c r="AG1016" s="157" t="s">
        <v>15</v>
      </c>
      <c r="AH1016" s="155">
        <v>4.4000000000000002E-4</v>
      </c>
      <c r="AI1016" s="155">
        <f t="shared" si="15"/>
        <v>1.2127250760919444E-3</v>
      </c>
      <c r="AJ1016" s="155">
        <v>1.2583299800958075E-4</v>
      </c>
    </row>
    <row r="1017" spans="1:36" s="160" customFormat="1">
      <c r="A1017" s="153" t="s">
        <v>1213</v>
      </c>
      <c r="B1017" s="160">
        <v>9300</v>
      </c>
      <c r="C1017" s="153" t="s">
        <v>1904</v>
      </c>
      <c r="D1017" s="153" t="s">
        <v>1905</v>
      </c>
      <c r="E1017" s="153" t="s">
        <v>309</v>
      </c>
      <c r="F1017" s="153" t="s">
        <v>2489</v>
      </c>
      <c r="G1017" s="153" t="s">
        <v>2490</v>
      </c>
      <c r="H1017" s="153" t="s">
        <v>321</v>
      </c>
      <c r="I1017" s="153" t="s">
        <v>951</v>
      </c>
      <c r="J1017" s="153" t="s">
        <v>204</v>
      </c>
      <c r="K1017" s="153" t="s">
        <v>204</v>
      </c>
      <c r="L1017" s="153" t="s">
        <v>325</v>
      </c>
      <c r="M1017" s="153" t="s">
        <v>340</v>
      </c>
      <c r="N1017" s="153" t="s">
        <v>448</v>
      </c>
      <c r="O1017" s="153" t="s">
        <v>339</v>
      </c>
      <c r="P1017" s="153" t="s">
        <v>1215</v>
      </c>
      <c r="Q1017" s="153" t="s">
        <v>413</v>
      </c>
      <c r="R1017" s="153" t="s">
        <v>407</v>
      </c>
      <c r="S1017" s="153" t="s">
        <v>1212</v>
      </c>
      <c r="T1017" s="154">
        <v>0.18</v>
      </c>
      <c r="U1017" s="153" t="s">
        <v>1461</v>
      </c>
      <c r="V1017" s="155">
        <v>1.7219999999999999E-2</v>
      </c>
      <c r="W1017" s="155">
        <v>4.58E-2</v>
      </c>
      <c r="X1017" s="153" t="s">
        <v>412</v>
      </c>
      <c r="Y1017" s="153" t="s">
        <v>339</v>
      </c>
      <c r="Z1017" s="154">
        <v>38000.03</v>
      </c>
      <c r="AA1017" s="154">
        <v>1</v>
      </c>
      <c r="AB1017" s="154">
        <v>101.06</v>
      </c>
      <c r="AD1017" s="154">
        <v>38.402999999999999</v>
      </c>
      <c r="AG1017" s="157" t="s">
        <v>15</v>
      </c>
      <c r="AH1017" s="155">
        <v>1.3999999999999999E-4</v>
      </c>
      <c r="AI1017" s="155">
        <f t="shared" si="15"/>
        <v>1.2118415106856168E-3</v>
      </c>
      <c r="AJ1017" s="155">
        <v>1.2574131879373239E-4</v>
      </c>
    </row>
    <row r="1018" spans="1:36" s="160" customFormat="1">
      <c r="A1018" s="153" t="s">
        <v>1213</v>
      </c>
      <c r="B1018" s="160">
        <v>9300</v>
      </c>
      <c r="C1018" s="153" t="s">
        <v>2150</v>
      </c>
      <c r="D1018" s="153" t="s">
        <v>2151</v>
      </c>
      <c r="E1018" s="153" t="s">
        <v>309</v>
      </c>
      <c r="F1018" s="153" t="s">
        <v>2191</v>
      </c>
      <c r="G1018" s="153" t="s">
        <v>2192</v>
      </c>
      <c r="H1018" s="153" t="s">
        <v>321</v>
      </c>
      <c r="I1018" s="153" t="s">
        <v>951</v>
      </c>
      <c r="J1018" s="153" t="s">
        <v>204</v>
      </c>
      <c r="K1018" s="153" t="s">
        <v>204</v>
      </c>
      <c r="L1018" s="153" t="s">
        <v>325</v>
      </c>
      <c r="M1018" s="153" t="s">
        <v>340</v>
      </c>
      <c r="N1018" s="153" t="s">
        <v>477</v>
      </c>
      <c r="O1018" s="153" t="s">
        <v>339</v>
      </c>
      <c r="P1018" s="153" t="s">
        <v>1538</v>
      </c>
      <c r="Q1018" s="153" t="s">
        <v>413</v>
      </c>
      <c r="R1018" s="153" t="s">
        <v>407</v>
      </c>
      <c r="S1018" s="153" t="s">
        <v>1212</v>
      </c>
      <c r="T1018" s="154">
        <v>3.31</v>
      </c>
      <c r="U1018" s="153" t="s">
        <v>2154</v>
      </c>
      <c r="V1018" s="155">
        <v>4.727E-2</v>
      </c>
      <c r="W1018" s="155">
        <v>5.8299999999999998E-2</v>
      </c>
      <c r="X1018" s="153" t="s">
        <v>412</v>
      </c>
      <c r="Y1018" s="153" t="s">
        <v>339</v>
      </c>
      <c r="Z1018" s="154">
        <v>39633.339999999997</v>
      </c>
      <c r="AA1018" s="154">
        <v>1</v>
      </c>
      <c r="AB1018" s="154">
        <v>96.43</v>
      </c>
      <c r="AD1018" s="154">
        <v>38.218000000000004</v>
      </c>
      <c r="AG1018" s="157" t="s">
        <v>15</v>
      </c>
      <c r="AH1018" s="155">
        <v>6.0000000000000002E-5</v>
      </c>
      <c r="AI1018" s="155">
        <f t="shared" si="15"/>
        <v>1.2060036678223814E-3</v>
      </c>
      <c r="AJ1018" s="155">
        <v>1.2513558111759148E-4</v>
      </c>
    </row>
    <row r="1019" spans="1:36" s="160" customFormat="1">
      <c r="A1019" s="153" t="s">
        <v>1213</v>
      </c>
      <c r="B1019" s="160">
        <v>9300</v>
      </c>
      <c r="C1019" s="153" t="s">
        <v>1540</v>
      </c>
      <c r="D1019" s="153" t="s">
        <v>1541</v>
      </c>
      <c r="E1019" s="153" t="s">
        <v>80</v>
      </c>
      <c r="F1019" s="153" t="s">
        <v>1542</v>
      </c>
      <c r="G1019" s="153" t="s">
        <v>1543</v>
      </c>
      <c r="H1019" s="153" t="s">
        <v>321</v>
      </c>
      <c r="I1019" s="153" t="s">
        <v>755</v>
      </c>
      <c r="J1019" s="153" t="s">
        <v>204</v>
      </c>
      <c r="K1019" s="153" t="s">
        <v>224</v>
      </c>
      <c r="L1019" s="153" t="s">
        <v>325</v>
      </c>
      <c r="M1019" s="153" t="s">
        <v>340</v>
      </c>
      <c r="N1019" s="153" t="s">
        <v>443</v>
      </c>
      <c r="O1019" s="153" t="s">
        <v>339</v>
      </c>
      <c r="P1019" s="153" t="s">
        <v>1544</v>
      </c>
      <c r="Q1019" s="153" t="s">
        <v>415</v>
      </c>
      <c r="R1019" s="153" t="s">
        <v>407</v>
      </c>
      <c r="S1019" s="153" t="s">
        <v>1212</v>
      </c>
      <c r="T1019" s="154">
        <v>1.77</v>
      </c>
      <c r="U1019" s="153" t="s">
        <v>1545</v>
      </c>
      <c r="V1019" s="155">
        <v>8.8999999999999995E-4</v>
      </c>
      <c r="W1019" s="155">
        <v>8.1500000000000003E-2</v>
      </c>
      <c r="X1019" s="153" t="s">
        <v>412</v>
      </c>
      <c r="Y1019" s="153" t="s">
        <v>339</v>
      </c>
      <c r="Z1019" s="154">
        <v>36000</v>
      </c>
      <c r="AA1019" s="154">
        <v>1</v>
      </c>
      <c r="AB1019" s="154">
        <v>104.6</v>
      </c>
      <c r="AD1019" s="154">
        <v>37.655999999999999</v>
      </c>
      <c r="AG1019" s="157" t="s">
        <v>15</v>
      </c>
      <c r="AH1019" s="155">
        <v>9.0000000000000006E-5</v>
      </c>
      <c r="AI1019" s="155">
        <f t="shared" si="15"/>
        <v>1.1882692478810924E-3</v>
      </c>
      <c r="AJ1019" s="155">
        <v>1.2329544828520655E-4</v>
      </c>
    </row>
    <row r="1020" spans="1:36" s="160" customFormat="1">
      <c r="A1020" s="153" t="s">
        <v>1213</v>
      </c>
      <c r="B1020" s="160">
        <v>9300</v>
      </c>
      <c r="C1020" s="153" t="s">
        <v>2408</v>
      </c>
      <c r="D1020" s="153" t="s">
        <v>2409</v>
      </c>
      <c r="E1020" s="153" t="s">
        <v>309</v>
      </c>
      <c r="F1020" s="153" t="s">
        <v>3015</v>
      </c>
      <c r="G1020" s="153" t="s">
        <v>3016</v>
      </c>
      <c r="H1020" s="153" t="s">
        <v>321</v>
      </c>
      <c r="I1020" s="153" t="s">
        <v>754</v>
      </c>
      <c r="J1020" s="153" t="s">
        <v>204</v>
      </c>
      <c r="K1020" s="153" t="s">
        <v>204</v>
      </c>
      <c r="L1020" s="153" t="s">
        <v>327</v>
      </c>
      <c r="M1020" s="153" t="s">
        <v>340</v>
      </c>
      <c r="N1020" s="153" t="s">
        <v>451</v>
      </c>
      <c r="O1020" s="153" t="s">
        <v>339</v>
      </c>
      <c r="P1020" s="153" t="s">
        <v>1521</v>
      </c>
      <c r="Q1020" s="153" t="s">
        <v>413</v>
      </c>
      <c r="R1020" s="153" t="s">
        <v>407</v>
      </c>
      <c r="S1020" s="153" t="s">
        <v>1212</v>
      </c>
      <c r="T1020" s="154">
        <v>4</v>
      </c>
      <c r="U1020" s="153" t="s">
        <v>1717</v>
      </c>
      <c r="V1020" s="155">
        <v>3.6139999999999999E-2</v>
      </c>
      <c r="W1020" s="155">
        <v>3.4500000000000003E-2</v>
      </c>
      <c r="X1020" s="153" t="s">
        <v>412</v>
      </c>
      <c r="Y1020" s="153" t="s">
        <v>339</v>
      </c>
      <c r="Z1020" s="154">
        <v>35431</v>
      </c>
      <c r="AA1020" s="154">
        <v>1</v>
      </c>
      <c r="AB1020" s="154">
        <f>AD1020*1000/Z1020*100</f>
        <v>103.41508848183794</v>
      </c>
      <c r="AD1020" s="154">
        <f>36.657-0.016</f>
        <v>36.640999999999998</v>
      </c>
      <c r="AG1020" s="157" t="s">
        <v>15</v>
      </c>
      <c r="AH1020" s="155">
        <v>8.0000000000000007E-5</v>
      </c>
      <c r="AI1020" s="155">
        <f t="shared" si="15"/>
        <v>1.1562400019017184E-3</v>
      </c>
      <c r="AJ1020" s="155">
        <v>1.1997207671070355E-4</v>
      </c>
    </row>
    <row r="1021" spans="1:36" s="160" customFormat="1">
      <c r="A1021" s="153" t="s">
        <v>1213</v>
      </c>
      <c r="B1021" s="160">
        <v>9300</v>
      </c>
      <c r="C1021" s="153" t="s">
        <v>1634</v>
      </c>
      <c r="D1021" s="153" t="s">
        <v>1635</v>
      </c>
      <c r="E1021" s="153" t="s">
        <v>309</v>
      </c>
      <c r="F1021" s="153" t="s">
        <v>1763</v>
      </c>
      <c r="G1021" s="153" t="s">
        <v>1764</v>
      </c>
      <c r="H1021" s="153" t="s">
        <v>321</v>
      </c>
      <c r="I1021" s="153" t="s">
        <v>951</v>
      </c>
      <c r="J1021" s="153" t="s">
        <v>204</v>
      </c>
      <c r="K1021" s="153" t="s">
        <v>204</v>
      </c>
      <c r="L1021" s="153" t="s">
        <v>325</v>
      </c>
      <c r="M1021" s="153" t="s">
        <v>340</v>
      </c>
      <c r="N1021" s="153" t="s">
        <v>454</v>
      </c>
      <c r="O1021" s="153" t="s">
        <v>339</v>
      </c>
      <c r="P1021" s="153" t="s">
        <v>1554</v>
      </c>
      <c r="Q1021" s="153" t="s">
        <v>413</v>
      </c>
      <c r="R1021" s="153" t="s">
        <v>407</v>
      </c>
      <c r="S1021" s="153" t="s">
        <v>1212</v>
      </c>
      <c r="T1021" s="154">
        <v>3.75</v>
      </c>
      <c r="U1021" s="153" t="s">
        <v>1765</v>
      </c>
      <c r="V1021" s="155">
        <v>5.5100000000000003E-2</v>
      </c>
      <c r="W1021" s="155">
        <v>6.5699999999999995E-2</v>
      </c>
      <c r="X1021" s="153" t="s">
        <v>412</v>
      </c>
      <c r="Y1021" s="153" t="s">
        <v>339</v>
      </c>
      <c r="Z1021" s="154">
        <v>36000</v>
      </c>
      <c r="AA1021" s="154">
        <v>1</v>
      </c>
      <c r="AB1021" s="154">
        <v>100.86</v>
      </c>
      <c r="AD1021" s="154">
        <v>36.31</v>
      </c>
      <c r="AG1021" s="157" t="s">
        <v>15</v>
      </c>
      <c r="AH1021" s="155">
        <v>4.0000000000000003E-5</v>
      </c>
      <c r="AI1021" s="155">
        <f t="shared" si="15"/>
        <v>1.145794996562632E-3</v>
      </c>
      <c r="AJ1021" s="155">
        <v>1.1888829740906762E-4</v>
      </c>
    </row>
    <row r="1022" spans="1:36" s="160" customFormat="1">
      <c r="A1022" s="153" t="s">
        <v>1213</v>
      </c>
      <c r="B1022" s="160">
        <v>9300</v>
      </c>
      <c r="C1022" s="153" t="s">
        <v>2780</v>
      </c>
      <c r="D1022" s="153" t="s">
        <v>2781</v>
      </c>
      <c r="E1022" s="153" t="s">
        <v>309</v>
      </c>
      <c r="F1022" s="153" t="s">
        <v>3017</v>
      </c>
      <c r="G1022" s="153" t="s">
        <v>3018</v>
      </c>
      <c r="H1022" s="153" t="s">
        <v>321</v>
      </c>
      <c r="I1022" s="153" t="s">
        <v>754</v>
      </c>
      <c r="J1022" s="153" t="s">
        <v>204</v>
      </c>
      <c r="K1022" s="153" t="s">
        <v>204</v>
      </c>
      <c r="L1022" s="153" t="s">
        <v>325</v>
      </c>
      <c r="M1022" s="153" t="s">
        <v>340</v>
      </c>
      <c r="N1022" s="153" t="s">
        <v>464</v>
      </c>
      <c r="O1022" s="153" t="s">
        <v>339</v>
      </c>
      <c r="P1022" s="153" t="s">
        <v>1521</v>
      </c>
      <c r="Q1022" s="153" t="s">
        <v>413</v>
      </c>
      <c r="R1022" s="153" t="s">
        <v>407</v>
      </c>
      <c r="S1022" s="153" t="s">
        <v>1212</v>
      </c>
      <c r="T1022" s="154">
        <v>3.43</v>
      </c>
      <c r="U1022" s="153" t="s">
        <v>1266</v>
      </c>
      <c r="V1022" s="155">
        <v>-1.39E-3</v>
      </c>
      <c r="W1022" s="155">
        <v>2.8899999999999999E-2</v>
      </c>
      <c r="X1022" s="153" t="s">
        <v>412</v>
      </c>
      <c r="Y1022" s="153" t="s">
        <v>339</v>
      </c>
      <c r="Z1022" s="154">
        <v>32000.5</v>
      </c>
      <c r="AA1022" s="154">
        <v>1</v>
      </c>
      <c r="AB1022" s="154">
        <v>112.07</v>
      </c>
      <c r="AD1022" s="154">
        <v>35.863</v>
      </c>
      <c r="AG1022" s="157" t="s">
        <v>15</v>
      </c>
      <c r="AH1022" s="155">
        <v>1.6000000000000001E-4</v>
      </c>
      <c r="AI1022" s="155">
        <f t="shared" si="15"/>
        <v>1.1316895059687597E-3</v>
      </c>
      <c r="AJ1022" s="155">
        <v>1.1742470421320274E-4</v>
      </c>
    </row>
    <row r="1023" spans="1:36" s="160" customFormat="1">
      <c r="A1023" s="153" t="s">
        <v>1213</v>
      </c>
      <c r="B1023" s="160">
        <v>9300</v>
      </c>
      <c r="C1023" s="153" t="s">
        <v>2238</v>
      </c>
      <c r="D1023" s="153" t="s">
        <v>2239</v>
      </c>
      <c r="E1023" s="153" t="s">
        <v>309</v>
      </c>
      <c r="F1023" s="153" t="s">
        <v>3019</v>
      </c>
      <c r="G1023" s="153" t="s">
        <v>3020</v>
      </c>
      <c r="H1023" s="153" t="s">
        <v>321</v>
      </c>
      <c r="I1023" s="153" t="s">
        <v>951</v>
      </c>
      <c r="J1023" s="153" t="s">
        <v>204</v>
      </c>
      <c r="K1023" s="153" t="s">
        <v>204</v>
      </c>
      <c r="L1023" s="153" t="s">
        <v>325</v>
      </c>
      <c r="M1023" s="153" t="s">
        <v>340</v>
      </c>
      <c r="N1023" s="153" t="s">
        <v>447</v>
      </c>
      <c r="O1023" s="153" t="s">
        <v>339</v>
      </c>
      <c r="P1023" s="153" t="s">
        <v>1544</v>
      </c>
      <c r="Q1023" s="153" t="s">
        <v>415</v>
      </c>
      <c r="R1023" s="153" t="s">
        <v>407</v>
      </c>
      <c r="S1023" s="153" t="s">
        <v>1212</v>
      </c>
      <c r="T1023" s="154">
        <v>0.74</v>
      </c>
      <c r="U1023" s="153" t="s">
        <v>1848</v>
      </c>
      <c r="V1023" s="155">
        <v>5.7020000000000001E-2</v>
      </c>
      <c r="W1023" s="155">
        <v>5.67E-2</v>
      </c>
      <c r="X1023" s="153" t="s">
        <v>412</v>
      </c>
      <c r="Y1023" s="153" t="s">
        <v>339</v>
      </c>
      <c r="Z1023" s="154">
        <v>35000.67</v>
      </c>
      <c r="AA1023" s="154">
        <v>1</v>
      </c>
      <c r="AB1023" s="154">
        <v>98.94</v>
      </c>
      <c r="AD1023" s="154">
        <v>34.630000000000003</v>
      </c>
      <c r="AG1023" s="157" t="s">
        <v>15</v>
      </c>
      <c r="AH1023" s="155">
        <v>1.56E-3</v>
      </c>
      <c r="AI1023" s="155">
        <f t="shared" si="15"/>
        <v>1.0927810721829783E-3</v>
      </c>
      <c r="AJ1023" s="155">
        <v>1.1338754445816611E-4</v>
      </c>
    </row>
    <row r="1024" spans="1:36" s="160" customFormat="1">
      <c r="A1024" s="153" t="s">
        <v>1213</v>
      </c>
      <c r="B1024" s="160">
        <v>9300</v>
      </c>
      <c r="C1024" s="153" t="s">
        <v>3021</v>
      </c>
      <c r="D1024" s="153" t="s">
        <v>3022</v>
      </c>
      <c r="E1024" s="153" t="s">
        <v>309</v>
      </c>
      <c r="F1024" s="153" t="s">
        <v>3023</v>
      </c>
      <c r="G1024" s="153" t="s">
        <v>3024</v>
      </c>
      <c r="H1024" s="153" t="s">
        <v>321</v>
      </c>
      <c r="I1024" s="153" t="s">
        <v>754</v>
      </c>
      <c r="J1024" s="153" t="s">
        <v>204</v>
      </c>
      <c r="K1024" s="153" t="s">
        <v>204</v>
      </c>
      <c r="L1024" s="153" t="s">
        <v>325</v>
      </c>
      <c r="M1024" s="153" t="s">
        <v>340</v>
      </c>
      <c r="N1024" s="153" t="s">
        <v>441</v>
      </c>
      <c r="O1024" s="153" t="s">
        <v>339</v>
      </c>
      <c r="Q1024" s="153" t="s">
        <v>410</v>
      </c>
      <c r="R1024" s="153" t="s">
        <v>410</v>
      </c>
      <c r="S1024" s="153" t="s">
        <v>1212</v>
      </c>
      <c r="T1024" s="154">
        <v>2.25</v>
      </c>
      <c r="U1024" s="153" t="s">
        <v>1744</v>
      </c>
      <c r="V1024" s="155">
        <v>3.7409999999999999E-2</v>
      </c>
      <c r="W1024" s="155">
        <v>5.9200000000000003E-2</v>
      </c>
      <c r="X1024" s="153" t="s">
        <v>412</v>
      </c>
      <c r="Y1024" s="153" t="s">
        <v>339</v>
      </c>
      <c r="Z1024" s="154">
        <v>31500</v>
      </c>
      <c r="AA1024" s="154">
        <v>1</v>
      </c>
      <c r="AB1024" s="154">
        <v>108.93</v>
      </c>
      <c r="AD1024" s="154">
        <v>34.313000000000002</v>
      </c>
      <c r="AG1024" s="157" t="s">
        <v>15</v>
      </c>
      <c r="AH1024" s="155">
        <v>6.6E-4</v>
      </c>
      <c r="AI1024" s="155">
        <f t="shared" si="15"/>
        <v>1.0827778495470556E-3</v>
      </c>
      <c r="AJ1024" s="155">
        <v>1.1234960476445434E-4</v>
      </c>
    </row>
    <row r="1025" spans="1:36" s="160" customFormat="1">
      <c r="A1025" s="153" t="s">
        <v>1213</v>
      </c>
      <c r="B1025" s="160">
        <v>9300</v>
      </c>
      <c r="C1025" s="153" t="s">
        <v>2441</v>
      </c>
      <c r="D1025" s="153" t="s">
        <v>2442</v>
      </c>
      <c r="E1025" s="153" t="s">
        <v>309</v>
      </c>
      <c r="F1025" s="153" t="s">
        <v>2496</v>
      </c>
      <c r="G1025" s="153" t="s">
        <v>2497</v>
      </c>
      <c r="H1025" s="153" t="s">
        <v>321</v>
      </c>
      <c r="I1025" s="153" t="s">
        <v>754</v>
      </c>
      <c r="J1025" s="153" t="s">
        <v>204</v>
      </c>
      <c r="K1025" s="153" t="s">
        <v>204</v>
      </c>
      <c r="L1025" s="153" t="s">
        <v>325</v>
      </c>
      <c r="M1025" s="153" t="s">
        <v>340</v>
      </c>
      <c r="N1025" s="153" t="s">
        <v>462</v>
      </c>
      <c r="O1025" s="153" t="s">
        <v>339</v>
      </c>
      <c r="P1025" s="153" t="s">
        <v>1566</v>
      </c>
      <c r="Q1025" s="153" t="s">
        <v>413</v>
      </c>
      <c r="R1025" s="153" t="s">
        <v>407</v>
      </c>
      <c r="S1025" s="153" t="s">
        <v>1212</v>
      </c>
      <c r="T1025" s="154">
        <v>1.46</v>
      </c>
      <c r="U1025" s="153" t="s">
        <v>2498</v>
      </c>
      <c r="V1025" s="155">
        <v>6.0600000000000003E-3</v>
      </c>
      <c r="W1025" s="155">
        <v>2.4400000000000002E-2</v>
      </c>
      <c r="X1025" s="153" t="s">
        <v>412</v>
      </c>
      <c r="Y1025" s="153" t="s">
        <v>339</v>
      </c>
      <c r="Z1025" s="154">
        <v>30504.41</v>
      </c>
      <c r="AA1025" s="154">
        <v>1</v>
      </c>
      <c r="AB1025" s="154">
        <v>112.33</v>
      </c>
      <c r="AD1025" s="154">
        <v>34.265999999999998</v>
      </c>
      <c r="AG1025" s="157" t="s">
        <v>15</v>
      </c>
      <c r="AH1025" s="155">
        <v>1.3999999999999999E-4</v>
      </c>
      <c r="AI1025" s="155">
        <f t="shared" si="15"/>
        <v>1.08129472190072E-3</v>
      </c>
      <c r="AJ1025" s="155">
        <v>1.1219571465213744E-4</v>
      </c>
    </row>
    <row r="1026" spans="1:36" s="160" customFormat="1">
      <c r="A1026" s="153" t="s">
        <v>1213</v>
      </c>
      <c r="B1026" s="160">
        <v>9300</v>
      </c>
      <c r="C1026" s="153" t="s">
        <v>2753</v>
      </c>
      <c r="D1026" s="153" t="s">
        <v>2754</v>
      </c>
      <c r="E1026" s="153" t="s">
        <v>309</v>
      </c>
      <c r="F1026" s="153" t="s">
        <v>2843</v>
      </c>
      <c r="G1026" s="153" t="s">
        <v>2844</v>
      </c>
      <c r="H1026" s="153" t="s">
        <v>321</v>
      </c>
      <c r="I1026" s="153" t="s">
        <v>951</v>
      </c>
      <c r="J1026" s="153" t="s">
        <v>204</v>
      </c>
      <c r="K1026" s="153" t="s">
        <v>204</v>
      </c>
      <c r="L1026" s="153" t="s">
        <v>325</v>
      </c>
      <c r="M1026" s="153" t="s">
        <v>340</v>
      </c>
      <c r="N1026" s="153" t="s">
        <v>447</v>
      </c>
      <c r="O1026" s="153" t="s">
        <v>339</v>
      </c>
      <c r="P1026" s="153" t="s">
        <v>1586</v>
      </c>
      <c r="Q1026" s="153" t="s">
        <v>415</v>
      </c>
      <c r="R1026" s="153" t="s">
        <v>407</v>
      </c>
      <c r="S1026" s="153" t="s">
        <v>1212</v>
      </c>
      <c r="T1026" s="154">
        <v>0.73</v>
      </c>
      <c r="U1026" s="153" t="s">
        <v>1848</v>
      </c>
      <c r="V1026" s="155">
        <v>6.2609999999999999E-2</v>
      </c>
      <c r="W1026" s="155">
        <v>6.1499999999999999E-2</v>
      </c>
      <c r="X1026" s="153" t="s">
        <v>412</v>
      </c>
      <c r="Y1026" s="153" t="s">
        <v>339</v>
      </c>
      <c r="Z1026" s="154">
        <v>34159</v>
      </c>
      <c r="AA1026" s="154">
        <v>1</v>
      </c>
      <c r="AB1026" s="154">
        <v>99.92</v>
      </c>
      <c r="AD1026" s="154">
        <v>34.131999999999998</v>
      </c>
      <c r="AG1026" s="157" t="s">
        <v>15</v>
      </c>
      <c r="AH1026" s="155">
        <v>5.1999999999999995E-4</v>
      </c>
      <c r="AI1026" s="155">
        <f t="shared" si="15"/>
        <v>1.0770662303132951E-3</v>
      </c>
      <c r="AJ1026" s="155">
        <v>1.1175696411914886E-4</v>
      </c>
    </row>
    <row r="1027" spans="1:36" s="160" customFormat="1">
      <c r="A1027" s="153" t="s">
        <v>1213</v>
      </c>
      <c r="B1027" s="160">
        <v>9300</v>
      </c>
      <c r="C1027" s="153" t="s">
        <v>2250</v>
      </c>
      <c r="D1027" s="153" t="s">
        <v>2251</v>
      </c>
      <c r="E1027" s="153" t="s">
        <v>309</v>
      </c>
      <c r="F1027" s="153" t="s">
        <v>2635</v>
      </c>
      <c r="G1027" s="153" t="s">
        <v>2636</v>
      </c>
      <c r="H1027" s="153" t="s">
        <v>321</v>
      </c>
      <c r="I1027" s="153" t="s">
        <v>754</v>
      </c>
      <c r="J1027" s="153" t="s">
        <v>204</v>
      </c>
      <c r="K1027" s="153" t="s">
        <v>204</v>
      </c>
      <c r="L1027" s="153" t="s">
        <v>325</v>
      </c>
      <c r="M1027" s="153" t="s">
        <v>340</v>
      </c>
      <c r="N1027" s="153" t="s">
        <v>448</v>
      </c>
      <c r="O1027" s="153" t="s">
        <v>339</v>
      </c>
      <c r="P1027" s="153" t="s">
        <v>1215</v>
      </c>
      <c r="Q1027" s="153" t="s">
        <v>413</v>
      </c>
      <c r="R1027" s="153" t="s">
        <v>407</v>
      </c>
      <c r="S1027" s="153" t="s">
        <v>1212</v>
      </c>
      <c r="T1027" s="154">
        <v>2.17</v>
      </c>
      <c r="U1027" s="153" t="s">
        <v>2637</v>
      </c>
      <c r="V1027" s="155">
        <v>-1.184E-2</v>
      </c>
      <c r="W1027" s="155">
        <v>2.0799999999999999E-2</v>
      </c>
      <c r="X1027" s="153" t="s">
        <v>412</v>
      </c>
      <c r="Y1027" s="153" t="s">
        <v>339</v>
      </c>
      <c r="Z1027" s="154">
        <v>30000</v>
      </c>
      <c r="AA1027" s="154">
        <v>1</v>
      </c>
      <c r="AB1027" s="154">
        <v>107.91</v>
      </c>
      <c r="AD1027" s="154">
        <v>32.372999999999998</v>
      </c>
      <c r="AG1027" s="157" t="s">
        <v>15</v>
      </c>
      <c r="AH1027" s="155">
        <v>6.0000000000000002E-5</v>
      </c>
      <c r="AI1027" s="155">
        <f t="shared" ref="AI1027:AI1090" si="16">AD1027/SUMIF(B:B,B1027,AD:AD)</f>
        <v>1.0215593892515032E-3</v>
      </c>
      <c r="AJ1027" s="155">
        <v>1.0599754480924663E-4</v>
      </c>
    </row>
    <row r="1028" spans="1:36" s="160" customFormat="1">
      <c r="A1028" s="153" t="s">
        <v>1213</v>
      </c>
      <c r="B1028" s="160">
        <v>9300</v>
      </c>
      <c r="C1028" s="153" t="s">
        <v>2741</v>
      </c>
      <c r="D1028" s="153" t="s">
        <v>2742</v>
      </c>
      <c r="E1028" s="153" t="s">
        <v>309</v>
      </c>
      <c r="F1028" s="153" t="s">
        <v>3025</v>
      </c>
      <c r="G1028" s="153" t="s">
        <v>3026</v>
      </c>
      <c r="H1028" s="153" t="s">
        <v>321</v>
      </c>
      <c r="I1028" s="153" t="s">
        <v>754</v>
      </c>
      <c r="J1028" s="153" t="s">
        <v>204</v>
      </c>
      <c r="K1028" s="153" t="s">
        <v>204</v>
      </c>
      <c r="L1028" s="153" t="s">
        <v>325</v>
      </c>
      <c r="M1028" s="153" t="s">
        <v>340</v>
      </c>
      <c r="N1028" s="153" t="s">
        <v>464</v>
      </c>
      <c r="O1028" s="153" t="s">
        <v>339</v>
      </c>
      <c r="P1028" s="153" t="s">
        <v>1544</v>
      </c>
      <c r="Q1028" s="153" t="s">
        <v>415</v>
      </c>
      <c r="R1028" s="153" t="s">
        <v>407</v>
      </c>
      <c r="S1028" s="153" t="s">
        <v>1212</v>
      </c>
      <c r="T1028" s="154">
        <v>1.1599999999999999</v>
      </c>
      <c r="U1028" s="153" t="s">
        <v>1777</v>
      </c>
      <c r="V1028" s="155">
        <v>2.0600000000000002E-3</v>
      </c>
      <c r="W1028" s="155">
        <v>2.58E-2</v>
      </c>
      <c r="X1028" s="153" t="s">
        <v>412</v>
      </c>
      <c r="Y1028" s="153" t="s">
        <v>339</v>
      </c>
      <c r="Z1028" s="154">
        <v>26000.53</v>
      </c>
      <c r="AA1028" s="154">
        <v>1</v>
      </c>
      <c r="AB1028" s="154">
        <v>117.36</v>
      </c>
      <c r="AD1028" s="154">
        <v>30.513999999999999</v>
      </c>
      <c r="AG1028" s="157" t="s">
        <v>15</v>
      </c>
      <c r="AH1028" s="155">
        <v>8.0000000000000007E-5</v>
      </c>
      <c r="AI1028" s="155">
        <f t="shared" si="16"/>
        <v>9.6289695745282696E-4</v>
      </c>
      <c r="AJ1028" s="155">
        <v>9.9910699728457424E-5</v>
      </c>
    </row>
    <row r="1029" spans="1:36" s="160" customFormat="1">
      <c r="A1029" s="153" t="s">
        <v>1213</v>
      </c>
      <c r="B1029" s="160">
        <v>9300</v>
      </c>
      <c r="C1029" s="153" t="s">
        <v>1550</v>
      </c>
      <c r="D1029" s="153" t="s">
        <v>1551</v>
      </c>
      <c r="E1029" s="153" t="s">
        <v>311</v>
      </c>
      <c r="F1029" s="153" t="s">
        <v>1657</v>
      </c>
      <c r="G1029" s="153" t="s">
        <v>1658</v>
      </c>
      <c r="H1029" s="153" t="s">
        <v>321</v>
      </c>
      <c r="I1029" s="153" t="s">
        <v>951</v>
      </c>
      <c r="J1029" s="153" t="s">
        <v>204</v>
      </c>
      <c r="K1029" s="153" t="s">
        <v>224</v>
      </c>
      <c r="L1029" s="153" t="s">
        <v>325</v>
      </c>
      <c r="M1029" s="153" t="s">
        <v>340</v>
      </c>
      <c r="N1029" s="153" t="s">
        <v>465</v>
      </c>
      <c r="O1029" s="153" t="s">
        <v>339</v>
      </c>
      <c r="P1029" s="153" t="s">
        <v>1560</v>
      </c>
      <c r="Q1029" s="153" t="s">
        <v>413</v>
      </c>
      <c r="R1029" s="153" t="s">
        <v>407</v>
      </c>
      <c r="S1029" s="153" t="s">
        <v>1212</v>
      </c>
      <c r="T1029" s="154">
        <v>2.02</v>
      </c>
      <c r="U1029" s="153" t="s">
        <v>1659</v>
      </c>
      <c r="V1029" s="155">
        <v>7.7920000000000003E-2</v>
      </c>
      <c r="W1029" s="155">
        <v>6.5199999999999994E-2</v>
      </c>
      <c r="X1029" s="153" t="s">
        <v>412</v>
      </c>
      <c r="Y1029" s="153" t="s">
        <v>339</v>
      </c>
      <c r="Z1029" s="154">
        <v>29100</v>
      </c>
      <c r="AA1029" s="154">
        <v>1</v>
      </c>
      <c r="AB1029" s="154">
        <v>102.45</v>
      </c>
      <c r="AD1029" s="154">
        <v>29.812999999999999</v>
      </c>
      <c r="AG1029" s="157" t="s">
        <v>15</v>
      </c>
      <c r="AH1029" s="155">
        <v>8.0000000000000007E-5</v>
      </c>
      <c r="AI1029" s="155">
        <f t="shared" si="16"/>
        <v>9.4077626638726917E-4</v>
      </c>
      <c r="AJ1029" s="155">
        <v>9.7615445074539594E-5</v>
      </c>
    </row>
    <row r="1030" spans="1:36" s="160" customFormat="1">
      <c r="A1030" s="153" t="s">
        <v>1213</v>
      </c>
      <c r="B1030" s="160">
        <v>9300</v>
      </c>
      <c r="C1030" s="153" t="s">
        <v>3027</v>
      </c>
      <c r="D1030" s="153" t="s">
        <v>3028</v>
      </c>
      <c r="E1030" s="153" t="s">
        <v>311</v>
      </c>
      <c r="F1030" s="153" t="s">
        <v>3029</v>
      </c>
      <c r="G1030" s="153" t="s">
        <v>3030</v>
      </c>
      <c r="H1030" s="153" t="s">
        <v>321</v>
      </c>
      <c r="I1030" s="153" t="s">
        <v>754</v>
      </c>
      <c r="J1030" s="153" t="s">
        <v>204</v>
      </c>
      <c r="K1030" s="153" t="s">
        <v>204</v>
      </c>
      <c r="L1030" s="153" t="s">
        <v>325</v>
      </c>
      <c r="M1030" s="153" t="s">
        <v>340</v>
      </c>
      <c r="N1030" s="153" t="s">
        <v>464</v>
      </c>
      <c r="O1030" s="153" t="s">
        <v>339</v>
      </c>
      <c r="Q1030" s="153" t="s">
        <v>410</v>
      </c>
      <c r="R1030" s="153" t="s">
        <v>410</v>
      </c>
      <c r="S1030" s="153" t="s">
        <v>1212</v>
      </c>
      <c r="T1030" s="154">
        <v>2.87</v>
      </c>
      <c r="U1030" s="153" t="s">
        <v>1744</v>
      </c>
      <c r="V1030" s="155">
        <v>6.234E-2</v>
      </c>
      <c r="W1030" s="155">
        <v>4.4900000000000002E-2</v>
      </c>
      <c r="X1030" s="153" t="s">
        <v>412</v>
      </c>
      <c r="Y1030" s="153" t="s">
        <v>339</v>
      </c>
      <c r="Z1030" s="154">
        <v>26000</v>
      </c>
      <c r="AA1030" s="154">
        <v>1</v>
      </c>
      <c r="AB1030" s="154">
        <v>110.7</v>
      </c>
      <c r="AD1030" s="154">
        <v>28.782</v>
      </c>
      <c r="AG1030" s="157" t="s">
        <v>15</v>
      </c>
      <c r="AH1030" s="155">
        <v>3.4000000000000002E-4</v>
      </c>
      <c r="AI1030" s="155">
        <f t="shared" si="16"/>
        <v>9.0824212588999371E-4</v>
      </c>
      <c r="AJ1030" s="155">
        <v>9.4239685376694678E-5</v>
      </c>
    </row>
    <row r="1031" spans="1:36" s="160" customFormat="1">
      <c r="A1031" s="153" t="s">
        <v>1213</v>
      </c>
      <c r="B1031" s="160">
        <v>9300</v>
      </c>
      <c r="C1031" s="153" t="s">
        <v>2328</v>
      </c>
      <c r="D1031" s="153" t="s">
        <v>2329</v>
      </c>
      <c r="E1031" s="153" t="s">
        <v>309</v>
      </c>
      <c r="F1031" s="153" t="s">
        <v>3031</v>
      </c>
      <c r="G1031" s="153" t="s">
        <v>3032</v>
      </c>
      <c r="H1031" s="153" t="s">
        <v>321</v>
      </c>
      <c r="I1031" s="153" t="s">
        <v>951</v>
      </c>
      <c r="J1031" s="153" t="s">
        <v>204</v>
      </c>
      <c r="K1031" s="153" t="s">
        <v>204</v>
      </c>
      <c r="L1031" s="153" t="s">
        <v>325</v>
      </c>
      <c r="M1031" s="153" t="s">
        <v>340</v>
      </c>
      <c r="N1031" s="153" t="s">
        <v>465</v>
      </c>
      <c r="O1031" s="153" t="s">
        <v>339</v>
      </c>
      <c r="P1031" s="153" t="s">
        <v>1923</v>
      </c>
      <c r="Q1031" s="153" t="s">
        <v>415</v>
      </c>
      <c r="R1031" s="153" t="s">
        <v>407</v>
      </c>
      <c r="S1031" s="153" t="s">
        <v>1212</v>
      </c>
      <c r="T1031" s="154">
        <v>2.0099999999999998</v>
      </c>
      <c r="U1031" s="153" t="s">
        <v>1659</v>
      </c>
      <c r="V1031" s="155">
        <v>5.2330000000000002E-2</v>
      </c>
      <c r="W1031" s="155">
        <v>5.5100000000000003E-2</v>
      </c>
      <c r="X1031" s="153" t="s">
        <v>412</v>
      </c>
      <c r="Y1031" s="153" t="s">
        <v>339</v>
      </c>
      <c r="Z1031" s="154">
        <v>30000.04</v>
      </c>
      <c r="AA1031" s="154">
        <v>1</v>
      </c>
      <c r="AB1031" s="154">
        <v>95.5</v>
      </c>
      <c r="AD1031" s="154">
        <v>28.65</v>
      </c>
      <c r="AG1031" s="157" t="s">
        <v>15</v>
      </c>
      <c r="AH1031" s="155">
        <v>3.8000000000000002E-4</v>
      </c>
      <c r="AI1031" s="155">
        <f t="shared" si="16"/>
        <v>9.0407674611730658E-4</v>
      </c>
      <c r="AJ1031" s="155">
        <v>9.3807483359123849E-5</v>
      </c>
    </row>
    <row r="1032" spans="1:36" s="160" customFormat="1">
      <c r="A1032" s="153" t="s">
        <v>1213</v>
      </c>
      <c r="B1032" s="160">
        <v>9300</v>
      </c>
      <c r="C1032" s="153" t="s">
        <v>2835</v>
      </c>
      <c r="D1032" s="153" t="s">
        <v>2836</v>
      </c>
      <c r="E1032" s="153" t="s">
        <v>309</v>
      </c>
      <c r="F1032" s="153" t="s">
        <v>3033</v>
      </c>
      <c r="G1032" s="153" t="s">
        <v>3034</v>
      </c>
      <c r="H1032" s="153" t="s">
        <v>321</v>
      </c>
      <c r="I1032" s="153" t="s">
        <v>951</v>
      </c>
      <c r="J1032" s="153" t="s">
        <v>204</v>
      </c>
      <c r="K1032" s="153" t="s">
        <v>204</v>
      </c>
      <c r="L1032" s="153" t="s">
        <v>325</v>
      </c>
      <c r="M1032" s="153" t="s">
        <v>340</v>
      </c>
      <c r="N1032" s="153" t="s">
        <v>466</v>
      </c>
      <c r="O1032" s="153" t="s">
        <v>339</v>
      </c>
      <c r="P1032" s="153" t="s">
        <v>1521</v>
      </c>
      <c r="Q1032" s="153" t="s">
        <v>413</v>
      </c>
      <c r="R1032" s="153" t="s">
        <v>407</v>
      </c>
      <c r="S1032" s="153" t="s">
        <v>1212</v>
      </c>
      <c r="T1032" s="154">
        <v>0.25</v>
      </c>
      <c r="U1032" s="153" t="s">
        <v>2541</v>
      </c>
      <c r="V1032" s="155">
        <v>5.9040000000000002E-2</v>
      </c>
      <c r="W1032" s="155">
        <v>5.74E-2</v>
      </c>
      <c r="X1032" s="153" t="s">
        <v>412</v>
      </c>
      <c r="Y1032" s="153" t="s">
        <v>339</v>
      </c>
      <c r="Z1032" s="154">
        <v>27000.19</v>
      </c>
      <c r="AA1032" s="154">
        <v>1</v>
      </c>
      <c r="AB1032" s="154">
        <v>100.96</v>
      </c>
      <c r="AD1032" s="154">
        <v>27.259</v>
      </c>
      <c r="AG1032" s="157" t="s">
        <v>15</v>
      </c>
      <c r="AH1032" s="155">
        <v>3.2000000000000003E-4</v>
      </c>
      <c r="AI1032" s="155">
        <f t="shared" si="16"/>
        <v>8.6018247896724816E-4</v>
      </c>
      <c r="AJ1032" s="155">
        <v>8.9252990886085767E-5</v>
      </c>
    </row>
    <row r="1033" spans="1:36" s="160" customFormat="1">
      <c r="A1033" s="153" t="s">
        <v>1213</v>
      </c>
      <c r="B1033" s="160">
        <v>9300</v>
      </c>
      <c r="C1033" s="153" t="s">
        <v>2336</v>
      </c>
      <c r="D1033" s="153" t="s">
        <v>2337</v>
      </c>
      <c r="E1033" s="153" t="s">
        <v>309</v>
      </c>
      <c r="F1033" s="153" t="s">
        <v>2629</v>
      </c>
      <c r="G1033" s="153" t="s">
        <v>2630</v>
      </c>
      <c r="H1033" s="153" t="s">
        <v>321</v>
      </c>
      <c r="I1033" s="153" t="s">
        <v>754</v>
      </c>
      <c r="J1033" s="153" t="s">
        <v>204</v>
      </c>
      <c r="K1033" s="153" t="s">
        <v>204</v>
      </c>
      <c r="L1033" s="153" t="s">
        <v>325</v>
      </c>
      <c r="M1033" s="153" t="s">
        <v>340</v>
      </c>
      <c r="N1033" s="153" t="s">
        <v>464</v>
      </c>
      <c r="O1033" s="153" t="s">
        <v>339</v>
      </c>
      <c r="P1033" s="153" t="s">
        <v>1982</v>
      </c>
      <c r="Q1033" s="153" t="s">
        <v>415</v>
      </c>
      <c r="R1033" s="153" t="s">
        <v>407</v>
      </c>
      <c r="S1033" s="153" t="s">
        <v>1212</v>
      </c>
      <c r="T1033" s="154">
        <v>0.28000000000000003</v>
      </c>
      <c r="U1033" s="153" t="s">
        <v>2631</v>
      </c>
      <c r="V1033" s="155">
        <v>-1E-4</v>
      </c>
      <c r="W1033" s="155">
        <v>4.65E-2</v>
      </c>
      <c r="X1033" s="153" t="s">
        <v>412</v>
      </c>
      <c r="Y1033" s="153" t="s">
        <v>339</v>
      </c>
      <c r="Z1033" s="154">
        <v>23000</v>
      </c>
      <c r="AA1033" s="154">
        <v>1</v>
      </c>
      <c r="AB1033" s="154">
        <v>116.74</v>
      </c>
      <c r="AD1033" s="154">
        <v>26.85</v>
      </c>
      <c r="AG1033" s="157" t="s">
        <v>15</v>
      </c>
      <c r="AH1033" s="155">
        <v>1.7000000000000001E-4</v>
      </c>
      <c r="AI1033" s="155">
        <f t="shared" si="16"/>
        <v>8.472761128533921E-4</v>
      </c>
      <c r="AJ1033" s="155">
        <v>8.7913819483157965E-5</v>
      </c>
    </row>
    <row r="1034" spans="1:36" s="160" customFormat="1">
      <c r="A1034" s="153" t="s">
        <v>1213</v>
      </c>
      <c r="B1034" s="160">
        <v>9300</v>
      </c>
      <c r="C1034" s="153" t="s">
        <v>2463</v>
      </c>
      <c r="D1034" s="153" t="s">
        <v>2464</v>
      </c>
      <c r="E1034" s="153" t="s">
        <v>309</v>
      </c>
      <c r="F1034" s="153" t="s">
        <v>3035</v>
      </c>
      <c r="G1034" s="153" t="s">
        <v>3036</v>
      </c>
      <c r="H1034" s="153" t="s">
        <v>321</v>
      </c>
      <c r="I1034" s="153" t="s">
        <v>754</v>
      </c>
      <c r="J1034" s="153" t="s">
        <v>204</v>
      </c>
      <c r="K1034" s="153" t="s">
        <v>204</v>
      </c>
      <c r="L1034" s="153" t="s">
        <v>325</v>
      </c>
      <c r="M1034" s="153" t="s">
        <v>340</v>
      </c>
      <c r="N1034" s="153" t="s">
        <v>465</v>
      </c>
      <c r="O1034" s="153" t="s">
        <v>339</v>
      </c>
      <c r="P1034" s="153" t="s">
        <v>1560</v>
      </c>
      <c r="Q1034" s="153" t="s">
        <v>413</v>
      </c>
      <c r="R1034" s="153" t="s">
        <v>407</v>
      </c>
      <c r="S1034" s="153" t="s">
        <v>1212</v>
      </c>
      <c r="T1034" s="154">
        <v>4.74</v>
      </c>
      <c r="U1034" s="153" t="s">
        <v>1962</v>
      </c>
      <c r="V1034" s="155">
        <v>4.6739999999999997E-2</v>
      </c>
      <c r="W1034" s="155">
        <v>4.2900000000000001E-2</v>
      </c>
      <c r="X1034" s="153" t="s">
        <v>412</v>
      </c>
      <c r="Y1034" s="153" t="s">
        <v>339</v>
      </c>
      <c r="Z1034" s="154">
        <v>25000</v>
      </c>
      <c r="AA1034" s="154">
        <v>1</v>
      </c>
      <c r="AB1034" s="154">
        <v>106.46</v>
      </c>
      <c r="AD1034" s="154">
        <v>26.614999999999998</v>
      </c>
      <c r="AG1034" s="157" t="s">
        <v>15</v>
      </c>
      <c r="AH1034" s="155">
        <v>6.0000000000000002E-5</v>
      </c>
      <c r="AI1034" s="155">
        <f t="shared" si="16"/>
        <v>8.3986047462171422E-4</v>
      </c>
      <c r="AJ1034" s="155">
        <v>8.7144368921573511E-5</v>
      </c>
    </row>
    <row r="1035" spans="1:36" s="160" customFormat="1">
      <c r="A1035" s="153" t="s">
        <v>1213</v>
      </c>
      <c r="B1035" s="160">
        <v>9300</v>
      </c>
      <c r="C1035" s="153" t="s">
        <v>2771</v>
      </c>
      <c r="D1035" s="153" t="s">
        <v>2772</v>
      </c>
      <c r="E1035" s="153" t="s">
        <v>309</v>
      </c>
      <c r="F1035" s="153" t="s">
        <v>2849</v>
      </c>
      <c r="G1035" s="153" t="s">
        <v>2850</v>
      </c>
      <c r="H1035" s="153" t="s">
        <v>321</v>
      </c>
      <c r="I1035" s="153" t="s">
        <v>951</v>
      </c>
      <c r="J1035" s="153" t="s">
        <v>204</v>
      </c>
      <c r="K1035" s="153" t="s">
        <v>204</v>
      </c>
      <c r="L1035" s="153" t="s">
        <v>325</v>
      </c>
      <c r="M1035" s="153" t="s">
        <v>340</v>
      </c>
      <c r="N1035" s="153" t="s">
        <v>447</v>
      </c>
      <c r="O1035" s="153" t="s">
        <v>339</v>
      </c>
      <c r="P1035" s="153" t="s">
        <v>1614</v>
      </c>
      <c r="Q1035" s="153" t="s">
        <v>415</v>
      </c>
      <c r="R1035" s="153" t="s">
        <v>407</v>
      </c>
      <c r="S1035" s="153" t="s">
        <v>1212</v>
      </c>
      <c r="T1035" s="154">
        <v>0.74</v>
      </c>
      <c r="U1035" s="153" t="s">
        <v>1848</v>
      </c>
      <c r="V1035" s="155">
        <v>5.5620000000000003E-2</v>
      </c>
      <c r="W1035" s="155">
        <v>5.8000000000000003E-2</v>
      </c>
      <c r="X1035" s="153" t="s">
        <v>412</v>
      </c>
      <c r="Y1035" s="153" t="s">
        <v>339</v>
      </c>
      <c r="Z1035" s="154">
        <v>26000</v>
      </c>
      <c r="AA1035" s="154">
        <v>1</v>
      </c>
      <c r="AB1035" s="154">
        <v>98.95</v>
      </c>
      <c r="AD1035" s="154">
        <v>25.727</v>
      </c>
      <c r="AG1035" s="157" t="s">
        <v>15</v>
      </c>
      <c r="AH1035" s="155">
        <v>4.6000000000000001E-4</v>
      </c>
      <c r="AI1035" s="155">
        <f t="shared" si="16"/>
        <v>8.1183882887818316E-4</v>
      </c>
      <c r="AJ1035" s="155">
        <v>8.4236828076097016E-5</v>
      </c>
    </row>
    <row r="1036" spans="1:36" s="160" customFormat="1">
      <c r="A1036" s="153" t="s">
        <v>1213</v>
      </c>
      <c r="B1036" s="160">
        <v>9300</v>
      </c>
      <c r="C1036" s="153" t="s">
        <v>1737</v>
      </c>
      <c r="D1036" s="153" t="s">
        <v>1738</v>
      </c>
      <c r="E1036" s="153" t="s">
        <v>309</v>
      </c>
      <c r="F1036" s="153" t="s">
        <v>3037</v>
      </c>
      <c r="G1036" s="153" t="s">
        <v>3038</v>
      </c>
      <c r="H1036" s="153" t="s">
        <v>321</v>
      </c>
      <c r="I1036" s="153" t="s">
        <v>754</v>
      </c>
      <c r="J1036" s="153" t="s">
        <v>204</v>
      </c>
      <c r="K1036" s="153" t="s">
        <v>204</v>
      </c>
      <c r="L1036" s="153" t="s">
        <v>325</v>
      </c>
      <c r="M1036" s="153" t="s">
        <v>340</v>
      </c>
      <c r="N1036" s="153" t="s">
        <v>447</v>
      </c>
      <c r="O1036" s="153" t="s">
        <v>339</v>
      </c>
      <c r="Q1036" s="153" t="s">
        <v>410</v>
      </c>
      <c r="R1036" s="153" t="s">
        <v>410</v>
      </c>
      <c r="S1036" s="153" t="s">
        <v>1212</v>
      </c>
      <c r="T1036" s="154">
        <v>1.63</v>
      </c>
      <c r="U1036" s="153" t="s">
        <v>1659</v>
      </c>
      <c r="V1036" s="155">
        <v>3.1949999999999999E-2</v>
      </c>
      <c r="W1036" s="155">
        <v>4.48E-2</v>
      </c>
      <c r="X1036" s="153" t="s">
        <v>412</v>
      </c>
      <c r="Y1036" s="153" t="s">
        <v>339</v>
      </c>
      <c r="Z1036" s="154">
        <v>23000</v>
      </c>
      <c r="AA1036" s="154">
        <v>1</v>
      </c>
      <c r="AB1036" s="154">
        <v>108.54</v>
      </c>
      <c r="AD1036" s="154">
        <v>24.963999999999999</v>
      </c>
      <c r="AG1036" s="157" t="s">
        <v>15</v>
      </c>
      <c r="AH1036" s="155">
        <v>1.2999999999999999E-4</v>
      </c>
      <c r="AI1036" s="155">
        <f t="shared" si="16"/>
        <v>7.8776167155575707E-4</v>
      </c>
      <c r="AJ1036" s="155">
        <v>8.1738569444229233E-5</v>
      </c>
    </row>
    <row r="1037" spans="1:36" s="160" customFormat="1">
      <c r="A1037" s="153" t="s">
        <v>1213</v>
      </c>
      <c r="B1037" s="160">
        <v>9300</v>
      </c>
      <c r="C1037" s="153" t="s">
        <v>2780</v>
      </c>
      <c r="D1037" s="153" t="s">
        <v>2781</v>
      </c>
      <c r="E1037" s="153" t="s">
        <v>309</v>
      </c>
      <c r="F1037" s="153" t="s">
        <v>3039</v>
      </c>
      <c r="G1037" s="153" t="s">
        <v>3040</v>
      </c>
      <c r="H1037" s="153" t="s">
        <v>321</v>
      </c>
      <c r="I1037" s="153" t="s">
        <v>754</v>
      </c>
      <c r="J1037" s="153" t="s">
        <v>204</v>
      </c>
      <c r="K1037" s="153" t="s">
        <v>204</v>
      </c>
      <c r="L1037" s="153" t="s">
        <v>325</v>
      </c>
      <c r="M1037" s="153" t="s">
        <v>340</v>
      </c>
      <c r="N1037" s="153" t="s">
        <v>464</v>
      </c>
      <c r="O1037" s="153" t="s">
        <v>339</v>
      </c>
      <c r="P1037" s="153" t="s">
        <v>1521</v>
      </c>
      <c r="Q1037" s="153" t="s">
        <v>413</v>
      </c>
      <c r="R1037" s="153" t="s">
        <v>407</v>
      </c>
      <c r="S1037" s="153" t="s">
        <v>1212</v>
      </c>
      <c r="T1037" s="154">
        <v>3.9</v>
      </c>
      <c r="U1037" s="153" t="s">
        <v>1587</v>
      </c>
      <c r="V1037" s="155">
        <v>2.2380000000000001E-2</v>
      </c>
      <c r="W1037" s="155">
        <v>2.8500000000000001E-2</v>
      </c>
      <c r="X1037" s="153" t="s">
        <v>412</v>
      </c>
      <c r="Y1037" s="153" t="s">
        <v>339</v>
      </c>
      <c r="Z1037" s="154">
        <v>22000.080000000002</v>
      </c>
      <c r="AA1037" s="154">
        <v>1</v>
      </c>
      <c r="AB1037" s="154">
        <v>110.2</v>
      </c>
      <c r="AD1037" s="154">
        <v>24.244</v>
      </c>
      <c r="AG1037" s="157" t="s">
        <v>15</v>
      </c>
      <c r="AH1037" s="155">
        <v>6.0000000000000002E-5</v>
      </c>
      <c r="AI1037" s="155">
        <f t="shared" si="16"/>
        <v>7.6504141825019126E-4</v>
      </c>
      <c r="AJ1037" s="155">
        <v>7.9381103893842888E-5</v>
      </c>
    </row>
    <row r="1038" spans="1:36" s="160" customFormat="1">
      <c r="A1038" s="153" t="s">
        <v>1213</v>
      </c>
      <c r="B1038" s="160">
        <v>9300</v>
      </c>
      <c r="C1038" s="153" t="s">
        <v>3041</v>
      </c>
      <c r="D1038" s="153" t="s">
        <v>3042</v>
      </c>
      <c r="E1038" s="153" t="s">
        <v>309</v>
      </c>
      <c r="F1038" s="153" t="s">
        <v>3043</v>
      </c>
      <c r="G1038" s="153" t="s">
        <v>3044</v>
      </c>
      <c r="H1038" s="153" t="s">
        <v>321</v>
      </c>
      <c r="I1038" s="153" t="s">
        <v>951</v>
      </c>
      <c r="J1038" s="153" t="s">
        <v>204</v>
      </c>
      <c r="K1038" s="153" t="s">
        <v>204</v>
      </c>
      <c r="L1038" s="153" t="s">
        <v>325</v>
      </c>
      <c r="M1038" s="153" t="s">
        <v>340</v>
      </c>
      <c r="N1038" s="153" t="s">
        <v>459</v>
      </c>
      <c r="O1038" s="153" t="s">
        <v>339</v>
      </c>
      <c r="P1038" s="153" t="s">
        <v>1544</v>
      </c>
      <c r="Q1038" s="153" t="s">
        <v>415</v>
      </c>
      <c r="R1038" s="153" t="s">
        <v>407</v>
      </c>
      <c r="S1038" s="153" t="s">
        <v>1212</v>
      </c>
      <c r="T1038" s="154">
        <v>0.25</v>
      </c>
      <c r="U1038" s="153" t="s">
        <v>2541</v>
      </c>
      <c r="V1038" s="155">
        <v>2.9669999999999998E-2</v>
      </c>
      <c r="W1038" s="155">
        <v>5.8900000000000001E-2</v>
      </c>
      <c r="X1038" s="153" t="s">
        <v>412</v>
      </c>
      <c r="Y1038" s="153" t="s">
        <v>339</v>
      </c>
      <c r="Z1038" s="154">
        <v>24000.33</v>
      </c>
      <c r="AA1038" s="154">
        <v>1</v>
      </c>
      <c r="AB1038" s="154">
        <v>100.16</v>
      </c>
      <c r="AD1038" s="154">
        <v>24.039000000000001</v>
      </c>
      <c r="AG1038" s="157" t="s">
        <v>15</v>
      </c>
      <c r="AH1038" s="155">
        <v>1.23E-3</v>
      </c>
      <c r="AI1038" s="155">
        <f t="shared" si="16"/>
        <v>7.5857245723957888E-4</v>
      </c>
      <c r="AJ1038" s="155">
        <v>7.8709881063524555E-5</v>
      </c>
    </row>
    <row r="1039" spans="1:36" s="160" customFormat="1">
      <c r="A1039" s="153" t="s">
        <v>1213</v>
      </c>
      <c r="B1039" s="160">
        <v>9300</v>
      </c>
      <c r="C1039" s="153" t="s">
        <v>2155</v>
      </c>
      <c r="D1039" s="153" t="s">
        <v>2156</v>
      </c>
      <c r="E1039" s="153" t="s">
        <v>309</v>
      </c>
      <c r="F1039" s="153" t="s">
        <v>2593</v>
      </c>
      <c r="G1039" s="153" t="s">
        <v>2594</v>
      </c>
      <c r="H1039" s="153" t="s">
        <v>321</v>
      </c>
      <c r="I1039" s="153" t="s">
        <v>951</v>
      </c>
      <c r="J1039" s="153" t="s">
        <v>204</v>
      </c>
      <c r="K1039" s="153" t="s">
        <v>204</v>
      </c>
      <c r="L1039" s="153" t="s">
        <v>325</v>
      </c>
      <c r="M1039" s="153" t="s">
        <v>340</v>
      </c>
      <c r="N1039" s="153" t="s">
        <v>451</v>
      </c>
      <c r="O1039" s="153" t="s">
        <v>339</v>
      </c>
      <c r="P1039" s="153" t="s">
        <v>1521</v>
      </c>
      <c r="Q1039" s="153" t="s">
        <v>413</v>
      </c>
      <c r="R1039" s="153" t="s">
        <v>407</v>
      </c>
      <c r="S1039" s="153" t="s">
        <v>1212</v>
      </c>
      <c r="T1039" s="154">
        <v>1.21</v>
      </c>
      <c r="U1039" s="153" t="s">
        <v>1833</v>
      </c>
      <c r="V1039" s="155">
        <v>4.7E-2</v>
      </c>
      <c r="W1039" s="155">
        <v>5.4800000000000001E-2</v>
      </c>
      <c r="X1039" s="153" t="s">
        <v>412</v>
      </c>
      <c r="Y1039" s="153" t="s">
        <v>339</v>
      </c>
      <c r="Z1039" s="154">
        <v>23000.02</v>
      </c>
      <c r="AA1039" s="154">
        <v>1</v>
      </c>
      <c r="AB1039" s="154">
        <v>99.35</v>
      </c>
      <c r="AD1039" s="154">
        <v>22.850999999999999</v>
      </c>
      <c r="AG1039" s="157" t="s">
        <v>15</v>
      </c>
      <c r="AH1039" s="155">
        <v>1.7000000000000001E-4</v>
      </c>
      <c r="AI1039" s="155">
        <f t="shared" si="16"/>
        <v>7.2108403928539523E-4</v>
      </c>
      <c r="AJ1039" s="155">
        <v>7.4820062905387054E-5</v>
      </c>
    </row>
    <row r="1040" spans="1:36" s="160" customFormat="1">
      <c r="A1040" s="153" t="s">
        <v>1213</v>
      </c>
      <c r="B1040" s="160">
        <v>9300</v>
      </c>
      <c r="C1040" s="153" t="s">
        <v>1634</v>
      </c>
      <c r="D1040" s="153" t="s">
        <v>1635</v>
      </c>
      <c r="E1040" s="153" t="s">
        <v>309</v>
      </c>
      <c r="F1040" s="153" t="s">
        <v>3045</v>
      </c>
      <c r="G1040" s="153" t="s">
        <v>3046</v>
      </c>
      <c r="H1040" s="153" t="s">
        <v>321</v>
      </c>
      <c r="I1040" s="153" t="s">
        <v>951</v>
      </c>
      <c r="J1040" s="153" t="s">
        <v>204</v>
      </c>
      <c r="K1040" s="153" t="s">
        <v>204</v>
      </c>
      <c r="L1040" s="153" t="s">
        <v>325</v>
      </c>
      <c r="M1040" s="153" t="s">
        <v>340</v>
      </c>
      <c r="N1040" s="153" t="s">
        <v>454</v>
      </c>
      <c r="O1040" s="153" t="s">
        <v>339</v>
      </c>
      <c r="P1040" s="153" t="s">
        <v>1554</v>
      </c>
      <c r="Q1040" s="153" t="s">
        <v>413</v>
      </c>
      <c r="R1040" s="153" t="s">
        <v>407</v>
      </c>
      <c r="S1040" s="153" t="s">
        <v>1212</v>
      </c>
      <c r="T1040" s="154">
        <v>2.39</v>
      </c>
      <c r="U1040" s="153" t="s">
        <v>3047</v>
      </c>
      <c r="V1040" s="155">
        <v>4.9419999999999999E-2</v>
      </c>
      <c r="W1040" s="155">
        <v>6.4199999999999993E-2</v>
      </c>
      <c r="X1040" s="153" t="s">
        <v>412</v>
      </c>
      <c r="Y1040" s="153" t="s">
        <v>339</v>
      </c>
      <c r="Z1040" s="154">
        <v>23000</v>
      </c>
      <c r="AA1040" s="154">
        <v>1</v>
      </c>
      <c r="AB1040" s="154">
        <v>98.6</v>
      </c>
      <c r="AD1040" s="154">
        <v>22.678000000000001</v>
      </c>
      <c r="AG1040" s="157" t="s">
        <v>15</v>
      </c>
      <c r="AH1040" s="155">
        <v>6.9999999999999994E-5</v>
      </c>
      <c r="AI1040" s="155">
        <f t="shared" si="16"/>
        <v>7.1562486731058565E-4</v>
      </c>
      <c r="AJ1040" s="155">
        <v>7.4253616321752553E-5</v>
      </c>
    </row>
    <row r="1041" spans="1:36" s="160" customFormat="1">
      <c r="A1041" s="153" t="s">
        <v>1213</v>
      </c>
      <c r="B1041" s="160">
        <v>9300</v>
      </c>
      <c r="C1041" s="153" t="s">
        <v>3048</v>
      </c>
      <c r="D1041" s="153" t="s">
        <v>3049</v>
      </c>
      <c r="E1041" s="153" t="s">
        <v>309</v>
      </c>
      <c r="F1041" s="153" t="s">
        <v>3050</v>
      </c>
      <c r="G1041" s="153" t="s">
        <v>3051</v>
      </c>
      <c r="H1041" s="153" t="s">
        <v>321</v>
      </c>
      <c r="I1041" s="153" t="s">
        <v>951</v>
      </c>
      <c r="J1041" s="153" t="s">
        <v>204</v>
      </c>
      <c r="K1041" s="153" t="s">
        <v>204</v>
      </c>
      <c r="L1041" s="153" t="s">
        <v>325</v>
      </c>
      <c r="M1041" s="153" t="s">
        <v>340</v>
      </c>
      <c r="N1041" s="153" t="s">
        <v>463</v>
      </c>
      <c r="O1041" s="153" t="s">
        <v>339</v>
      </c>
      <c r="Q1041" s="153" t="s">
        <v>410</v>
      </c>
      <c r="R1041" s="153" t="s">
        <v>410</v>
      </c>
      <c r="S1041" s="153" t="s">
        <v>1212</v>
      </c>
      <c r="T1041" s="154">
        <v>3.6</v>
      </c>
      <c r="U1041" s="153" t="s">
        <v>1717</v>
      </c>
      <c r="V1041" s="155">
        <v>6.5320000000000003E-2</v>
      </c>
      <c r="W1041" s="155">
        <v>6.6900000000000001E-2</v>
      </c>
      <c r="X1041" s="153" t="s">
        <v>412</v>
      </c>
      <c r="Y1041" s="153" t="s">
        <v>339</v>
      </c>
      <c r="Z1041" s="154">
        <v>21000</v>
      </c>
      <c r="AA1041" s="154">
        <v>1</v>
      </c>
      <c r="AB1041" s="154">
        <v>106.5</v>
      </c>
      <c r="AD1041" s="154">
        <v>22.364999999999998</v>
      </c>
      <c r="AG1041" s="157" t="s">
        <v>15</v>
      </c>
      <c r="AH1041" s="155">
        <v>4.0000000000000002E-4</v>
      </c>
      <c r="AI1041" s="155">
        <f t="shared" si="16"/>
        <v>7.0574786830413828E-4</v>
      </c>
      <c r="AJ1041" s="155">
        <v>7.3228773658876259E-5</v>
      </c>
    </row>
    <row r="1042" spans="1:36" s="160" customFormat="1">
      <c r="A1042" s="153" t="s">
        <v>1213</v>
      </c>
      <c r="B1042" s="160">
        <v>9300</v>
      </c>
      <c r="C1042" s="153" t="s">
        <v>455</v>
      </c>
      <c r="D1042" s="153" t="s">
        <v>2106</v>
      </c>
      <c r="E1042" s="153" t="s">
        <v>309</v>
      </c>
      <c r="F1042" s="153" t="s">
        <v>2244</v>
      </c>
      <c r="G1042" s="153" t="s">
        <v>2245</v>
      </c>
      <c r="H1042" s="153" t="s">
        <v>321</v>
      </c>
      <c r="I1042" s="153" t="s">
        <v>754</v>
      </c>
      <c r="J1042" s="153" t="s">
        <v>204</v>
      </c>
      <c r="K1042" s="153" t="s">
        <v>204</v>
      </c>
      <c r="L1042" s="153" t="s">
        <v>325</v>
      </c>
      <c r="M1042" s="153" t="s">
        <v>340</v>
      </c>
      <c r="N1042" s="153" t="s">
        <v>440</v>
      </c>
      <c r="O1042" s="153" t="s">
        <v>339</v>
      </c>
      <c r="P1042" s="153" t="s">
        <v>1923</v>
      </c>
      <c r="Q1042" s="153" t="s">
        <v>415</v>
      </c>
      <c r="R1042" s="153" t="s">
        <v>407</v>
      </c>
      <c r="S1042" s="153" t="s">
        <v>1212</v>
      </c>
      <c r="T1042" s="154">
        <v>2.78</v>
      </c>
      <c r="U1042" s="153" t="s">
        <v>2246</v>
      </c>
      <c r="V1042" s="155">
        <v>3.1609999999999999E-2</v>
      </c>
      <c r="W1042" s="155">
        <v>2.24E-2</v>
      </c>
      <c r="X1042" s="153" t="s">
        <v>412</v>
      </c>
      <c r="Y1042" s="153" t="s">
        <v>339</v>
      </c>
      <c r="Z1042" s="154">
        <v>20000</v>
      </c>
      <c r="AA1042" s="154">
        <v>1</v>
      </c>
      <c r="AB1042" s="154">
        <v>110.06</v>
      </c>
      <c r="AD1042" s="154">
        <v>22.012</v>
      </c>
      <c r="AG1042" s="157" t="s">
        <v>15</v>
      </c>
      <c r="AH1042" s="155">
        <v>2.0000000000000002E-5</v>
      </c>
      <c r="AI1042" s="155">
        <f t="shared" si="16"/>
        <v>6.9460863300293727E-4</v>
      </c>
      <c r="AJ1042" s="155">
        <v>7.2072960687645168E-5</v>
      </c>
    </row>
    <row r="1043" spans="1:36" s="160" customFormat="1">
      <c r="A1043" s="153" t="s">
        <v>1213</v>
      </c>
      <c r="B1043" s="160">
        <v>9300</v>
      </c>
      <c r="C1043" s="153" t="s">
        <v>1591</v>
      </c>
      <c r="D1043" s="153" t="s">
        <v>1592</v>
      </c>
      <c r="E1043" s="153" t="s">
        <v>309</v>
      </c>
      <c r="F1043" s="153" t="s">
        <v>2261</v>
      </c>
      <c r="G1043" s="153" t="s">
        <v>2262</v>
      </c>
      <c r="H1043" s="153" t="s">
        <v>321</v>
      </c>
      <c r="I1043" s="153" t="s">
        <v>754</v>
      </c>
      <c r="J1043" s="153" t="s">
        <v>204</v>
      </c>
      <c r="K1043" s="153" t="s">
        <v>204</v>
      </c>
      <c r="L1043" s="153" t="s">
        <v>325</v>
      </c>
      <c r="M1043" s="153" t="s">
        <v>340</v>
      </c>
      <c r="N1043" s="153" t="s">
        <v>464</v>
      </c>
      <c r="O1043" s="153" t="s">
        <v>339</v>
      </c>
      <c r="P1043" s="153" t="s">
        <v>1538</v>
      </c>
      <c r="Q1043" s="153" t="s">
        <v>413</v>
      </c>
      <c r="R1043" s="153" t="s">
        <v>407</v>
      </c>
      <c r="S1043" s="153" t="s">
        <v>1212</v>
      </c>
      <c r="T1043" s="154">
        <v>0.98</v>
      </c>
      <c r="U1043" s="153" t="s">
        <v>1768</v>
      </c>
      <c r="V1043" s="155">
        <v>-1.2330000000000001E-2</v>
      </c>
      <c r="W1043" s="155">
        <v>2.5600000000000001E-2</v>
      </c>
      <c r="X1043" s="153" t="s">
        <v>412</v>
      </c>
      <c r="Y1043" s="153" t="s">
        <v>339</v>
      </c>
      <c r="Z1043" s="154">
        <v>15333.35</v>
      </c>
      <c r="AA1043" s="154">
        <v>1</v>
      </c>
      <c r="AB1043" s="154">
        <v>142.99</v>
      </c>
      <c r="AD1043" s="154">
        <v>21.925000000000001</v>
      </c>
      <c r="AG1043" s="157" t="s">
        <v>15</v>
      </c>
      <c r="AH1043" s="155">
        <v>2.0000000000000002E-5</v>
      </c>
      <c r="AI1043" s="155">
        <f t="shared" si="16"/>
        <v>6.9186326906184813E-4</v>
      </c>
      <c r="AJ1043" s="155">
        <v>7.1788100266973487E-5</v>
      </c>
    </row>
    <row r="1044" spans="1:36" s="160" customFormat="1">
      <c r="A1044" s="153" t="s">
        <v>1213</v>
      </c>
      <c r="B1044" s="160">
        <v>9300</v>
      </c>
      <c r="C1044" s="153" t="s">
        <v>2336</v>
      </c>
      <c r="D1044" s="153" t="s">
        <v>2337</v>
      </c>
      <c r="E1044" s="153" t="s">
        <v>309</v>
      </c>
      <c r="F1044" s="153" t="s">
        <v>2338</v>
      </c>
      <c r="G1044" s="153" t="s">
        <v>2339</v>
      </c>
      <c r="H1044" s="153" t="s">
        <v>321</v>
      </c>
      <c r="I1044" s="153" t="s">
        <v>754</v>
      </c>
      <c r="J1044" s="153" t="s">
        <v>204</v>
      </c>
      <c r="K1044" s="153" t="s">
        <v>204</v>
      </c>
      <c r="L1044" s="153" t="s">
        <v>325</v>
      </c>
      <c r="M1044" s="153" t="s">
        <v>340</v>
      </c>
      <c r="N1044" s="153" t="s">
        <v>464</v>
      </c>
      <c r="O1044" s="153" t="s">
        <v>339</v>
      </c>
      <c r="P1044" s="153" t="s">
        <v>1982</v>
      </c>
      <c r="Q1044" s="153" t="s">
        <v>415</v>
      </c>
      <c r="R1044" s="153" t="s">
        <v>407</v>
      </c>
      <c r="S1044" s="153" t="s">
        <v>1212</v>
      </c>
      <c r="T1044" s="154">
        <v>5.84</v>
      </c>
      <c r="U1044" s="153" t="s">
        <v>2340</v>
      </c>
      <c r="V1044" s="155">
        <v>1.9890000000000001E-2</v>
      </c>
      <c r="W1044" s="155">
        <v>3.39E-2</v>
      </c>
      <c r="X1044" s="153" t="s">
        <v>412</v>
      </c>
      <c r="Y1044" s="153" t="s">
        <v>339</v>
      </c>
      <c r="Z1044" s="154">
        <v>21001.439999999999</v>
      </c>
      <c r="AA1044" s="154">
        <v>1</v>
      </c>
      <c r="AB1044" s="154">
        <v>104.08</v>
      </c>
      <c r="AD1044" s="154">
        <v>21.858000000000001</v>
      </c>
      <c r="AG1044" s="157" t="s">
        <v>15</v>
      </c>
      <c r="AH1044" s="155">
        <v>2.0000000000000002E-5</v>
      </c>
      <c r="AI1044" s="155">
        <f t="shared" si="16"/>
        <v>6.8974902326813571E-4</v>
      </c>
      <c r="AJ1044" s="155">
        <v>7.1568725000479197E-5</v>
      </c>
    </row>
    <row r="1045" spans="1:36" s="160" customFormat="1">
      <c r="A1045" s="153" t="s">
        <v>1213</v>
      </c>
      <c r="B1045" s="160">
        <v>9300</v>
      </c>
      <c r="C1045" s="153" t="s">
        <v>3052</v>
      </c>
      <c r="D1045" s="153" t="s">
        <v>3053</v>
      </c>
      <c r="E1045" s="153" t="s">
        <v>309</v>
      </c>
      <c r="F1045" s="153" t="s">
        <v>3054</v>
      </c>
      <c r="G1045" s="153" t="s">
        <v>3055</v>
      </c>
      <c r="H1045" s="153" t="s">
        <v>321</v>
      </c>
      <c r="I1045" s="153" t="s">
        <v>951</v>
      </c>
      <c r="J1045" s="153" t="s">
        <v>204</v>
      </c>
      <c r="K1045" s="153" t="s">
        <v>204</v>
      </c>
      <c r="L1045" s="153" t="s">
        <v>325</v>
      </c>
      <c r="M1045" s="153" t="s">
        <v>340</v>
      </c>
      <c r="N1045" s="153" t="s">
        <v>447</v>
      </c>
      <c r="O1045" s="153" t="s">
        <v>339</v>
      </c>
      <c r="Q1045" s="153" t="s">
        <v>410</v>
      </c>
      <c r="R1045" s="153" t="s">
        <v>410</v>
      </c>
      <c r="S1045" s="153" t="s">
        <v>1212</v>
      </c>
      <c r="T1045" s="154">
        <v>1.97</v>
      </c>
      <c r="U1045" s="153" t="s">
        <v>2008</v>
      </c>
      <c r="V1045" s="155">
        <v>6.368E-2</v>
      </c>
      <c r="W1045" s="155">
        <v>8.1000000000000003E-2</v>
      </c>
      <c r="X1045" s="153" t="s">
        <v>412</v>
      </c>
      <c r="Y1045" s="153" t="s">
        <v>339</v>
      </c>
      <c r="Z1045" s="154">
        <v>20700</v>
      </c>
      <c r="AA1045" s="154">
        <v>1</v>
      </c>
      <c r="AB1045" s="154">
        <v>94.96</v>
      </c>
      <c r="AD1045" s="154">
        <v>19.657</v>
      </c>
      <c r="AG1045" s="157" t="s">
        <v>15</v>
      </c>
      <c r="AH1045" s="155">
        <v>1.2E-4</v>
      </c>
      <c r="AI1045" s="155">
        <f t="shared" si="16"/>
        <v>6.2029447114931571E-4</v>
      </c>
      <c r="AJ1045" s="155">
        <v>6.4362083783256461E-5</v>
      </c>
    </row>
    <row r="1046" spans="1:36" s="160" customFormat="1">
      <c r="A1046" s="153" t="s">
        <v>1213</v>
      </c>
      <c r="B1046" s="160">
        <v>9300</v>
      </c>
      <c r="C1046" s="153" t="s">
        <v>3056</v>
      </c>
      <c r="D1046" s="153" t="s">
        <v>3057</v>
      </c>
      <c r="E1046" s="153" t="s">
        <v>309</v>
      </c>
      <c r="F1046" s="153" t="s">
        <v>3058</v>
      </c>
      <c r="G1046" s="153" t="s">
        <v>3059</v>
      </c>
      <c r="H1046" s="153" t="s">
        <v>321</v>
      </c>
      <c r="I1046" s="153" t="s">
        <v>951</v>
      </c>
      <c r="J1046" s="153" t="s">
        <v>204</v>
      </c>
      <c r="K1046" s="153" t="s">
        <v>204</v>
      </c>
      <c r="L1046" s="153" t="s">
        <v>325</v>
      </c>
      <c r="M1046" s="153" t="s">
        <v>340</v>
      </c>
      <c r="N1046" s="153" t="s">
        <v>440</v>
      </c>
      <c r="O1046" s="153" t="s">
        <v>339</v>
      </c>
      <c r="Q1046" s="153" t="s">
        <v>410</v>
      </c>
      <c r="R1046" s="153" t="s">
        <v>410</v>
      </c>
      <c r="S1046" s="153" t="s">
        <v>1212</v>
      </c>
      <c r="T1046" s="154">
        <v>2.58</v>
      </c>
      <c r="U1046" s="153" t="s">
        <v>2057</v>
      </c>
      <c r="V1046" s="155">
        <v>7.4999999999999997E-2</v>
      </c>
      <c r="W1046" s="155">
        <v>6.1800000000000001E-2</v>
      </c>
      <c r="X1046" s="153" t="s">
        <v>412</v>
      </c>
      <c r="Y1046" s="153" t="s">
        <v>339</v>
      </c>
      <c r="Z1046" s="154">
        <v>16002.94</v>
      </c>
      <c r="AA1046" s="154">
        <v>1</v>
      </c>
      <c r="AB1046" s="154">
        <v>115.44</v>
      </c>
      <c r="AD1046" s="154">
        <v>18.474</v>
      </c>
      <c r="AG1046" s="157" t="s">
        <v>15</v>
      </c>
      <c r="AH1046" s="155">
        <v>1.1E-4</v>
      </c>
      <c r="AI1046" s="155">
        <f t="shared" si="16"/>
        <v>5.8296383273197629E-4</v>
      </c>
      <c r="AJ1046" s="155">
        <v>6.0488636913663318E-5</v>
      </c>
    </row>
    <row r="1047" spans="1:36" s="160" customFormat="1">
      <c r="A1047" s="153" t="s">
        <v>1213</v>
      </c>
      <c r="B1047" s="160">
        <v>9300</v>
      </c>
      <c r="C1047" s="153" t="s">
        <v>3060</v>
      </c>
      <c r="D1047" s="153" t="s">
        <v>3061</v>
      </c>
      <c r="E1047" s="153" t="s">
        <v>311</v>
      </c>
      <c r="F1047" s="153" t="s">
        <v>3062</v>
      </c>
      <c r="G1047" s="153" t="s">
        <v>3063</v>
      </c>
      <c r="H1047" s="153" t="s">
        <v>321</v>
      </c>
      <c r="I1047" s="153" t="s">
        <v>951</v>
      </c>
      <c r="J1047" s="153" t="s">
        <v>204</v>
      </c>
      <c r="K1047" s="153" t="s">
        <v>224</v>
      </c>
      <c r="L1047" s="153" t="s">
        <v>325</v>
      </c>
      <c r="M1047" s="153" t="s">
        <v>340</v>
      </c>
      <c r="N1047" s="153" t="s">
        <v>465</v>
      </c>
      <c r="O1047" s="153" t="s">
        <v>339</v>
      </c>
      <c r="P1047" s="153" t="s">
        <v>1560</v>
      </c>
      <c r="Q1047" s="153" t="s">
        <v>413</v>
      </c>
      <c r="R1047" s="153" t="s">
        <v>407</v>
      </c>
      <c r="S1047" s="153" t="s">
        <v>1212</v>
      </c>
      <c r="T1047" s="154">
        <v>1.68</v>
      </c>
      <c r="U1047" s="153" t="s">
        <v>2071</v>
      </c>
      <c r="V1047" s="155">
        <v>7.6499999999999999E-2</v>
      </c>
      <c r="W1047" s="155">
        <v>6.8400000000000002E-2</v>
      </c>
      <c r="X1047" s="153" t="s">
        <v>412</v>
      </c>
      <c r="Y1047" s="153" t="s">
        <v>339</v>
      </c>
      <c r="Z1047" s="154">
        <v>18000</v>
      </c>
      <c r="AA1047" s="154">
        <v>1</v>
      </c>
      <c r="AB1047" s="154">
        <v>102.4</v>
      </c>
      <c r="AD1047" s="154">
        <v>18.431999999999999</v>
      </c>
      <c r="AG1047" s="157" t="s">
        <v>15</v>
      </c>
      <c r="AH1047" s="155">
        <v>1.3999999999999999E-4</v>
      </c>
      <c r="AI1047" s="155">
        <f t="shared" si="16"/>
        <v>5.8163848462248493E-4</v>
      </c>
      <c r="AJ1047" s="155">
        <v>6.0351118089890777E-5</v>
      </c>
    </row>
    <row r="1048" spans="1:36" s="160" customFormat="1">
      <c r="A1048" s="153" t="s">
        <v>1213</v>
      </c>
      <c r="B1048" s="160">
        <v>9300</v>
      </c>
      <c r="C1048" s="153" t="s">
        <v>3064</v>
      </c>
      <c r="D1048" s="153" t="s">
        <v>3065</v>
      </c>
      <c r="E1048" s="153" t="s">
        <v>309</v>
      </c>
      <c r="F1048" s="153" t="s">
        <v>3066</v>
      </c>
      <c r="G1048" s="153" t="s">
        <v>3067</v>
      </c>
      <c r="H1048" s="153" t="s">
        <v>321</v>
      </c>
      <c r="I1048" s="153" t="s">
        <v>951</v>
      </c>
      <c r="J1048" s="153" t="s">
        <v>204</v>
      </c>
      <c r="K1048" s="153" t="s">
        <v>204</v>
      </c>
      <c r="L1048" s="153" t="s">
        <v>325</v>
      </c>
      <c r="M1048" s="153" t="s">
        <v>340</v>
      </c>
      <c r="N1048" s="153" t="s">
        <v>451</v>
      </c>
      <c r="O1048" s="153" t="s">
        <v>339</v>
      </c>
      <c r="Q1048" s="153" t="s">
        <v>410</v>
      </c>
      <c r="R1048" s="153" t="s">
        <v>410</v>
      </c>
      <c r="S1048" s="153" t="s">
        <v>1212</v>
      </c>
      <c r="T1048" s="154">
        <v>0.73</v>
      </c>
      <c r="U1048" s="153" t="s">
        <v>1777</v>
      </c>
      <c r="V1048" s="155">
        <v>5.9769999999999997E-2</v>
      </c>
      <c r="W1048" s="155">
        <v>5.9799999999999999E-2</v>
      </c>
      <c r="X1048" s="153" t="s">
        <v>412</v>
      </c>
      <c r="Y1048" s="153" t="s">
        <v>339</v>
      </c>
      <c r="Z1048" s="154">
        <v>17800.669999999998</v>
      </c>
      <c r="AA1048" s="154">
        <v>1</v>
      </c>
      <c r="AB1048" s="154">
        <v>99.16</v>
      </c>
      <c r="AD1048" s="154">
        <v>17.651</v>
      </c>
      <c r="AG1048" s="157" t="s">
        <v>15</v>
      </c>
      <c r="AH1048" s="155">
        <v>2.2000000000000001E-4</v>
      </c>
      <c r="AI1048" s="155">
        <f t="shared" si="16"/>
        <v>5.5699332096741984E-4</v>
      </c>
      <c r="AJ1048" s="155">
        <v>5.7793922819263354E-5</v>
      </c>
    </row>
    <row r="1049" spans="1:36" s="160" customFormat="1">
      <c r="A1049" s="153" t="s">
        <v>1213</v>
      </c>
      <c r="B1049" s="160">
        <v>9300</v>
      </c>
      <c r="C1049" s="153" t="s">
        <v>1807</v>
      </c>
      <c r="D1049" s="153" t="s">
        <v>1808</v>
      </c>
      <c r="E1049" s="153" t="s">
        <v>309</v>
      </c>
      <c r="F1049" s="153" t="s">
        <v>2284</v>
      </c>
      <c r="G1049" s="153" t="s">
        <v>2285</v>
      </c>
      <c r="H1049" s="153" t="s">
        <v>321</v>
      </c>
      <c r="I1049" s="153" t="s">
        <v>754</v>
      </c>
      <c r="J1049" s="153" t="s">
        <v>204</v>
      </c>
      <c r="K1049" s="153" t="s">
        <v>204</v>
      </c>
      <c r="L1049" s="153" t="s">
        <v>325</v>
      </c>
      <c r="M1049" s="153" t="s">
        <v>340</v>
      </c>
      <c r="N1049" s="153" t="s">
        <v>464</v>
      </c>
      <c r="O1049" s="153" t="s">
        <v>339</v>
      </c>
      <c r="P1049" s="153" t="s">
        <v>1923</v>
      </c>
      <c r="Q1049" s="153" t="s">
        <v>415</v>
      </c>
      <c r="R1049" s="153" t="s">
        <v>407</v>
      </c>
      <c r="S1049" s="153" t="s">
        <v>1212</v>
      </c>
      <c r="T1049" s="154">
        <v>5.47</v>
      </c>
      <c r="U1049" s="153" t="s">
        <v>1732</v>
      </c>
      <c r="V1049" s="155">
        <v>2.6950000000000002E-2</v>
      </c>
      <c r="W1049" s="155">
        <v>3.1800000000000002E-2</v>
      </c>
      <c r="X1049" s="153" t="s">
        <v>412</v>
      </c>
      <c r="Y1049" s="153" t="s">
        <v>339</v>
      </c>
      <c r="Z1049" s="154">
        <v>15000</v>
      </c>
      <c r="AA1049" s="154">
        <v>1</v>
      </c>
      <c r="AB1049" s="154">
        <v>111.87</v>
      </c>
      <c r="AD1049" s="154">
        <v>16.780999999999999</v>
      </c>
      <c r="AG1049" s="157" t="s">
        <v>15</v>
      </c>
      <c r="AH1049" s="155">
        <v>0</v>
      </c>
      <c r="AI1049" s="155">
        <f t="shared" si="16"/>
        <v>5.2953968155652778E-4</v>
      </c>
      <c r="AJ1049" s="155">
        <v>5.4945318612546499E-5</v>
      </c>
    </row>
    <row r="1050" spans="1:36" s="160" customFormat="1">
      <c r="A1050" s="153" t="s">
        <v>1213</v>
      </c>
      <c r="B1050" s="160">
        <v>9300</v>
      </c>
      <c r="C1050" s="153" t="s">
        <v>2223</v>
      </c>
      <c r="D1050" s="153" t="s">
        <v>2224</v>
      </c>
      <c r="E1050" s="153" t="s">
        <v>309</v>
      </c>
      <c r="F1050" s="153" t="s">
        <v>3068</v>
      </c>
      <c r="G1050" s="153" t="s">
        <v>3069</v>
      </c>
      <c r="H1050" s="153" t="s">
        <v>321</v>
      </c>
      <c r="I1050" s="153" t="s">
        <v>951</v>
      </c>
      <c r="J1050" s="153" t="s">
        <v>204</v>
      </c>
      <c r="K1050" s="153" t="s">
        <v>204</v>
      </c>
      <c r="L1050" s="153" t="s">
        <v>325</v>
      </c>
      <c r="M1050" s="153" t="s">
        <v>340</v>
      </c>
      <c r="N1050" s="153" t="s">
        <v>464</v>
      </c>
      <c r="O1050" s="153" t="s">
        <v>339</v>
      </c>
      <c r="P1050" s="153" t="s">
        <v>1538</v>
      </c>
      <c r="Q1050" s="153" t="s">
        <v>413</v>
      </c>
      <c r="R1050" s="153" t="s">
        <v>407</v>
      </c>
      <c r="S1050" s="153" t="s">
        <v>1212</v>
      </c>
      <c r="T1050" s="154">
        <v>0.73</v>
      </c>
      <c r="U1050" s="153" t="s">
        <v>3070</v>
      </c>
      <c r="V1050" s="155">
        <v>4.9050000000000003E-2</v>
      </c>
      <c r="W1050" s="155">
        <v>4.8800000000000003E-2</v>
      </c>
      <c r="X1050" s="153" t="s">
        <v>412</v>
      </c>
      <c r="Y1050" s="153" t="s">
        <v>339</v>
      </c>
      <c r="Z1050" s="154">
        <v>16000</v>
      </c>
      <c r="AA1050" s="154">
        <v>1</v>
      </c>
      <c r="AB1050" s="154">
        <v>99.04</v>
      </c>
      <c r="AD1050" s="154">
        <v>15.846</v>
      </c>
      <c r="AG1050" s="157" t="s">
        <v>15</v>
      </c>
      <c r="AH1050" s="155">
        <v>2.4000000000000001E-4</v>
      </c>
      <c r="AI1050" s="155">
        <f t="shared" si="16"/>
        <v>5.0003490816666113E-4</v>
      </c>
      <c r="AJ1050" s="155">
        <v>5.1883887654753105E-5</v>
      </c>
    </row>
    <row r="1051" spans="1:36" s="160" customFormat="1">
      <c r="A1051" s="153" t="s">
        <v>1213</v>
      </c>
      <c r="B1051" s="160">
        <v>9300</v>
      </c>
      <c r="C1051" s="153" t="s">
        <v>2897</v>
      </c>
      <c r="D1051" s="153" t="s">
        <v>2898</v>
      </c>
      <c r="E1051" s="153" t="s">
        <v>309</v>
      </c>
      <c r="F1051" s="153" t="s">
        <v>3071</v>
      </c>
      <c r="G1051" s="153" t="s">
        <v>3072</v>
      </c>
      <c r="H1051" s="153" t="s">
        <v>321</v>
      </c>
      <c r="I1051" s="153" t="s">
        <v>951</v>
      </c>
      <c r="J1051" s="153" t="s">
        <v>204</v>
      </c>
      <c r="K1051" s="153" t="s">
        <v>204</v>
      </c>
      <c r="L1051" s="153" t="s">
        <v>325</v>
      </c>
      <c r="M1051" s="153" t="s">
        <v>340</v>
      </c>
      <c r="N1051" s="153" t="s">
        <v>447</v>
      </c>
      <c r="O1051" s="153" t="s">
        <v>339</v>
      </c>
      <c r="P1051" s="153" t="s">
        <v>1614</v>
      </c>
      <c r="Q1051" s="153" t="s">
        <v>415</v>
      </c>
      <c r="R1051" s="153" t="s">
        <v>407</v>
      </c>
      <c r="S1051" s="153" t="s">
        <v>1212</v>
      </c>
      <c r="T1051" s="154">
        <v>3.76</v>
      </c>
      <c r="U1051" s="153" t="s">
        <v>1587</v>
      </c>
      <c r="V1051" s="155">
        <v>5.8009999999999999E-2</v>
      </c>
      <c r="W1051" s="155">
        <v>6.1899999999999997E-2</v>
      </c>
      <c r="X1051" s="153" t="s">
        <v>412</v>
      </c>
      <c r="Y1051" s="153" t="s">
        <v>339</v>
      </c>
      <c r="Z1051" s="154">
        <v>15000</v>
      </c>
      <c r="AA1051" s="154">
        <v>1</v>
      </c>
      <c r="AB1051" s="154">
        <v>100.7</v>
      </c>
      <c r="AD1051" s="154">
        <v>15.105</v>
      </c>
      <c r="AG1051" s="157" t="s">
        <v>15</v>
      </c>
      <c r="AH1051" s="155">
        <v>6.9999999999999994E-5</v>
      </c>
      <c r="AI1051" s="155">
        <f t="shared" si="16"/>
        <v>4.7665198080634963E-4</v>
      </c>
      <c r="AJ1051" s="155">
        <v>4.9457662692480478E-5</v>
      </c>
    </row>
    <row r="1052" spans="1:36" s="160" customFormat="1">
      <c r="A1052" s="153" t="s">
        <v>1213</v>
      </c>
      <c r="B1052" s="160">
        <v>9300</v>
      </c>
      <c r="C1052" s="153" t="s">
        <v>1728</v>
      </c>
      <c r="D1052" s="153" t="s">
        <v>1729</v>
      </c>
      <c r="E1052" s="153" t="s">
        <v>309</v>
      </c>
      <c r="F1052" s="153" t="s">
        <v>3073</v>
      </c>
      <c r="G1052" s="153" t="s">
        <v>3074</v>
      </c>
      <c r="H1052" s="153" t="s">
        <v>321</v>
      </c>
      <c r="I1052" s="153" t="s">
        <v>951</v>
      </c>
      <c r="J1052" s="153" t="s">
        <v>204</v>
      </c>
      <c r="K1052" s="153" t="s">
        <v>204</v>
      </c>
      <c r="L1052" s="153" t="s">
        <v>325</v>
      </c>
      <c r="M1052" s="153" t="s">
        <v>340</v>
      </c>
      <c r="N1052" s="153" t="s">
        <v>461</v>
      </c>
      <c r="O1052" s="153" t="s">
        <v>339</v>
      </c>
      <c r="P1052" s="153" t="s">
        <v>1614</v>
      </c>
      <c r="Q1052" s="153" t="s">
        <v>415</v>
      </c>
      <c r="R1052" s="153" t="s">
        <v>407</v>
      </c>
      <c r="S1052" s="153" t="s">
        <v>1212</v>
      </c>
      <c r="T1052" s="154">
        <v>1.21</v>
      </c>
      <c r="U1052" s="153" t="s">
        <v>1659</v>
      </c>
      <c r="V1052" s="155">
        <v>6.6479999999999997E-2</v>
      </c>
      <c r="W1052" s="155">
        <v>5.5300000000000002E-2</v>
      </c>
      <c r="X1052" s="153" t="s">
        <v>412</v>
      </c>
      <c r="Y1052" s="153" t="s">
        <v>339</v>
      </c>
      <c r="Z1052" s="154">
        <v>14590.31</v>
      </c>
      <c r="AA1052" s="154">
        <v>1</v>
      </c>
      <c r="AB1052" s="154">
        <v>98.21</v>
      </c>
      <c r="AD1052" s="154">
        <v>14.329000000000001</v>
      </c>
      <c r="AG1052" s="157" t="s">
        <v>15</v>
      </c>
      <c r="AH1052" s="155">
        <v>6.0000000000000002E-5</v>
      </c>
      <c r="AI1052" s="155">
        <f t="shared" si="16"/>
        <v>4.5216459668812866E-4</v>
      </c>
      <c r="AJ1052" s="155">
        <v>4.6916838710397407E-5</v>
      </c>
    </row>
    <row r="1053" spans="1:36" s="160" customFormat="1">
      <c r="A1053" s="153" t="s">
        <v>1213</v>
      </c>
      <c r="B1053" s="160">
        <v>9300</v>
      </c>
      <c r="C1053" s="153" t="s">
        <v>3027</v>
      </c>
      <c r="D1053" s="153" t="s">
        <v>3028</v>
      </c>
      <c r="E1053" s="153" t="s">
        <v>311</v>
      </c>
      <c r="F1053" s="153" t="s">
        <v>3075</v>
      </c>
      <c r="G1053" s="153" t="s">
        <v>3076</v>
      </c>
      <c r="H1053" s="153" t="s">
        <v>321</v>
      </c>
      <c r="I1053" s="153" t="s">
        <v>754</v>
      </c>
      <c r="J1053" s="153" t="s">
        <v>204</v>
      </c>
      <c r="K1053" s="153" t="s">
        <v>204</v>
      </c>
      <c r="L1053" s="153" t="s">
        <v>325</v>
      </c>
      <c r="M1053" s="153" t="s">
        <v>340</v>
      </c>
      <c r="N1053" s="153" t="s">
        <v>464</v>
      </c>
      <c r="O1053" s="153" t="s">
        <v>339</v>
      </c>
      <c r="Q1053" s="153" t="s">
        <v>410</v>
      </c>
      <c r="R1053" s="153" t="s">
        <v>410</v>
      </c>
      <c r="S1053" s="153" t="s">
        <v>1212</v>
      </c>
      <c r="T1053" s="154">
        <v>2.83</v>
      </c>
      <c r="U1053" s="153" t="s">
        <v>1528</v>
      </c>
      <c r="V1053" s="155">
        <v>6.3020000000000007E-2</v>
      </c>
      <c r="W1053" s="155">
        <v>4.5100000000000001E-2</v>
      </c>
      <c r="X1053" s="153" t="s">
        <v>412</v>
      </c>
      <c r="Y1053" s="153" t="s">
        <v>339</v>
      </c>
      <c r="Z1053" s="154">
        <v>13000</v>
      </c>
      <c r="AA1053" s="154">
        <v>1</v>
      </c>
      <c r="AB1053" s="154">
        <v>110.06</v>
      </c>
      <c r="AD1053" s="154">
        <v>14.308</v>
      </c>
      <c r="AG1053" s="157" t="s">
        <v>15</v>
      </c>
      <c r="AH1053" s="155">
        <v>1.4999999999999999E-4</v>
      </c>
      <c r="AI1053" s="155">
        <f t="shared" si="16"/>
        <v>4.5150192263338298E-4</v>
      </c>
      <c r="AJ1053" s="155">
        <v>4.6848079298511133E-5</v>
      </c>
    </row>
    <row r="1054" spans="1:36" s="160" customFormat="1">
      <c r="A1054" s="153" t="s">
        <v>1213</v>
      </c>
      <c r="B1054" s="160">
        <v>9300</v>
      </c>
      <c r="C1054" s="153" t="s">
        <v>2343</v>
      </c>
      <c r="D1054" s="153" t="s">
        <v>2344</v>
      </c>
      <c r="E1054" s="153" t="s">
        <v>309</v>
      </c>
      <c r="F1054" s="153" t="s">
        <v>2345</v>
      </c>
      <c r="G1054" s="153" t="s">
        <v>2346</v>
      </c>
      <c r="H1054" s="153" t="s">
        <v>321</v>
      </c>
      <c r="I1054" s="153" t="s">
        <v>951</v>
      </c>
      <c r="J1054" s="153" t="s">
        <v>204</v>
      </c>
      <c r="K1054" s="153" t="s">
        <v>204</v>
      </c>
      <c r="L1054" s="153" t="s">
        <v>325</v>
      </c>
      <c r="M1054" s="153" t="s">
        <v>340</v>
      </c>
      <c r="N1054" s="153" t="s">
        <v>476</v>
      </c>
      <c r="O1054" s="153" t="s">
        <v>339</v>
      </c>
      <c r="P1054" s="153" t="s">
        <v>1566</v>
      </c>
      <c r="Q1054" s="153" t="s">
        <v>413</v>
      </c>
      <c r="R1054" s="153" t="s">
        <v>407</v>
      </c>
      <c r="S1054" s="153" t="s">
        <v>1212</v>
      </c>
      <c r="T1054" s="154">
        <v>5.63</v>
      </c>
      <c r="U1054" s="153" t="s">
        <v>2347</v>
      </c>
      <c r="V1054" s="155">
        <v>5.552E-2</v>
      </c>
      <c r="W1054" s="155">
        <v>5.6099999999999997E-2</v>
      </c>
      <c r="X1054" s="153" t="s">
        <v>412</v>
      </c>
      <c r="Y1054" s="153" t="s">
        <v>339</v>
      </c>
      <c r="Z1054" s="154">
        <v>14000</v>
      </c>
      <c r="AA1054" s="154">
        <v>1</v>
      </c>
      <c r="AB1054" s="154">
        <v>100.98</v>
      </c>
      <c r="AD1054" s="154">
        <v>14.137</v>
      </c>
      <c r="AG1054" s="157" t="s">
        <v>15</v>
      </c>
      <c r="AH1054" s="155">
        <v>9.0000000000000006E-5</v>
      </c>
      <c r="AI1054" s="155">
        <f t="shared" si="16"/>
        <v>4.4610586247331111E-4</v>
      </c>
      <c r="AJ1054" s="155">
        <v>4.6288181230294377E-5</v>
      </c>
    </row>
    <row r="1055" spans="1:36" s="160" customFormat="1">
      <c r="A1055" s="153" t="s">
        <v>1213</v>
      </c>
      <c r="B1055" s="160">
        <v>9300</v>
      </c>
      <c r="C1055" s="153" t="s">
        <v>1512</v>
      </c>
      <c r="D1055" s="153" t="s">
        <v>1513</v>
      </c>
      <c r="E1055" s="153" t="s">
        <v>309</v>
      </c>
      <c r="F1055" s="153" t="s">
        <v>3077</v>
      </c>
      <c r="G1055" s="153" t="s">
        <v>3078</v>
      </c>
      <c r="H1055" s="153" t="s">
        <v>321</v>
      </c>
      <c r="I1055" s="153" t="s">
        <v>754</v>
      </c>
      <c r="J1055" s="153" t="s">
        <v>204</v>
      </c>
      <c r="K1055" s="153" t="s">
        <v>204</v>
      </c>
      <c r="L1055" s="153" t="s">
        <v>325</v>
      </c>
      <c r="M1055" s="153" t="s">
        <v>340</v>
      </c>
      <c r="N1055" s="153" t="s">
        <v>448</v>
      </c>
      <c r="O1055" s="153" t="s">
        <v>339</v>
      </c>
      <c r="P1055" s="153" t="s">
        <v>1215</v>
      </c>
      <c r="Q1055" s="153" t="s">
        <v>413</v>
      </c>
      <c r="R1055" s="153" t="s">
        <v>407</v>
      </c>
      <c r="S1055" s="153" t="s">
        <v>1212</v>
      </c>
      <c r="T1055" s="154">
        <v>5.4</v>
      </c>
      <c r="U1055" s="153" t="s">
        <v>3079</v>
      </c>
      <c r="V1055" s="155">
        <v>1.6999999999999999E-3</v>
      </c>
      <c r="W1055" s="155">
        <v>2.4799999999999999E-2</v>
      </c>
      <c r="X1055" s="153" t="s">
        <v>412</v>
      </c>
      <c r="Y1055" s="153" t="s">
        <v>339</v>
      </c>
      <c r="Z1055" s="154">
        <v>12000</v>
      </c>
      <c r="AA1055" s="154">
        <v>1</v>
      </c>
      <c r="AB1055" s="154">
        <v>117</v>
      </c>
      <c r="AD1055" s="154">
        <v>14.04</v>
      </c>
      <c r="AG1055" s="157" t="s">
        <v>15</v>
      </c>
      <c r="AH1055" s="155">
        <v>2.0000000000000002E-5</v>
      </c>
      <c r="AI1055" s="155">
        <f t="shared" si="16"/>
        <v>4.4304493945853345E-4</v>
      </c>
      <c r="AJ1055" s="155">
        <v>4.5970578232533986E-5</v>
      </c>
    </row>
    <row r="1056" spans="1:36" s="160" customFormat="1">
      <c r="A1056" s="153" t="s">
        <v>1213</v>
      </c>
      <c r="B1056" s="160">
        <v>9300</v>
      </c>
      <c r="C1056" s="153" t="s">
        <v>2361</v>
      </c>
      <c r="D1056" s="153" t="s">
        <v>2362</v>
      </c>
      <c r="E1056" s="153" t="s">
        <v>309</v>
      </c>
      <c r="F1056" s="153" t="s">
        <v>2363</v>
      </c>
      <c r="G1056" s="153" t="s">
        <v>2364</v>
      </c>
      <c r="H1056" s="153" t="s">
        <v>321</v>
      </c>
      <c r="I1056" s="153" t="s">
        <v>951</v>
      </c>
      <c r="J1056" s="153" t="s">
        <v>204</v>
      </c>
      <c r="K1056" s="153" t="s">
        <v>204</v>
      </c>
      <c r="L1056" s="153" t="s">
        <v>325</v>
      </c>
      <c r="M1056" s="153" t="s">
        <v>340</v>
      </c>
      <c r="N1056" s="153" t="s">
        <v>446</v>
      </c>
      <c r="O1056" s="153" t="s">
        <v>339</v>
      </c>
      <c r="P1056" s="153" t="s">
        <v>1538</v>
      </c>
      <c r="Q1056" s="153" t="s">
        <v>413</v>
      </c>
      <c r="R1056" s="153" t="s">
        <v>407</v>
      </c>
      <c r="S1056" s="153" t="s">
        <v>1212</v>
      </c>
      <c r="T1056" s="154">
        <v>2.62</v>
      </c>
      <c r="U1056" s="153" t="s">
        <v>1587</v>
      </c>
      <c r="V1056" s="155">
        <v>4.3090000000000003E-2</v>
      </c>
      <c r="W1056" s="155">
        <v>5.2200000000000003E-2</v>
      </c>
      <c r="X1056" s="153" t="s">
        <v>412</v>
      </c>
      <c r="Y1056" s="153" t="s">
        <v>339</v>
      </c>
      <c r="Z1056" s="154">
        <v>13333.33</v>
      </c>
      <c r="AA1056" s="154">
        <v>1</v>
      </c>
      <c r="AB1056" s="154">
        <v>90.15</v>
      </c>
      <c r="AD1056" s="154">
        <v>12.02</v>
      </c>
      <c r="AG1056" s="157" t="s">
        <v>15</v>
      </c>
      <c r="AH1056" s="155">
        <v>1.0000000000000001E-5</v>
      </c>
      <c r="AI1056" s="155">
        <f t="shared" si="16"/>
        <v>3.7930200657347384E-4</v>
      </c>
      <c r="AJ1056" s="155">
        <v>3.9356577660616709E-5</v>
      </c>
    </row>
    <row r="1057" spans="1:36" s="160" customFormat="1">
      <c r="A1057" s="153" t="s">
        <v>1213</v>
      </c>
      <c r="B1057" s="160">
        <v>9300</v>
      </c>
      <c r="C1057" s="153" t="s">
        <v>1986</v>
      </c>
      <c r="D1057" s="153" t="s">
        <v>1987</v>
      </c>
      <c r="E1057" s="153" t="s">
        <v>309</v>
      </c>
      <c r="F1057" s="153" t="s">
        <v>2370</v>
      </c>
      <c r="G1057" s="153" t="s">
        <v>2371</v>
      </c>
      <c r="H1057" s="153" t="s">
        <v>321</v>
      </c>
      <c r="I1057" s="153" t="s">
        <v>754</v>
      </c>
      <c r="J1057" s="153" t="s">
        <v>204</v>
      </c>
      <c r="K1057" s="153" t="s">
        <v>204</v>
      </c>
      <c r="L1057" s="153" t="s">
        <v>325</v>
      </c>
      <c r="M1057" s="153" t="s">
        <v>340</v>
      </c>
      <c r="N1057" s="153" t="s">
        <v>484</v>
      </c>
      <c r="O1057" s="153" t="s">
        <v>339</v>
      </c>
      <c r="P1057" s="153" t="s">
        <v>1538</v>
      </c>
      <c r="Q1057" s="153" t="s">
        <v>413</v>
      </c>
      <c r="R1057" s="153" t="s">
        <v>407</v>
      </c>
      <c r="S1057" s="153" t="s">
        <v>1212</v>
      </c>
      <c r="T1057" s="154">
        <v>0.66</v>
      </c>
      <c r="U1057" s="153" t="s">
        <v>2372</v>
      </c>
      <c r="V1057" s="155">
        <v>2.2200000000000001E-2</v>
      </c>
      <c r="W1057" s="155">
        <v>2.1100000000000001E-2</v>
      </c>
      <c r="X1057" s="153" t="s">
        <v>412</v>
      </c>
      <c r="Y1057" s="153" t="s">
        <v>339</v>
      </c>
      <c r="Z1057" s="154">
        <v>10000</v>
      </c>
      <c r="AA1057" s="154">
        <v>1</v>
      </c>
      <c r="AB1057" s="154">
        <v>116.47</v>
      </c>
      <c r="AD1057" s="154">
        <v>11.647</v>
      </c>
      <c r="AG1057" s="157" t="s">
        <v>15</v>
      </c>
      <c r="AH1057" s="155">
        <v>2.0000000000000002E-5</v>
      </c>
      <c r="AI1057" s="155">
        <f t="shared" si="16"/>
        <v>3.6753165312489601E-4</v>
      </c>
      <c r="AJ1057" s="155">
        <v>3.813527953520822E-5</v>
      </c>
    </row>
    <row r="1058" spans="1:36" s="160" customFormat="1">
      <c r="A1058" s="153" t="s">
        <v>1213</v>
      </c>
      <c r="B1058" s="160">
        <v>9300</v>
      </c>
      <c r="C1058" s="153" t="s">
        <v>2336</v>
      </c>
      <c r="D1058" s="153" t="s">
        <v>2337</v>
      </c>
      <c r="E1058" s="153" t="s">
        <v>309</v>
      </c>
      <c r="F1058" s="153" t="s">
        <v>2796</v>
      </c>
      <c r="G1058" s="153" t="s">
        <v>2797</v>
      </c>
      <c r="H1058" s="153" t="s">
        <v>321</v>
      </c>
      <c r="I1058" s="153" t="s">
        <v>754</v>
      </c>
      <c r="J1058" s="153" t="s">
        <v>204</v>
      </c>
      <c r="K1058" s="153" t="s">
        <v>204</v>
      </c>
      <c r="L1058" s="153" t="s">
        <v>325</v>
      </c>
      <c r="M1058" s="153" t="s">
        <v>340</v>
      </c>
      <c r="N1058" s="153" t="s">
        <v>464</v>
      </c>
      <c r="O1058" s="153" t="s">
        <v>339</v>
      </c>
      <c r="P1058" s="153" t="s">
        <v>1982</v>
      </c>
      <c r="Q1058" s="153" t="s">
        <v>415</v>
      </c>
      <c r="R1058" s="153" t="s">
        <v>407</v>
      </c>
      <c r="S1058" s="153" t="s">
        <v>1212</v>
      </c>
      <c r="T1058" s="154">
        <v>2.91</v>
      </c>
      <c r="U1058" s="153" t="s">
        <v>2798</v>
      </c>
      <c r="V1058" s="155">
        <v>1.942E-2</v>
      </c>
      <c r="W1058" s="155">
        <v>2.76E-2</v>
      </c>
      <c r="X1058" s="153" t="s">
        <v>412</v>
      </c>
      <c r="Y1058" s="153" t="s">
        <v>339</v>
      </c>
      <c r="Z1058" s="154">
        <v>10000</v>
      </c>
      <c r="AA1058" s="154">
        <v>1</v>
      </c>
      <c r="AB1058" s="154">
        <v>114.46</v>
      </c>
      <c r="AD1058" s="154">
        <v>11.446</v>
      </c>
      <c r="AG1058" s="157" t="s">
        <v>15</v>
      </c>
      <c r="AH1058" s="155">
        <v>1.0000000000000001E-5</v>
      </c>
      <c r="AI1058" s="155">
        <f t="shared" si="16"/>
        <v>3.6118891574375884E-4</v>
      </c>
      <c r="AJ1058" s="155">
        <v>3.7477153735725363E-5</v>
      </c>
    </row>
    <row r="1059" spans="1:36" s="160" customFormat="1">
      <c r="A1059" s="153" t="s">
        <v>1213</v>
      </c>
      <c r="B1059" s="160">
        <v>9300</v>
      </c>
      <c r="C1059" s="153" t="s">
        <v>1546</v>
      </c>
      <c r="D1059" s="153" t="s">
        <v>1547</v>
      </c>
      <c r="E1059" s="153" t="s">
        <v>309</v>
      </c>
      <c r="F1059" s="153" t="s">
        <v>1834</v>
      </c>
      <c r="G1059" s="153" t="s">
        <v>1835</v>
      </c>
      <c r="H1059" s="153" t="s">
        <v>321</v>
      </c>
      <c r="I1059" s="153" t="s">
        <v>754</v>
      </c>
      <c r="J1059" s="153" t="s">
        <v>204</v>
      </c>
      <c r="K1059" s="153" t="s">
        <v>204</v>
      </c>
      <c r="L1059" s="153" t="s">
        <v>325</v>
      </c>
      <c r="M1059" s="153" t="s">
        <v>340</v>
      </c>
      <c r="N1059" s="153" t="s">
        <v>443</v>
      </c>
      <c r="O1059" s="153" t="s">
        <v>339</v>
      </c>
      <c r="P1059" s="153" t="s">
        <v>1544</v>
      </c>
      <c r="Q1059" s="153" t="s">
        <v>415</v>
      </c>
      <c r="R1059" s="153" t="s">
        <v>407</v>
      </c>
      <c r="S1059" s="153" t="s">
        <v>1212</v>
      </c>
      <c r="T1059" s="154">
        <v>0.66</v>
      </c>
      <c r="U1059" s="153" t="s">
        <v>1836</v>
      </c>
      <c r="V1059" s="155">
        <v>1.9349999999999999E-2</v>
      </c>
      <c r="W1059" s="155">
        <v>2.7099999999999999E-2</v>
      </c>
      <c r="X1059" s="153" t="s">
        <v>412</v>
      </c>
      <c r="Y1059" s="153" t="s">
        <v>339</v>
      </c>
      <c r="Z1059" s="154">
        <v>9483.77</v>
      </c>
      <c r="AA1059" s="154">
        <v>1</v>
      </c>
      <c r="AB1059" s="154">
        <v>113.12</v>
      </c>
      <c r="AD1059" s="154">
        <v>10.728</v>
      </c>
      <c r="AG1059" s="157" t="s">
        <v>15</v>
      </c>
      <c r="AH1059" s="155">
        <v>3.0000000000000001E-5</v>
      </c>
      <c r="AI1059" s="155">
        <f t="shared" si="16"/>
        <v>3.3853177425293069E-4</v>
      </c>
      <c r="AJ1059" s="155">
        <v>3.5126236700756742E-5</v>
      </c>
    </row>
    <row r="1060" spans="1:36" s="160" customFormat="1">
      <c r="A1060" s="153" t="s">
        <v>1213</v>
      </c>
      <c r="B1060" s="160">
        <v>9300</v>
      </c>
      <c r="C1060" s="153" t="s">
        <v>3080</v>
      </c>
      <c r="D1060" s="153" t="s">
        <v>3081</v>
      </c>
      <c r="E1060" s="153" t="s">
        <v>311</v>
      </c>
      <c r="F1060" s="153" t="s">
        <v>3082</v>
      </c>
      <c r="G1060" s="153" t="s">
        <v>3083</v>
      </c>
      <c r="H1060" s="153" t="s">
        <v>321</v>
      </c>
      <c r="I1060" s="153" t="s">
        <v>951</v>
      </c>
      <c r="J1060" s="153" t="s">
        <v>204</v>
      </c>
      <c r="K1060" s="153" t="s">
        <v>224</v>
      </c>
      <c r="L1060" s="153" t="s">
        <v>325</v>
      </c>
      <c r="M1060" s="153" t="s">
        <v>340</v>
      </c>
      <c r="N1060" s="153" t="s">
        <v>465</v>
      </c>
      <c r="O1060" s="153" t="s">
        <v>339</v>
      </c>
      <c r="P1060" s="153" t="s">
        <v>3084</v>
      </c>
      <c r="Q1060" s="153" t="s">
        <v>415</v>
      </c>
      <c r="R1060" s="153" t="s">
        <v>407</v>
      </c>
      <c r="S1060" s="153" t="s">
        <v>1212</v>
      </c>
      <c r="T1060" s="154">
        <v>1.33</v>
      </c>
      <c r="U1060" s="153" t="s">
        <v>2162</v>
      </c>
      <c r="V1060" s="155">
        <v>8.6190000000000003E-2</v>
      </c>
      <c r="W1060" s="155">
        <v>0.14180000000000001</v>
      </c>
      <c r="X1060" s="153" t="s">
        <v>412</v>
      </c>
      <c r="Y1060" s="153" t="s">
        <v>338</v>
      </c>
      <c r="Z1060" s="154">
        <v>10377.52</v>
      </c>
      <c r="AA1060" s="154">
        <v>1</v>
      </c>
      <c r="AB1060" s="154">
        <v>94.9</v>
      </c>
      <c r="AD1060" s="154">
        <v>9.8480000000000008</v>
      </c>
      <c r="AG1060" s="157" t="s">
        <v>15</v>
      </c>
      <c r="AH1060" s="155">
        <v>5.0000000000000002E-5</v>
      </c>
      <c r="AI1060" s="155">
        <f t="shared" si="16"/>
        <v>3.1076257576835028E-4</v>
      </c>
      <c r="AJ1060" s="155">
        <v>3.2244889916951197E-5</v>
      </c>
    </row>
    <row r="1061" spans="1:36" s="160" customFormat="1">
      <c r="A1061" s="153" t="s">
        <v>1213</v>
      </c>
      <c r="B1061" s="160">
        <v>9300</v>
      </c>
      <c r="C1061" s="153" t="s">
        <v>2145</v>
      </c>
      <c r="D1061" s="153" t="s">
        <v>2146</v>
      </c>
      <c r="E1061" s="153" t="s">
        <v>309</v>
      </c>
      <c r="F1061" s="153" t="s">
        <v>3085</v>
      </c>
      <c r="G1061" s="153" t="s">
        <v>3086</v>
      </c>
      <c r="H1061" s="153" t="s">
        <v>321</v>
      </c>
      <c r="I1061" s="153" t="s">
        <v>952</v>
      </c>
      <c r="J1061" s="153" t="s">
        <v>204</v>
      </c>
      <c r="K1061" s="153" t="s">
        <v>204</v>
      </c>
      <c r="L1061" s="153" t="s">
        <v>325</v>
      </c>
      <c r="M1061" s="153" t="s">
        <v>340</v>
      </c>
      <c r="N1061" s="153" t="s">
        <v>445</v>
      </c>
      <c r="O1061" s="153" t="s">
        <v>339</v>
      </c>
      <c r="P1061" s="153" t="s">
        <v>1566</v>
      </c>
      <c r="Q1061" s="153" t="s">
        <v>413</v>
      </c>
      <c r="R1061" s="153" t="s">
        <v>407</v>
      </c>
      <c r="S1061" s="153" t="s">
        <v>1212</v>
      </c>
      <c r="T1061" s="154">
        <v>3.25</v>
      </c>
      <c r="U1061" s="153" t="s">
        <v>2960</v>
      </c>
      <c r="V1061" s="155">
        <v>1.6500000000000001E-2</v>
      </c>
      <c r="W1061" s="155">
        <v>3.9600000000000003E-2</v>
      </c>
      <c r="X1061" s="153" t="s">
        <v>412</v>
      </c>
      <c r="Y1061" s="153" t="s">
        <v>339</v>
      </c>
      <c r="Z1061" s="154">
        <v>10000</v>
      </c>
      <c r="AA1061" s="154">
        <v>1</v>
      </c>
      <c r="AB1061" s="154">
        <v>98</v>
      </c>
      <c r="AD1061" s="154">
        <v>9.8000000000000007</v>
      </c>
      <c r="AG1061" s="157" t="s">
        <v>15</v>
      </c>
      <c r="AH1061" s="155">
        <v>6.9999999999999994E-5</v>
      </c>
      <c r="AI1061" s="155">
        <f t="shared" si="16"/>
        <v>3.0924789221464593E-4</v>
      </c>
      <c r="AJ1061" s="155">
        <v>3.2087725546925436E-5</v>
      </c>
    </row>
    <row r="1062" spans="1:36" s="160" customFormat="1">
      <c r="A1062" s="153" t="s">
        <v>1213</v>
      </c>
      <c r="B1062" s="160">
        <v>9300</v>
      </c>
      <c r="C1062" s="153" t="s">
        <v>1904</v>
      </c>
      <c r="D1062" s="153" t="s">
        <v>1905</v>
      </c>
      <c r="E1062" s="153" t="s">
        <v>309</v>
      </c>
      <c r="F1062" s="153" t="s">
        <v>2268</v>
      </c>
      <c r="G1062" s="153" t="s">
        <v>2269</v>
      </c>
      <c r="H1062" s="153" t="s">
        <v>321</v>
      </c>
      <c r="I1062" s="153" t="s">
        <v>951</v>
      </c>
      <c r="J1062" s="153" t="s">
        <v>204</v>
      </c>
      <c r="K1062" s="153" t="s">
        <v>204</v>
      </c>
      <c r="L1062" s="153" t="s">
        <v>325</v>
      </c>
      <c r="M1062" s="153" t="s">
        <v>340</v>
      </c>
      <c r="N1062" s="153" t="s">
        <v>448</v>
      </c>
      <c r="O1062" s="153" t="s">
        <v>339</v>
      </c>
      <c r="P1062" s="153" t="s">
        <v>1215</v>
      </c>
      <c r="Q1062" s="153" t="s">
        <v>413</v>
      </c>
      <c r="R1062" s="153" t="s">
        <v>407</v>
      </c>
      <c r="S1062" s="153" t="s">
        <v>1212</v>
      </c>
      <c r="T1062" s="154">
        <v>2.89</v>
      </c>
      <c r="U1062" s="153" t="s">
        <v>2270</v>
      </c>
      <c r="V1062" s="155">
        <v>4.929E-2</v>
      </c>
      <c r="W1062" s="155">
        <v>5.11E-2</v>
      </c>
      <c r="X1062" s="153" t="s">
        <v>412</v>
      </c>
      <c r="Y1062" s="153" t="s">
        <v>339</v>
      </c>
      <c r="Z1062" s="154">
        <v>10000</v>
      </c>
      <c r="AA1062" s="154">
        <v>1</v>
      </c>
      <c r="AB1062" s="154">
        <v>95.42</v>
      </c>
      <c r="AD1062" s="154">
        <v>9.5419999999999998</v>
      </c>
      <c r="AG1062" s="157" t="s">
        <v>15</v>
      </c>
      <c r="AH1062" s="155">
        <v>0</v>
      </c>
      <c r="AI1062" s="155">
        <f t="shared" si="16"/>
        <v>3.0110646811348481E-4</v>
      </c>
      <c r="AJ1062" s="155">
        <v>3.1242967058036992E-5</v>
      </c>
    </row>
    <row r="1063" spans="1:36" s="160" customFormat="1">
      <c r="A1063" s="153" t="s">
        <v>1213</v>
      </c>
      <c r="B1063" s="160">
        <v>9300</v>
      </c>
      <c r="C1063" s="153" t="s">
        <v>1825</v>
      </c>
      <c r="D1063" s="153" t="s">
        <v>1826</v>
      </c>
      <c r="E1063" s="153" t="s">
        <v>309</v>
      </c>
      <c r="F1063" s="153" t="s">
        <v>1827</v>
      </c>
      <c r="G1063" s="153" t="s">
        <v>1828</v>
      </c>
      <c r="H1063" s="153" t="s">
        <v>321</v>
      </c>
      <c r="I1063" s="153" t="s">
        <v>951</v>
      </c>
      <c r="J1063" s="153" t="s">
        <v>204</v>
      </c>
      <c r="K1063" s="153" t="s">
        <v>204</v>
      </c>
      <c r="L1063" s="153" t="s">
        <v>325</v>
      </c>
      <c r="M1063" s="153" t="s">
        <v>340</v>
      </c>
      <c r="N1063" s="153" t="s">
        <v>441</v>
      </c>
      <c r="O1063" s="153" t="s">
        <v>339</v>
      </c>
      <c r="Q1063" s="153" t="s">
        <v>410</v>
      </c>
      <c r="R1063" s="153" t="s">
        <v>410</v>
      </c>
      <c r="S1063" s="153" t="s">
        <v>1212</v>
      </c>
      <c r="T1063" s="154">
        <v>3.39</v>
      </c>
      <c r="U1063" s="153" t="s">
        <v>1283</v>
      </c>
      <c r="V1063" s="155">
        <v>5.9889999999999999E-2</v>
      </c>
      <c r="W1063" s="155">
        <v>7.0499999999999993E-2</v>
      </c>
      <c r="X1063" s="153" t="s">
        <v>412</v>
      </c>
      <c r="Y1063" s="153" t="s">
        <v>339</v>
      </c>
      <c r="Z1063" s="154">
        <v>8000</v>
      </c>
      <c r="AA1063" s="154">
        <v>1</v>
      </c>
      <c r="AB1063" s="154">
        <v>95.4</v>
      </c>
      <c r="AD1063" s="154">
        <v>7.6319999999999997</v>
      </c>
      <c r="AG1063" s="157" t="s">
        <v>15</v>
      </c>
      <c r="AH1063" s="155">
        <v>3.0000000000000001E-5</v>
      </c>
      <c r="AI1063" s="155">
        <f t="shared" si="16"/>
        <v>2.4083468503899769E-4</v>
      </c>
      <c r="AJ1063" s="155">
        <v>2.4989134834095401E-5</v>
      </c>
    </row>
    <row r="1064" spans="1:36" s="160" customFormat="1">
      <c r="A1064" s="153" t="s">
        <v>1213</v>
      </c>
      <c r="B1064" s="160">
        <v>9300</v>
      </c>
      <c r="C1064" s="153" t="s">
        <v>1718</v>
      </c>
      <c r="D1064" s="153" t="s">
        <v>1719</v>
      </c>
      <c r="E1064" s="153" t="s">
        <v>309</v>
      </c>
      <c r="F1064" s="153" t="s">
        <v>1720</v>
      </c>
      <c r="G1064" s="153" t="s">
        <v>1721</v>
      </c>
      <c r="H1064" s="153" t="s">
        <v>321</v>
      </c>
      <c r="I1064" s="153" t="s">
        <v>951</v>
      </c>
      <c r="J1064" s="153" t="s">
        <v>204</v>
      </c>
      <c r="K1064" s="153" t="s">
        <v>204</v>
      </c>
      <c r="L1064" s="153" t="s">
        <v>325</v>
      </c>
      <c r="M1064" s="153" t="s">
        <v>340</v>
      </c>
      <c r="N1064" s="153" t="s">
        <v>440</v>
      </c>
      <c r="O1064" s="153" t="s">
        <v>339</v>
      </c>
      <c r="P1064" s="153" t="s">
        <v>1527</v>
      </c>
      <c r="Q1064" s="153" t="s">
        <v>415</v>
      </c>
      <c r="R1064" s="153" t="s">
        <v>407</v>
      </c>
      <c r="S1064" s="153" t="s">
        <v>1212</v>
      </c>
      <c r="T1064" s="154">
        <v>3</v>
      </c>
      <c r="U1064" s="153" t="s">
        <v>1722</v>
      </c>
      <c r="V1064" s="155">
        <v>7.2499999999999995E-2</v>
      </c>
      <c r="W1064" s="155">
        <v>6.4000000000000001E-2</v>
      </c>
      <c r="X1064" s="153" t="s">
        <v>412</v>
      </c>
      <c r="Y1064" s="153" t="s">
        <v>339</v>
      </c>
      <c r="Z1064" s="154">
        <v>7000</v>
      </c>
      <c r="AA1064" s="154">
        <v>1</v>
      </c>
      <c r="AB1064" s="154">
        <v>105.92</v>
      </c>
      <c r="AD1064" s="154">
        <v>7.4139999999999997</v>
      </c>
      <c r="AG1064" s="157" t="s">
        <v>15</v>
      </c>
      <c r="AH1064" s="155">
        <v>1.0000000000000001E-5</v>
      </c>
      <c r="AI1064" s="155">
        <f t="shared" si="16"/>
        <v>2.3395549723259024E-4</v>
      </c>
      <c r="AJ1064" s="155">
        <v>2.4275346653561752E-5</v>
      </c>
    </row>
    <row r="1065" spans="1:36" s="160" customFormat="1">
      <c r="A1065" s="153" t="s">
        <v>1213</v>
      </c>
      <c r="B1065" s="160">
        <v>9300</v>
      </c>
      <c r="C1065" s="153" t="s">
        <v>1674</v>
      </c>
      <c r="D1065" s="153" t="s">
        <v>1675</v>
      </c>
      <c r="E1065" s="153" t="s">
        <v>309</v>
      </c>
      <c r="F1065" s="153" t="s">
        <v>1980</v>
      </c>
      <c r="G1065" s="153" t="s">
        <v>1981</v>
      </c>
      <c r="H1065" s="153" t="s">
        <v>321</v>
      </c>
      <c r="I1065" s="153" t="s">
        <v>754</v>
      </c>
      <c r="J1065" s="153" t="s">
        <v>204</v>
      </c>
      <c r="K1065" s="153" t="s">
        <v>204</v>
      </c>
      <c r="L1065" s="153" t="s">
        <v>325</v>
      </c>
      <c r="M1065" s="153" t="s">
        <v>340</v>
      </c>
      <c r="N1065" s="153" t="s">
        <v>464</v>
      </c>
      <c r="O1065" s="153" t="s">
        <v>339</v>
      </c>
      <c r="P1065" s="153" t="s">
        <v>1982</v>
      </c>
      <c r="Q1065" s="153" t="s">
        <v>415</v>
      </c>
      <c r="R1065" s="153" t="s">
        <v>407</v>
      </c>
      <c r="S1065" s="153" t="s">
        <v>1212</v>
      </c>
      <c r="T1065" s="154">
        <v>0.6</v>
      </c>
      <c r="U1065" s="153" t="s">
        <v>1983</v>
      </c>
      <c r="V1065" s="155">
        <v>3.1040000000000002E-2</v>
      </c>
      <c r="W1065" s="155">
        <v>2.81E-2</v>
      </c>
      <c r="X1065" s="153" t="s">
        <v>412</v>
      </c>
      <c r="Y1065" s="153" t="s">
        <v>339</v>
      </c>
      <c r="Z1065" s="154">
        <v>4000</v>
      </c>
      <c r="AA1065" s="154">
        <v>1</v>
      </c>
      <c r="AB1065" s="154">
        <v>116.48</v>
      </c>
      <c r="AD1065" s="154">
        <v>4.6589999999999998</v>
      </c>
      <c r="AG1065" s="157" t="s">
        <v>15</v>
      </c>
      <c r="AH1065" s="155">
        <v>2.0000000000000002E-5</v>
      </c>
      <c r="AI1065" s="155">
        <f t="shared" si="16"/>
        <v>1.4701897243143215E-4</v>
      </c>
      <c r="AJ1065" s="155">
        <v>1.5254766665625062E-5</v>
      </c>
    </row>
    <row r="1066" spans="1:36" s="160" customFormat="1">
      <c r="A1066" s="153" t="s">
        <v>1213</v>
      </c>
      <c r="B1066" s="160">
        <v>9300</v>
      </c>
      <c r="C1066" s="153" t="s">
        <v>2013</v>
      </c>
      <c r="D1066" s="153" t="s">
        <v>2014</v>
      </c>
      <c r="E1066" s="153" t="s">
        <v>309</v>
      </c>
      <c r="F1066" s="153" t="s">
        <v>3087</v>
      </c>
      <c r="G1066" s="153" t="s">
        <v>3088</v>
      </c>
      <c r="H1066" s="153" t="s">
        <v>321</v>
      </c>
      <c r="I1066" s="153" t="s">
        <v>951</v>
      </c>
      <c r="J1066" s="153" t="s">
        <v>204</v>
      </c>
      <c r="K1066" s="153" t="s">
        <v>204</v>
      </c>
      <c r="L1066" s="153" t="s">
        <v>325</v>
      </c>
      <c r="M1066" s="153" t="s">
        <v>340</v>
      </c>
      <c r="N1066" s="153" t="s">
        <v>447</v>
      </c>
      <c r="O1066" s="153" t="s">
        <v>339</v>
      </c>
      <c r="Q1066" s="153" t="s">
        <v>410</v>
      </c>
      <c r="R1066" s="153" t="s">
        <v>410</v>
      </c>
      <c r="S1066" s="153" t="s">
        <v>1212</v>
      </c>
      <c r="T1066" s="154">
        <v>0.77</v>
      </c>
      <c r="U1066" s="153" t="s">
        <v>2017</v>
      </c>
      <c r="V1066" s="155">
        <v>3.2899999999999999E-2</v>
      </c>
      <c r="W1066" s="155">
        <v>6.59E-2</v>
      </c>
      <c r="X1066" s="153" t="s">
        <v>412</v>
      </c>
      <c r="Y1066" s="153" t="s">
        <v>339</v>
      </c>
      <c r="Z1066" s="154">
        <v>4333.33</v>
      </c>
      <c r="AA1066" s="154">
        <v>1</v>
      </c>
      <c r="AB1066" s="154">
        <v>98.56</v>
      </c>
      <c r="AD1066" s="154">
        <v>4.2709999999999999</v>
      </c>
      <c r="AG1066" s="157" t="s">
        <v>15</v>
      </c>
      <c r="AH1066" s="155">
        <v>1.3999999999999999E-4</v>
      </c>
      <c r="AI1066" s="155">
        <f t="shared" si="16"/>
        <v>1.347752803723217E-4</v>
      </c>
      <c r="AJ1066" s="155">
        <v>1.3984354674583524E-5</v>
      </c>
    </row>
    <row r="1067" spans="1:36" s="160" customFormat="1">
      <c r="A1067" s="153" t="s">
        <v>1213</v>
      </c>
      <c r="B1067" s="160">
        <v>9300</v>
      </c>
      <c r="C1067" s="153" t="s">
        <v>3089</v>
      </c>
      <c r="D1067" s="153" t="s">
        <v>3090</v>
      </c>
      <c r="E1067" s="153" t="s">
        <v>309</v>
      </c>
      <c r="F1067" s="153" t="s">
        <v>3091</v>
      </c>
      <c r="G1067" s="153" t="s">
        <v>3092</v>
      </c>
      <c r="H1067" s="153" t="s">
        <v>321</v>
      </c>
      <c r="I1067" s="153" t="s">
        <v>951</v>
      </c>
      <c r="J1067" s="153" t="s">
        <v>204</v>
      </c>
      <c r="K1067" s="153" t="s">
        <v>204</v>
      </c>
      <c r="L1067" s="153" t="s">
        <v>325</v>
      </c>
      <c r="M1067" s="153" t="s">
        <v>340</v>
      </c>
      <c r="N1067" s="153" t="s">
        <v>447</v>
      </c>
      <c r="O1067" s="153" t="s">
        <v>339</v>
      </c>
      <c r="Q1067" s="153" t="s">
        <v>410</v>
      </c>
      <c r="R1067" s="153" t="s">
        <v>410</v>
      </c>
      <c r="S1067" s="153" t="s">
        <v>1212</v>
      </c>
      <c r="T1067" s="154">
        <v>1.59</v>
      </c>
      <c r="U1067" s="153" t="s">
        <v>1343</v>
      </c>
      <c r="V1067" s="155">
        <v>6.8680000000000005E-2</v>
      </c>
      <c r="W1067" s="155">
        <v>8.8999999999999996E-2</v>
      </c>
      <c r="X1067" s="153" t="s">
        <v>412</v>
      </c>
      <c r="Y1067" s="153" t="s">
        <v>339</v>
      </c>
      <c r="Z1067" s="154">
        <v>4000.8</v>
      </c>
      <c r="AA1067" s="154">
        <v>1</v>
      </c>
      <c r="AB1067" s="154">
        <v>99.4</v>
      </c>
      <c r="AD1067" s="154">
        <v>3.9769999999999999</v>
      </c>
      <c r="AG1067" s="157" t="s">
        <v>15</v>
      </c>
      <c r="AH1067" s="155">
        <v>6.0000000000000002E-5</v>
      </c>
      <c r="AI1067" s="155">
        <f t="shared" si="16"/>
        <v>1.254978436058823E-4</v>
      </c>
      <c r="AJ1067" s="155">
        <v>1.3021722908175761E-5</v>
      </c>
    </row>
    <row r="1068" spans="1:36" s="160" customFormat="1">
      <c r="A1068" s="153" t="s">
        <v>1213</v>
      </c>
      <c r="B1068" s="160">
        <v>9300</v>
      </c>
      <c r="C1068" s="153" t="s">
        <v>3093</v>
      </c>
      <c r="D1068" s="153" t="s">
        <v>3094</v>
      </c>
      <c r="E1068" s="153" t="s">
        <v>309</v>
      </c>
      <c r="F1068" s="153" t="s">
        <v>3095</v>
      </c>
      <c r="G1068" s="153" t="s">
        <v>3096</v>
      </c>
      <c r="H1068" s="153" t="s">
        <v>321</v>
      </c>
      <c r="I1068" s="153" t="s">
        <v>951</v>
      </c>
      <c r="J1068" s="153" t="s">
        <v>204</v>
      </c>
      <c r="K1068" s="153" t="s">
        <v>204</v>
      </c>
      <c r="L1068" s="159" t="s">
        <v>325</v>
      </c>
      <c r="M1068" s="153" t="s">
        <v>340</v>
      </c>
      <c r="N1068" s="153" t="s">
        <v>464</v>
      </c>
      <c r="O1068" s="153" t="s">
        <v>339</v>
      </c>
      <c r="P1068" s="153" t="s">
        <v>1554</v>
      </c>
      <c r="Q1068" s="153" t="s">
        <v>413</v>
      </c>
      <c r="R1068" s="153" t="s">
        <v>407</v>
      </c>
      <c r="S1068" s="153" t="s">
        <v>1212</v>
      </c>
      <c r="T1068" s="154">
        <v>0.56999999999999995</v>
      </c>
      <c r="U1068" s="153" t="s">
        <v>1270</v>
      </c>
      <c r="V1068" s="155">
        <v>6.3270000000000007E-2</v>
      </c>
      <c r="W1068" s="155">
        <v>0.06</v>
      </c>
      <c r="X1068" s="177"/>
      <c r="Y1068" s="177"/>
      <c r="Z1068" s="154">
        <v>3000</v>
      </c>
      <c r="AA1068" s="154">
        <v>1</v>
      </c>
      <c r="AB1068" s="154">
        <v>100.17</v>
      </c>
      <c r="AD1068" s="154">
        <v>3.0049999999999999</v>
      </c>
      <c r="AG1068" s="157" t="s">
        <v>15</v>
      </c>
      <c r="AH1068" s="155">
        <v>5.0000000000000002E-5</v>
      </c>
      <c r="AI1068" s="155">
        <f t="shared" si="16"/>
        <v>9.4825501643368461E-5</v>
      </c>
      <c r="AJ1068" s="155">
        <v>9.8391444151541772E-6</v>
      </c>
    </row>
    <row r="1069" spans="1:36" s="160" customFormat="1">
      <c r="A1069" s="153" t="s">
        <v>1213</v>
      </c>
      <c r="B1069" s="160">
        <v>9300</v>
      </c>
      <c r="C1069" s="153" t="s">
        <v>2835</v>
      </c>
      <c r="D1069" s="153" t="s">
        <v>2836</v>
      </c>
      <c r="E1069" s="153" t="s">
        <v>309</v>
      </c>
      <c r="F1069" s="153" t="s">
        <v>2837</v>
      </c>
      <c r="G1069" s="153" t="s">
        <v>2838</v>
      </c>
      <c r="H1069" s="153" t="s">
        <v>321</v>
      </c>
      <c r="I1069" s="153" t="s">
        <v>755</v>
      </c>
      <c r="J1069" s="153" t="s">
        <v>204</v>
      </c>
      <c r="K1069" s="153" t="s">
        <v>204</v>
      </c>
      <c r="L1069" s="153" t="s">
        <v>325</v>
      </c>
      <c r="M1069" s="153" t="s">
        <v>340</v>
      </c>
      <c r="N1069" s="153" t="s">
        <v>466</v>
      </c>
      <c r="O1069" s="153" t="s">
        <v>339</v>
      </c>
      <c r="P1069" s="153" t="s">
        <v>1521</v>
      </c>
      <c r="Q1069" s="153" t="s">
        <v>413</v>
      </c>
      <c r="R1069" s="153" t="s">
        <v>407</v>
      </c>
      <c r="S1069" s="153" t="s">
        <v>1212</v>
      </c>
      <c r="T1069" s="154">
        <v>0.73</v>
      </c>
      <c r="U1069" s="153" t="s">
        <v>1777</v>
      </c>
      <c r="V1069" s="155">
        <v>7.4630000000000002E-2</v>
      </c>
      <c r="W1069" s="155">
        <v>6.8500000000000005E-2</v>
      </c>
      <c r="X1069" s="153" t="s">
        <v>412</v>
      </c>
      <c r="Y1069" s="153" t="s">
        <v>339</v>
      </c>
      <c r="Z1069" s="154">
        <v>2000</v>
      </c>
      <c r="AA1069" s="154">
        <v>1</v>
      </c>
      <c r="AB1069" s="154">
        <v>100.82</v>
      </c>
      <c r="AD1069" s="154">
        <v>2.016</v>
      </c>
      <c r="AG1069" s="157" t="s">
        <v>15</v>
      </c>
      <c r="AH1069" s="155">
        <v>3.0000000000000001E-5</v>
      </c>
      <c r="AI1069" s="155">
        <f t="shared" si="16"/>
        <v>6.3616709255584299E-5</v>
      </c>
      <c r="AJ1069" s="155">
        <v>6.6009035410818037E-6</v>
      </c>
    </row>
    <row r="1070" spans="1:36" s="160" customFormat="1">
      <c r="A1070" s="153" t="s">
        <v>1213</v>
      </c>
      <c r="B1070" s="160">
        <v>9300</v>
      </c>
      <c r="C1070" s="153" t="s">
        <v>2032</v>
      </c>
      <c r="D1070" s="153" t="s">
        <v>2033</v>
      </c>
      <c r="E1070" s="153" t="s">
        <v>309</v>
      </c>
      <c r="F1070" s="153" t="s">
        <v>3097</v>
      </c>
      <c r="G1070" s="153" t="s">
        <v>3098</v>
      </c>
      <c r="H1070" s="153" t="s">
        <v>321</v>
      </c>
      <c r="I1070" s="153" t="s">
        <v>951</v>
      </c>
      <c r="J1070" s="153" t="s">
        <v>204</v>
      </c>
      <c r="K1070" s="153" t="s">
        <v>204</v>
      </c>
      <c r="L1070" s="153" t="s">
        <v>325</v>
      </c>
      <c r="M1070" s="153" t="s">
        <v>340</v>
      </c>
      <c r="N1070" s="153" t="s">
        <v>445</v>
      </c>
      <c r="O1070" s="153" t="s">
        <v>339</v>
      </c>
      <c r="P1070" s="153" t="s">
        <v>2011</v>
      </c>
      <c r="Q1070" s="153" t="s">
        <v>415</v>
      </c>
      <c r="R1070" s="153" t="s">
        <v>407</v>
      </c>
      <c r="S1070" s="153" t="s">
        <v>1212</v>
      </c>
      <c r="T1070" s="154">
        <v>0.82</v>
      </c>
      <c r="U1070" s="153" t="s">
        <v>2419</v>
      </c>
      <c r="V1070" s="155">
        <v>5.253E-2</v>
      </c>
      <c r="W1070" s="155">
        <v>5.1900000000000002E-2</v>
      </c>
      <c r="X1070" s="153" t="s">
        <v>412</v>
      </c>
      <c r="Y1070" s="153" t="s">
        <v>339</v>
      </c>
      <c r="Z1070" s="154">
        <v>2000</v>
      </c>
      <c r="AA1070" s="154">
        <v>1</v>
      </c>
      <c r="AB1070" s="154">
        <v>99.39</v>
      </c>
      <c r="AD1070" s="154">
        <v>1.988</v>
      </c>
      <c r="AG1070" s="157" t="s">
        <v>15</v>
      </c>
      <c r="AH1070" s="155">
        <v>0</v>
      </c>
      <c r="AI1070" s="155">
        <f t="shared" si="16"/>
        <v>6.2733143849256736E-5</v>
      </c>
      <c r="AJ1070" s="155">
        <v>6.5092243252334452E-6</v>
      </c>
    </row>
    <row r="1071" spans="1:36" s="160" customFormat="1">
      <c r="A1071" s="153" t="s">
        <v>1213</v>
      </c>
      <c r="B1071" s="160">
        <v>9300</v>
      </c>
      <c r="C1071" s="153" t="s">
        <v>3099</v>
      </c>
      <c r="D1071" s="153" t="s">
        <v>3100</v>
      </c>
      <c r="E1071" s="153" t="s">
        <v>311</v>
      </c>
      <c r="F1071" s="153" t="s">
        <v>3101</v>
      </c>
      <c r="G1071" s="153" t="s">
        <v>3102</v>
      </c>
      <c r="H1071" s="153" t="s">
        <v>312</v>
      </c>
      <c r="I1071" s="153" t="s">
        <v>951</v>
      </c>
      <c r="J1071" s="153" t="s">
        <v>204</v>
      </c>
      <c r="K1071" s="153" t="s">
        <v>224</v>
      </c>
      <c r="L1071" s="153" t="s">
        <v>314</v>
      </c>
      <c r="M1071" s="153" t="s">
        <v>340</v>
      </c>
      <c r="N1071" s="153" t="s">
        <v>465</v>
      </c>
      <c r="O1071" s="153" t="s">
        <v>339</v>
      </c>
      <c r="Q1071" s="153" t="s">
        <v>410</v>
      </c>
      <c r="R1071" s="153" t="s">
        <v>410</v>
      </c>
      <c r="S1071" s="153" t="s">
        <v>1212</v>
      </c>
      <c r="T1071" s="154">
        <v>6.44</v>
      </c>
      <c r="U1071" s="153" t="s">
        <v>3103</v>
      </c>
      <c r="V1071" s="155">
        <v>0.03</v>
      </c>
      <c r="W1071" s="155">
        <v>9.99</v>
      </c>
      <c r="X1071" s="153" t="s">
        <v>412</v>
      </c>
      <c r="Y1071" s="153" t="s">
        <v>338</v>
      </c>
      <c r="Z1071" s="154">
        <v>46780.07</v>
      </c>
      <c r="AA1071" s="154">
        <v>1</v>
      </c>
      <c r="AB1071" s="154">
        <v>0</v>
      </c>
      <c r="AD1071" s="154">
        <v>0</v>
      </c>
      <c r="AG1071" s="157" t="s">
        <v>15</v>
      </c>
      <c r="AH1071" s="155">
        <v>5.6999999999999998E-4</v>
      </c>
      <c r="AI1071" s="155">
        <f t="shared" si="16"/>
        <v>0</v>
      </c>
      <c r="AJ1071" s="155">
        <v>0</v>
      </c>
    </row>
    <row r="1072" spans="1:36" s="160" customFormat="1">
      <c r="A1072" s="153" t="s">
        <v>1213</v>
      </c>
      <c r="B1072" s="160">
        <v>9300</v>
      </c>
      <c r="C1072" s="153" t="s">
        <v>3104</v>
      </c>
      <c r="D1072" s="153" t="s">
        <v>3105</v>
      </c>
      <c r="E1072" s="153" t="s">
        <v>311</v>
      </c>
      <c r="F1072" s="153" t="s">
        <v>3106</v>
      </c>
      <c r="G1072" s="153" t="s">
        <v>3107</v>
      </c>
      <c r="H1072" s="153" t="s">
        <v>312</v>
      </c>
      <c r="I1072" s="153" t="s">
        <v>951</v>
      </c>
      <c r="J1072" s="153" t="s">
        <v>204</v>
      </c>
      <c r="K1072" s="153" t="s">
        <v>204</v>
      </c>
      <c r="L1072" s="153" t="s">
        <v>314</v>
      </c>
      <c r="M1072" s="153" t="s">
        <v>340</v>
      </c>
      <c r="N1072" s="153" t="s">
        <v>447</v>
      </c>
      <c r="O1072" s="153" t="s">
        <v>339</v>
      </c>
      <c r="Q1072" s="153" t="s">
        <v>410</v>
      </c>
      <c r="R1072" s="153" t="s">
        <v>410</v>
      </c>
      <c r="S1072" s="153" t="s">
        <v>1212</v>
      </c>
      <c r="T1072" s="154">
        <v>0.28999999999999998</v>
      </c>
      <c r="U1072" s="153" t="s">
        <v>3108</v>
      </c>
      <c r="V1072" s="155">
        <v>9.8500000000000004E-2</v>
      </c>
      <c r="W1072" s="155">
        <v>9.8500000000000004E-2</v>
      </c>
      <c r="X1072" s="153" t="s">
        <v>412</v>
      </c>
      <c r="Y1072" s="153" t="s">
        <v>338</v>
      </c>
      <c r="Z1072" s="154">
        <v>39680</v>
      </c>
      <c r="AA1072" s="154">
        <v>1</v>
      </c>
      <c r="AB1072" s="154">
        <v>0</v>
      </c>
      <c r="AD1072" s="154">
        <v>0</v>
      </c>
      <c r="AG1072" s="157" t="s">
        <v>15</v>
      </c>
      <c r="AH1072" s="155">
        <v>6.2E-4</v>
      </c>
      <c r="AI1072" s="155">
        <f t="shared" si="16"/>
        <v>0</v>
      </c>
      <c r="AJ1072" s="155">
        <v>0</v>
      </c>
    </row>
    <row r="1073" spans="1:36" s="160" customFormat="1">
      <c r="A1073" s="153" t="s">
        <v>1213</v>
      </c>
      <c r="B1073" s="160">
        <v>9300</v>
      </c>
      <c r="C1073" s="153" t="s">
        <v>1924</v>
      </c>
      <c r="D1073" s="153" t="s">
        <v>1925</v>
      </c>
      <c r="E1073" s="153" t="s">
        <v>309</v>
      </c>
      <c r="F1073" s="153" t="s">
        <v>1926</v>
      </c>
      <c r="G1073" s="153" t="s">
        <v>1927</v>
      </c>
      <c r="H1073" s="153" t="s">
        <v>321</v>
      </c>
      <c r="I1073" s="153" t="s">
        <v>754</v>
      </c>
      <c r="J1073" s="153" t="s">
        <v>204</v>
      </c>
      <c r="K1073" s="153" t="s">
        <v>204</v>
      </c>
      <c r="L1073" s="153" t="s">
        <v>327</v>
      </c>
      <c r="M1073" s="153" t="s">
        <v>340</v>
      </c>
      <c r="N1073" s="153" t="s">
        <v>441</v>
      </c>
      <c r="O1073" s="153" t="s">
        <v>339</v>
      </c>
      <c r="Q1073" s="153" t="s">
        <v>410</v>
      </c>
      <c r="R1073" s="153" t="s">
        <v>410</v>
      </c>
      <c r="S1073" s="153" t="s">
        <v>1212</v>
      </c>
      <c r="T1073" s="154">
        <v>2.09</v>
      </c>
      <c r="U1073" s="153" t="s">
        <v>1528</v>
      </c>
      <c r="V1073" s="155">
        <v>7.6969999999999997E-2</v>
      </c>
      <c r="W1073" s="155">
        <v>5.04E-2</v>
      </c>
      <c r="X1073" s="153" t="s">
        <v>412</v>
      </c>
      <c r="Y1073" s="153" t="s">
        <v>339</v>
      </c>
      <c r="Z1073" s="154">
        <v>143000</v>
      </c>
      <c r="AA1073" s="154">
        <v>1</v>
      </c>
      <c r="AB1073" s="154">
        <f>AD1073*1000/Z1073*100</f>
        <v>106.84</v>
      </c>
      <c r="AD1073" s="154">
        <f>152781.2/1000</f>
        <v>152.78120000000001</v>
      </c>
      <c r="AG1073" s="157" t="s">
        <v>15</v>
      </c>
      <c r="AI1073" s="155">
        <f t="shared" si="16"/>
        <v>4.8211493949004347E-3</v>
      </c>
      <c r="AJ1073" s="155">
        <v>5.0024502187040053E-4</v>
      </c>
    </row>
    <row r="1074" spans="1:36" s="160" customFormat="1">
      <c r="A1074" s="153" t="s">
        <v>1213</v>
      </c>
      <c r="B1074" s="160">
        <v>9300</v>
      </c>
      <c r="C1074" s="153" t="s">
        <v>2391</v>
      </c>
      <c r="D1074" s="153" t="s">
        <v>2392</v>
      </c>
      <c r="E1074" s="153" t="s">
        <v>309</v>
      </c>
      <c r="F1074" s="153" t="s">
        <v>2909</v>
      </c>
      <c r="G1074" s="153" t="s">
        <v>2910</v>
      </c>
      <c r="H1074" s="153" t="s">
        <v>321</v>
      </c>
      <c r="I1074" s="153" t="s">
        <v>754</v>
      </c>
      <c r="J1074" s="153" t="s">
        <v>204</v>
      </c>
      <c r="K1074" s="153" t="s">
        <v>204</v>
      </c>
      <c r="L1074" s="153" t="s">
        <v>327</v>
      </c>
      <c r="M1074" s="153" t="s">
        <v>340</v>
      </c>
      <c r="N1074" s="153" t="s">
        <v>464</v>
      </c>
      <c r="O1074" s="153" t="s">
        <v>339</v>
      </c>
      <c r="P1074" s="153" t="s">
        <v>1538</v>
      </c>
      <c r="Q1074" s="153" t="s">
        <v>413</v>
      </c>
      <c r="R1074" s="153" t="s">
        <v>407</v>
      </c>
      <c r="S1074" s="153" t="s">
        <v>1212</v>
      </c>
      <c r="T1074" s="154">
        <v>1.1599999999999999</v>
      </c>
      <c r="U1074" s="153" t="s">
        <v>2530</v>
      </c>
      <c r="V1074" s="155">
        <v>1.8579999999999999E-2</v>
      </c>
      <c r="W1074" s="155">
        <v>2.4500000000000001E-2</v>
      </c>
      <c r="X1074" s="153" t="s">
        <v>412</v>
      </c>
      <c r="Y1074" s="153" t="s">
        <v>339</v>
      </c>
      <c r="Z1074" s="154">
        <v>64000.880000000005</v>
      </c>
      <c r="AA1074" s="154">
        <v>1</v>
      </c>
      <c r="AB1074" s="154">
        <f>AD1074*1000/Z1074*100</f>
        <v>116.45999999999998</v>
      </c>
      <c r="AD1074" s="154">
        <f>74535.424848/1000</f>
        <v>74.535424847999991</v>
      </c>
      <c r="AG1074" s="157" t="s">
        <v>15</v>
      </c>
      <c r="AI1074" s="155">
        <f t="shared" si="16"/>
        <v>2.3520329622007284E-3</v>
      </c>
      <c r="AJ1074" s="155">
        <v>2.4404818939246023E-4</v>
      </c>
    </row>
    <row r="1075" spans="1:36" s="160" customFormat="1">
      <c r="A1075" s="153" t="s">
        <v>1213</v>
      </c>
      <c r="B1075" s="160">
        <v>9300</v>
      </c>
      <c r="C1075" s="153" t="s">
        <v>2866</v>
      </c>
      <c r="D1075" s="153" t="s">
        <v>2867</v>
      </c>
      <c r="E1075" s="153" t="s">
        <v>309</v>
      </c>
      <c r="F1075" s="153" t="s">
        <v>2965</v>
      </c>
      <c r="G1075" s="153" t="s">
        <v>2966</v>
      </c>
      <c r="H1075" s="153" t="s">
        <v>321</v>
      </c>
      <c r="I1075" s="153" t="s">
        <v>754</v>
      </c>
      <c r="J1075" s="153" t="s">
        <v>204</v>
      </c>
      <c r="K1075" s="153" t="s">
        <v>204</v>
      </c>
      <c r="L1075" s="153" t="s">
        <v>327</v>
      </c>
      <c r="M1075" s="153" t="s">
        <v>340</v>
      </c>
      <c r="N1075" s="153" t="s">
        <v>464</v>
      </c>
      <c r="O1075" s="153" t="s">
        <v>339</v>
      </c>
      <c r="P1075" s="153" t="s">
        <v>1554</v>
      </c>
      <c r="Q1075" s="153" t="s">
        <v>413</v>
      </c>
      <c r="R1075" s="153" t="s">
        <v>407</v>
      </c>
      <c r="S1075" s="153" t="s">
        <v>1212</v>
      </c>
      <c r="T1075" s="154">
        <v>2.2400000000000002</v>
      </c>
      <c r="U1075" s="153" t="s">
        <v>1659</v>
      </c>
      <c r="V1075" s="155">
        <v>3.8830000000000003E-2</v>
      </c>
      <c r="W1075" s="155">
        <v>3.1699999999999999E-2</v>
      </c>
      <c r="X1075" s="153" t="s">
        <v>412</v>
      </c>
      <c r="Y1075" s="153" t="s">
        <v>339</v>
      </c>
      <c r="Z1075" s="154">
        <v>3000</v>
      </c>
      <c r="AA1075" s="154">
        <v>1</v>
      </c>
      <c r="AB1075" s="154">
        <f>AD1075*1000/Z1075*100</f>
        <v>97.339999999999989</v>
      </c>
      <c r="AD1075" s="154">
        <f>2920.2/1000</f>
        <v>2.9201999999999999</v>
      </c>
      <c r="AG1075" s="157" t="s">
        <v>15</v>
      </c>
      <c r="AI1075" s="155">
        <f t="shared" si="16"/>
        <v>9.2149560698490704E-5</v>
      </c>
      <c r="AJ1075" s="155">
        <v>9.5614873614420056E-6</v>
      </c>
    </row>
    <row r="1076" spans="1:36" s="160" customFormat="1">
      <c r="A1076" s="153" t="s">
        <v>1213</v>
      </c>
      <c r="B1076" s="160">
        <v>9300</v>
      </c>
      <c r="C1076" s="153" t="s">
        <v>1573</v>
      </c>
      <c r="D1076" s="153" t="s">
        <v>1574</v>
      </c>
      <c r="E1076" s="153" t="s">
        <v>309</v>
      </c>
      <c r="F1076" s="153" t="s">
        <v>3109</v>
      </c>
      <c r="G1076" s="153" t="s">
        <v>3110</v>
      </c>
      <c r="H1076" s="153" t="s">
        <v>321</v>
      </c>
      <c r="I1076" s="153" t="s">
        <v>755</v>
      </c>
      <c r="J1076" s="153" t="s">
        <v>205</v>
      </c>
      <c r="K1076" s="153" t="s">
        <v>204</v>
      </c>
      <c r="L1076" s="153" t="s">
        <v>325</v>
      </c>
      <c r="M1076" s="153" t="s">
        <v>340</v>
      </c>
      <c r="N1076" s="153" t="s">
        <v>536</v>
      </c>
      <c r="O1076" s="153" t="s">
        <v>339</v>
      </c>
      <c r="P1076" s="153" t="s">
        <v>3111</v>
      </c>
      <c r="Q1076" s="153" t="s">
        <v>433</v>
      </c>
      <c r="R1076" s="153" t="s">
        <v>407</v>
      </c>
      <c r="S1076" s="153" t="s">
        <v>1216</v>
      </c>
      <c r="T1076" s="154">
        <v>2.5019999999999998</v>
      </c>
      <c r="U1076" s="153" t="s">
        <v>3112</v>
      </c>
      <c r="V1076" s="155">
        <v>4.7289999999999999E-2</v>
      </c>
      <c r="W1076" s="155">
        <v>5.0999999999999997E-2</v>
      </c>
      <c r="X1076" s="153" t="s">
        <v>412</v>
      </c>
      <c r="Y1076" s="153" t="s">
        <v>339</v>
      </c>
      <c r="Z1076" s="154">
        <v>140000</v>
      </c>
      <c r="AA1076" s="154">
        <v>3.71</v>
      </c>
      <c r="AB1076" s="154">
        <v>100.83</v>
      </c>
      <c r="AD1076" s="154">
        <v>523.71</v>
      </c>
      <c r="AG1076" s="157" t="s">
        <v>15</v>
      </c>
      <c r="AH1076" s="155">
        <v>2.7999999999999998E-4</v>
      </c>
      <c r="AI1076" s="155">
        <f t="shared" si="16"/>
        <v>1.6526144248135938E-2</v>
      </c>
      <c r="AJ1076" s="155">
        <v>1.7147615047122776E-3</v>
      </c>
    </row>
    <row r="1077" spans="1:36" s="160" customFormat="1">
      <c r="A1077" s="153" t="s">
        <v>1213</v>
      </c>
      <c r="B1077" s="160">
        <v>9300</v>
      </c>
      <c r="C1077" s="153" t="s">
        <v>3113</v>
      </c>
      <c r="D1077" s="153" t="s">
        <v>3114</v>
      </c>
      <c r="E1077" s="153" t="s">
        <v>309</v>
      </c>
      <c r="F1077" s="153" t="s">
        <v>3115</v>
      </c>
      <c r="G1077" s="153" t="s">
        <v>3116</v>
      </c>
      <c r="H1077" s="153" t="s">
        <v>321</v>
      </c>
      <c r="I1077" s="153" t="s">
        <v>755</v>
      </c>
      <c r="J1077" s="153" t="s">
        <v>205</v>
      </c>
      <c r="K1077" s="153" t="s">
        <v>204</v>
      </c>
      <c r="L1077" s="153" t="s">
        <v>325</v>
      </c>
      <c r="M1077" s="153" t="s">
        <v>340</v>
      </c>
      <c r="N1077" s="153" t="s">
        <v>536</v>
      </c>
      <c r="O1077" s="153" t="s">
        <v>339</v>
      </c>
      <c r="P1077" s="153" t="s">
        <v>3117</v>
      </c>
      <c r="Q1077" s="153" t="s">
        <v>431</v>
      </c>
      <c r="R1077" s="153" t="s">
        <v>407</v>
      </c>
      <c r="S1077" s="153" t="s">
        <v>1216</v>
      </c>
      <c r="T1077" s="154">
        <v>2.907</v>
      </c>
      <c r="U1077" s="153" t="s">
        <v>3118</v>
      </c>
      <c r="V1077" s="155">
        <v>4.8280000000000003E-2</v>
      </c>
      <c r="W1077" s="155">
        <v>5.3560000000000003E-2</v>
      </c>
      <c r="X1077" s="153" t="s">
        <v>412</v>
      </c>
      <c r="Y1077" s="153" t="s">
        <v>339</v>
      </c>
      <c r="Z1077" s="154">
        <v>75000</v>
      </c>
      <c r="AA1077" s="154">
        <v>3.71</v>
      </c>
      <c r="AB1077" s="154">
        <v>100.83199999999999</v>
      </c>
      <c r="AD1077" s="154">
        <v>280.56400000000002</v>
      </c>
      <c r="AG1077" s="157" t="s">
        <v>15</v>
      </c>
      <c r="AH1077" s="155">
        <v>9.0000000000000006E-5</v>
      </c>
      <c r="AI1077" s="155">
        <f t="shared" si="16"/>
        <v>8.8534515950316247E-3</v>
      </c>
      <c r="AJ1077" s="155">
        <v>9.1863883983138656E-4</v>
      </c>
    </row>
    <row r="1078" spans="1:36" s="160" customFormat="1">
      <c r="A1078" s="153" t="s">
        <v>1213</v>
      </c>
      <c r="B1078" s="160">
        <v>9300</v>
      </c>
      <c r="C1078" s="153" t="s">
        <v>3119</v>
      </c>
      <c r="D1078" s="153" t="s">
        <v>3120</v>
      </c>
      <c r="E1078" s="153" t="s">
        <v>80</v>
      </c>
      <c r="F1078" s="153" t="s">
        <v>3121</v>
      </c>
      <c r="G1078" s="153" t="s">
        <v>3122</v>
      </c>
      <c r="H1078" s="153" t="s">
        <v>321</v>
      </c>
      <c r="I1078" s="153" t="s">
        <v>755</v>
      </c>
      <c r="J1078" s="153" t="s">
        <v>205</v>
      </c>
      <c r="K1078" s="153" t="s">
        <v>224</v>
      </c>
      <c r="L1078" s="153" t="s">
        <v>325</v>
      </c>
      <c r="M1078" s="153" t="s">
        <v>314</v>
      </c>
      <c r="N1078" s="153" t="s">
        <v>521</v>
      </c>
      <c r="O1078" s="153" t="s">
        <v>339</v>
      </c>
      <c r="P1078" s="153" t="s">
        <v>3123</v>
      </c>
      <c r="Q1078" s="153" t="s">
        <v>431</v>
      </c>
      <c r="R1078" s="153" t="s">
        <v>407</v>
      </c>
      <c r="S1078" s="153" t="s">
        <v>1216</v>
      </c>
      <c r="T1078" s="154">
        <v>2.8159999999999998</v>
      </c>
      <c r="U1078" s="153" t="s">
        <v>3124</v>
      </c>
      <c r="V1078" s="155">
        <v>4.1070000000000002E-2</v>
      </c>
      <c r="W1078" s="155">
        <v>3.7620000000000001E-2</v>
      </c>
      <c r="X1078" s="153" t="s">
        <v>412</v>
      </c>
      <c r="Y1078" s="153" t="s">
        <v>339</v>
      </c>
      <c r="Z1078" s="154">
        <v>60000</v>
      </c>
      <c r="AA1078" s="154">
        <v>3.71</v>
      </c>
      <c r="AB1078" s="154">
        <v>103.593</v>
      </c>
      <c r="AD1078" s="154">
        <v>230.59800000000001</v>
      </c>
      <c r="AG1078" s="157" t="s">
        <v>15</v>
      </c>
      <c r="AH1078" s="155">
        <v>3.0000000000000001E-5</v>
      </c>
      <c r="AI1078" s="155">
        <f t="shared" si="16"/>
        <v>7.2767291274400932E-3</v>
      </c>
      <c r="AJ1078" s="155">
        <v>7.5503727914999106E-4</v>
      </c>
    </row>
    <row r="1079" spans="1:36" s="160" customFormat="1">
      <c r="A1079" s="153" t="s">
        <v>1213</v>
      </c>
      <c r="B1079" s="160">
        <v>9300</v>
      </c>
      <c r="C1079" s="153" t="s">
        <v>3125</v>
      </c>
      <c r="D1079" s="153" t="s">
        <v>3126</v>
      </c>
      <c r="E1079" s="153" t="s">
        <v>309</v>
      </c>
      <c r="F1079" s="153" t="s">
        <v>3127</v>
      </c>
      <c r="G1079" s="153" t="s">
        <v>3128</v>
      </c>
      <c r="H1079" s="153" t="s">
        <v>321</v>
      </c>
      <c r="I1079" s="153" t="s">
        <v>755</v>
      </c>
      <c r="J1079" s="153" t="s">
        <v>205</v>
      </c>
      <c r="K1079" s="153" t="s">
        <v>224</v>
      </c>
      <c r="L1079" s="153" t="s">
        <v>325</v>
      </c>
      <c r="M1079" s="153" t="s">
        <v>314</v>
      </c>
      <c r="N1079" s="153" t="s">
        <v>554</v>
      </c>
      <c r="O1079" s="153" t="s">
        <v>339</v>
      </c>
      <c r="P1079" s="159" t="s">
        <v>410</v>
      </c>
      <c r="Q1079" s="153" t="s">
        <v>415</v>
      </c>
      <c r="R1079" s="153" t="s">
        <v>407</v>
      </c>
      <c r="S1079" s="153" t="s">
        <v>1216</v>
      </c>
      <c r="T1079" s="180">
        <v>2.7</v>
      </c>
      <c r="U1079" s="153" t="s">
        <v>3129</v>
      </c>
      <c r="V1079" s="155">
        <v>2.7810000000000001E-2</v>
      </c>
      <c r="W1079" s="181">
        <v>2.5000000000000001E-2</v>
      </c>
      <c r="X1079" s="177"/>
      <c r="Y1079" s="177"/>
      <c r="Z1079" s="154">
        <v>60000</v>
      </c>
      <c r="AA1079" s="154">
        <v>3.71</v>
      </c>
      <c r="AB1079" s="154">
        <v>99.772999999999996</v>
      </c>
      <c r="AD1079" s="154">
        <v>222.09399999999999</v>
      </c>
      <c r="AG1079" s="157" t="s">
        <v>15</v>
      </c>
      <c r="AH1079" s="155">
        <v>1.33E-3</v>
      </c>
      <c r="AI1079" s="155">
        <f t="shared" si="16"/>
        <v>7.0083776911754655E-3</v>
      </c>
      <c r="AJ1079" s="155">
        <v>7.2719299159376097E-4</v>
      </c>
    </row>
    <row r="1080" spans="1:36" s="160" customFormat="1">
      <c r="A1080" s="153" t="s">
        <v>1213</v>
      </c>
      <c r="B1080" s="160">
        <v>9300</v>
      </c>
      <c r="C1080" s="153" t="s">
        <v>2089</v>
      </c>
      <c r="D1080" s="153" t="s">
        <v>2090</v>
      </c>
      <c r="E1080" s="153" t="s">
        <v>309</v>
      </c>
      <c r="F1080" s="153" t="s">
        <v>3130</v>
      </c>
      <c r="G1080" s="153" t="s">
        <v>3131</v>
      </c>
      <c r="H1080" s="153" t="s">
        <v>321</v>
      </c>
      <c r="I1080" s="153" t="s">
        <v>755</v>
      </c>
      <c r="J1080" s="153" t="s">
        <v>205</v>
      </c>
      <c r="K1080" s="153" t="s">
        <v>204</v>
      </c>
      <c r="L1080" s="153" t="s">
        <v>325</v>
      </c>
      <c r="M1080" s="153" t="s">
        <v>314</v>
      </c>
      <c r="N1080" s="153" t="s">
        <v>534</v>
      </c>
      <c r="O1080" s="153" t="s">
        <v>339</v>
      </c>
      <c r="P1080" s="153" t="s">
        <v>1890</v>
      </c>
      <c r="Q1080" s="153" t="s">
        <v>433</v>
      </c>
      <c r="R1080" s="153" t="s">
        <v>407</v>
      </c>
      <c r="S1080" s="153" t="s">
        <v>1218</v>
      </c>
      <c r="T1080" s="154">
        <v>2.4159999999999999</v>
      </c>
      <c r="U1080" s="153" t="s">
        <v>2093</v>
      </c>
      <c r="V1080" s="155">
        <v>3.5209999999999998E-2</v>
      </c>
      <c r="W1080" s="155">
        <v>4.0030000000000003E-2</v>
      </c>
      <c r="X1080" s="153" t="s">
        <v>412</v>
      </c>
      <c r="Y1080" s="153" t="s">
        <v>339</v>
      </c>
      <c r="Z1080" s="154">
        <v>40000</v>
      </c>
      <c r="AA1080" s="154">
        <v>4.1524000000000001</v>
      </c>
      <c r="AB1080" s="154">
        <v>100.539</v>
      </c>
      <c r="AD1080" s="154">
        <v>166.99100000000001</v>
      </c>
      <c r="AG1080" s="157" t="s">
        <v>15</v>
      </c>
      <c r="AH1080" s="155">
        <v>4.0000000000000003E-5</v>
      </c>
      <c r="AI1080" s="155">
        <f t="shared" si="16"/>
        <v>5.2695525274301979E-3</v>
      </c>
      <c r="AJ1080" s="155">
        <v>5.4677156906190062E-4</v>
      </c>
    </row>
    <row r="1081" spans="1:36" s="160" customFormat="1">
      <c r="A1081" s="153" t="s">
        <v>1213</v>
      </c>
      <c r="B1081" s="160">
        <v>9300</v>
      </c>
      <c r="C1081" s="153" t="s">
        <v>3132</v>
      </c>
      <c r="D1081" s="153" t="s">
        <v>3133</v>
      </c>
      <c r="E1081" s="153" t="s">
        <v>80</v>
      </c>
      <c r="F1081" s="153" t="s">
        <v>3134</v>
      </c>
      <c r="G1081" s="153" t="s">
        <v>3135</v>
      </c>
      <c r="H1081" s="153" t="s">
        <v>321</v>
      </c>
      <c r="I1081" s="153" t="s">
        <v>755</v>
      </c>
      <c r="J1081" s="153" t="s">
        <v>205</v>
      </c>
      <c r="K1081" s="153" t="s">
        <v>224</v>
      </c>
      <c r="L1081" s="153" t="s">
        <v>325</v>
      </c>
      <c r="M1081" s="153" t="s">
        <v>314</v>
      </c>
      <c r="N1081" s="153" t="s">
        <v>534</v>
      </c>
      <c r="O1081" s="153" t="s">
        <v>339</v>
      </c>
      <c r="P1081" s="153" t="s">
        <v>2779</v>
      </c>
      <c r="Q1081" s="153" t="s">
        <v>433</v>
      </c>
      <c r="R1081" s="153" t="s">
        <v>407</v>
      </c>
      <c r="S1081" s="153" t="s">
        <v>1216</v>
      </c>
      <c r="T1081" s="154">
        <v>3.7450000000000001</v>
      </c>
      <c r="U1081" s="153" t="s">
        <v>3136</v>
      </c>
      <c r="V1081" s="155">
        <v>5.0520000000000002E-2</v>
      </c>
      <c r="W1081" s="155">
        <v>4.684E-2</v>
      </c>
      <c r="X1081" s="153" t="s">
        <v>412</v>
      </c>
      <c r="Y1081" s="153" t="s">
        <v>339</v>
      </c>
      <c r="Z1081" s="154">
        <v>45000</v>
      </c>
      <c r="AA1081" s="154">
        <v>3.71</v>
      </c>
      <c r="AB1081" s="154">
        <v>99.855999999999995</v>
      </c>
      <c r="AD1081" s="154">
        <v>166.71</v>
      </c>
      <c r="AG1081" s="157" t="s">
        <v>15</v>
      </c>
      <c r="AH1081" s="155">
        <v>1.0000000000000001E-5</v>
      </c>
      <c r="AI1081" s="155">
        <f t="shared" si="16"/>
        <v>5.2606853174595528E-3</v>
      </c>
      <c r="AJ1081" s="155">
        <v>5.4585150264570813E-4</v>
      </c>
    </row>
    <row r="1082" spans="1:36" s="160" customFormat="1">
      <c r="A1082" s="153" t="s">
        <v>1213</v>
      </c>
      <c r="B1082" s="160">
        <v>9300</v>
      </c>
      <c r="C1082" s="153" t="s">
        <v>2072</v>
      </c>
      <c r="D1082" s="153" t="s">
        <v>2073</v>
      </c>
      <c r="E1082" s="153" t="s">
        <v>80</v>
      </c>
      <c r="F1082" s="153" t="s">
        <v>3137</v>
      </c>
      <c r="G1082" s="153" t="s">
        <v>3138</v>
      </c>
      <c r="H1082" s="153" t="s">
        <v>321</v>
      </c>
      <c r="I1082" s="153" t="s">
        <v>755</v>
      </c>
      <c r="J1082" s="153" t="s">
        <v>205</v>
      </c>
      <c r="K1082" s="153" t="s">
        <v>224</v>
      </c>
      <c r="L1082" s="153" t="s">
        <v>325</v>
      </c>
      <c r="M1082" s="153" t="s">
        <v>314</v>
      </c>
      <c r="N1082" s="153" t="s">
        <v>537</v>
      </c>
      <c r="O1082" s="153" t="s">
        <v>339</v>
      </c>
      <c r="P1082" s="153" t="s">
        <v>1876</v>
      </c>
      <c r="Q1082" s="153" t="s">
        <v>423</v>
      </c>
      <c r="R1082" s="153" t="s">
        <v>407</v>
      </c>
      <c r="S1082" s="153" t="s">
        <v>1216</v>
      </c>
      <c r="T1082" s="154">
        <v>3.6389999999999998</v>
      </c>
      <c r="U1082" s="153" t="s">
        <v>3139</v>
      </c>
      <c r="V1082" s="155">
        <v>2.9420000000000002E-2</v>
      </c>
      <c r="W1082" s="155">
        <v>5.6890000000000003E-2</v>
      </c>
      <c r="X1082" s="153" t="s">
        <v>412</v>
      </c>
      <c r="Y1082" s="153" t="s">
        <v>339</v>
      </c>
      <c r="Z1082" s="154">
        <v>40000</v>
      </c>
      <c r="AA1082" s="154">
        <v>3.71</v>
      </c>
      <c r="AB1082" s="154">
        <v>92.186999999999998</v>
      </c>
      <c r="AD1082" s="154">
        <v>136.80600000000001</v>
      </c>
      <c r="AG1082" s="157" t="s">
        <v>15</v>
      </c>
      <c r="AH1082" s="155">
        <v>5.0000000000000002E-5</v>
      </c>
      <c r="AI1082" s="155">
        <f t="shared" si="16"/>
        <v>4.3170374635017189E-3</v>
      </c>
      <c r="AJ1082" s="155">
        <v>4.4793810011966136E-4</v>
      </c>
    </row>
    <row r="1083" spans="1:36" s="160" customFormat="1">
      <c r="A1083" s="153" t="s">
        <v>1213</v>
      </c>
      <c r="B1083" s="160">
        <v>9300</v>
      </c>
      <c r="C1083" s="153" t="s">
        <v>3140</v>
      </c>
      <c r="D1083" s="153" t="s">
        <v>3141</v>
      </c>
      <c r="E1083" s="153" t="s">
        <v>80</v>
      </c>
      <c r="F1083" s="153" t="s">
        <v>3142</v>
      </c>
      <c r="G1083" s="153" t="s">
        <v>3143</v>
      </c>
      <c r="H1083" s="153" t="s">
        <v>321</v>
      </c>
      <c r="I1083" s="153" t="s">
        <v>755</v>
      </c>
      <c r="J1083" s="153" t="s">
        <v>205</v>
      </c>
      <c r="K1083" s="153" t="s">
        <v>224</v>
      </c>
      <c r="L1083" s="153" t="s">
        <v>325</v>
      </c>
      <c r="M1083" s="153" t="s">
        <v>314</v>
      </c>
      <c r="N1083" s="153" t="s">
        <v>521</v>
      </c>
      <c r="O1083" s="153" t="s">
        <v>339</v>
      </c>
      <c r="P1083" s="153" t="s">
        <v>2779</v>
      </c>
      <c r="Q1083" s="153" t="s">
        <v>433</v>
      </c>
      <c r="R1083" s="153" t="s">
        <v>407</v>
      </c>
      <c r="S1083" s="153" t="s">
        <v>1216</v>
      </c>
      <c r="T1083" s="154">
        <v>6.3220000000000001</v>
      </c>
      <c r="U1083" s="153" t="s">
        <v>3144</v>
      </c>
      <c r="V1083" s="155">
        <v>6.7449999999999996E-2</v>
      </c>
      <c r="W1083" s="155">
        <v>4.7579999999999997E-2</v>
      </c>
      <c r="X1083" s="153" t="s">
        <v>412</v>
      </c>
      <c r="Y1083" s="153" t="s">
        <v>339</v>
      </c>
      <c r="Z1083" s="154">
        <v>35000</v>
      </c>
      <c r="AA1083" s="154">
        <v>3.71</v>
      </c>
      <c r="AB1083" s="154">
        <v>90.686000000000007</v>
      </c>
      <c r="AD1083" s="154">
        <v>117.756</v>
      </c>
      <c r="AG1083" s="157" t="s">
        <v>15</v>
      </c>
      <c r="AH1083" s="155">
        <v>5.0000000000000002E-5</v>
      </c>
      <c r="AI1083" s="155">
        <f t="shared" si="16"/>
        <v>3.7158974281252901E-3</v>
      </c>
      <c r="AJ1083" s="155">
        <v>3.8556349076568895E-4</v>
      </c>
    </row>
    <row r="1084" spans="1:36" s="160" customFormat="1">
      <c r="A1084" s="153" t="s">
        <v>1213</v>
      </c>
      <c r="B1084" s="160">
        <v>9300</v>
      </c>
      <c r="C1084" s="153" t="s">
        <v>3145</v>
      </c>
      <c r="D1084" s="153" t="s">
        <v>3146</v>
      </c>
      <c r="E1084" s="153" t="s">
        <v>80</v>
      </c>
      <c r="F1084" s="153" t="s">
        <v>3147</v>
      </c>
      <c r="G1084" s="153" t="s">
        <v>3148</v>
      </c>
      <c r="H1084" s="153" t="s">
        <v>321</v>
      </c>
      <c r="I1084" s="153" t="s">
        <v>755</v>
      </c>
      <c r="J1084" s="153" t="s">
        <v>205</v>
      </c>
      <c r="K1084" s="153" t="s">
        <v>224</v>
      </c>
      <c r="L1084" s="153" t="s">
        <v>325</v>
      </c>
      <c r="M1084" s="153" t="s">
        <v>314</v>
      </c>
      <c r="N1084" s="153" t="s">
        <v>512</v>
      </c>
      <c r="O1084" s="153" t="s">
        <v>339</v>
      </c>
      <c r="P1084" s="153" t="s">
        <v>3149</v>
      </c>
      <c r="Q1084" s="153" t="s">
        <v>431</v>
      </c>
      <c r="R1084" s="153" t="s">
        <v>407</v>
      </c>
      <c r="S1084" s="153" t="s">
        <v>1216</v>
      </c>
      <c r="T1084" s="154">
        <v>6.0430000000000001</v>
      </c>
      <c r="U1084" s="153" t="s">
        <v>1476</v>
      </c>
      <c r="V1084" s="155">
        <v>4.2610000000000002E-2</v>
      </c>
      <c r="W1084" s="155">
        <v>6.3539999999999999E-2</v>
      </c>
      <c r="X1084" s="153" t="s">
        <v>412</v>
      </c>
      <c r="Y1084" s="153" t="s">
        <v>339</v>
      </c>
      <c r="Z1084" s="154">
        <v>35000</v>
      </c>
      <c r="AA1084" s="154">
        <v>3.71</v>
      </c>
      <c r="AB1084" s="154">
        <v>88.944999999999993</v>
      </c>
      <c r="AD1084" s="154">
        <v>115.494</v>
      </c>
      <c r="AG1084" s="157" t="s">
        <v>15</v>
      </c>
      <c r="AH1084" s="155">
        <v>1E-4</v>
      </c>
      <c r="AI1084" s="155">
        <f t="shared" si="16"/>
        <v>3.6445179656569705E-3</v>
      </c>
      <c r="AJ1084" s="155">
        <v>3.7815711982822515E-4</v>
      </c>
    </row>
    <row r="1085" spans="1:36" s="160" customFormat="1">
      <c r="A1085" s="153" t="s">
        <v>1213</v>
      </c>
      <c r="B1085" s="160">
        <v>9300</v>
      </c>
      <c r="C1085" s="153" t="s">
        <v>2649</v>
      </c>
      <c r="D1085" s="153" t="s">
        <v>2650</v>
      </c>
      <c r="E1085" s="153" t="s">
        <v>80</v>
      </c>
      <c r="F1085" s="153" t="s">
        <v>3150</v>
      </c>
      <c r="G1085" s="153" t="s">
        <v>3151</v>
      </c>
      <c r="H1085" s="153" t="s">
        <v>321</v>
      </c>
      <c r="I1085" s="153" t="s">
        <v>755</v>
      </c>
      <c r="J1085" s="153" t="s">
        <v>205</v>
      </c>
      <c r="K1085" s="153" t="s">
        <v>293</v>
      </c>
      <c r="L1085" s="153" t="s">
        <v>325</v>
      </c>
      <c r="M1085" s="153" t="s">
        <v>314</v>
      </c>
      <c r="N1085" s="153" t="s">
        <v>568</v>
      </c>
      <c r="O1085" s="153" t="s">
        <v>339</v>
      </c>
      <c r="P1085" s="153" t="s">
        <v>2081</v>
      </c>
      <c r="Q1085" s="153" t="s">
        <v>433</v>
      </c>
      <c r="R1085" s="153" t="s">
        <v>407</v>
      </c>
      <c r="S1085" s="153" t="s">
        <v>1218</v>
      </c>
      <c r="T1085" s="154">
        <v>3.153</v>
      </c>
      <c r="U1085" s="153" t="s">
        <v>3152</v>
      </c>
      <c r="V1085" s="155">
        <v>6.9269999999999998E-2</v>
      </c>
      <c r="W1085" s="155">
        <v>3.5549999999999998E-2</v>
      </c>
      <c r="X1085" s="153" t="s">
        <v>412</v>
      </c>
      <c r="Y1085" s="153" t="s">
        <v>339</v>
      </c>
      <c r="Z1085" s="154">
        <v>30000</v>
      </c>
      <c r="AA1085" s="154">
        <v>4.1524000000000001</v>
      </c>
      <c r="AB1085" s="154">
        <v>89.442999999999998</v>
      </c>
      <c r="AD1085" s="154">
        <v>111.42100000000001</v>
      </c>
      <c r="AG1085" s="157" t="s">
        <v>15</v>
      </c>
      <c r="AH1085" s="155">
        <v>3.0000000000000001E-5</v>
      </c>
      <c r="AI1085" s="155">
        <f t="shared" si="16"/>
        <v>3.5159907549436797E-3</v>
      </c>
      <c r="AJ1085" s="155">
        <v>3.6482106817999787E-4</v>
      </c>
    </row>
    <row r="1086" spans="1:36" s="160" customFormat="1">
      <c r="A1086" s="153" t="s">
        <v>1213</v>
      </c>
      <c r="B1086" s="160">
        <v>9300</v>
      </c>
      <c r="C1086" s="153" t="s">
        <v>3153</v>
      </c>
      <c r="D1086" s="153" t="s">
        <v>3154</v>
      </c>
      <c r="E1086" s="153" t="s">
        <v>80</v>
      </c>
      <c r="F1086" s="153" t="s">
        <v>3155</v>
      </c>
      <c r="G1086" s="153" t="s">
        <v>3156</v>
      </c>
      <c r="H1086" s="153" t="s">
        <v>321</v>
      </c>
      <c r="I1086" s="153" t="s">
        <v>755</v>
      </c>
      <c r="J1086" s="153" t="s">
        <v>205</v>
      </c>
      <c r="K1086" s="153" t="s">
        <v>224</v>
      </c>
      <c r="L1086" s="153" t="s">
        <v>325</v>
      </c>
      <c r="M1086" s="153" t="s">
        <v>314</v>
      </c>
      <c r="N1086" s="153" t="s">
        <v>534</v>
      </c>
      <c r="O1086" s="153" t="s">
        <v>339</v>
      </c>
      <c r="P1086" s="153" t="s">
        <v>2056</v>
      </c>
      <c r="Q1086" s="153" t="s">
        <v>433</v>
      </c>
      <c r="R1086" s="153" t="s">
        <v>407</v>
      </c>
      <c r="S1086" s="153" t="s">
        <v>1216</v>
      </c>
      <c r="T1086" s="154">
        <v>3.0000000000000001E-3</v>
      </c>
      <c r="U1086" s="153" t="s">
        <v>3157</v>
      </c>
      <c r="V1086" s="155">
        <v>6.8760000000000002E-2</v>
      </c>
      <c r="W1086" s="155">
        <v>-0.17002</v>
      </c>
      <c r="X1086" s="153" t="s">
        <v>412</v>
      </c>
      <c r="Y1086" s="153" t="s">
        <v>339</v>
      </c>
      <c r="Z1086" s="154">
        <v>30000</v>
      </c>
      <c r="AA1086" s="154">
        <v>3.71</v>
      </c>
      <c r="AB1086" s="154">
        <v>99.822000000000003</v>
      </c>
      <c r="AD1086" s="154">
        <v>111.102</v>
      </c>
      <c r="AG1086" s="157" t="s">
        <v>15</v>
      </c>
      <c r="AH1086" s="155">
        <v>4.0000000000000003E-5</v>
      </c>
      <c r="AI1086" s="155">
        <f t="shared" si="16"/>
        <v>3.5059244204930194E-3</v>
      </c>
      <c r="AJ1086" s="155">
        <v>3.6377657997086838E-4</v>
      </c>
    </row>
    <row r="1087" spans="1:36" s="160" customFormat="1">
      <c r="A1087" s="153" t="s">
        <v>1213</v>
      </c>
      <c r="B1087" s="160">
        <v>9300</v>
      </c>
      <c r="C1087" s="153" t="s">
        <v>3158</v>
      </c>
      <c r="D1087" s="153" t="s">
        <v>3159</v>
      </c>
      <c r="E1087" s="153" t="s">
        <v>80</v>
      </c>
      <c r="F1087" s="153" t="s">
        <v>3160</v>
      </c>
      <c r="G1087" s="153" t="s">
        <v>3161</v>
      </c>
      <c r="H1087" s="153" t="s">
        <v>321</v>
      </c>
      <c r="I1087" s="153" t="s">
        <v>755</v>
      </c>
      <c r="J1087" s="153" t="s">
        <v>205</v>
      </c>
      <c r="K1087" s="153" t="s">
        <v>293</v>
      </c>
      <c r="L1087" s="153" t="s">
        <v>325</v>
      </c>
      <c r="M1087" s="153" t="s">
        <v>314</v>
      </c>
      <c r="N1087" s="153" t="s">
        <v>568</v>
      </c>
      <c r="O1087" s="153" t="s">
        <v>339</v>
      </c>
      <c r="P1087" s="153" t="s">
        <v>2070</v>
      </c>
      <c r="Q1087" s="153" t="s">
        <v>431</v>
      </c>
      <c r="R1087" s="153" t="s">
        <v>407</v>
      </c>
      <c r="S1087" s="153" t="s">
        <v>1218</v>
      </c>
      <c r="T1087" s="154">
        <v>2.66</v>
      </c>
      <c r="U1087" s="153" t="s">
        <v>3162</v>
      </c>
      <c r="V1087" s="155">
        <v>4.6179999999999999E-2</v>
      </c>
      <c r="W1087" s="155">
        <v>6.8640000000000007E-2</v>
      </c>
      <c r="X1087" s="153" t="s">
        <v>412</v>
      </c>
      <c r="Y1087" s="153" t="s">
        <v>339</v>
      </c>
      <c r="Z1087" s="154">
        <v>30000</v>
      </c>
      <c r="AA1087" s="154">
        <v>4.1524000000000001</v>
      </c>
      <c r="AB1087" s="154">
        <v>88.606999999999999</v>
      </c>
      <c r="AD1087" s="154">
        <v>110.38</v>
      </c>
      <c r="AG1087" s="157" t="s">
        <v>15</v>
      </c>
      <c r="AH1087" s="155">
        <v>1.2999999999999999E-4</v>
      </c>
      <c r="AI1087" s="155">
        <f t="shared" si="16"/>
        <v>3.4831410553727155E-3</v>
      </c>
      <c r="AJ1087" s="155">
        <v>3.6141256590506421E-4</v>
      </c>
    </row>
    <row r="1088" spans="1:36" s="160" customFormat="1">
      <c r="A1088" s="153" t="s">
        <v>1213</v>
      </c>
      <c r="B1088" s="160">
        <v>9300</v>
      </c>
      <c r="C1088" s="153" t="s">
        <v>1872</v>
      </c>
      <c r="D1088" s="153" t="s">
        <v>1873</v>
      </c>
      <c r="E1088" s="153" t="s">
        <v>80</v>
      </c>
      <c r="F1088" s="153" t="s">
        <v>3163</v>
      </c>
      <c r="G1088" s="153" t="s">
        <v>3164</v>
      </c>
      <c r="H1088" s="153" t="s">
        <v>321</v>
      </c>
      <c r="I1088" s="153" t="s">
        <v>755</v>
      </c>
      <c r="J1088" s="153" t="s">
        <v>205</v>
      </c>
      <c r="K1088" s="153" t="s">
        <v>224</v>
      </c>
      <c r="L1088" s="153" t="s">
        <v>325</v>
      </c>
      <c r="M1088" s="153" t="s">
        <v>314</v>
      </c>
      <c r="N1088" s="153" t="s">
        <v>534</v>
      </c>
      <c r="O1088" s="153" t="s">
        <v>339</v>
      </c>
      <c r="P1088" s="153" t="s">
        <v>1876</v>
      </c>
      <c r="Q1088" s="153" t="s">
        <v>433</v>
      </c>
      <c r="R1088" s="153" t="s">
        <v>407</v>
      </c>
      <c r="S1088" s="153" t="s">
        <v>1216</v>
      </c>
      <c r="T1088" s="154">
        <v>2.5760000000000001</v>
      </c>
      <c r="U1088" s="153" t="s">
        <v>3165</v>
      </c>
      <c r="V1088" s="155">
        <v>6.6710000000000005E-2</v>
      </c>
      <c r="W1088" s="155">
        <v>4.5370000000000001E-2</v>
      </c>
      <c r="X1088" s="153" t="s">
        <v>412</v>
      </c>
      <c r="Y1088" s="153" t="s">
        <v>339</v>
      </c>
      <c r="Z1088" s="154">
        <v>30000</v>
      </c>
      <c r="AA1088" s="154">
        <v>3.71</v>
      </c>
      <c r="AB1088" s="154">
        <v>94.784999999999997</v>
      </c>
      <c r="AD1088" s="154">
        <v>105.496</v>
      </c>
      <c r="AG1088" s="157" t="s">
        <v>15</v>
      </c>
      <c r="AH1088" s="155">
        <v>4.0000000000000003E-5</v>
      </c>
      <c r="AI1088" s="155">
        <f t="shared" si="16"/>
        <v>3.329022003783294E-3</v>
      </c>
      <c r="AJ1088" s="155">
        <v>3.4542109125494343E-4</v>
      </c>
    </row>
    <row r="1089" spans="1:36" s="160" customFormat="1">
      <c r="A1089" s="153" t="s">
        <v>1213</v>
      </c>
      <c r="B1089" s="160">
        <v>9300</v>
      </c>
      <c r="C1089" s="153" t="s">
        <v>3166</v>
      </c>
      <c r="D1089" s="153" t="s">
        <v>3167</v>
      </c>
      <c r="E1089" s="153" t="s">
        <v>80</v>
      </c>
      <c r="F1089" s="153" t="s">
        <v>3168</v>
      </c>
      <c r="G1089" s="153" t="s">
        <v>3169</v>
      </c>
      <c r="H1089" s="153" t="s">
        <v>321</v>
      </c>
      <c r="I1089" s="153" t="s">
        <v>755</v>
      </c>
      <c r="J1089" s="153" t="s">
        <v>205</v>
      </c>
      <c r="K1089" s="153" t="s">
        <v>224</v>
      </c>
      <c r="L1089" s="153" t="s">
        <v>325</v>
      </c>
      <c r="M1089" s="153" t="s">
        <v>314</v>
      </c>
      <c r="N1089" s="153" t="s">
        <v>509</v>
      </c>
      <c r="O1089" s="153" t="s">
        <v>339</v>
      </c>
      <c r="P1089" s="153" t="s">
        <v>2779</v>
      </c>
      <c r="Q1089" s="153" t="s">
        <v>433</v>
      </c>
      <c r="R1089" s="153" t="s">
        <v>407</v>
      </c>
      <c r="S1089" s="153" t="s">
        <v>1216</v>
      </c>
      <c r="T1089" s="154">
        <v>4.875</v>
      </c>
      <c r="U1089" s="153" t="s">
        <v>3170</v>
      </c>
      <c r="V1089" s="155">
        <v>4.4589999999999998E-2</v>
      </c>
      <c r="W1089" s="155">
        <v>4.2259999999999999E-2</v>
      </c>
      <c r="X1089" s="153" t="s">
        <v>412</v>
      </c>
      <c r="Y1089" s="153" t="s">
        <v>339</v>
      </c>
      <c r="Z1089" s="154">
        <v>25000</v>
      </c>
      <c r="AA1089" s="154">
        <v>3.71</v>
      </c>
      <c r="AB1089" s="154">
        <v>101.521</v>
      </c>
      <c r="AD1089" s="154">
        <v>94.16</v>
      </c>
      <c r="AG1089" s="157" t="s">
        <v>15</v>
      </c>
      <c r="AH1089" s="155">
        <v>3.0000000000000001E-5</v>
      </c>
      <c r="AI1089" s="155">
        <f t="shared" si="16"/>
        <v>2.9713042378501078E-3</v>
      </c>
      <c r="AJ1089" s="155">
        <v>3.0830410586719378E-4</v>
      </c>
    </row>
    <row r="1090" spans="1:36" s="160" customFormat="1">
      <c r="A1090" s="153" t="s">
        <v>1213</v>
      </c>
      <c r="B1090" s="160">
        <v>9300</v>
      </c>
      <c r="C1090" s="153" t="s">
        <v>3171</v>
      </c>
      <c r="D1090" s="153" t="s">
        <v>3172</v>
      </c>
      <c r="E1090" s="153" t="s">
        <v>80</v>
      </c>
      <c r="F1090" s="153" t="s">
        <v>3173</v>
      </c>
      <c r="G1090" s="153" t="s">
        <v>3174</v>
      </c>
      <c r="H1090" s="153" t="s">
        <v>321</v>
      </c>
      <c r="I1090" s="153" t="s">
        <v>755</v>
      </c>
      <c r="J1090" s="153" t="s">
        <v>205</v>
      </c>
      <c r="K1090" s="153" t="s">
        <v>224</v>
      </c>
      <c r="L1090" s="153" t="s">
        <v>325</v>
      </c>
      <c r="M1090" s="153" t="s">
        <v>314</v>
      </c>
      <c r="N1090" s="153" t="s">
        <v>550</v>
      </c>
      <c r="O1090" s="153" t="s">
        <v>339</v>
      </c>
      <c r="P1090" s="153" t="s">
        <v>2081</v>
      </c>
      <c r="Q1090" s="153" t="s">
        <v>433</v>
      </c>
      <c r="R1090" s="153" t="s">
        <v>407</v>
      </c>
      <c r="S1090" s="153" t="s">
        <v>1216</v>
      </c>
      <c r="T1090" s="154">
        <v>4.556</v>
      </c>
      <c r="U1090" s="153" t="s">
        <v>3175</v>
      </c>
      <c r="V1090" s="155">
        <v>4.4350000000000001E-2</v>
      </c>
      <c r="W1090" s="155">
        <v>4.3130000000000002E-2</v>
      </c>
      <c r="X1090" s="153" t="s">
        <v>412</v>
      </c>
      <c r="Y1090" s="153" t="s">
        <v>339</v>
      </c>
      <c r="Z1090" s="154">
        <v>25000</v>
      </c>
      <c r="AA1090" s="154">
        <v>3.71</v>
      </c>
      <c r="AB1090" s="154">
        <v>99.834000000000003</v>
      </c>
      <c r="AD1090" s="154">
        <v>92.596000000000004</v>
      </c>
      <c r="AG1090" s="157" t="s">
        <v>15</v>
      </c>
      <c r="AH1090" s="155">
        <v>1.0000000000000001E-5</v>
      </c>
      <c r="AI1090" s="155">
        <f t="shared" si="16"/>
        <v>2.92195079872524E-3</v>
      </c>
      <c r="AJ1090" s="155">
        <v>3.0318316681052118E-4</v>
      </c>
    </row>
    <row r="1091" spans="1:36" s="160" customFormat="1">
      <c r="A1091" s="153" t="s">
        <v>1213</v>
      </c>
      <c r="B1091" s="160">
        <v>9300</v>
      </c>
      <c r="C1091" s="153" t="s">
        <v>3176</v>
      </c>
      <c r="D1091" s="153" t="s">
        <v>3177</v>
      </c>
      <c r="E1091" s="153" t="s">
        <v>80</v>
      </c>
      <c r="F1091" s="153" t="s">
        <v>3178</v>
      </c>
      <c r="G1091" s="153" t="s">
        <v>3179</v>
      </c>
      <c r="H1091" s="153" t="s">
        <v>321</v>
      </c>
      <c r="I1091" s="153" t="s">
        <v>755</v>
      </c>
      <c r="J1091" s="153" t="s">
        <v>205</v>
      </c>
      <c r="K1091" s="153" t="s">
        <v>224</v>
      </c>
      <c r="L1091" s="153" t="s">
        <v>325</v>
      </c>
      <c r="M1091" s="153" t="s">
        <v>314</v>
      </c>
      <c r="N1091" s="153" t="s">
        <v>488</v>
      </c>
      <c r="O1091" s="153" t="s">
        <v>339</v>
      </c>
      <c r="P1091" s="153" t="s">
        <v>2779</v>
      </c>
      <c r="Q1091" s="153" t="s">
        <v>433</v>
      </c>
      <c r="R1091" s="153" t="s">
        <v>407</v>
      </c>
      <c r="S1091" s="153" t="s">
        <v>1216</v>
      </c>
      <c r="T1091" s="154">
        <v>5.92</v>
      </c>
      <c r="U1091" s="153" t="s">
        <v>3180</v>
      </c>
      <c r="V1091" s="155">
        <v>6.166E-2</v>
      </c>
      <c r="W1091" s="155">
        <v>5.2850000000000001E-2</v>
      </c>
      <c r="X1091" s="153" t="s">
        <v>412</v>
      </c>
      <c r="Y1091" s="153" t="s">
        <v>339</v>
      </c>
      <c r="Z1091" s="154">
        <v>20000</v>
      </c>
      <c r="AA1091" s="154">
        <v>3.71</v>
      </c>
      <c r="AB1091" s="154">
        <v>115.922</v>
      </c>
      <c r="AD1091" s="154">
        <v>86.013999999999996</v>
      </c>
      <c r="AG1091" s="157" t="s">
        <v>15</v>
      </c>
      <c r="AH1091" s="155">
        <v>3.0000000000000001E-5</v>
      </c>
      <c r="AI1091" s="155">
        <f t="shared" ref="AI1091:AI1154" si="17">AD1091/SUMIF(B:B,B1091,AD:AD)</f>
        <v>2.7142498164235253E-3</v>
      </c>
      <c r="AJ1091" s="155">
        <v>2.8163200257073922E-4</v>
      </c>
    </row>
    <row r="1092" spans="1:36" s="160" customFormat="1">
      <c r="A1092" s="153" t="s">
        <v>1213</v>
      </c>
      <c r="B1092" s="160">
        <v>9300</v>
      </c>
      <c r="C1092" s="153" t="s">
        <v>2089</v>
      </c>
      <c r="D1092" s="153" t="s">
        <v>2090</v>
      </c>
      <c r="E1092" s="153" t="s">
        <v>309</v>
      </c>
      <c r="F1092" s="153" t="s">
        <v>2091</v>
      </c>
      <c r="G1092" s="153" t="s">
        <v>2092</v>
      </c>
      <c r="H1092" s="153" t="s">
        <v>321</v>
      </c>
      <c r="I1092" s="153" t="s">
        <v>755</v>
      </c>
      <c r="J1092" s="153" t="s">
        <v>205</v>
      </c>
      <c r="K1092" s="153" t="s">
        <v>204</v>
      </c>
      <c r="L1092" s="153" t="s">
        <v>325</v>
      </c>
      <c r="M1092" s="153" t="s">
        <v>314</v>
      </c>
      <c r="N1092" s="153" t="s">
        <v>534</v>
      </c>
      <c r="O1092" s="153" t="s">
        <v>339</v>
      </c>
      <c r="P1092" s="153" t="s">
        <v>1890</v>
      </c>
      <c r="Q1092" s="153" t="s">
        <v>433</v>
      </c>
      <c r="R1092" s="153" t="s">
        <v>407</v>
      </c>
      <c r="S1092" s="153" t="s">
        <v>1218</v>
      </c>
      <c r="T1092" s="154">
        <v>4.8339999999999996</v>
      </c>
      <c r="U1092" s="153" t="s">
        <v>2093</v>
      </c>
      <c r="V1092" s="155">
        <v>4.1000000000000002E-2</v>
      </c>
      <c r="W1092" s="155">
        <v>4.4069999999999998E-2</v>
      </c>
      <c r="X1092" s="153" t="s">
        <v>412</v>
      </c>
      <c r="Y1092" s="153" t="s">
        <v>339</v>
      </c>
      <c r="Z1092" s="154">
        <v>20000</v>
      </c>
      <c r="AA1092" s="154">
        <v>4.1524000000000001</v>
      </c>
      <c r="AB1092" s="154">
        <v>101.104</v>
      </c>
      <c r="AD1092" s="154">
        <v>83.963999999999999</v>
      </c>
      <c r="AG1092" s="157" t="s">
        <v>15</v>
      </c>
      <c r="AH1092" s="155">
        <v>1.0000000000000001E-5</v>
      </c>
      <c r="AI1092" s="155">
        <f t="shared" si="17"/>
        <v>2.6495602063174007E-3</v>
      </c>
      <c r="AJ1092" s="155">
        <v>2.7491977426755582E-4</v>
      </c>
    </row>
    <row r="1093" spans="1:36" s="160" customFormat="1">
      <c r="A1093" s="153" t="s">
        <v>1213</v>
      </c>
      <c r="B1093" s="160">
        <v>9300</v>
      </c>
      <c r="C1093" s="153" t="s">
        <v>3181</v>
      </c>
      <c r="D1093" s="153" t="s">
        <v>3182</v>
      </c>
      <c r="E1093" s="153" t="s">
        <v>80</v>
      </c>
      <c r="F1093" s="153" t="s">
        <v>3183</v>
      </c>
      <c r="G1093" s="153" t="s">
        <v>3184</v>
      </c>
      <c r="H1093" s="153" t="s">
        <v>321</v>
      </c>
      <c r="I1093" s="153" t="s">
        <v>755</v>
      </c>
      <c r="J1093" s="153" t="s">
        <v>205</v>
      </c>
      <c r="K1093" s="153" t="s">
        <v>224</v>
      </c>
      <c r="L1093" s="153" t="s">
        <v>325</v>
      </c>
      <c r="M1093" s="153" t="s">
        <v>314</v>
      </c>
      <c r="N1093" s="153" t="s">
        <v>537</v>
      </c>
      <c r="O1093" s="153" t="s">
        <v>339</v>
      </c>
      <c r="P1093" s="153" t="s">
        <v>1876</v>
      </c>
      <c r="Q1093" s="153" t="s">
        <v>433</v>
      </c>
      <c r="R1093" s="153" t="s">
        <v>407</v>
      </c>
      <c r="S1093" s="153" t="s">
        <v>1216</v>
      </c>
      <c r="T1093" s="154">
        <v>3.6760000000000002</v>
      </c>
      <c r="U1093" s="153" t="s">
        <v>2798</v>
      </c>
      <c r="V1093" s="155">
        <v>6.1920000000000003E-2</v>
      </c>
      <c r="W1093" s="155">
        <v>5.8479999999999997E-2</v>
      </c>
      <c r="X1093" s="153" t="s">
        <v>412</v>
      </c>
      <c r="Y1093" s="153" t="s">
        <v>339</v>
      </c>
      <c r="Z1093" s="154">
        <v>20000</v>
      </c>
      <c r="AA1093" s="154">
        <v>3.71</v>
      </c>
      <c r="AB1093" s="154">
        <v>107.51</v>
      </c>
      <c r="AD1093" s="154">
        <v>79.772999999999996</v>
      </c>
      <c r="AG1093" s="157" t="s">
        <v>15</v>
      </c>
      <c r="AH1093" s="155">
        <v>2.0000000000000002E-5</v>
      </c>
      <c r="AI1093" s="155">
        <f t="shared" si="17"/>
        <v>2.5173093985345861E-3</v>
      </c>
      <c r="AJ1093" s="155">
        <v>2.6119736020968192E-4</v>
      </c>
    </row>
    <row r="1094" spans="1:36" s="160" customFormat="1">
      <c r="A1094" s="153" t="s">
        <v>1213</v>
      </c>
      <c r="B1094" s="160">
        <v>9300</v>
      </c>
      <c r="C1094" s="153" t="s">
        <v>3185</v>
      </c>
      <c r="D1094" s="153" t="s">
        <v>3186</v>
      </c>
      <c r="E1094" s="153" t="s">
        <v>80</v>
      </c>
      <c r="F1094" s="153" t="s">
        <v>3187</v>
      </c>
      <c r="G1094" s="153" t="s">
        <v>3188</v>
      </c>
      <c r="H1094" s="153" t="s">
        <v>321</v>
      </c>
      <c r="I1094" s="153" t="s">
        <v>755</v>
      </c>
      <c r="J1094" s="153" t="s">
        <v>205</v>
      </c>
      <c r="K1094" s="153" t="s">
        <v>224</v>
      </c>
      <c r="L1094" s="153" t="s">
        <v>325</v>
      </c>
      <c r="M1094" s="153" t="s">
        <v>314</v>
      </c>
      <c r="N1094" s="153" t="s">
        <v>556</v>
      </c>
      <c r="O1094" s="153" t="s">
        <v>339</v>
      </c>
      <c r="P1094" s="153" t="s">
        <v>2779</v>
      </c>
      <c r="Q1094" s="153" t="s">
        <v>433</v>
      </c>
      <c r="R1094" s="153" t="s">
        <v>407</v>
      </c>
      <c r="S1094" s="153" t="s">
        <v>1216</v>
      </c>
      <c r="T1094" s="154">
        <v>3.1469999999999998</v>
      </c>
      <c r="U1094" s="153" t="s">
        <v>3189</v>
      </c>
      <c r="V1094" s="155">
        <v>4.8349999999999997E-2</v>
      </c>
      <c r="W1094" s="155">
        <v>4.351E-2</v>
      </c>
      <c r="X1094" s="153" t="s">
        <v>412</v>
      </c>
      <c r="Y1094" s="153" t="s">
        <v>339</v>
      </c>
      <c r="Z1094" s="154">
        <v>20000</v>
      </c>
      <c r="AA1094" s="154">
        <v>3.71</v>
      </c>
      <c r="AB1094" s="154">
        <v>106.136</v>
      </c>
      <c r="AD1094" s="154">
        <v>78.753</v>
      </c>
      <c r="AG1094" s="157" t="s">
        <v>15</v>
      </c>
      <c r="AH1094" s="155">
        <v>2.0000000000000002E-5</v>
      </c>
      <c r="AI1094" s="155">
        <f t="shared" si="17"/>
        <v>2.4851223730183681E-3</v>
      </c>
      <c r="AJ1094" s="155">
        <v>2.578576173466346E-4</v>
      </c>
    </row>
    <row r="1095" spans="1:36" s="160" customFormat="1">
      <c r="A1095" s="153" t="s">
        <v>1213</v>
      </c>
      <c r="B1095" s="160">
        <v>9300</v>
      </c>
      <c r="C1095" s="153" t="s">
        <v>3185</v>
      </c>
      <c r="D1095" s="153" t="s">
        <v>3186</v>
      </c>
      <c r="E1095" s="153" t="s">
        <v>80</v>
      </c>
      <c r="F1095" s="153" t="s">
        <v>3187</v>
      </c>
      <c r="G1095" s="153" t="s">
        <v>3190</v>
      </c>
      <c r="H1095" s="153" t="s">
        <v>321</v>
      </c>
      <c r="I1095" s="153" t="s">
        <v>755</v>
      </c>
      <c r="J1095" s="153" t="s">
        <v>205</v>
      </c>
      <c r="K1095" s="153" t="s">
        <v>224</v>
      </c>
      <c r="L1095" s="153" t="s">
        <v>325</v>
      </c>
      <c r="M1095" s="153" t="s">
        <v>314</v>
      </c>
      <c r="N1095" s="153" t="s">
        <v>556</v>
      </c>
      <c r="O1095" s="153" t="s">
        <v>339</v>
      </c>
      <c r="P1095" s="153" t="s">
        <v>2779</v>
      </c>
      <c r="Q1095" s="153" t="s">
        <v>433</v>
      </c>
      <c r="R1095" s="153" t="s">
        <v>407</v>
      </c>
      <c r="S1095" s="153" t="s">
        <v>1216</v>
      </c>
      <c r="T1095" s="154">
        <v>3.1459999999999999</v>
      </c>
      <c r="U1095" s="153" t="s">
        <v>3189</v>
      </c>
      <c r="V1095" s="155">
        <v>5.0650000000000001E-2</v>
      </c>
      <c r="W1095" s="155">
        <v>4.394E-2</v>
      </c>
      <c r="X1095" s="153" t="s">
        <v>412</v>
      </c>
      <c r="Y1095" s="153" t="s">
        <v>339</v>
      </c>
      <c r="Z1095" s="154">
        <v>20000</v>
      </c>
      <c r="AA1095" s="154">
        <v>3.71</v>
      </c>
      <c r="AB1095" s="154">
        <v>106.107</v>
      </c>
      <c r="AD1095" s="154">
        <v>78.730999999999995</v>
      </c>
      <c r="AG1095" s="157" t="s">
        <v>15</v>
      </c>
      <c r="AH1095" s="155">
        <v>2.0000000000000002E-5</v>
      </c>
      <c r="AI1095" s="155">
        <f t="shared" si="17"/>
        <v>2.4844281430562534E-3</v>
      </c>
      <c r="AJ1095" s="155">
        <v>2.5778558367703944E-4</v>
      </c>
    </row>
    <row r="1096" spans="1:36" s="160" customFormat="1">
      <c r="A1096" s="153" t="s">
        <v>1213</v>
      </c>
      <c r="B1096" s="160">
        <v>9300</v>
      </c>
      <c r="C1096" s="153" t="s">
        <v>3191</v>
      </c>
      <c r="D1096" s="153" t="s">
        <v>3192</v>
      </c>
      <c r="E1096" s="153" t="s">
        <v>80</v>
      </c>
      <c r="F1096" s="153" t="s">
        <v>3193</v>
      </c>
      <c r="G1096" s="153" t="s">
        <v>3194</v>
      </c>
      <c r="H1096" s="153" t="s">
        <v>321</v>
      </c>
      <c r="I1096" s="153" t="s">
        <v>755</v>
      </c>
      <c r="J1096" s="153" t="s">
        <v>205</v>
      </c>
      <c r="K1096" s="153" t="s">
        <v>245</v>
      </c>
      <c r="L1096" s="153" t="s">
        <v>325</v>
      </c>
      <c r="M1096" s="153" t="s">
        <v>364</v>
      </c>
      <c r="N1096" s="153" t="s">
        <v>568</v>
      </c>
      <c r="O1096" s="153" t="s">
        <v>339</v>
      </c>
      <c r="P1096" s="153" t="s">
        <v>2661</v>
      </c>
      <c r="Q1096" s="153" t="s">
        <v>431</v>
      </c>
      <c r="R1096" s="153" t="s">
        <v>407</v>
      </c>
      <c r="S1096" s="153" t="s">
        <v>1218</v>
      </c>
      <c r="T1096" s="154">
        <v>3.2010000000000001</v>
      </c>
      <c r="U1096" s="153" t="s">
        <v>3195</v>
      </c>
      <c r="V1096" s="155">
        <v>3.687E-2</v>
      </c>
      <c r="W1096" s="155">
        <v>4.095E-2</v>
      </c>
      <c r="X1096" s="153" t="s">
        <v>412</v>
      </c>
      <c r="Y1096" s="153" t="s">
        <v>339</v>
      </c>
      <c r="Z1096" s="154">
        <v>20000</v>
      </c>
      <c r="AA1096" s="154">
        <v>4.1524000000000001</v>
      </c>
      <c r="AB1096" s="154">
        <v>92.247</v>
      </c>
      <c r="AD1096" s="154">
        <v>76.608999999999995</v>
      </c>
      <c r="AG1096" s="157" t="s">
        <v>15</v>
      </c>
      <c r="AH1096" s="155">
        <v>6.0000000000000002E-5</v>
      </c>
      <c r="AI1096" s="155">
        <f t="shared" si="17"/>
        <v>2.4174665076195719E-3</v>
      </c>
      <c r="AJ1096" s="155">
        <v>2.5083760881881742E-4</v>
      </c>
    </row>
    <row r="1097" spans="1:36" s="160" customFormat="1">
      <c r="A1097" s="153" t="s">
        <v>1213</v>
      </c>
      <c r="B1097" s="160">
        <v>9300</v>
      </c>
      <c r="C1097" s="153" t="s">
        <v>2052</v>
      </c>
      <c r="D1097" s="153" t="s">
        <v>2053</v>
      </c>
      <c r="E1097" s="153" t="s">
        <v>80</v>
      </c>
      <c r="F1097" s="153" t="s">
        <v>2054</v>
      </c>
      <c r="G1097" s="153" t="s">
        <v>2055</v>
      </c>
      <c r="H1097" s="153" t="s">
        <v>321</v>
      </c>
      <c r="I1097" s="153" t="s">
        <v>755</v>
      </c>
      <c r="J1097" s="153" t="s">
        <v>205</v>
      </c>
      <c r="K1097" s="153" t="s">
        <v>233</v>
      </c>
      <c r="L1097" s="153" t="s">
        <v>325</v>
      </c>
      <c r="M1097" s="153" t="s">
        <v>314</v>
      </c>
      <c r="N1097" s="153" t="s">
        <v>486</v>
      </c>
      <c r="O1097" s="153" t="s">
        <v>339</v>
      </c>
      <c r="P1097" s="153" t="s">
        <v>2056</v>
      </c>
      <c r="Q1097" s="153" t="s">
        <v>433</v>
      </c>
      <c r="R1097" s="153" t="s">
        <v>407</v>
      </c>
      <c r="S1097" s="153" t="s">
        <v>1216</v>
      </c>
      <c r="T1097" s="154">
        <v>2.27</v>
      </c>
      <c r="U1097" s="153" t="s">
        <v>2057</v>
      </c>
      <c r="V1097" s="155">
        <v>6.5839999999999996E-2</v>
      </c>
      <c r="W1097" s="155">
        <v>7.1489999999999998E-2</v>
      </c>
      <c r="X1097" s="153" t="s">
        <v>412</v>
      </c>
      <c r="Y1097" s="153" t="s">
        <v>339</v>
      </c>
      <c r="Z1097" s="154">
        <v>20000</v>
      </c>
      <c r="AA1097" s="154">
        <v>3.71</v>
      </c>
      <c r="AB1097" s="154">
        <v>101.167</v>
      </c>
      <c r="AD1097" s="154">
        <v>75.066000000000003</v>
      </c>
      <c r="AG1097" s="157" t="s">
        <v>15</v>
      </c>
      <c r="AH1097" s="155">
        <v>4.0000000000000003E-5</v>
      </c>
      <c r="AI1097" s="155">
        <f t="shared" si="17"/>
        <v>2.3687757425494499E-3</v>
      </c>
      <c r="AJ1097" s="155">
        <v>2.457854291740311E-4</v>
      </c>
    </row>
    <row r="1098" spans="1:36" s="160" customFormat="1">
      <c r="A1098" s="153" t="s">
        <v>1213</v>
      </c>
      <c r="B1098" s="160">
        <v>9300</v>
      </c>
      <c r="C1098" s="153" t="s">
        <v>1886</v>
      </c>
      <c r="D1098" s="153" t="s">
        <v>1887</v>
      </c>
      <c r="E1098" s="153" t="s">
        <v>80</v>
      </c>
      <c r="F1098" s="153" t="s">
        <v>1888</v>
      </c>
      <c r="G1098" s="153" t="s">
        <v>1889</v>
      </c>
      <c r="H1098" s="153" t="s">
        <v>321</v>
      </c>
      <c r="I1098" s="153" t="s">
        <v>755</v>
      </c>
      <c r="J1098" s="153" t="s">
        <v>205</v>
      </c>
      <c r="K1098" s="153" t="s">
        <v>204</v>
      </c>
      <c r="L1098" s="153" t="s">
        <v>325</v>
      </c>
      <c r="M1098" s="153" t="s">
        <v>314</v>
      </c>
      <c r="N1098" s="153" t="s">
        <v>486</v>
      </c>
      <c r="O1098" s="153" t="s">
        <v>339</v>
      </c>
      <c r="P1098" s="153" t="s">
        <v>1890</v>
      </c>
      <c r="Q1098" s="153" t="s">
        <v>433</v>
      </c>
      <c r="R1098" s="153" t="s">
        <v>407</v>
      </c>
      <c r="S1098" s="153" t="s">
        <v>1216</v>
      </c>
      <c r="T1098" s="154">
        <v>0.69799999999999995</v>
      </c>
      <c r="U1098" s="153" t="s">
        <v>1848</v>
      </c>
      <c r="V1098" s="155">
        <v>7.5700000000000003E-2</v>
      </c>
      <c r="W1098" s="155">
        <v>8.0320000000000003E-2</v>
      </c>
      <c r="X1098" s="153" t="s">
        <v>412</v>
      </c>
      <c r="Y1098" s="153" t="s">
        <v>339</v>
      </c>
      <c r="Z1098" s="154">
        <v>20000</v>
      </c>
      <c r="AA1098" s="154">
        <v>3.71</v>
      </c>
      <c r="AB1098" s="154">
        <v>99.778000000000006</v>
      </c>
      <c r="AD1098" s="154">
        <v>74.034999999999997</v>
      </c>
      <c r="AG1098" s="157" t="s">
        <v>15</v>
      </c>
      <c r="AH1098" s="155">
        <v>3.0000000000000001E-5</v>
      </c>
      <c r="AI1098" s="155">
        <f t="shared" si="17"/>
        <v>2.3362416020521744E-3</v>
      </c>
      <c r="AJ1098" s="155">
        <v>2.4240966947618617E-4</v>
      </c>
    </row>
    <row r="1099" spans="1:36" s="160" customFormat="1">
      <c r="A1099" s="153" t="s">
        <v>1213</v>
      </c>
      <c r="B1099" s="160">
        <v>9300</v>
      </c>
      <c r="C1099" s="153" t="s">
        <v>3196</v>
      </c>
      <c r="D1099" s="153" t="s">
        <v>3197</v>
      </c>
      <c r="E1099" s="153" t="s">
        <v>80</v>
      </c>
      <c r="F1099" s="153" t="s">
        <v>3198</v>
      </c>
      <c r="G1099" s="153" t="s">
        <v>3199</v>
      </c>
      <c r="H1099" s="153" t="s">
        <v>321</v>
      </c>
      <c r="I1099" s="153" t="s">
        <v>755</v>
      </c>
      <c r="J1099" s="153" t="s">
        <v>205</v>
      </c>
      <c r="K1099" s="153" t="s">
        <v>224</v>
      </c>
      <c r="L1099" s="153" t="s">
        <v>325</v>
      </c>
      <c r="M1099" s="153" t="s">
        <v>314</v>
      </c>
      <c r="N1099" s="153" t="s">
        <v>537</v>
      </c>
      <c r="O1099" s="153" t="s">
        <v>339</v>
      </c>
      <c r="P1099" s="153" t="s">
        <v>1876</v>
      </c>
      <c r="Q1099" s="153" t="s">
        <v>433</v>
      </c>
      <c r="R1099" s="153" t="s">
        <v>407</v>
      </c>
      <c r="S1099" s="153" t="s">
        <v>1216</v>
      </c>
      <c r="T1099" s="154">
        <v>3.069</v>
      </c>
      <c r="U1099" s="153" t="s">
        <v>3200</v>
      </c>
      <c r="V1099" s="155">
        <v>7.9500000000000001E-2</v>
      </c>
      <c r="W1099" s="155">
        <v>5.7549999999999997E-2</v>
      </c>
      <c r="X1099" s="153" t="s">
        <v>412</v>
      </c>
      <c r="Y1099" s="153" t="s">
        <v>339</v>
      </c>
      <c r="Z1099" s="154">
        <v>17000</v>
      </c>
      <c r="AA1099" s="154">
        <v>3.71</v>
      </c>
      <c r="AB1099" s="154">
        <v>109.217</v>
      </c>
      <c r="AD1099" s="154">
        <v>68.882999999999996</v>
      </c>
      <c r="AG1099" s="157" t="s">
        <v>15</v>
      </c>
      <c r="AH1099" s="155">
        <v>3.0000000000000001E-5</v>
      </c>
      <c r="AI1099" s="155">
        <f t="shared" si="17"/>
        <v>2.1736655672879033E-3</v>
      </c>
      <c r="AJ1099" s="155">
        <v>2.2554069376008824E-4</v>
      </c>
    </row>
    <row r="1100" spans="1:36" s="160" customFormat="1">
      <c r="A1100" s="153" t="s">
        <v>1213</v>
      </c>
      <c r="B1100" s="160">
        <v>9300</v>
      </c>
      <c r="C1100" s="153" t="s">
        <v>3158</v>
      </c>
      <c r="D1100" s="153" t="s">
        <v>3159</v>
      </c>
      <c r="E1100" s="153" t="s">
        <v>80</v>
      </c>
      <c r="F1100" s="153" t="s">
        <v>3201</v>
      </c>
      <c r="G1100" s="153" t="s">
        <v>3202</v>
      </c>
      <c r="H1100" s="153" t="s">
        <v>321</v>
      </c>
      <c r="I1100" s="153" t="s">
        <v>755</v>
      </c>
      <c r="J1100" s="153" t="s">
        <v>205</v>
      </c>
      <c r="K1100" s="153" t="s">
        <v>293</v>
      </c>
      <c r="L1100" s="153" t="s">
        <v>325</v>
      </c>
      <c r="M1100" s="153" t="s">
        <v>314</v>
      </c>
      <c r="N1100" s="153" t="s">
        <v>568</v>
      </c>
      <c r="O1100" s="153" t="s">
        <v>339</v>
      </c>
      <c r="P1100" s="153" t="s">
        <v>2070</v>
      </c>
      <c r="Q1100" s="153" t="s">
        <v>431</v>
      </c>
      <c r="R1100" s="153" t="s">
        <v>407</v>
      </c>
      <c r="S1100" s="153" t="s">
        <v>1218</v>
      </c>
      <c r="T1100" s="154">
        <v>0.88500000000000001</v>
      </c>
      <c r="U1100" s="153" t="s">
        <v>3203</v>
      </c>
      <c r="V1100" s="155">
        <v>4.2500000000000003E-2</v>
      </c>
      <c r="W1100" s="155">
        <v>6.7129999999999995E-2</v>
      </c>
      <c r="X1100" s="153" t="s">
        <v>412</v>
      </c>
      <c r="Y1100" s="153" t="s">
        <v>339</v>
      </c>
      <c r="Z1100" s="154">
        <v>15000</v>
      </c>
      <c r="AA1100" s="154">
        <v>4.1524000000000001</v>
      </c>
      <c r="AB1100" s="154">
        <v>97.453999999999994</v>
      </c>
      <c r="AD1100" s="154">
        <v>60.7</v>
      </c>
      <c r="AG1100" s="157" t="s">
        <v>15</v>
      </c>
      <c r="AH1100" s="155">
        <v>1.2E-4</v>
      </c>
      <c r="AI1100" s="155">
        <f t="shared" si="17"/>
        <v>1.9154435772886741E-3</v>
      </c>
      <c r="AJ1100" s="155">
        <v>1.987474429284055E-4</v>
      </c>
    </row>
    <row r="1101" spans="1:36" s="160" customFormat="1">
      <c r="A1101" s="153" t="s">
        <v>1213</v>
      </c>
      <c r="B1101" s="160">
        <v>9300</v>
      </c>
      <c r="C1101" s="153" t="s">
        <v>3204</v>
      </c>
      <c r="D1101" s="153" t="s">
        <v>3205</v>
      </c>
      <c r="E1101" s="153" t="s">
        <v>80</v>
      </c>
      <c r="F1101" s="153" t="s">
        <v>3206</v>
      </c>
      <c r="G1101" s="153" t="s">
        <v>3207</v>
      </c>
      <c r="H1101" s="153" t="s">
        <v>321</v>
      </c>
      <c r="I1101" s="153" t="s">
        <v>755</v>
      </c>
      <c r="J1101" s="153" t="s">
        <v>205</v>
      </c>
      <c r="K1101" s="153" t="s">
        <v>224</v>
      </c>
      <c r="L1101" s="153" t="s">
        <v>325</v>
      </c>
      <c r="M1101" s="153" t="s">
        <v>314</v>
      </c>
      <c r="N1101" s="153" t="s">
        <v>548</v>
      </c>
      <c r="O1101" s="153" t="s">
        <v>339</v>
      </c>
      <c r="P1101" s="153" t="s">
        <v>1876</v>
      </c>
      <c r="Q1101" s="153" t="s">
        <v>433</v>
      </c>
      <c r="R1101" s="153" t="s">
        <v>407</v>
      </c>
      <c r="S1101" s="153" t="s">
        <v>1216</v>
      </c>
      <c r="T1101" s="154">
        <v>6.9420000000000002</v>
      </c>
      <c r="U1101" s="153" t="s">
        <v>3208</v>
      </c>
      <c r="V1101" s="155">
        <v>5.5559999999999998E-2</v>
      </c>
      <c r="W1101" s="155">
        <v>5.3379999999999997E-2</v>
      </c>
      <c r="X1101" s="153" t="s">
        <v>412</v>
      </c>
      <c r="Y1101" s="153" t="s">
        <v>339</v>
      </c>
      <c r="Z1101" s="154">
        <v>15000</v>
      </c>
      <c r="AA1101" s="154">
        <v>3.71</v>
      </c>
      <c r="AB1101" s="154">
        <v>106.35299999999999</v>
      </c>
      <c r="AD1101" s="154">
        <v>59.185000000000002</v>
      </c>
      <c r="AG1101" s="157" t="s">
        <v>15</v>
      </c>
      <c r="AH1101" s="155">
        <v>3.0000000000000001E-5</v>
      </c>
      <c r="AI1101" s="155">
        <f t="shared" si="17"/>
        <v>1.8676363776248793E-3</v>
      </c>
      <c r="AJ1101" s="155">
        <v>1.9378694249946754E-4</v>
      </c>
    </row>
    <row r="1102" spans="1:36" s="160" customFormat="1">
      <c r="A1102" s="153" t="s">
        <v>1213</v>
      </c>
      <c r="B1102" s="160">
        <v>9300</v>
      </c>
      <c r="C1102" s="153" t="s">
        <v>3209</v>
      </c>
      <c r="D1102" s="153" t="s">
        <v>3210</v>
      </c>
      <c r="E1102" s="153" t="s">
        <v>80</v>
      </c>
      <c r="F1102" s="153" t="s">
        <v>3211</v>
      </c>
      <c r="G1102" s="153" t="s">
        <v>3212</v>
      </c>
      <c r="H1102" s="153" t="s">
        <v>321</v>
      </c>
      <c r="I1102" s="153" t="s">
        <v>755</v>
      </c>
      <c r="J1102" s="153" t="s">
        <v>205</v>
      </c>
      <c r="K1102" s="153" t="s">
        <v>224</v>
      </c>
      <c r="L1102" s="153" t="s">
        <v>325</v>
      </c>
      <c r="M1102" s="153" t="s">
        <v>314</v>
      </c>
      <c r="N1102" s="153" t="s">
        <v>545</v>
      </c>
      <c r="O1102" s="153" t="s">
        <v>339</v>
      </c>
      <c r="P1102" s="153" t="s">
        <v>2612</v>
      </c>
      <c r="Q1102" s="153" t="s">
        <v>433</v>
      </c>
      <c r="R1102" s="153" t="s">
        <v>407</v>
      </c>
      <c r="S1102" s="153" t="s">
        <v>1216</v>
      </c>
      <c r="T1102" s="154">
        <v>3.1909999999999998</v>
      </c>
      <c r="U1102" s="153" t="s">
        <v>3213</v>
      </c>
      <c r="V1102" s="155">
        <v>4.1320000000000003E-2</v>
      </c>
      <c r="W1102" s="155">
        <v>3.7949999999999998E-2</v>
      </c>
      <c r="X1102" s="153" t="s">
        <v>412</v>
      </c>
      <c r="Y1102" s="153" t="s">
        <v>339</v>
      </c>
      <c r="Z1102" s="154">
        <v>15000</v>
      </c>
      <c r="AA1102" s="154">
        <v>3.71</v>
      </c>
      <c r="AB1102" s="154">
        <v>104.238</v>
      </c>
      <c r="AD1102" s="154">
        <v>58.008000000000003</v>
      </c>
      <c r="AG1102" s="157" t="s">
        <v>15</v>
      </c>
      <c r="AH1102" s="155">
        <v>1.0000000000000001E-5</v>
      </c>
      <c r="AI1102" s="155">
        <f t="shared" si="17"/>
        <v>1.830495074651753E-3</v>
      </c>
      <c r="AJ1102" s="155">
        <v>1.8993314117612763E-4</v>
      </c>
    </row>
    <row r="1103" spans="1:36" s="160" customFormat="1">
      <c r="A1103" s="153" t="s">
        <v>1213</v>
      </c>
      <c r="B1103" s="160">
        <v>9300</v>
      </c>
      <c r="C1103" s="153" t="s">
        <v>3214</v>
      </c>
      <c r="D1103" s="153" t="s">
        <v>3215</v>
      </c>
      <c r="E1103" s="153" t="s">
        <v>80</v>
      </c>
      <c r="F1103" s="153" t="s">
        <v>3216</v>
      </c>
      <c r="G1103" s="153" t="s">
        <v>3217</v>
      </c>
      <c r="H1103" s="153" t="s">
        <v>321</v>
      </c>
      <c r="I1103" s="153" t="s">
        <v>755</v>
      </c>
      <c r="J1103" s="153" t="s">
        <v>205</v>
      </c>
      <c r="K1103" s="153" t="s">
        <v>224</v>
      </c>
      <c r="L1103" s="153" t="s">
        <v>325</v>
      </c>
      <c r="M1103" s="153" t="s">
        <v>314</v>
      </c>
      <c r="N1103" s="153" t="s">
        <v>521</v>
      </c>
      <c r="O1103" s="153" t="s">
        <v>339</v>
      </c>
      <c r="P1103" s="153" t="s">
        <v>2779</v>
      </c>
      <c r="Q1103" s="153" t="s">
        <v>433</v>
      </c>
      <c r="R1103" s="153" t="s">
        <v>407</v>
      </c>
      <c r="S1103" s="153" t="s">
        <v>1216</v>
      </c>
      <c r="T1103" s="154">
        <v>3.2810000000000001</v>
      </c>
      <c r="U1103" s="153" t="s">
        <v>3218</v>
      </c>
      <c r="V1103" s="155">
        <v>4.6780000000000002E-2</v>
      </c>
      <c r="W1103" s="155">
        <v>4.5319999999999999E-2</v>
      </c>
      <c r="X1103" s="153" t="s">
        <v>412</v>
      </c>
      <c r="Y1103" s="153" t="s">
        <v>339</v>
      </c>
      <c r="Z1103" s="154">
        <v>15000</v>
      </c>
      <c r="AA1103" s="154">
        <v>3.71</v>
      </c>
      <c r="AB1103" s="154">
        <v>103.27200000000001</v>
      </c>
      <c r="AD1103" s="154">
        <v>57.470999999999997</v>
      </c>
      <c r="AG1103" s="157" t="s">
        <v>15</v>
      </c>
      <c r="AH1103" s="155">
        <v>3.0000000000000001E-5</v>
      </c>
      <c r="AI1103" s="155">
        <f t="shared" si="17"/>
        <v>1.8135495523946849E-3</v>
      </c>
      <c r="AJ1103" s="155">
        <v>1.8817486478646446E-4</v>
      </c>
    </row>
    <row r="1104" spans="1:36" s="160" customFormat="1">
      <c r="A1104" s="153" t="s">
        <v>1213</v>
      </c>
      <c r="B1104" s="160">
        <v>9300</v>
      </c>
      <c r="C1104" s="153" t="s">
        <v>3214</v>
      </c>
      <c r="D1104" s="153" t="s">
        <v>3215</v>
      </c>
      <c r="E1104" s="153" t="s">
        <v>80</v>
      </c>
      <c r="F1104" s="153" t="s">
        <v>3219</v>
      </c>
      <c r="G1104" s="153" t="s">
        <v>3220</v>
      </c>
      <c r="H1104" s="153" t="s">
        <v>321</v>
      </c>
      <c r="I1104" s="153" t="s">
        <v>755</v>
      </c>
      <c r="J1104" s="153" t="s">
        <v>205</v>
      </c>
      <c r="K1104" s="153" t="s">
        <v>224</v>
      </c>
      <c r="L1104" s="153" t="s">
        <v>325</v>
      </c>
      <c r="M1104" s="153" t="s">
        <v>314</v>
      </c>
      <c r="N1104" s="153" t="s">
        <v>521</v>
      </c>
      <c r="O1104" s="153" t="s">
        <v>339</v>
      </c>
      <c r="P1104" s="153" t="s">
        <v>2779</v>
      </c>
      <c r="Q1104" s="153" t="s">
        <v>433</v>
      </c>
      <c r="R1104" s="153" t="s">
        <v>407</v>
      </c>
      <c r="S1104" s="153" t="s">
        <v>1216</v>
      </c>
      <c r="T1104" s="154">
        <v>6.6790000000000003</v>
      </c>
      <c r="U1104" s="153" t="s">
        <v>3221</v>
      </c>
      <c r="V1104" s="155">
        <v>5.185E-2</v>
      </c>
      <c r="W1104" s="155">
        <v>5.1569999999999998E-2</v>
      </c>
      <c r="X1104" s="153" t="s">
        <v>412</v>
      </c>
      <c r="Y1104" s="153" t="s">
        <v>339</v>
      </c>
      <c r="Z1104" s="154">
        <v>15000</v>
      </c>
      <c r="AA1104" s="154">
        <v>3.71</v>
      </c>
      <c r="AB1104" s="154">
        <v>103.003</v>
      </c>
      <c r="AD1104" s="154">
        <v>57.320999999999998</v>
      </c>
      <c r="AG1104" s="157" t="s">
        <v>15</v>
      </c>
      <c r="AH1104" s="155">
        <v>2.0000000000000002E-5</v>
      </c>
      <c r="AI1104" s="155">
        <f t="shared" si="17"/>
        <v>1.8088161662893588E-3</v>
      </c>
      <c r="AJ1104" s="155">
        <v>1.8768372613013395E-4</v>
      </c>
    </row>
    <row r="1105" spans="1:36" s="160" customFormat="1">
      <c r="A1105" s="153" t="s">
        <v>1213</v>
      </c>
      <c r="B1105" s="160">
        <v>9300</v>
      </c>
      <c r="C1105" s="153" t="s">
        <v>3222</v>
      </c>
      <c r="D1105" s="153" t="s">
        <v>3223</v>
      </c>
      <c r="E1105" s="153" t="s">
        <v>80</v>
      </c>
      <c r="F1105" s="153" t="s">
        <v>3224</v>
      </c>
      <c r="G1105" s="153" t="s">
        <v>3225</v>
      </c>
      <c r="H1105" s="153" t="s">
        <v>321</v>
      </c>
      <c r="I1105" s="153" t="s">
        <v>755</v>
      </c>
      <c r="J1105" s="153" t="s">
        <v>205</v>
      </c>
      <c r="K1105" s="153" t="s">
        <v>224</v>
      </c>
      <c r="L1105" s="153" t="s">
        <v>325</v>
      </c>
      <c r="M1105" s="153" t="s">
        <v>314</v>
      </c>
      <c r="N1105" s="153" t="s">
        <v>546</v>
      </c>
      <c r="O1105" s="153" t="s">
        <v>339</v>
      </c>
      <c r="P1105" s="153" t="s">
        <v>1876</v>
      </c>
      <c r="Q1105" s="153" t="s">
        <v>421</v>
      </c>
      <c r="R1105" s="153" t="s">
        <v>407</v>
      </c>
      <c r="S1105" s="153" t="s">
        <v>1216</v>
      </c>
      <c r="T1105" s="154">
        <v>3.879</v>
      </c>
      <c r="U1105" s="153" t="s">
        <v>3226</v>
      </c>
      <c r="V1105" s="155">
        <v>5.0869999999999999E-2</v>
      </c>
      <c r="W1105" s="155">
        <v>4.3400000000000001E-2</v>
      </c>
      <c r="X1105" s="153" t="s">
        <v>412</v>
      </c>
      <c r="Y1105" s="153" t="s">
        <v>339</v>
      </c>
      <c r="Z1105" s="154">
        <v>15000</v>
      </c>
      <c r="AA1105" s="154">
        <v>3.71</v>
      </c>
      <c r="AB1105" s="154">
        <v>102.44199999999999</v>
      </c>
      <c r="AD1105" s="154">
        <v>57.009</v>
      </c>
      <c r="AG1105" s="157" t="s">
        <v>15</v>
      </c>
      <c r="AH1105" s="155">
        <v>2.0000000000000002E-5</v>
      </c>
      <c r="AI1105" s="155">
        <f t="shared" si="17"/>
        <v>1.7989707231902804E-3</v>
      </c>
      <c r="AJ1105" s="155">
        <v>1.8666215772496656E-4</v>
      </c>
    </row>
    <row r="1106" spans="1:36" s="160" customFormat="1">
      <c r="A1106" s="153" t="s">
        <v>1213</v>
      </c>
      <c r="B1106" s="160">
        <v>9300</v>
      </c>
      <c r="C1106" s="153" t="s">
        <v>3227</v>
      </c>
      <c r="D1106" s="153" t="s">
        <v>3228</v>
      </c>
      <c r="E1106" s="153" t="s">
        <v>80</v>
      </c>
      <c r="F1106" s="153" t="s">
        <v>3229</v>
      </c>
      <c r="G1106" s="153" t="s">
        <v>3230</v>
      </c>
      <c r="H1106" s="153" t="s">
        <v>321</v>
      </c>
      <c r="I1106" s="153" t="s">
        <v>755</v>
      </c>
      <c r="J1106" s="153" t="s">
        <v>205</v>
      </c>
      <c r="K1106" s="153" t="s">
        <v>301</v>
      </c>
      <c r="L1106" s="153" t="s">
        <v>325</v>
      </c>
      <c r="M1106" s="153" t="s">
        <v>314</v>
      </c>
      <c r="N1106" s="153" t="s">
        <v>546</v>
      </c>
      <c r="O1106" s="153" t="s">
        <v>339</v>
      </c>
      <c r="P1106" s="153" t="s">
        <v>2612</v>
      </c>
      <c r="Q1106" s="153" t="s">
        <v>433</v>
      </c>
      <c r="R1106" s="153" t="s">
        <v>407</v>
      </c>
      <c r="S1106" s="153" t="s">
        <v>1216</v>
      </c>
      <c r="T1106" s="154">
        <v>2.5219999999999998</v>
      </c>
      <c r="U1106" s="153" t="s">
        <v>2246</v>
      </c>
      <c r="V1106" s="155">
        <v>3.9320000000000001E-2</v>
      </c>
      <c r="W1106" s="155">
        <v>4.1730000000000003E-2</v>
      </c>
      <c r="X1106" s="153" t="s">
        <v>412</v>
      </c>
      <c r="Y1106" s="153" t="s">
        <v>339</v>
      </c>
      <c r="Z1106" s="154">
        <v>15000</v>
      </c>
      <c r="AA1106" s="154">
        <v>3.71</v>
      </c>
      <c r="AB1106" s="154">
        <v>101.327</v>
      </c>
      <c r="AD1106" s="154">
        <v>56.389000000000003</v>
      </c>
      <c r="AG1106" s="157" t="s">
        <v>15</v>
      </c>
      <c r="AH1106" s="155">
        <v>4.0000000000000003E-5</v>
      </c>
      <c r="AI1106" s="155">
        <f t="shared" si="17"/>
        <v>1.7794060606215988E-3</v>
      </c>
      <c r="AJ1106" s="155">
        <v>1.846321179454672E-4</v>
      </c>
    </row>
    <row r="1107" spans="1:36" s="160" customFormat="1">
      <c r="A1107" s="153" t="s">
        <v>1213</v>
      </c>
      <c r="B1107" s="160">
        <v>9300</v>
      </c>
      <c r="C1107" s="153" t="s">
        <v>3231</v>
      </c>
      <c r="D1107" s="153" t="s">
        <v>3232</v>
      </c>
      <c r="E1107" s="153" t="s">
        <v>80</v>
      </c>
      <c r="F1107" s="153" t="s">
        <v>3233</v>
      </c>
      <c r="G1107" s="153" t="s">
        <v>3234</v>
      </c>
      <c r="H1107" s="153" t="s">
        <v>321</v>
      </c>
      <c r="I1107" s="153" t="s">
        <v>755</v>
      </c>
      <c r="J1107" s="153" t="s">
        <v>205</v>
      </c>
      <c r="K1107" s="153" t="s">
        <v>224</v>
      </c>
      <c r="L1107" s="153" t="s">
        <v>325</v>
      </c>
      <c r="M1107" s="153" t="s">
        <v>314</v>
      </c>
      <c r="N1107" s="153" t="s">
        <v>548</v>
      </c>
      <c r="O1107" s="153" t="s">
        <v>339</v>
      </c>
      <c r="P1107" s="153" t="s">
        <v>2081</v>
      </c>
      <c r="Q1107" s="153" t="s">
        <v>433</v>
      </c>
      <c r="R1107" s="153" t="s">
        <v>407</v>
      </c>
      <c r="S1107" s="153" t="s">
        <v>1216</v>
      </c>
      <c r="T1107" s="154">
        <v>1.2909999999999999</v>
      </c>
      <c r="U1107" s="153" t="s">
        <v>3235</v>
      </c>
      <c r="V1107" s="155">
        <v>5.3629999999999997E-2</v>
      </c>
      <c r="W1107" s="155">
        <v>4.4389999999999999E-2</v>
      </c>
      <c r="X1107" s="153" t="s">
        <v>412</v>
      </c>
      <c r="Y1107" s="153" t="s">
        <v>339</v>
      </c>
      <c r="Z1107" s="154">
        <v>15000</v>
      </c>
      <c r="AA1107" s="154">
        <v>3.71</v>
      </c>
      <c r="AB1107" s="154">
        <v>101.11</v>
      </c>
      <c r="AD1107" s="154">
        <v>56.268000000000001</v>
      </c>
      <c r="AG1107" s="157" t="s">
        <v>15</v>
      </c>
      <c r="AH1107" s="155">
        <v>1.0000000000000001E-5</v>
      </c>
      <c r="AI1107" s="155">
        <f t="shared" si="17"/>
        <v>1.7755877958299689E-3</v>
      </c>
      <c r="AJ1107" s="155">
        <v>1.8423593276269392E-4</v>
      </c>
    </row>
    <row r="1108" spans="1:36" s="160" customFormat="1">
      <c r="A1108" s="153" t="s">
        <v>1213</v>
      </c>
      <c r="B1108" s="160">
        <v>9300</v>
      </c>
      <c r="C1108" s="153" t="s">
        <v>3236</v>
      </c>
      <c r="D1108" s="153" t="s">
        <v>3237</v>
      </c>
      <c r="E1108" s="153" t="s">
        <v>80</v>
      </c>
      <c r="F1108" s="153" t="s">
        <v>3238</v>
      </c>
      <c r="G1108" s="153" t="s">
        <v>3239</v>
      </c>
      <c r="H1108" s="153" t="s">
        <v>321</v>
      </c>
      <c r="I1108" s="153" t="s">
        <v>755</v>
      </c>
      <c r="J1108" s="153" t="s">
        <v>205</v>
      </c>
      <c r="K1108" s="153" t="s">
        <v>224</v>
      </c>
      <c r="L1108" s="153" t="s">
        <v>325</v>
      </c>
      <c r="M1108" s="153" t="s">
        <v>314</v>
      </c>
      <c r="N1108" s="153" t="s">
        <v>545</v>
      </c>
      <c r="O1108" s="153" t="s">
        <v>339</v>
      </c>
      <c r="P1108" s="153" t="s">
        <v>3111</v>
      </c>
      <c r="Q1108" s="153" t="s">
        <v>433</v>
      </c>
      <c r="R1108" s="153" t="s">
        <v>407</v>
      </c>
      <c r="S1108" s="153" t="s">
        <v>1216</v>
      </c>
      <c r="T1108" s="154">
        <v>0.46800000000000003</v>
      </c>
      <c r="U1108" s="153" t="s">
        <v>3240</v>
      </c>
      <c r="V1108" s="155">
        <v>5.6340000000000001E-2</v>
      </c>
      <c r="W1108" s="155">
        <v>4.5859999999999998E-2</v>
      </c>
      <c r="X1108" s="153" t="s">
        <v>412</v>
      </c>
      <c r="Y1108" s="153" t="s">
        <v>339</v>
      </c>
      <c r="Z1108" s="154">
        <v>15000</v>
      </c>
      <c r="AA1108" s="154">
        <v>3.71</v>
      </c>
      <c r="AB1108" s="154">
        <v>99.426000000000002</v>
      </c>
      <c r="AD1108" s="154">
        <v>55.33</v>
      </c>
      <c r="AG1108" s="157" t="s">
        <v>15</v>
      </c>
      <c r="AH1108" s="155">
        <v>1.0000000000000001E-5</v>
      </c>
      <c r="AI1108" s="155">
        <f t="shared" si="17"/>
        <v>1.7459883547179956E-3</v>
      </c>
      <c r="AJ1108" s="155">
        <v>1.8116467903177391E-4</v>
      </c>
    </row>
    <row r="1109" spans="1:36" s="160" customFormat="1">
      <c r="A1109" s="153" t="s">
        <v>1213</v>
      </c>
      <c r="B1109" s="160">
        <v>9300</v>
      </c>
      <c r="C1109" s="153" t="s">
        <v>3241</v>
      </c>
      <c r="D1109" s="153" t="s">
        <v>3242</v>
      </c>
      <c r="E1109" s="153" t="s">
        <v>80</v>
      </c>
      <c r="F1109" s="153" t="s">
        <v>3243</v>
      </c>
      <c r="G1109" s="153" t="s">
        <v>3244</v>
      </c>
      <c r="H1109" s="153" t="s">
        <v>321</v>
      </c>
      <c r="I1109" s="153" t="s">
        <v>755</v>
      </c>
      <c r="J1109" s="153" t="s">
        <v>205</v>
      </c>
      <c r="K1109" s="153" t="s">
        <v>224</v>
      </c>
      <c r="L1109" s="153" t="s">
        <v>325</v>
      </c>
      <c r="M1109" s="153" t="s">
        <v>314</v>
      </c>
      <c r="N1109" s="153" t="s">
        <v>525</v>
      </c>
      <c r="O1109" s="153" t="s">
        <v>339</v>
      </c>
      <c r="P1109" s="153" t="s">
        <v>2779</v>
      </c>
      <c r="Q1109" s="153" t="s">
        <v>433</v>
      </c>
      <c r="R1109" s="153" t="s">
        <v>407</v>
      </c>
      <c r="S1109" s="153" t="s">
        <v>1216</v>
      </c>
      <c r="T1109" s="154">
        <v>4.907</v>
      </c>
      <c r="U1109" s="153" t="s">
        <v>3245</v>
      </c>
      <c r="V1109" s="155">
        <v>4.6580000000000003E-2</v>
      </c>
      <c r="W1109" s="155">
        <v>4.2130000000000001E-2</v>
      </c>
      <c r="X1109" s="153" t="s">
        <v>412</v>
      </c>
      <c r="Y1109" s="153" t="s">
        <v>339</v>
      </c>
      <c r="Z1109" s="154">
        <v>15000</v>
      </c>
      <c r="AA1109" s="154">
        <v>3.71</v>
      </c>
      <c r="AB1109" s="154">
        <f>(AD1109-(AC1109*AA1109))*1000/AA1109/Z1109*100</f>
        <v>97.467187780772676</v>
      </c>
      <c r="AC1109" s="154">
        <v>0.28100000000000003</v>
      </c>
      <c r="AD1109" s="154">
        <v>55.283000000000001</v>
      </c>
      <c r="AG1109" s="157" t="s">
        <v>15</v>
      </c>
      <c r="AH1109" s="155">
        <v>2.0000000000000002E-5</v>
      </c>
      <c r="AI1109" s="155">
        <f t="shared" si="17"/>
        <v>1.74450522707166E-3</v>
      </c>
      <c r="AJ1109" s="155">
        <v>1.8101078891945703E-4</v>
      </c>
    </row>
    <row r="1110" spans="1:36" s="160" customFormat="1">
      <c r="A1110" s="153" t="s">
        <v>1213</v>
      </c>
      <c r="B1110" s="160">
        <v>9300</v>
      </c>
      <c r="C1110" s="153" t="s">
        <v>3246</v>
      </c>
      <c r="D1110" s="153" t="s">
        <v>3247</v>
      </c>
      <c r="E1110" s="153" t="s">
        <v>80</v>
      </c>
      <c r="F1110" s="153" t="s">
        <v>3248</v>
      </c>
      <c r="G1110" s="153" t="s">
        <v>3249</v>
      </c>
      <c r="H1110" s="153" t="s">
        <v>321</v>
      </c>
      <c r="I1110" s="153" t="s">
        <v>755</v>
      </c>
      <c r="J1110" s="153" t="s">
        <v>205</v>
      </c>
      <c r="K1110" s="153" t="s">
        <v>224</v>
      </c>
      <c r="L1110" s="153" t="s">
        <v>325</v>
      </c>
      <c r="M1110" s="153" t="s">
        <v>314</v>
      </c>
      <c r="N1110" s="153" t="s">
        <v>544</v>
      </c>
      <c r="O1110" s="153" t="s">
        <v>339</v>
      </c>
      <c r="P1110" s="153" t="s">
        <v>2779</v>
      </c>
      <c r="Q1110" s="153" t="s">
        <v>433</v>
      </c>
      <c r="R1110" s="153" t="s">
        <v>407</v>
      </c>
      <c r="S1110" s="153" t="s">
        <v>1216</v>
      </c>
      <c r="T1110" s="154">
        <v>2.8929999999999998</v>
      </c>
      <c r="U1110" s="153" t="s">
        <v>3250</v>
      </c>
      <c r="V1110" s="155">
        <v>4.53E-2</v>
      </c>
      <c r="W1110" s="155">
        <v>4.1520000000000001E-2</v>
      </c>
      <c r="X1110" s="153" t="s">
        <v>412</v>
      </c>
      <c r="Y1110" s="153" t="s">
        <v>339</v>
      </c>
      <c r="Z1110" s="154">
        <v>15000</v>
      </c>
      <c r="AA1110" s="154">
        <v>3.71</v>
      </c>
      <c r="AB1110" s="154">
        <v>98.495999999999995</v>
      </c>
      <c r="AD1110" s="154">
        <v>54.813000000000002</v>
      </c>
      <c r="AG1110" s="157" t="s">
        <v>15</v>
      </c>
      <c r="AH1110" s="155">
        <v>1.0000000000000001E-5</v>
      </c>
      <c r="AI1110" s="155">
        <f t="shared" si="17"/>
        <v>1.7296739506083047E-3</v>
      </c>
      <c r="AJ1110" s="155">
        <v>1.7947188779628815E-4</v>
      </c>
    </row>
    <row r="1111" spans="1:36" s="160" customFormat="1">
      <c r="A1111" s="153" t="s">
        <v>1213</v>
      </c>
      <c r="B1111" s="160">
        <v>9300</v>
      </c>
      <c r="C1111" s="153" t="s">
        <v>3251</v>
      </c>
      <c r="D1111" s="153" t="s">
        <v>3252</v>
      </c>
      <c r="E1111" s="153" t="s">
        <v>80</v>
      </c>
      <c r="F1111" s="153" t="s">
        <v>3253</v>
      </c>
      <c r="G1111" s="153" t="s">
        <v>3254</v>
      </c>
      <c r="H1111" s="153" t="s">
        <v>321</v>
      </c>
      <c r="I1111" s="153" t="s">
        <v>755</v>
      </c>
      <c r="J1111" s="153" t="s">
        <v>205</v>
      </c>
      <c r="K1111" s="153" t="s">
        <v>224</v>
      </c>
      <c r="L1111" s="153" t="s">
        <v>325</v>
      </c>
      <c r="M1111" s="153" t="s">
        <v>314</v>
      </c>
      <c r="N1111" s="153" t="s">
        <v>525</v>
      </c>
      <c r="O1111" s="153" t="s">
        <v>339</v>
      </c>
      <c r="P1111" s="153" t="s">
        <v>1876</v>
      </c>
      <c r="Q1111" s="153" t="s">
        <v>421</v>
      </c>
      <c r="R1111" s="153" t="s">
        <v>407</v>
      </c>
      <c r="S1111" s="153" t="s">
        <v>1216</v>
      </c>
      <c r="T1111" s="154">
        <v>5.0810000000000004</v>
      </c>
      <c r="U1111" s="153" t="s">
        <v>1865</v>
      </c>
      <c r="V1111" s="155">
        <v>4.1959999999999997E-2</v>
      </c>
      <c r="W1111" s="155">
        <v>4.1410000000000002E-2</v>
      </c>
      <c r="X1111" s="153" t="s">
        <v>412</v>
      </c>
      <c r="Y1111" s="153" t="s">
        <v>339</v>
      </c>
      <c r="Z1111" s="154">
        <v>15000</v>
      </c>
      <c r="AA1111" s="154">
        <v>3.71</v>
      </c>
      <c r="AB1111" s="154">
        <v>97.903000000000006</v>
      </c>
      <c r="AD1111" s="154">
        <v>54.482999999999997</v>
      </c>
      <c r="AG1111" s="157" t="s">
        <v>15</v>
      </c>
      <c r="AH1111" s="155">
        <v>2.0000000000000002E-5</v>
      </c>
      <c r="AI1111" s="155">
        <f t="shared" si="17"/>
        <v>1.7192605011765868E-3</v>
      </c>
      <c r="AJ1111" s="155">
        <v>1.7839138275236108E-4</v>
      </c>
    </row>
    <row r="1112" spans="1:36" s="160" customFormat="1">
      <c r="A1112" s="153" t="s">
        <v>1213</v>
      </c>
      <c r="B1112" s="160">
        <v>9300</v>
      </c>
      <c r="C1112" s="153" t="s">
        <v>3255</v>
      </c>
      <c r="D1112" s="153" t="s">
        <v>3256</v>
      </c>
      <c r="E1112" s="153" t="s">
        <v>80</v>
      </c>
      <c r="F1112" s="153" t="s">
        <v>3257</v>
      </c>
      <c r="G1112" s="153" t="s">
        <v>3258</v>
      </c>
      <c r="H1112" s="153" t="s">
        <v>321</v>
      </c>
      <c r="I1112" s="153" t="s">
        <v>755</v>
      </c>
      <c r="J1112" s="153" t="s">
        <v>205</v>
      </c>
      <c r="K1112" s="153" t="s">
        <v>224</v>
      </c>
      <c r="L1112" s="153" t="s">
        <v>325</v>
      </c>
      <c r="M1112" s="153" t="s">
        <v>314</v>
      </c>
      <c r="N1112" s="153" t="s">
        <v>521</v>
      </c>
      <c r="O1112" s="153" t="s">
        <v>339</v>
      </c>
      <c r="P1112" s="153" t="s">
        <v>2081</v>
      </c>
      <c r="Q1112" s="153" t="s">
        <v>433</v>
      </c>
      <c r="R1112" s="153" t="s">
        <v>407</v>
      </c>
      <c r="S1112" s="153" t="s">
        <v>1216</v>
      </c>
      <c r="T1112" s="154">
        <v>4.9649999999999999</v>
      </c>
      <c r="U1112" s="153" t="s">
        <v>3259</v>
      </c>
      <c r="V1112" s="155">
        <v>4.6699999999999998E-2</v>
      </c>
      <c r="W1112" s="155">
        <v>4.2709999999999998E-2</v>
      </c>
      <c r="X1112" s="153" t="s">
        <v>412</v>
      </c>
      <c r="Y1112" s="153" t="s">
        <v>339</v>
      </c>
      <c r="Z1112" s="154">
        <v>15000</v>
      </c>
      <c r="AA1112" s="154">
        <v>3.71</v>
      </c>
      <c r="AB1112" s="154">
        <v>92.314999999999998</v>
      </c>
      <c r="AD1112" s="154">
        <v>51.372999999999998</v>
      </c>
      <c r="AG1112" s="157" t="s">
        <v>15</v>
      </c>
      <c r="AH1112" s="155">
        <v>2.0000000000000002E-5</v>
      </c>
      <c r="AI1112" s="155">
        <f t="shared" si="17"/>
        <v>1.6211216292594901E-3</v>
      </c>
      <c r="AJ1112" s="155">
        <v>1.6820844127777554E-4</v>
      </c>
    </row>
    <row r="1113" spans="1:36" s="160" customFormat="1">
      <c r="A1113" s="153" t="s">
        <v>1213</v>
      </c>
      <c r="B1113" s="160">
        <v>9300</v>
      </c>
      <c r="C1113" s="153" t="s">
        <v>3260</v>
      </c>
      <c r="D1113" s="153" t="s">
        <v>3261</v>
      </c>
      <c r="E1113" s="153" t="s">
        <v>80</v>
      </c>
      <c r="F1113" s="153" t="s">
        <v>3262</v>
      </c>
      <c r="G1113" s="153" t="s">
        <v>3263</v>
      </c>
      <c r="H1113" s="153" t="s">
        <v>321</v>
      </c>
      <c r="I1113" s="153" t="s">
        <v>755</v>
      </c>
      <c r="J1113" s="153" t="s">
        <v>205</v>
      </c>
      <c r="K1113" s="153" t="s">
        <v>224</v>
      </c>
      <c r="L1113" s="153" t="s">
        <v>325</v>
      </c>
      <c r="M1113" s="153" t="s">
        <v>314</v>
      </c>
      <c r="N1113" s="153" t="s">
        <v>548</v>
      </c>
      <c r="O1113" s="153" t="s">
        <v>339</v>
      </c>
      <c r="P1113" s="153" t="s">
        <v>2680</v>
      </c>
      <c r="Q1113" s="153" t="s">
        <v>431</v>
      </c>
      <c r="R1113" s="153" t="s">
        <v>407</v>
      </c>
      <c r="S1113" s="153" t="s">
        <v>1216</v>
      </c>
      <c r="T1113" s="154">
        <v>5.7539999999999996</v>
      </c>
      <c r="U1113" s="153" t="s">
        <v>3264</v>
      </c>
      <c r="V1113" s="155">
        <v>2.334E-2</v>
      </c>
      <c r="W1113" s="155">
        <v>4.5069999999999999E-2</v>
      </c>
      <c r="X1113" s="153" t="s">
        <v>412</v>
      </c>
      <c r="Y1113" s="153" t="s">
        <v>339</v>
      </c>
      <c r="Z1113" s="154">
        <v>12000</v>
      </c>
      <c r="AA1113" s="154">
        <v>3.71</v>
      </c>
      <c r="AB1113" s="154">
        <v>88.834999999999994</v>
      </c>
      <c r="AD1113" s="154">
        <v>39.548999999999999</v>
      </c>
      <c r="AG1113" s="157" t="s">
        <v>15</v>
      </c>
      <c r="AH1113" s="155">
        <v>0</v>
      </c>
      <c r="AI1113" s="155">
        <f t="shared" si="17"/>
        <v>1.2480045805303092E-3</v>
      </c>
      <c r="AJ1113" s="155">
        <v>1.2949361812809735E-4</v>
      </c>
    </row>
    <row r="1114" spans="1:36" s="160" customFormat="1">
      <c r="A1114" s="153" t="s">
        <v>1213</v>
      </c>
      <c r="B1114" s="160">
        <v>9300</v>
      </c>
      <c r="C1114" s="153" t="s">
        <v>3265</v>
      </c>
      <c r="D1114" s="153" t="s">
        <v>3266</v>
      </c>
      <c r="E1114" s="153" t="s">
        <v>80</v>
      </c>
      <c r="F1114" s="153" t="s">
        <v>3267</v>
      </c>
      <c r="G1114" s="153" t="s">
        <v>3268</v>
      </c>
      <c r="H1114" s="153" t="s">
        <v>321</v>
      </c>
      <c r="I1114" s="153" t="s">
        <v>755</v>
      </c>
      <c r="J1114" s="153" t="s">
        <v>205</v>
      </c>
      <c r="K1114" s="153" t="s">
        <v>224</v>
      </c>
      <c r="L1114" s="153" t="s">
        <v>325</v>
      </c>
      <c r="M1114" s="153" t="s">
        <v>314</v>
      </c>
      <c r="N1114" s="153" t="s">
        <v>530</v>
      </c>
      <c r="O1114" s="153" t="s">
        <v>339</v>
      </c>
      <c r="P1114" s="153" t="s">
        <v>1876</v>
      </c>
      <c r="Q1114" s="153" t="s">
        <v>433</v>
      </c>
      <c r="R1114" s="153" t="s">
        <v>407</v>
      </c>
      <c r="S1114" s="153" t="s">
        <v>1216</v>
      </c>
      <c r="T1114" s="154">
        <v>3.1230000000000002</v>
      </c>
      <c r="U1114" s="153" t="s">
        <v>3213</v>
      </c>
      <c r="V1114" s="155">
        <v>5.7000000000000002E-2</v>
      </c>
      <c r="W1114" s="155">
        <v>4.4659999999999998E-2</v>
      </c>
      <c r="X1114" s="153" t="s">
        <v>412</v>
      </c>
      <c r="Y1114" s="153" t="s">
        <v>339</v>
      </c>
      <c r="Z1114" s="154">
        <v>10000</v>
      </c>
      <c r="AA1114" s="154">
        <v>3.71</v>
      </c>
      <c r="AB1114" s="154">
        <v>106.02200000000001</v>
      </c>
      <c r="AD1114" s="154">
        <v>39.334000000000003</v>
      </c>
      <c r="AG1114" s="157" t="s">
        <v>15</v>
      </c>
      <c r="AH1114" s="155">
        <v>1.0000000000000001E-5</v>
      </c>
      <c r="AI1114" s="155">
        <f t="shared" si="17"/>
        <v>1.2412200604460084E-3</v>
      </c>
      <c r="AJ1114" s="155">
        <v>1.2878965272069033E-4</v>
      </c>
    </row>
    <row r="1115" spans="1:36" s="160" customFormat="1">
      <c r="A1115" s="153" t="s">
        <v>1213</v>
      </c>
      <c r="B1115" s="160">
        <v>9300</v>
      </c>
      <c r="C1115" s="153" t="s">
        <v>2066</v>
      </c>
      <c r="D1115" s="153" t="s">
        <v>2067</v>
      </c>
      <c r="E1115" s="153" t="s">
        <v>80</v>
      </c>
      <c r="F1115" s="153" t="s">
        <v>2068</v>
      </c>
      <c r="G1115" s="153" t="s">
        <v>2069</v>
      </c>
      <c r="H1115" s="153" t="s">
        <v>321</v>
      </c>
      <c r="I1115" s="153" t="s">
        <v>755</v>
      </c>
      <c r="J1115" s="153" t="s">
        <v>205</v>
      </c>
      <c r="K1115" s="153" t="s">
        <v>233</v>
      </c>
      <c r="L1115" s="153" t="s">
        <v>325</v>
      </c>
      <c r="M1115" s="153" t="s">
        <v>314</v>
      </c>
      <c r="N1115" s="153" t="s">
        <v>486</v>
      </c>
      <c r="O1115" s="153" t="s">
        <v>339</v>
      </c>
      <c r="P1115" s="153" t="s">
        <v>2070</v>
      </c>
      <c r="Q1115" s="153" t="s">
        <v>431</v>
      </c>
      <c r="R1115" s="153" t="s">
        <v>407</v>
      </c>
      <c r="S1115" s="153" t="s">
        <v>1216</v>
      </c>
      <c r="T1115" s="154">
        <v>0.73899999999999999</v>
      </c>
      <c r="U1115" s="153" t="s">
        <v>2071</v>
      </c>
      <c r="V1115" s="155">
        <v>0.09</v>
      </c>
      <c r="W1115" s="155">
        <v>6.2449999999999999E-2</v>
      </c>
      <c r="X1115" s="153" t="s">
        <v>412</v>
      </c>
      <c r="Y1115" s="153" t="s">
        <v>339</v>
      </c>
      <c r="Z1115" s="154">
        <v>10000</v>
      </c>
      <c r="AA1115" s="154">
        <v>3.71</v>
      </c>
      <c r="AB1115" s="154">
        <v>102.819</v>
      </c>
      <c r="AD1115" s="154">
        <v>38.146000000000001</v>
      </c>
      <c r="AG1115" s="157" t="s">
        <v>15</v>
      </c>
      <c r="AH1115" s="155">
        <v>2.0000000000000002E-5</v>
      </c>
      <c r="AI1115" s="155">
        <f t="shared" si="17"/>
        <v>1.2037316424918247E-3</v>
      </c>
      <c r="AJ1115" s="155">
        <v>1.2489983456255284E-4</v>
      </c>
    </row>
    <row r="1116" spans="1:36" s="160" customFormat="1">
      <c r="A1116" s="153" t="s">
        <v>1213</v>
      </c>
      <c r="B1116" s="160">
        <v>9300</v>
      </c>
      <c r="C1116" s="153" t="s">
        <v>3269</v>
      </c>
      <c r="D1116" s="153" t="s">
        <v>3270</v>
      </c>
      <c r="E1116" s="153" t="s">
        <v>312</v>
      </c>
      <c r="F1116" s="153" t="s">
        <v>3271</v>
      </c>
      <c r="G1116" s="153" t="s">
        <v>3272</v>
      </c>
      <c r="H1116" s="153" t="s">
        <v>321</v>
      </c>
      <c r="I1116" s="153" t="s">
        <v>755</v>
      </c>
      <c r="J1116" s="153" t="s">
        <v>205</v>
      </c>
      <c r="K1116" s="153" t="s">
        <v>282</v>
      </c>
      <c r="L1116" s="153" t="s">
        <v>325</v>
      </c>
      <c r="M1116" s="153" t="s">
        <v>314</v>
      </c>
      <c r="N1116" s="153" t="s">
        <v>487</v>
      </c>
      <c r="O1116" s="153" t="s">
        <v>339</v>
      </c>
      <c r="P1116" s="153" t="s">
        <v>1876</v>
      </c>
      <c r="Q1116" s="153" t="s">
        <v>433</v>
      </c>
      <c r="R1116" s="153" t="s">
        <v>407</v>
      </c>
      <c r="S1116" s="153" t="s">
        <v>1216</v>
      </c>
      <c r="T1116" s="154">
        <v>4.2910000000000004</v>
      </c>
      <c r="U1116" s="153" t="s">
        <v>3273</v>
      </c>
      <c r="V1116" s="155">
        <v>4.487E-2</v>
      </c>
      <c r="W1116" s="155">
        <v>4.8959999999999997E-2</v>
      </c>
      <c r="X1116" s="153" t="s">
        <v>412</v>
      </c>
      <c r="Y1116" s="153" t="s">
        <v>339</v>
      </c>
      <c r="Z1116" s="154">
        <v>10000</v>
      </c>
      <c r="AA1116" s="154">
        <v>3.71</v>
      </c>
      <c r="AB1116" s="154">
        <v>100.753</v>
      </c>
      <c r="AD1116" s="154">
        <v>37.378999999999998</v>
      </c>
      <c r="AG1116" s="157" t="s">
        <v>15</v>
      </c>
      <c r="AH1116" s="155">
        <v>1.0000000000000001E-5</v>
      </c>
      <c r="AI1116" s="155">
        <f t="shared" si="17"/>
        <v>1.1795282615399232E-3</v>
      </c>
      <c r="AJ1116" s="155">
        <v>1.2238847889984957E-4</v>
      </c>
    </row>
    <row r="1117" spans="1:36" s="160" customFormat="1">
      <c r="A1117" s="153" t="s">
        <v>1213</v>
      </c>
      <c r="B1117" s="160">
        <v>9300</v>
      </c>
      <c r="C1117" s="153" t="s">
        <v>3274</v>
      </c>
      <c r="D1117" s="153" t="s">
        <v>3275</v>
      </c>
      <c r="E1117" s="153" t="s">
        <v>312</v>
      </c>
      <c r="F1117" s="153" t="s">
        <v>3276</v>
      </c>
      <c r="G1117" s="153" t="s">
        <v>3277</v>
      </c>
      <c r="H1117" s="153" t="s">
        <v>321</v>
      </c>
      <c r="I1117" s="153" t="s">
        <v>755</v>
      </c>
      <c r="J1117" s="153" t="s">
        <v>205</v>
      </c>
      <c r="K1117" s="153" t="s">
        <v>224</v>
      </c>
      <c r="L1117" s="153" t="s">
        <v>325</v>
      </c>
      <c r="M1117" s="153" t="s">
        <v>314</v>
      </c>
      <c r="N1117" s="153" t="s">
        <v>537</v>
      </c>
      <c r="O1117" s="153" t="s">
        <v>339</v>
      </c>
      <c r="P1117" s="153" t="s">
        <v>1876</v>
      </c>
      <c r="Q1117" s="153" t="s">
        <v>433</v>
      </c>
      <c r="R1117" s="153" t="s">
        <v>407</v>
      </c>
      <c r="S1117" s="153" t="s">
        <v>1216</v>
      </c>
      <c r="T1117" s="154">
        <v>4.2300000000000004</v>
      </c>
      <c r="U1117" s="153" t="s">
        <v>3278</v>
      </c>
      <c r="V1117" s="155">
        <v>5.4539999999999998E-2</v>
      </c>
      <c r="W1117" s="155">
        <v>5.8470000000000001E-2</v>
      </c>
      <c r="X1117" s="153" t="s">
        <v>412</v>
      </c>
      <c r="Y1117" s="153" t="s">
        <v>339</v>
      </c>
      <c r="Z1117" s="154">
        <v>10000</v>
      </c>
      <c r="AA1117" s="154">
        <v>3.71</v>
      </c>
      <c r="AB1117" s="154">
        <v>99.81</v>
      </c>
      <c r="AD1117" s="154">
        <v>37.03</v>
      </c>
      <c r="AG1117" s="157" t="s">
        <v>15</v>
      </c>
      <c r="AH1117" s="155">
        <v>2.0000000000000002E-5</v>
      </c>
      <c r="AI1117" s="155">
        <f t="shared" si="17"/>
        <v>1.1685152498681977E-3</v>
      </c>
      <c r="AJ1117" s="155">
        <v>1.2124576295945397E-4</v>
      </c>
    </row>
    <row r="1118" spans="1:36" s="160" customFormat="1">
      <c r="A1118" s="153" t="s">
        <v>1213</v>
      </c>
      <c r="B1118" s="160">
        <v>9300</v>
      </c>
      <c r="C1118" s="153" t="s">
        <v>3279</v>
      </c>
      <c r="D1118" s="153" t="s">
        <v>3280</v>
      </c>
      <c r="E1118" s="153" t="s">
        <v>80</v>
      </c>
      <c r="F1118" s="153" t="s">
        <v>3281</v>
      </c>
      <c r="G1118" s="153" t="s">
        <v>3282</v>
      </c>
      <c r="H1118" s="153" t="s">
        <v>321</v>
      </c>
      <c r="I1118" s="153" t="s">
        <v>755</v>
      </c>
      <c r="J1118" s="153" t="s">
        <v>205</v>
      </c>
      <c r="K1118" s="153" t="s">
        <v>224</v>
      </c>
      <c r="L1118" s="153" t="s">
        <v>325</v>
      </c>
      <c r="M1118" s="153" t="s">
        <v>314</v>
      </c>
      <c r="N1118" s="153" t="s">
        <v>486</v>
      </c>
      <c r="O1118" s="153" t="s">
        <v>339</v>
      </c>
      <c r="P1118" s="153" t="s">
        <v>1876</v>
      </c>
      <c r="Q1118" s="153" t="s">
        <v>433</v>
      </c>
      <c r="R1118" s="153" t="s">
        <v>407</v>
      </c>
      <c r="S1118" s="153" t="s">
        <v>1216</v>
      </c>
      <c r="T1118" s="154">
        <v>5.1849999999999996</v>
      </c>
      <c r="U1118" s="153" t="s">
        <v>3283</v>
      </c>
      <c r="V1118" s="155">
        <v>4.4999999999999998E-2</v>
      </c>
      <c r="W1118" s="155">
        <v>4.9250000000000002E-2</v>
      </c>
      <c r="X1118" s="153" t="s">
        <v>412</v>
      </c>
      <c r="Y1118" s="153" t="s">
        <v>339</v>
      </c>
      <c r="Z1118" s="154">
        <v>10000</v>
      </c>
      <c r="AA1118" s="154">
        <v>3.71</v>
      </c>
      <c r="AB1118" s="154">
        <f>(AD1118-(AC1118*AA1118))*1000/AA1118/Z1118*100</f>
        <v>97.49393530997304</v>
      </c>
      <c r="AC1118" s="154">
        <v>0.22500000000000001</v>
      </c>
      <c r="AD1118" s="154">
        <v>37.005000000000003</v>
      </c>
      <c r="AG1118" s="157" t="s">
        <v>15</v>
      </c>
      <c r="AH1118" s="155">
        <v>3.0000000000000001E-5</v>
      </c>
      <c r="AI1118" s="155">
        <f t="shared" si="17"/>
        <v>1.1677263521839767E-3</v>
      </c>
      <c r="AJ1118" s="155">
        <v>1.2116390651673222E-4</v>
      </c>
    </row>
    <row r="1119" spans="1:36" s="160" customFormat="1">
      <c r="A1119" s="153" t="s">
        <v>1213</v>
      </c>
      <c r="B1119" s="160">
        <v>9300</v>
      </c>
      <c r="C1119" s="153" t="s">
        <v>3284</v>
      </c>
      <c r="D1119" s="153" t="s">
        <v>3285</v>
      </c>
      <c r="E1119" s="153" t="s">
        <v>311</v>
      </c>
      <c r="F1119" s="153" t="s">
        <v>3286</v>
      </c>
      <c r="G1119" s="153" t="s">
        <v>3287</v>
      </c>
      <c r="H1119" s="153" t="s">
        <v>321</v>
      </c>
      <c r="I1119" s="153" t="s">
        <v>755</v>
      </c>
      <c r="J1119" s="153" t="s">
        <v>205</v>
      </c>
      <c r="K1119" s="153" t="s">
        <v>233</v>
      </c>
      <c r="L1119" s="153" t="s">
        <v>325</v>
      </c>
      <c r="M1119" s="153" t="s">
        <v>314</v>
      </c>
      <c r="N1119" s="153" t="s">
        <v>486</v>
      </c>
      <c r="O1119" s="153" t="s">
        <v>339</v>
      </c>
      <c r="P1119" s="153" t="s">
        <v>1890</v>
      </c>
      <c r="Q1119" s="153" t="s">
        <v>433</v>
      </c>
      <c r="R1119" s="153" t="s">
        <v>407</v>
      </c>
      <c r="S1119" s="153" t="s">
        <v>1216</v>
      </c>
      <c r="T1119" s="154">
        <v>6.1020000000000003</v>
      </c>
      <c r="U1119" s="153" t="s">
        <v>2174</v>
      </c>
      <c r="V1119" s="155">
        <v>8.0229999999999996E-2</v>
      </c>
      <c r="W1119" s="155">
        <v>9.35E-2</v>
      </c>
      <c r="X1119" s="153" t="s">
        <v>412</v>
      </c>
      <c r="Y1119" s="153" t="s">
        <v>339</v>
      </c>
      <c r="Z1119" s="154">
        <v>10000</v>
      </c>
      <c r="AA1119" s="154">
        <v>3.71</v>
      </c>
      <c r="AB1119" s="154">
        <v>94.460999999999999</v>
      </c>
      <c r="AD1119" s="154">
        <v>35.045000000000002</v>
      </c>
      <c r="AG1119" s="157" t="s">
        <v>15</v>
      </c>
      <c r="AH1119" s="155">
        <v>1.0000000000000001E-5</v>
      </c>
      <c r="AI1119" s="155">
        <f t="shared" si="17"/>
        <v>1.1058767737410476E-3</v>
      </c>
      <c r="AJ1119" s="155">
        <v>1.1474636140734714E-4</v>
      </c>
    </row>
    <row r="1120" spans="1:36" s="160" customFormat="1">
      <c r="A1120" s="153" t="s">
        <v>1213</v>
      </c>
      <c r="B1120" s="160">
        <v>9300</v>
      </c>
      <c r="C1120" s="153" t="s">
        <v>3288</v>
      </c>
      <c r="D1120" s="153" t="s">
        <v>3289</v>
      </c>
      <c r="E1120" s="153" t="s">
        <v>80</v>
      </c>
      <c r="F1120" s="153" t="s">
        <v>3290</v>
      </c>
      <c r="G1120" s="153" t="s">
        <v>3291</v>
      </c>
      <c r="H1120" s="153" t="s">
        <v>321</v>
      </c>
      <c r="I1120" s="153" t="s">
        <v>755</v>
      </c>
      <c r="J1120" s="153" t="s">
        <v>205</v>
      </c>
      <c r="K1120" s="153" t="s">
        <v>233</v>
      </c>
      <c r="L1120" s="153" t="s">
        <v>325</v>
      </c>
      <c r="M1120" s="153" t="s">
        <v>314</v>
      </c>
      <c r="N1120" s="153" t="s">
        <v>503</v>
      </c>
      <c r="O1120" s="153" t="s">
        <v>339</v>
      </c>
      <c r="P1120" s="153" t="s">
        <v>2612</v>
      </c>
      <c r="Q1120" s="153" t="s">
        <v>433</v>
      </c>
      <c r="R1120" s="153" t="s">
        <v>407</v>
      </c>
      <c r="S1120" s="153" t="s">
        <v>1216</v>
      </c>
      <c r="T1120" s="154">
        <v>5.0460000000000003</v>
      </c>
      <c r="U1120" s="153" t="s">
        <v>3292</v>
      </c>
      <c r="V1120" s="155">
        <v>2.921E-2</v>
      </c>
      <c r="W1120" s="155">
        <v>5.0610000000000002E-2</v>
      </c>
      <c r="X1120" s="153" t="s">
        <v>412</v>
      </c>
      <c r="Y1120" s="153" t="s">
        <v>339</v>
      </c>
      <c r="Z1120" s="154">
        <v>10000</v>
      </c>
      <c r="AA1120" s="154">
        <v>3.71</v>
      </c>
      <c r="AB1120" s="154">
        <v>85.248000000000005</v>
      </c>
      <c r="AD1120" s="154">
        <v>31.626999999999999</v>
      </c>
      <c r="AG1120" s="157" t="s">
        <v>15</v>
      </c>
      <c r="AH1120" s="155">
        <v>2.0000000000000002E-5</v>
      </c>
      <c r="AI1120" s="155">
        <f t="shared" si="17"/>
        <v>9.9801868235434754E-4</v>
      </c>
      <c r="AJ1120" s="155">
        <v>1.0355494855842967E-4</v>
      </c>
    </row>
    <row r="1121" spans="1:36" s="160" customFormat="1">
      <c r="A1121" s="153" t="s">
        <v>1213</v>
      </c>
      <c r="B1121" s="160">
        <v>9300</v>
      </c>
      <c r="C1121" s="153" t="s">
        <v>3293</v>
      </c>
      <c r="D1121" s="153" t="s">
        <v>3294</v>
      </c>
      <c r="E1121" s="153" t="s">
        <v>80</v>
      </c>
      <c r="F1121" s="153" t="s">
        <v>3295</v>
      </c>
      <c r="G1121" s="153" t="s">
        <v>3296</v>
      </c>
      <c r="H1121" s="153" t="s">
        <v>321</v>
      </c>
      <c r="I1121" s="153" t="s">
        <v>755</v>
      </c>
      <c r="J1121" s="153" t="s">
        <v>205</v>
      </c>
      <c r="K1121" s="153" t="s">
        <v>224</v>
      </c>
      <c r="L1121" s="153" t="s">
        <v>325</v>
      </c>
      <c r="M1121" s="153" t="s">
        <v>314</v>
      </c>
      <c r="N1121" s="153" t="s">
        <v>539</v>
      </c>
      <c r="O1121" s="153" t="s">
        <v>339</v>
      </c>
      <c r="P1121" s="153" t="s">
        <v>3111</v>
      </c>
      <c r="Q1121" s="153" t="s">
        <v>433</v>
      </c>
      <c r="R1121" s="153" t="s">
        <v>407</v>
      </c>
      <c r="S1121" s="153" t="s">
        <v>1218</v>
      </c>
      <c r="T1121" s="154">
        <v>3.6070000000000002</v>
      </c>
      <c r="U1121" s="153" t="s">
        <v>3297</v>
      </c>
      <c r="V1121" s="155">
        <v>3.6360000000000003E-2</v>
      </c>
      <c r="W1121" s="155">
        <v>2.733E-2</v>
      </c>
      <c r="X1121" s="153" t="s">
        <v>412</v>
      </c>
      <c r="Y1121" s="153" t="s">
        <v>339</v>
      </c>
      <c r="Z1121" s="154">
        <v>5000</v>
      </c>
      <c r="AA1121" s="154">
        <v>4.1524000000000001</v>
      </c>
      <c r="AB1121" s="154">
        <v>106.422</v>
      </c>
      <c r="AD1121" s="154">
        <v>22.094999999999999</v>
      </c>
      <c r="AG1121" s="157" t="s">
        <v>15</v>
      </c>
      <c r="AH1121" s="155">
        <v>1.0000000000000001E-5</v>
      </c>
      <c r="AI1121" s="155">
        <f t="shared" si="17"/>
        <v>6.9722777331455109E-4</v>
      </c>
      <c r="AJ1121" s="155">
        <v>7.2344724077481374E-5</v>
      </c>
    </row>
    <row r="1122" spans="1:36" s="160" customFormat="1">
      <c r="A1122" s="153" t="s">
        <v>1213</v>
      </c>
      <c r="B1122" s="160">
        <v>9300</v>
      </c>
      <c r="C1122" s="153" t="s">
        <v>3196</v>
      </c>
      <c r="D1122" s="153" t="s">
        <v>3197</v>
      </c>
      <c r="E1122" s="153" t="s">
        <v>80</v>
      </c>
      <c r="F1122" s="153" t="s">
        <v>3298</v>
      </c>
      <c r="G1122" s="153" t="s">
        <v>3299</v>
      </c>
      <c r="H1122" s="153" t="s">
        <v>321</v>
      </c>
      <c r="I1122" s="153" t="s">
        <v>755</v>
      </c>
      <c r="J1122" s="153" t="s">
        <v>205</v>
      </c>
      <c r="K1122" s="153" t="s">
        <v>224</v>
      </c>
      <c r="L1122" s="153" t="s">
        <v>325</v>
      </c>
      <c r="M1122" s="153" t="s">
        <v>314</v>
      </c>
      <c r="N1122" s="153" t="s">
        <v>537</v>
      </c>
      <c r="O1122" s="153" t="s">
        <v>339</v>
      </c>
      <c r="P1122" s="153" t="s">
        <v>1876</v>
      </c>
      <c r="Q1122" s="153" t="s">
        <v>433</v>
      </c>
      <c r="R1122" s="153" t="s">
        <v>407</v>
      </c>
      <c r="S1122" s="153" t="s">
        <v>1216</v>
      </c>
      <c r="T1122" s="154">
        <v>5.0780000000000003</v>
      </c>
      <c r="U1122" s="153" t="s">
        <v>3300</v>
      </c>
      <c r="V1122" s="155">
        <v>6.6500000000000004E-2</v>
      </c>
      <c r="W1122" s="155">
        <v>6.2129999999999998E-2</v>
      </c>
      <c r="X1122" s="153" t="s">
        <v>412</v>
      </c>
      <c r="Y1122" s="153" t="s">
        <v>339</v>
      </c>
      <c r="Z1122" s="154">
        <v>4000</v>
      </c>
      <c r="AA1122" s="154">
        <v>3.71</v>
      </c>
      <c r="AB1122" s="154">
        <v>102.33799999999999</v>
      </c>
      <c r="AD1122" s="154">
        <v>15.186999999999999</v>
      </c>
      <c r="AG1122" s="157" t="s">
        <v>15</v>
      </c>
      <c r="AH1122" s="155">
        <v>1.0000000000000001E-5</v>
      </c>
      <c r="AI1122" s="155">
        <f t="shared" si="17"/>
        <v>4.7923956521059459E-4</v>
      </c>
      <c r="AJ1122" s="155">
        <v>4.9726151824607815E-5</v>
      </c>
    </row>
    <row r="1123" spans="1:36" s="160" customFormat="1">
      <c r="A1123" s="153" t="s">
        <v>1213</v>
      </c>
      <c r="B1123" s="160">
        <v>9300</v>
      </c>
      <c r="C1123" s="153" t="s">
        <v>2089</v>
      </c>
      <c r="D1123" s="153" t="s">
        <v>2090</v>
      </c>
      <c r="E1123" s="153" t="s">
        <v>309</v>
      </c>
      <c r="F1123" s="153" t="s">
        <v>3301</v>
      </c>
      <c r="G1123" s="153" t="s">
        <v>3302</v>
      </c>
      <c r="H1123" s="153" t="s">
        <v>321</v>
      </c>
      <c r="I1123" s="153" t="s">
        <v>755</v>
      </c>
      <c r="J1123" s="153" t="s">
        <v>205</v>
      </c>
      <c r="K1123" s="153" t="s">
        <v>204</v>
      </c>
      <c r="L1123" s="153" t="s">
        <v>325</v>
      </c>
      <c r="M1123" s="153" t="s">
        <v>314</v>
      </c>
      <c r="N1123" s="153" t="s">
        <v>534</v>
      </c>
      <c r="O1123" s="153" t="s">
        <v>339</v>
      </c>
      <c r="P1123" s="153" t="s">
        <v>1890</v>
      </c>
      <c r="Q1123" s="153" t="s">
        <v>433</v>
      </c>
      <c r="R1123" s="153" t="s">
        <v>407</v>
      </c>
      <c r="S1123" s="153" t="s">
        <v>1218</v>
      </c>
      <c r="T1123" s="154">
        <v>5.32</v>
      </c>
      <c r="U1123" s="153" t="s">
        <v>3303</v>
      </c>
      <c r="V1123" s="155">
        <v>7.3660000000000003E-2</v>
      </c>
      <c r="W1123" s="155">
        <v>4.607E-2</v>
      </c>
      <c r="X1123" s="153" t="s">
        <v>412</v>
      </c>
      <c r="Y1123" s="153" t="s">
        <v>339</v>
      </c>
      <c r="Z1123" s="154">
        <v>3000</v>
      </c>
      <c r="AA1123" s="154">
        <v>4.1524000000000001</v>
      </c>
      <c r="AB1123" s="154">
        <v>118.607</v>
      </c>
      <c r="AD1123" s="154">
        <v>14.775</v>
      </c>
      <c r="AG1123" s="157" t="s">
        <v>15</v>
      </c>
      <c r="AH1123" s="155">
        <v>1.0000000000000001E-5</v>
      </c>
      <c r="AI1123" s="155">
        <f t="shared" si="17"/>
        <v>4.6623853137463196E-4</v>
      </c>
      <c r="AJ1123" s="155">
        <v>4.8377157648553399E-5</v>
      </c>
    </row>
    <row r="1124" spans="1:36" s="160" customFormat="1">
      <c r="A1124" s="153" t="s">
        <v>1213</v>
      </c>
      <c r="B1124" s="160">
        <v>9300</v>
      </c>
      <c r="C1124" s="153" t="s">
        <v>2089</v>
      </c>
      <c r="D1124" s="153" t="s">
        <v>2090</v>
      </c>
      <c r="E1124" s="153" t="s">
        <v>309</v>
      </c>
      <c r="F1124" s="153" t="s">
        <v>3304</v>
      </c>
      <c r="G1124" s="153" t="s">
        <v>3305</v>
      </c>
      <c r="H1124" s="153" t="s">
        <v>321</v>
      </c>
      <c r="I1124" s="153" t="s">
        <v>755</v>
      </c>
      <c r="J1124" s="153" t="s">
        <v>205</v>
      </c>
      <c r="K1124" s="153" t="s">
        <v>204</v>
      </c>
      <c r="L1124" s="153" t="s">
        <v>325</v>
      </c>
      <c r="M1124" s="153" t="s">
        <v>314</v>
      </c>
      <c r="N1124" s="153" t="s">
        <v>534</v>
      </c>
      <c r="O1124" s="153" t="s">
        <v>339</v>
      </c>
      <c r="P1124" s="153" t="s">
        <v>1890</v>
      </c>
      <c r="Q1124" s="153" t="s">
        <v>433</v>
      </c>
      <c r="R1124" s="153" t="s">
        <v>407</v>
      </c>
      <c r="S1124" s="153" t="s">
        <v>1218</v>
      </c>
      <c r="T1124" s="154">
        <v>3.9969999999999999</v>
      </c>
      <c r="U1124" s="153" t="s">
        <v>3306</v>
      </c>
      <c r="V1124" s="155">
        <v>6.762E-2</v>
      </c>
      <c r="W1124" s="155">
        <v>4.3929999999999997E-2</v>
      </c>
      <c r="X1124" s="153" t="s">
        <v>412</v>
      </c>
      <c r="Y1124" s="153" t="s">
        <v>339</v>
      </c>
      <c r="Z1124" s="154">
        <v>3000</v>
      </c>
      <c r="AA1124" s="154">
        <v>4.1524000000000001</v>
      </c>
      <c r="AB1124" s="154">
        <v>112.438</v>
      </c>
      <c r="AD1124" s="154">
        <v>14.007</v>
      </c>
      <c r="AG1124" s="157" t="s">
        <v>15</v>
      </c>
      <c r="AH1124" s="155">
        <v>0</v>
      </c>
      <c r="AI1124" s="155">
        <f t="shared" si="17"/>
        <v>4.4200359451536169E-4</v>
      </c>
      <c r="AJ1124" s="155">
        <v>4.5862527728141279E-5</v>
      </c>
    </row>
    <row r="1125" spans="1:36" s="160" customFormat="1">
      <c r="A1125" s="153" t="s">
        <v>1213</v>
      </c>
      <c r="B1125" s="160">
        <v>9301</v>
      </c>
      <c r="C1125" s="153" t="s">
        <v>1600</v>
      </c>
      <c r="D1125" s="153" t="s">
        <v>1601</v>
      </c>
      <c r="E1125" s="153" t="s">
        <v>309</v>
      </c>
      <c r="F1125" s="153" t="s">
        <v>2380</v>
      </c>
      <c r="G1125" s="153" t="s">
        <v>2381</v>
      </c>
      <c r="H1125" s="153" t="s">
        <v>321</v>
      </c>
      <c r="I1125" s="153" t="s">
        <v>951</v>
      </c>
      <c r="J1125" s="153" t="s">
        <v>204</v>
      </c>
      <c r="K1125" s="153" t="s">
        <v>204</v>
      </c>
      <c r="L1125" s="153" t="s">
        <v>325</v>
      </c>
      <c r="M1125" s="153" t="s">
        <v>340</v>
      </c>
      <c r="N1125" s="153" t="s">
        <v>448</v>
      </c>
      <c r="O1125" s="153" t="s">
        <v>339</v>
      </c>
      <c r="P1125" s="153" t="s">
        <v>1215</v>
      </c>
      <c r="Q1125" s="153" t="s">
        <v>413</v>
      </c>
      <c r="R1125" s="153" t="s">
        <v>407</v>
      </c>
      <c r="S1125" s="153" t="s">
        <v>1212</v>
      </c>
      <c r="T1125" s="154">
        <v>0.65</v>
      </c>
      <c r="U1125" s="153" t="s">
        <v>2382</v>
      </c>
      <c r="V1125" s="155">
        <v>4.4810000000000003E-2</v>
      </c>
      <c r="W1125" s="155">
        <v>4.4499999999999998E-2</v>
      </c>
      <c r="X1125" s="153" t="s">
        <v>412</v>
      </c>
      <c r="Y1125" s="153" t="s">
        <v>339</v>
      </c>
      <c r="Z1125" s="154">
        <v>1140000</v>
      </c>
      <c r="AA1125" s="154">
        <v>1</v>
      </c>
      <c r="AB1125" s="154">
        <v>100.87</v>
      </c>
      <c r="AD1125" s="154">
        <v>1149.9179999999999</v>
      </c>
      <c r="AG1125" s="157" t="s">
        <v>15</v>
      </c>
      <c r="AH1125" s="155">
        <v>9.5E-4</v>
      </c>
      <c r="AI1125" s="155">
        <f t="shared" si="17"/>
        <v>6.2509441620802061E-2</v>
      </c>
      <c r="AJ1125" s="155">
        <v>1.5793328746812817E-3</v>
      </c>
    </row>
    <row r="1126" spans="1:36" s="160" customFormat="1">
      <c r="A1126" s="153" t="s">
        <v>1213</v>
      </c>
      <c r="B1126" s="160">
        <v>9301</v>
      </c>
      <c r="C1126" s="153" t="s">
        <v>1512</v>
      </c>
      <c r="D1126" s="153" t="s">
        <v>1513</v>
      </c>
      <c r="E1126" s="153" t="s">
        <v>309</v>
      </c>
      <c r="F1126" s="153" t="s">
        <v>2220</v>
      </c>
      <c r="G1126" s="153" t="s">
        <v>2221</v>
      </c>
      <c r="H1126" s="153" t="s">
        <v>321</v>
      </c>
      <c r="I1126" s="153" t="s">
        <v>951</v>
      </c>
      <c r="J1126" s="153" t="s">
        <v>204</v>
      </c>
      <c r="K1126" s="153" t="s">
        <v>204</v>
      </c>
      <c r="L1126" s="153" t="s">
        <v>325</v>
      </c>
      <c r="M1126" s="153" t="s">
        <v>340</v>
      </c>
      <c r="N1126" s="153" t="s">
        <v>448</v>
      </c>
      <c r="O1126" s="153" t="s">
        <v>339</v>
      </c>
      <c r="P1126" s="153" t="s">
        <v>1215</v>
      </c>
      <c r="Q1126" s="153" t="s">
        <v>413</v>
      </c>
      <c r="R1126" s="153" t="s">
        <v>407</v>
      </c>
      <c r="S1126" s="153" t="s">
        <v>1212</v>
      </c>
      <c r="T1126" s="154">
        <v>0.68</v>
      </c>
      <c r="U1126" s="153" t="s">
        <v>2222</v>
      </c>
      <c r="V1126" s="155">
        <v>1.9210000000000001E-2</v>
      </c>
      <c r="W1126" s="155">
        <v>4.4600000000000001E-2</v>
      </c>
      <c r="X1126" s="153" t="s">
        <v>412</v>
      </c>
      <c r="Y1126" s="153" t="s">
        <v>339</v>
      </c>
      <c r="Z1126" s="154">
        <v>956077</v>
      </c>
      <c r="AA1126" s="154">
        <v>1</v>
      </c>
      <c r="AB1126" s="154">
        <v>99.95</v>
      </c>
      <c r="AD1126" s="154">
        <v>955.59900000000005</v>
      </c>
      <c r="AG1126" s="157" t="s">
        <v>15</v>
      </c>
      <c r="AH1126" s="155">
        <v>3.8000000000000002E-4</v>
      </c>
      <c r="AI1126" s="155">
        <f t="shared" si="17"/>
        <v>5.1946277824502993E-2</v>
      </c>
      <c r="AJ1126" s="155">
        <v>1.312449162212052E-3</v>
      </c>
    </row>
    <row r="1127" spans="1:36" s="160" customFormat="1">
      <c r="A1127" s="153" t="s">
        <v>1213</v>
      </c>
      <c r="B1127" s="160">
        <v>9301</v>
      </c>
      <c r="C1127" s="153" t="s">
        <v>1904</v>
      </c>
      <c r="D1127" s="153" t="s">
        <v>1905</v>
      </c>
      <c r="E1127" s="153" t="s">
        <v>309</v>
      </c>
      <c r="F1127" s="153" t="s">
        <v>2489</v>
      </c>
      <c r="G1127" s="153" t="s">
        <v>2490</v>
      </c>
      <c r="H1127" s="153" t="s">
        <v>321</v>
      </c>
      <c r="I1127" s="153" t="s">
        <v>951</v>
      </c>
      <c r="J1127" s="153" t="s">
        <v>204</v>
      </c>
      <c r="K1127" s="153" t="s">
        <v>204</v>
      </c>
      <c r="L1127" s="153" t="s">
        <v>325</v>
      </c>
      <c r="M1127" s="153" t="s">
        <v>340</v>
      </c>
      <c r="N1127" s="153" t="s">
        <v>448</v>
      </c>
      <c r="O1127" s="153" t="s">
        <v>339</v>
      </c>
      <c r="P1127" s="153" t="s">
        <v>1215</v>
      </c>
      <c r="Q1127" s="153" t="s">
        <v>413</v>
      </c>
      <c r="R1127" s="153" t="s">
        <v>407</v>
      </c>
      <c r="S1127" s="153" t="s">
        <v>1212</v>
      </c>
      <c r="T1127" s="154">
        <v>0.18</v>
      </c>
      <c r="U1127" s="153" t="s">
        <v>1461</v>
      </c>
      <c r="V1127" s="155">
        <v>1.6219999999999998E-2</v>
      </c>
      <c r="W1127" s="155">
        <v>4.58E-2</v>
      </c>
      <c r="X1127" s="153" t="s">
        <v>412</v>
      </c>
      <c r="Y1127" s="153" t="s">
        <v>339</v>
      </c>
      <c r="Z1127" s="154">
        <v>742323.4</v>
      </c>
      <c r="AA1127" s="154">
        <v>1</v>
      </c>
      <c r="AB1127" s="154">
        <v>101.06</v>
      </c>
      <c r="AD1127" s="154">
        <v>750.19200000000001</v>
      </c>
      <c r="AG1127" s="157" t="s">
        <v>15</v>
      </c>
      <c r="AH1127" s="155">
        <v>2.6900000000000001E-3</v>
      </c>
      <c r="AI1127" s="155">
        <f t="shared" si="17"/>
        <v>4.078037132073134E-2</v>
      </c>
      <c r="AJ1127" s="155">
        <v>1.0303368482995311E-3</v>
      </c>
    </row>
    <row r="1128" spans="1:36" s="160" customFormat="1">
      <c r="A1128" s="153" t="s">
        <v>1213</v>
      </c>
      <c r="B1128" s="160">
        <v>9301</v>
      </c>
      <c r="C1128" s="153" t="s">
        <v>1573</v>
      </c>
      <c r="D1128" s="153" t="s">
        <v>1574</v>
      </c>
      <c r="E1128" s="153" t="s">
        <v>309</v>
      </c>
      <c r="F1128" s="153" t="s">
        <v>2534</v>
      </c>
      <c r="G1128" s="153" t="s">
        <v>2535</v>
      </c>
      <c r="H1128" s="153" t="s">
        <v>321</v>
      </c>
      <c r="I1128" s="153" t="s">
        <v>951</v>
      </c>
      <c r="J1128" s="153" t="s">
        <v>204</v>
      </c>
      <c r="K1128" s="153" t="s">
        <v>204</v>
      </c>
      <c r="L1128" s="153" t="s">
        <v>325</v>
      </c>
      <c r="M1128" s="153" t="s">
        <v>340</v>
      </c>
      <c r="N1128" s="153" t="s">
        <v>448</v>
      </c>
      <c r="O1128" s="153" t="s">
        <v>339</v>
      </c>
      <c r="P1128" s="153" t="s">
        <v>1215</v>
      </c>
      <c r="Q1128" s="153" t="s">
        <v>413</v>
      </c>
      <c r="R1128" s="153" t="s">
        <v>407</v>
      </c>
      <c r="S1128" s="153" t="s">
        <v>1212</v>
      </c>
      <c r="T1128" s="154">
        <v>0.41</v>
      </c>
      <c r="U1128" s="153" t="s">
        <v>1392</v>
      </c>
      <c r="V1128" s="155">
        <v>1.8030000000000001E-2</v>
      </c>
      <c r="W1128" s="155">
        <v>4.4299999999999999E-2</v>
      </c>
      <c r="X1128" s="153" t="s">
        <v>412</v>
      </c>
      <c r="Y1128" s="153" t="s">
        <v>339</v>
      </c>
      <c r="Z1128" s="154">
        <v>472000</v>
      </c>
      <c r="AA1128" s="154">
        <v>1</v>
      </c>
      <c r="AB1128" s="154">
        <v>100.22</v>
      </c>
      <c r="AD1128" s="154">
        <v>473.03800000000001</v>
      </c>
      <c r="AG1128" s="157" t="s">
        <v>15</v>
      </c>
      <c r="AH1128" s="155">
        <v>5.5999999999999995E-4</v>
      </c>
      <c r="AI1128" s="155">
        <f t="shared" si="17"/>
        <v>2.5714304189882208E-2</v>
      </c>
      <c r="AJ1128" s="155">
        <v>6.4968499003710198E-4</v>
      </c>
    </row>
    <row r="1129" spans="1:36" s="160" customFormat="1">
      <c r="A1129" s="153" t="s">
        <v>1213</v>
      </c>
      <c r="B1129" s="160">
        <v>9301</v>
      </c>
      <c r="C1129" s="153" t="s">
        <v>1573</v>
      </c>
      <c r="D1129" s="153" t="s">
        <v>1574</v>
      </c>
      <c r="E1129" s="153" t="s">
        <v>309</v>
      </c>
      <c r="F1129" s="153" t="s">
        <v>2696</v>
      </c>
      <c r="G1129" s="153" t="s">
        <v>2697</v>
      </c>
      <c r="H1129" s="153" t="s">
        <v>321</v>
      </c>
      <c r="I1129" s="153" t="s">
        <v>754</v>
      </c>
      <c r="J1129" s="153" t="s">
        <v>204</v>
      </c>
      <c r="K1129" s="153" t="s">
        <v>204</v>
      </c>
      <c r="L1129" s="153" t="s">
        <v>325</v>
      </c>
      <c r="M1129" s="153" t="s">
        <v>340</v>
      </c>
      <c r="N1129" s="153" t="s">
        <v>448</v>
      </c>
      <c r="O1129" s="153" t="s">
        <v>339</v>
      </c>
      <c r="P1129" s="153" t="s">
        <v>1215</v>
      </c>
      <c r="Q1129" s="153" t="s">
        <v>413</v>
      </c>
      <c r="R1129" s="153" t="s">
        <v>407</v>
      </c>
      <c r="S1129" s="153" t="s">
        <v>1212</v>
      </c>
      <c r="T1129" s="154">
        <v>2.58</v>
      </c>
      <c r="U1129" s="153" t="s">
        <v>1561</v>
      </c>
      <c r="V1129" s="155">
        <v>1.3440000000000001E-2</v>
      </c>
      <c r="W1129" s="155">
        <v>2.2599999999999999E-2</v>
      </c>
      <c r="X1129" s="153" t="s">
        <v>412</v>
      </c>
      <c r="Y1129" s="153" t="s">
        <v>339</v>
      </c>
      <c r="Z1129" s="154">
        <v>401000</v>
      </c>
      <c r="AA1129" s="154">
        <v>1</v>
      </c>
      <c r="AB1129" s="154">
        <v>102.67</v>
      </c>
      <c r="AD1129" s="154">
        <v>411.70699999999999</v>
      </c>
      <c r="AG1129" s="157" t="s">
        <v>15</v>
      </c>
      <c r="AH1129" s="155">
        <v>2.2000000000000001E-4</v>
      </c>
      <c r="AI1129" s="155">
        <f t="shared" si="17"/>
        <v>2.2380356409218358E-2</v>
      </c>
      <c r="AJ1129" s="155">
        <v>5.6545110158846671E-4</v>
      </c>
    </row>
    <row r="1130" spans="1:36" s="160" customFormat="1">
      <c r="A1130" s="153" t="s">
        <v>1213</v>
      </c>
      <c r="B1130" s="160">
        <v>9301</v>
      </c>
      <c r="C1130" s="153" t="s">
        <v>2463</v>
      </c>
      <c r="D1130" s="153" t="s">
        <v>2464</v>
      </c>
      <c r="E1130" s="153" t="s">
        <v>309</v>
      </c>
      <c r="F1130" s="153" t="s">
        <v>2977</v>
      </c>
      <c r="G1130" s="153" t="s">
        <v>2978</v>
      </c>
      <c r="H1130" s="153" t="s">
        <v>321</v>
      </c>
      <c r="I1130" s="153" t="s">
        <v>952</v>
      </c>
      <c r="J1130" s="153" t="s">
        <v>204</v>
      </c>
      <c r="K1130" s="153" t="s">
        <v>204</v>
      </c>
      <c r="L1130" s="153" t="s">
        <v>325</v>
      </c>
      <c r="M1130" s="153" t="s">
        <v>340</v>
      </c>
      <c r="N1130" s="153" t="s">
        <v>465</v>
      </c>
      <c r="O1130" s="153" t="s">
        <v>339</v>
      </c>
      <c r="P1130" s="153" t="s">
        <v>1554</v>
      </c>
      <c r="Q1130" s="153" t="s">
        <v>413</v>
      </c>
      <c r="R1130" s="153" t="s">
        <v>407</v>
      </c>
      <c r="S1130" s="153" t="s">
        <v>1212</v>
      </c>
      <c r="T1130" s="154">
        <v>3.91</v>
      </c>
      <c r="U1130" s="153" t="s">
        <v>1587</v>
      </c>
      <c r="V1130" s="155">
        <v>5.1549999999999999E-2</v>
      </c>
      <c r="W1130" s="155">
        <v>5.33E-2</v>
      </c>
      <c r="X1130" s="153" t="s">
        <v>412</v>
      </c>
      <c r="Y1130" s="153" t="s">
        <v>339</v>
      </c>
      <c r="Z1130" s="154">
        <v>327000</v>
      </c>
      <c r="AA1130" s="154">
        <v>1</v>
      </c>
      <c r="AB1130" s="154">
        <v>102</v>
      </c>
      <c r="AD1130" s="154">
        <v>333.54</v>
      </c>
      <c r="AG1130" s="157" t="s">
        <v>15</v>
      </c>
      <c r="AH1130" s="155">
        <v>5.6999999999999998E-4</v>
      </c>
      <c r="AI1130" s="155">
        <f t="shared" si="17"/>
        <v>1.8131205145238461E-2</v>
      </c>
      <c r="AJ1130" s="155">
        <v>4.5809413107821147E-4</v>
      </c>
    </row>
    <row r="1131" spans="1:36" s="160" customFormat="1">
      <c r="A1131" s="153" t="s">
        <v>1213</v>
      </c>
      <c r="B1131" s="160">
        <v>9301</v>
      </c>
      <c r="C1131" s="153" t="s">
        <v>2263</v>
      </c>
      <c r="D1131" s="153" t="s">
        <v>2264</v>
      </c>
      <c r="E1131" s="153" t="s">
        <v>309</v>
      </c>
      <c r="F1131" s="153" t="s">
        <v>2855</v>
      </c>
      <c r="G1131" s="153" t="s">
        <v>2856</v>
      </c>
      <c r="H1131" s="153" t="s">
        <v>321</v>
      </c>
      <c r="I1131" s="153" t="s">
        <v>755</v>
      </c>
      <c r="J1131" s="153" t="s">
        <v>204</v>
      </c>
      <c r="K1131" s="153" t="s">
        <v>204</v>
      </c>
      <c r="L1131" s="153" t="s">
        <v>325</v>
      </c>
      <c r="M1131" s="153" t="s">
        <v>340</v>
      </c>
      <c r="N1131" s="153" t="s">
        <v>436</v>
      </c>
      <c r="O1131" s="153" t="s">
        <v>339</v>
      </c>
      <c r="P1131" s="153" t="s">
        <v>1215</v>
      </c>
      <c r="Q1131" s="153" t="s">
        <v>413</v>
      </c>
      <c r="R1131" s="153" t="s">
        <v>407</v>
      </c>
      <c r="S1131" s="153" t="s">
        <v>1212</v>
      </c>
      <c r="T1131" s="154">
        <v>1.46</v>
      </c>
      <c r="U1131" s="153" t="s">
        <v>2857</v>
      </c>
      <c r="V1131" s="155">
        <v>1.7700000000000001E-3</v>
      </c>
      <c r="W1131" s="155">
        <v>6.3500000000000001E-2</v>
      </c>
      <c r="X1131" s="153" t="s">
        <v>412</v>
      </c>
      <c r="Y1131" s="153" t="s">
        <v>339</v>
      </c>
      <c r="Z1131" s="154">
        <v>296000</v>
      </c>
      <c r="AA1131" s="154">
        <v>1</v>
      </c>
      <c r="AB1131" s="154">
        <v>108</v>
      </c>
      <c r="AD1131" s="154">
        <v>319.68</v>
      </c>
      <c r="AG1131" s="157" t="s">
        <v>15</v>
      </c>
      <c r="AH1131" s="155">
        <v>1.6000000000000001E-4</v>
      </c>
      <c r="AI1131" s="155">
        <f t="shared" si="17"/>
        <v>1.7377776760897738E-2</v>
      </c>
      <c r="AJ1131" s="155">
        <v>4.3905837927409801E-4</v>
      </c>
    </row>
    <row r="1132" spans="1:36" s="160" customFormat="1">
      <c r="A1132" s="153" t="s">
        <v>1213</v>
      </c>
      <c r="B1132" s="160">
        <v>9301</v>
      </c>
      <c r="C1132" s="153" t="s">
        <v>1512</v>
      </c>
      <c r="D1132" s="153" t="s">
        <v>1513</v>
      </c>
      <c r="E1132" s="153" t="s">
        <v>309</v>
      </c>
      <c r="F1132" s="153" t="s">
        <v>2186</v>
      </c>
      <c r="G1132" s="153" t="s">
        <v>2187</v>
      </c>
      <c r="H1132" s="153" t="s">
        <v>321</v>
      </c>
      <c r="I1132" s="153" t="s">
        <v>754</v>
      </c>
      <c r="J1132" s="153" t="s">
        <v>204</v>
      </c>
      <c r="K1132" s="153" t="s">
        <v>204</v>
      </c>
      <c r="L1132" s="153" t="s">
        <v>325</v>
      </c>
      <c r="M1132" s="153" t="s">
        <v>340</v>
      </c>
      <c r="N1132" s="153" t="s">
        <v>448</v>
      </c>
      <c r="O1132" s="153" t="s">
        <v>339</v>
      </c>
      <c r="P1132" s="153" t="s">
        <v>1215</v>
      </c>
      <c r="Q1132" s="153" t="s">
        <v>413</v>
      </c>
      <c r="R1132" s="153" t="s">
        <v>407</v>
      </c>
      <c r="S1132" s="153" t="s">
        <v>1212</v>
      </c>
      <c r="T1132" s="154">
        <v>1.72</v>
      </c>
      <c r="U1132" s="153" t="s">
        <v>2188</v>
      </c>
      <c r="V1132" s="155">
        <v>1.7229999999999999E-2</v>
      </c>
      <c r="W1132" s="155">
        <v>2.1399999999999999E-2</v>
      </c>
      <c r="X1132" s="153" t="s">
        <v>412</v>
      </c>
      <c r="Y1132" s="153" t="s">
        <v>339</v>
      </c>
      <c r="Z1132" s="154">
        <v>267000</v>
      </c>
      <c r="AA1132" s="154">
        <v>1</v>
      </c>
      <c r="AB1132" s="154">
        <v>110.39</v>
      </c>
      <c r="AD1132" s="154">
        <v>294.74099999999999</v>
      </c>
      <c r="AG1132" s="157" t="s">
        <v>15</v>
      </c>
      <c r="AH1132" s="155">
        <v>9.0000000000000006E-5</v>
      </c>
      <c r="AI1132" s="155">
        <f t="shared" si="17"/>
        <v>1.6022094908295044E-2</v>
      </c>
      <c r="AJ1132" s="155">
        <v>4.0480638690448855E-4</v>
      </c>
    </row>
    <row r="1133" spans="1:36" s="160" customFormat="1">
      <c r="A1133" s="153" t="s">
        <v>1213</v>
      </c>
      <c r="B1133" s="160">
        <v>9301</v>
      </c>
      <c r="C1133" s="153" t="s">
        <v>2263</v>
      </c>
      <c r="D1133" s="153" t="s">
        <v>2264</v>
      </c>
      <c r="E1133" s="153" t="s">
        <v>309</v>
      </c>
      <c r="F1133" s="153" t="s">
        <v>2265</v>
      </c>
      <c r="G1133" s="153" t="s">
        <v>2266</v>
      </c>
      <c r="H1133" s="153" t="s">
        <v>321</v>
      </c>
      <c r="I1133" s="153" t="s">
        <v>754</v>
      </c>
      <c r="J1133" s="153" t="s">
        <v>204</v>
      </c>
      <c r="K1133" s="153" t="s">
        <v>204</v>
      </c>
      <c r="L1133" s="153" t="s">
        <v>325</v>
      </c>
      <c r="M1133" s="153" t="s">
        <v>340</v>
      </c>
      <c r="N1133" s="153" t="s">
        <v>436</v>
      </c>
      <c r="O1133" s="153" t="s">
        <v>339</v>
      </c>
      <c r="P1133" s="153" t="s">
        <v>1215</v>
      </c>
      <c r="Q1133" s="153" t="s">
        <v>413</v>
      </c>
      <c r="R1133" s="153" t="s">
        <v>407</v>
      </c>
      <c r="S1133" s="153" t="s">
        <v>1212</v>
      </c>
      <c r="T1133" s="154">
        <v>3.27</v>
      </c>
      <c r="U1133" s="153" t="s">
        <v>2267</v>
      </c>
      <c r="V1133" s="155">
        <v>5.0000000000000001E-4</v>
      </c>
      <c r="W1133" s="155">
        <v>2.3400000000000001E-2</v>
      </c>
      <c r="X1133" s="153" t="s">
        <v>412</v>
      </c>
      <c r="Y1133" s="153" t="s">
        <v>339</v>
      </c>
      <c r="Z1133" s="154">
        <v>260625.38</v>
      </c>
      <c r="AA1133" s="154">
        <v>1</v>
      </c>
      <c r="AB1133" s="154">
        <v>106.4</v>
      </c>
      <c r="AD1133" s="154">
        <v>277.30500000000001</v>
      </c>
      <c r="AG1133" s="157" t="s">
        <v>15</v>
      </c>
      <c r="AH1133" s="155">
        <v>2.5000000000000001E-4</v>
      </c>
      <c r="AI1133" s="155">
        <f t="shared" si="17"/>
        <v>1.507427547760494E-2</v>
      </c>
      <c r="AJ1133" s="155">
        <v>3.8085924632320992E-4</v>
      </c>
    </row>
    <row r="1134" spans="1:36" s="160" customFormat="1">
      <c r="A1134" s="153" t="s">
        <v>1213</v>
      </c>
      <c r="B1134" s="160">
        <v>9301</v>
      </c>
      <c r="C1134" s="153" t="s">
        <v>1600</v>
      </c>
      <c r="D1134" s="153" t="s">
        <v>1601</v>
      </c>
      <c r="E1134" s="153" t="s">
        <v>309</v>
      </c>
      <c r="F1134" s="153" t="s">
        <v>2353</v>
      </c>
      <c r="G1134" s="153" t="s">
        <v>2354</v>
      </c>
      <c r="H1134" s="153" t="s">
        <v>321</v>
      </c>
      <c r="I1134" s="153" t="s">
        <v>754</v>
      </c>
      <c r="J1134" s="153" t="s">
        <v>204</v>
      </c>
      <c r="K1134" s="153" t="s">
        <v>204</v>
      </c>
      <c r="L1134" s="153" t="s">
        <v>325</v>
      </c>
      <c r="M1134" s="153" t="s">
        <v>340</v>
      </c>
      <c r="N1134" s="153" t="s">
        <v>448</v>
      </c>
      <c r="O1134" s="153" t="s">
        <v>339</v>
      </c>
      <c r="P1134" s="153" t="s">
        <v>1215</v>
      </c>
      <c r="Q1134" s="153" t="s">
        <v>413</v>
      </c>
      <c r="R1134" s="153" t="s">
        <v>407</v>
      </c>
      <c r="S1134" s="153" t="s">
        <v>1212</v>
      </c>
      <c r="T1134" s="154">
        <v>2.04</v>
      </c>
      <c r="U1134" s="153" t="s">
        <v>2355</v>
      </c>
      <c r="V1134" s="155">
        <v>1.2290000000000001E-2</v>
      </c>
      <c r="W1134" s="155">
        <v>2.07E-2</v>
      </c>
      <c r="X1134" s="153" t="s">
        <v>412</v>
      </c>
      <c r="Y1134" s="153" t="s">
        <v>339</v>
      </c>
      <c r="Z1134" s="154">
        <v>244800</v>
      </c>
      <c r="AA1134" s="154">
        <v>1</v>
      </c>
      <c r="AB1134" s="154">
        <v>113.24</v>
      </c>
      <c r="AD1134" s="154">
        <v>277.21199999999999</v>
      </c>
      <c r="AG1134" s="157" t="s">
        <v>15</v>
      </c>
      <c r="AH1134" s="155">
        <v>2.7999999999999998E-4</v>
      </c>
      <c r="AI1134" s="155">
        <f t="shared" si="17"/>
        <v>1.506922000576196E-2</v>
      </c>
      <c r="AJ1134" s="155">
        <v>3.8073151725266278E-4</v>
      </c>
    </row>
    <row r="1135" spans="1:36" s="160" customFormat="1">
      <c r="A1135" s="153" t="s">
        <v>1213</v>
      </c>
      <c r="B1135" s="160">
        <v>9301</v>
      </c>
      <c r="C1135" s="153" t="s">
        <v>2463</v>
      </c>
      <c r="D1135" s="153" t="s">
        <v>2464</v>
      </c>
      <c r="E1135" s="153" t="s">
        <v>309</v>
      </c>
      <c r="F1135" s="153" t="s">
        <v>2465</v>
      </c>
      <c r="G1135" s="153" t="s">
        <v>2466</v>
      </c>
      <c r="H1135" s="153" t="s">
        <v>321</v>
      </c>
      <c r="I1135" s="153" t="s">
        <v>754</v>
      </c>
      <c r="J1135" s="153" t="s">
        <v>204</v>
      </c>
      <c r="K1135" s="153" t="s">
        <v>204</v>
      </c>
      <c r="L1135" s="153" t="s">
        <v>325</v>
      </c>
      <c r="M1135" s="153" t="s">
        <v>340</v>
      </c>
      <c r="N1135" s="153" t="s">
        <v>465</v>
      </c>
      <c r="O1135" s="153" t="s">
        <v>339</v>
      </c>
      <c r="P1135" s="153" t="s">
        <v>1554</v>
      </c>
      <c r="Q1135" s="153" t="s">
        <v>413</v>
      </c>
      <c r="R1135" s="153" t="s">
        <v>407</v>
      </c>
      <c r="S1135" s="153" t="s">
        <v>1212</v>
      </c>
      <c r="T1135" s="154">
        <v>3.56</v>
      </c>
      <c r="U1135" s="153" t="s">
        <v>1669</v>
      </c>
      <c r="V1135" s="155">
        <v>8.6699999999999999E-2</v>
      </c>
      <c r="W1135" s="155">
        <v>5.1200000000000002E-2</v>
      </c>
      <c r="X1135" s="153" t="s">
        <v>412</v>
      </c>
      <c r="Y1135" s="153" t="s">
        <v>339</v>
      </c>
      <c r="Z1135" s="154">
        <v>261000</v>
      </c>
      <c r="AA1135" s="154">
        <v>1</v>
      </c>
      <c r="AB1135" s="154">
        <v>100.76</v>
      </c>
      <c r="AD1135" s="154">
        <v>262.98399999999998</v>
      </c>
      <c r="AG1135" s="157" t="s">
        <v>15</v>
      </c>
      <c r="AH1135" s="155">
        <v>2.3000000000000001E-4</v>
      </c>
      <c r="AI1135" s="155">
        <f t="shared" si="17"/>
        <v>1.429578717369848E-2</v>
      </c>
      <c r="AJ1135" s="155">
        <v>3.6119034288982537E-4</v>
      </c>
    </row>
    <row r="1136" spans="1:36" s="160" customFormat="1">
      <c r="A1136" s="153" t="s">
        <v>1213</v>
      </c>
      <c r="B1136" s="160">
        <v>9301</v>
      </c>
      <c r="C1136" s="153" t="s">
        <v>2385</v>
      </c>
      <c r="D1136" s="153" t="s">
        <v>2386</v>
      </c>
      <c r="E1136" s="153" t="s">
        <v>309</v>
      </c>
      <c r="F1136" s="153" t="s">
        <v>2387</v>
      </c>
      <c r="G1136" s="153" t="s">
        <v>2388</v>
      </c>
      <c r="H1136" s="153" t="s">
        <v>321</v>
      </c>
      <c r="I1136" s="153" t="s">
        <v>754</v>
      </c>
      <c r="J1136" s="153" t="s">
        <v>204</v>
      </c>
      <c r="K1136" s="153" t="s">
        <v>204</v>
      </c>
      <c r="L1136" s="153" t="s">
        <v>325</v>
      </c>
      <c r="M1136" s="153" t="s">
        <v>340</v>
      </c>
      <c r="N1136" s="153" t="s">
        <v>464</v>
      </c>
      <c r="O1136" s="153" t="s">
        <v>339</v>
      </c>
      <c r="P1136" s="153" t="s">
        <v>1211</v>
      </c>
      <c r="Q1136" s="153" t="s">
        <v>415</v>
      </c>
      <c r="R1136" s="153" t="s">
        <v>407</v>
      </c>
      <c r="S1136" s="153" t="s">
        <v>1212</v>
      </c>
      <c r="T1136" s="154">
        <v>1.46</v>
      </c>
      <c r="U1136" s="153" t="s">
        <v>1659</v>
      </c>
      <c r="V1136" s="155">
        <v>1.6670000000000001E-2</v>
      </c>
      <c r="W1136" s="155">
        <v>2.1899999999999999E-2</v>
      </c>
      <c r="X1136" s="153" t="s">
        <v>412</v>
      </c>
      <c r="Y1136" s="153" t="s">
        <v>339</v>
      </c>
      <c r="Z1136" s="154">
        <v>225000</v>
      </c>
      <c r="AA1136" s="154">
        <v>1</v>
      </c>
      <c r="AB1136" s="154">
        <v>114.36</v>
      </c>
      <c r="AD1136" s="154">
        <v>257.31</v>
      </c>
      <c r="AG1136" s="157" t="s">
        <v>15</v>
      </c>
      <c r="AH1136" s="155">
        <v>1.9000000000000001E-4</v>
      </c>
      <c r="AI1136" s="155">
        <f t="shared" si="17"/>
        <v>1.398734903136448E-2</v>
      </c>
      <c r="AJ1136" s="155">
        <v>3.533974961555873E-4</v>
      </c>
    </row>
    <row r="1137" spans="1:36" s="160" customFormat="1">
      <c r="A1137" s="153" t="s">
        <v>1213</v>
      </c>
      <c r="B1137" s="160">
        <v>9301</v>
      </c>
      <c r="C1137" s="153" t="s">
        <v>1573</v>
      </c>
      <c r="D1137" s="153" t="s">
        <v>1574</v>
      </c>
      <c r="E1137" s="153" t="s">
        <v>309</v>
      </c>
      <c r="F1137" s="153" t="s">
        <v>2310</v>
      </c>
      <c r="G1137" s="153" t="s">
        <v>2311</v>
      </c>
      <c r="H1137" s="153" t="s">
        <v>321</v>
      </c>
      <c r="I1137" s="153" t="s">
        <v>754</v>
      </c>
      <c r="J1137" s="153" t="s">
        <v>204</v>
      </c>
      <c r="K1137" s="153" t="s">
        <v>204</v>
      </c>
      <c r="L1137" s="153" t="s">
        <v>325</v>
      </c>
      <c r="M1137" s="153" t="s">
        <v>340</v>
      </c>
      <c r="N1137" s="153" t="s">
        <v>448</v>
      </c>
      <c r="O1137" s="153" t="s">
        <v>339</v>
      </c>
      <c r="P1137" s="153" t="s">
        <v>1215</v>
      </c>
      <c r="Q1137" s="153" t="s">
        <v>413</v>
      </c>
      <c r="R1137" s="153" t="s">
        <v>407</v>
      </c>
      <c r="S1137" s="153" t="s">
        <v>1212</v>
      </c>
      <c r="T1137" s="154">
        <v>1.74</v>
      </c>
      <c r="U1137" s="153" t="s">
        <v>1833</v>
      </c>
      <c r="V1137" s="155">
        <v>1.788E-2</v>
      </c>
      <c r="W1137" s="155">
        <v>2.0400000000000001E-2</v>
      </c>
      <c r="X1137" s="153" t="s">
        <v>412</v>
      </c>
      <c r="Y1137" s="153" t="s">
        <v>339</v>
      </c>
      <c r="Z1137" s="154">
        <v>225000</v>
      </c>
      <c r="AA1137" s="154">
        <v>1</v>
      </c>
      <c r="AB1137" s="154">
        <v>113.2</v>
      </c>
      <c r="AD1137" s="154">
        <v>254.7</v>
      </c>
      <c r="AG1137" s="157" t="s">
        <v>15</v>
      </c>
      <c r="AH1137" s="155">
        <v>1.4999999999999999E-4</v>
      </c>
      <c r="AI1137" s="155">
        <f t="shared" si="17"/>
        <v>1.3845469660287329E-2</v>
      </c>
      <c r="AJ1137" s="155">
        <v>3.498128415950724E-4</v>
      </c>
    </row>
    <row r="1138" spans="1:36" s="160" customFormat="1">
      <c r="A1138" s="153" t="s">
        <v>1213</v>
      </c>
      <c r="B1138" s="160">
        <v>9301</v>
      </c>
      <c r="C1138" s="153" t="s">
        <v>1556</v>
      </c>
      <c r="D1138" s="153" t="s">
        <v>1557</v>
      </c>
      <c r="E1138" s="153" t="s">
        <v>311</v>
      </c>
      <c r="F1138" s="153" t="s">
        <v>2862</v>
      </c>
      <c r="G1138" s="153" t="s">
        <v>2863</v>
      </c>
      <c r="H1138" s="153" t="s">
        <v>321</v>
      </c>
      <c r="I1138" s="153" t="s">
        <v>951</v>
      </c>
      <c r="J1138" s="153" t="s">
        <v>204</v>
      </c>
      <c r="K1138" s="153" t="s">
        <v>224</v>
      </c>
      <c r="L1138" s="153" t="s">
        <v>325</v>
      </c>
      <c r="M1138" s="153" t="s">
        <v>340</v>
      </c>
      <c r="N1138" s="153" t="s">
        <v>465</v>
      </c>
      <c r="O1138" s="153" t="s">
        <v>339</v>
      </c>
      <c r="P1138" s="153" t="s">
        <v>1521</v>
      </c>
      <c r="Q1138" s="153" t="s">
        <v>413</v>
      </c>
      <c r="R1138" s="153" t="s">
        <v>407</v>
      </c>
      <c r="S1138" s="153" t="s">
        <v>1212</v>
      </c>
      <c r="T1138" s="154">
        <v>0.17</v>
      </c>
      <c r="U1138" s="153" t="s">
        <v>1503</v>
      </c>
      <c r="V1138" s="155">
        <v>4.8390000000000002E-2</v>
      </c>
      <c r="W1138" s="155">
        <v>5.8900000000000001E-2</v>
      </c>
      <c r="X1138" s="153" t="s">
        <v>412</v>
      </c>
      <c r="Y1138" s="153" t="s">
        <v>339</v>
      </c>
      <c r="Z1138" s="154">
        <v>220000.78</v>
      </c>
      <c r="AA1138" s="154">
        <v>1</v>
      </c>
      <c r="AB1138" s="154">
        <v>100.98</v>
      </c>
      <c r="AD1138" s="154">
        <v>222.15700000000001</v>
      </c>
      <c r="AG1138" s="157" t="s">
        <v>15</v>
      </c>
      <c r="AH1138" s="155">
        <v>5.6999999999999998E-4</v>
      </c>
      <c r="AI1138" s="155">
        <f t="shared" si="17"/>
        <v>1.2076435034630751E-2</v>
      </c>
      <c r="AJ1138" s="155">
        <v>3.051172809196565E-4</v>
      </c>
    </row>
    <row r="1139" spans="1:36" s="160" customFormat="1">
      <c r="A1139" s="153" t="s">
        <v>1213</v>
      </c>
      <c r="B1139" s="160">
        <v>9301</v>
      </c>
      <c r="C1139" s="153" t="s">
        <v>1924</v>
      </c>
      <c r="D1139" s="153" t="s">
        <v>1925</v>
      </c>
      <c r="E1139" s="153" t="s">
        <v>309</v>
      </c>
      <c r="F1139" s="153" t="s">
        <v>1926</v>
      </c>
      <c r="G1139" s="153" t="s">
        <v>1927</v>
      </c>
      <c r="H1139" s="153" t="s">
        <v>321</v>
      </c>
      <c r="I1139" s="153" t="s">
        <v>754</v>
      </c>
      <c r="J1139" s="153" t="s">
        <v>204</v>
      </c>
      <c r="K1139" s="153" t="s">
        <v>204</v>
      </c>
      <c r="L1139" s="153" t="s">
        <v>327</v>
      </c>
      <c r="M1139" s="153" t="s">
        <v>340</v>
      </c>
      <c r="N1139" s="153" t="s">
        <v>441</v>
      </c>
      <c r="O1139" s="153" t="s">
        <v>339</v>
      </c>
      <c r="Q1139" s="153" t="s">
        <v>410</v>
      </c>
      <c r="R1139" s="153" t="s">
        <v>410</v>
      </c>
      <c r="S1139" s="153" t="s">
        <v>1212</v>
      </c>
      <c r="T1139" s="154">
        <v>2.09</v>
      </c>
      <c r="U1139" s="153" t="s">
        <v>1528</v>
      </c>
      <c r="V1139" s="155">
        <v>3.9730000000000001E-2</v>
      </c>
      <c r="W1139" s="155">
        <v>5.04E-2</v>
      </c>
      <c r="X1139" s="153" t="s">
        <v>412</v>
      </c>
      <c r="Y1139" s="153" t="s">
        <v>339</v>
      </c>
      <c r="Z1139" s="154">
        <v>100000</v>
      </c>
      <c r="AA1139" s="154">
        <v>1</v>
      </c>
      <c r="AB1139" s="154">
        <f>AD1139*1000/Z1139*100</f>
        <v>106.64387978142101</v>
      </c>
      <c r="AD1139" s="154">
        <f>106643.879781421/1000</f>
        <v>106.64387978142099</v>
      </c>
      <c r="AG1139" s="157" t="s">
        <v>15</v>
      </c>
      <c r="AH1139" s="155">
        <v>5.4000000000000001E-4</v>
      </c>
      <c r="AI1139" s="155">
        <f t="shared" si="17"/>
        <v>5.7971519511935366E-3</v>
      </c>
      <c r="AJ1139" s="155">
        <v>1.4646799617221111E-4</v>
      </c>
    </row>
    <row r="1140" spans="1:36" s="160" customFormat="1">
      <c r="A1140" s="153" t="s">
        <v>1213</v>
      </c>
      <c r="B1140" s="160">
        <v>9301</v>
      </c>
      <c r="C1140" s="153" t="s">
        <v>1893</v>
      </c>
      <c r="D1140" s="153" t="s">
        <v>1894</v>
      </c>
      <c r="E1140" s="153" t="s">
        <v>309</v>
      </c>
      <c r="F1140" s="153" t="s">
        <v>2619</v>
      </c>
      <c r="G1140" s="153" t="s">
        <v>2620</v>
      </c>
      <c r="H1140" s="153" t="s">
        <v>321</v>
      </c>
      <c r="I1140" s="153" t="s">
        <v>754</v>
      </c>
      <c r="J1140" s="153" t="s">
        <v>204</v>
      </c>
      <c r="K1140" s="153" t="s">
        <v>204</v>
      </c>
      <c r="L1140" s="153" t="s">
        <v>325</v>
      </c>
      <c r="M1140" s="153" t="s">
        <v>340</v>
      </c>
      <c r="N1140" s="153" t="s">
        <v>464</v>
      </c>
      <c r="O1140" s="153" t="s">
        <v>339</v>
      </c>
      <c r="P1140" s="153" t="s">
        <v>1566</v>
      </c>
      <c r="Q1140" s="153" t="s">
        <v>413</v>
      </c>
      <c r="R1140" s="153" t="s">
        <v>407</v>
      </c>
      <c r="S1140" s="153" t="s">
        <v>1212</v>
      </c>
      <c r="T1140" s="154">
        <v>1.72</v>
      </c>
      <c r="U1140" s="153" t="s">
        <v>1343</v>
      </c>
      <c r="V1140" s="155">
        <v>2.3529999999999999E-2</v>
      </c>
      <c r="W1140" s="155">
        <v>2.4199999999999999E-2</v>
      </c>
      <c r="X1140" s="153" t="s">
        <v>412</v>
      </c>
      <c r="Y1140" s="153" t="s">
        <v>339</v>
      </c>
      <c r="Z1140" s="154">
        <v>192533</v>
      </c>
      <c r="AA1140" s="154">
        <v>1</v>
      </c>
      <c r="AB1140" s="154">
        <v>113.95</v>
      </c>
      <c r="AD1140" s="154">
        <v>219.39099999999999</v>
      </c>
      <c r="AG1140" s="157" t="s">
        <v>15</v>
      </c>
      <c r="AH1140" s="155">
        <v>2.4000000000000001E-4</v>
      </c>
      <c r="AI1140" s="155">
        <f t="shared" si="17"/>
        <v>1.1926075517236347E-2</v>
      </c>
      <c r="AJ1140" s="155">
        <v>3.0131837114403035E-4</v>
      </c>
    </row>
    <row r="1141" spans="1:36" s="160" customFormat="1">
      <c r="A1141" s="153" t="s">
        <v>1213</v>
      </c>
      <c r="B1141" s="160">
        <v>9301</v>
      </c>
      <c r="C1141" s="153" t="s">
        <v>1861</v>
      </c>
      <c r="D1141" s="153" t="s">
        <v>1862</v>
      </c>
      <c r="E1141" s="153" t="s">
        <v>309</v>
      </c>
      <c r="F1141" s="153" t="s">
        <v>1995</v>
      </c>
      <c r="G1141" s="153" t="s">
        <v>1996</v>
      </c>
      <c r="H1141" s="153" t="s">
        <v>321</v>
      </c>
      <c r="I1141" s="153" t="s">
        <v>754</v>
      </c>
      <c r="J1141" s="153" t="s">
        <v>204</v>
      </c>
      <c r="K1141" s="153" t="s">
        <v>204</v>
      </c>
      <c r="L1141" s="153" t="s">
        <v>325</v>
      </c>
      <c r="M1141" s="153" t="s">
        <v>340</v>
      </c>
      <c r="N1141" s="153" t="s">
        <v>464</v>
      </c>
      <c r="O1141" s="153" t="s">
        <v>339</v>
      </c>
      <c r="P1141" s="153" t="s">
        <v>1538</v>
      </c>
      <c r="Q1141" s="153" t="s">
        <v>413</v>
      </c>
      <c r="R1141" s="153" t="s">
        <v>407</v>
      </c>
      <c r="S1141" s="153" t="s">
        <v>1212</v>
      </c>
      <c r="T1141" s="154">
        <v>1.5</v>
      </c>
      <c r="U1141" s="153" t="s">
        <v>1997</v>
      </c>
      <c r="V1141" s="155">
        <v>2.2429999999999999E-2</v>
      </c>
      <c r="W1141" s="155">
        <v>2.53E-2</v>
      </c>
      <c r="X1141" s="153" t="s">
        <v>412</v>
      </c>
      <c r="Y1141" s="153" t="s">
        <v>339</v>
      </c>
      <c r="Z1141" s="154">
        <v>172023.82</v>
      </c>
      <c r="AA1141" s="154">
        <v>1</v>
      </c>
      <c r="AB1141" s="154">
        <v>117.88</v>
      </c>
      <c r="AD1141" s="154">
        <v>202.78200000000001</v>
      </c>
      <c r="AG1141" s="157" t="s">
        <v>15</v>
      </c>
      <c r="AH1141" s="155">
        <v>1.3999999999999999E-4</v>
      </c>
      <c r="AI1141" s="155">
        <f t="shared" si="17"/>
        <v>1.1023211734010151E-2</v>
      </c>
      <c r="AJ1141" s="155">
        <v>2.7850705788901443E-4</v>
      </c>
    </row>
    <row r="1142" spans="1:36" s="160" customFormat="1">
      <c r="A1142" s="153" t="s">
        <v>1213</v>
      </c>
      <c r="B1142" s="160">
        <v>9301</v>
      </c>
      <c r="C1142" s="153" t="s">
        <v>2993</v>
      </c>
      <c r="D1142" s="153" t="s">
        <v>2994</v>
      </c>
      <c r="E1142" s="153" t="s">
        <v>309</v>
      </c>
      <c r="F1142" s="153" t="s">
        <v>2995</v>
      </c>
      <c r="G1142" s="153" t="s">
        <v>2996</v>
      </c>
      <c r="H1142" s="153" t="s">
        <v>321</v>
      </c>
      <c r="I1142" s="153" t="s">
        <v>755</v>
      </c>
      <c r="J1142" s="153" t="s">
        <v>204</v>
      </c>
      <c r="K1142" s="153" t="s">
        <v>204</v>
      </c>
      <c r="L1142" s="153" t="s">
        <v>325</v>
      </c>
      <c r="M1142" s="153" t="s">
        <v>340</v>
      </c>
      <c r="N1142" s="153" t="s">
        <v>454</v>
      </c>
      <c r="O1142" s="153" t="s">
        <v>339</v>
      </c>
      <c r="P1142" s="153" t="s">
        <v>1982</v>
      </c>
      <c r="Q1142" s="153" t="s">
        <v>415</v>
      </c>
      <c r="R1142" s="153" t="s">
        <v>407</v>
      </c>
      <c r="S1142" s="153" t="s">
        <v>1212</v>
      </c>
      <c r="T1142" s="154">
        <v>2.74</v>
      </c>
      <c r="U1142" s="153" t="s">
        <v>2377</v>
      </c>
      <c r="V1142" s="155">
        <v>4.4249999999999998E-2</v>
      </c>
      <c r="W1142" s="155">
        <v>7.0000000000000007E-2</v>
      </c>
      <c r="X1142" s="153" t="s">
        <v>412</v>
      </c>
      <c r="Y1142" s="153" t="s">
        <v>339</v>
      </c>
      <c r="Z1142" s="154">
        <v>187802.32</v>
      </c>
      <c r="AA1142" s="154">
        <v>1</v>
      </c>
      <c r="AB1142" s="154">
        <v>101.15</v>
      </c>
      <c r="AD1142" s="154">
        <v>189.96199999999999</v>
      </c>
      <c r="AG1142" s="157" t="s">
        <v>15</v>
      </c>
      <c r="AH1142" s="155">
        <v>6.9999999999999999E-4</v>
      </c>
      <c r="AI1142" s="155">
        <f t="shared" si="17"/>
        <v>1.0326317658451125E-2</v>
      </c>
      <c r="AJ1142" s="155">
        <v>2.6089967418564252E-4</v>
      </c>
    </row>
    <row r="1143" spans="1:36" s="160" customFormat="1">
      <c r="A1143" s="153" t="s">
        <v>1213</v>
      </c>
      <c r="B1143" s="160">
        <v>9301</v>
      </c>
      <c r="C1143" s="153" t="s">
        <v>2203</v>
      </c>
      <c r="D1143" s="153" t="s">
        <v>2204</v>
      </c>
      <c r="E1143" s="153" t="s">
        <v>309</v>
      </c>
      <c r="F1143" s="153" t="s">
        <v>2733</v>
      </c>
      <c r="G1143" s="153" t="s">
        <v>2734</v>
      </c>
      <c r="H1143" s="153" t="s">
        <v>321</v>
      </c>
      <c r="I1143" s="153" t="s">
        <v>951</v>
      </c>
      <c r="J1143" s="153" t="s">
        <v>204</v>
      </c>
      <c r="K1143" s="153" t="s">
        <v>204</v>
      </c>
      <c r="L1143" s="153" t="s">
        <v>325</v>
      </c>
      <c r="M1143" s="153" t="s">
        <v>340</v>
      </c>
      <c r="N1143" s="153" t="s">
        <v>459</v>
      </c>
      <c r="O1143" s="153" t="s">
        <v>339</v>
      </c>
      <c r="P1143" s="153" t="s">
        <v>1811</v>
      </c>
      <c r="Q1143" s="153" t="s">
        <v>413</v>
      </c>
      <c r="R1143" s="153" t="s">
        <v>407</v>
      </c>
      <c r="S1143" s="153" t="s">
        <v>1212</v>
      </c>
      <c r="T1143" s="154">
        <v>1.69</v>
      </c>
      <c r="U1143" s="153" t="s">
        <v>1572</v>
      </c>
      <c r="V1143" s="155">
        <v>4.5010000000000001E-2</v>
      </c>
      <c r="W1143" s="155">
        <v>4.6899999999999997E-2</v>
      </c>
      <c r="X1143" s="153" t="s">
        <v>412</v>
      </c>
      <c r="Y1143" s="153" t="s">
        <v>339</v>
      </c>
      <c r="Z1143" s="154">
        <v>193500</v>
      </c>
      <c r="AA1143" s="154">
        <v>1</v>
      </c>
      <c r="AB1143" s="154">
        <v>97.33</v>
      </c>
      <c r="AD1143" s="154">
        <v>188.334</v>
      </c>
      <c r="AG1143" s="157" t="s">
        <v>15</v>
      </c>
      <c r="AH1143" s="155">
        <v>5.2999999999999998E-4</v>
      </c>
      <c r="AI1143" s="155">
        <f t="shared" si="17"/>
        <v>1.0237819721242851E-2</v>
      </c>
      <c r="AJ1143" s="155">
        <v>2.5866372873563554E-4</v>
      </c>
    </row>
    <row r="1144" spans="1:36" s="160" customFormat="1">
      <c r="A1144" s="153" t="s">
        <v>1213</v>
      </c>
      <c r="B1144" s="160">
        <v>9301</v>
      </c>
      <c r="C1144" s="153" t="s">
        <v>1723</v>
      </c>
      <c r="D1144" s="153" t="s">
        <v>1724</v>
      </c>
      <c r="E1144" s="153" t="s">
        <v>309</v>
      </c>
      <c r="F1144" s="153" t="s">
        <v>1725</v>
      </c>
      <c r="G1144" s="153" t="s">
        <v>1726</v>
      </c>
      <c r="H1144" s="153" t="s">
        <v>321</v>
      </c>
      <c r="I1144" s="153" t="s">
        <v>951</v>
      </c>
      <c r="J1144" s="153" t="s">
        <v>204</v>
      </c>
      <c r="K1144" s="153" t="s">
        <v>204</v>
      </c>
      <c r="L1144" s="153" t="s">
        <v>325</v>
      </c>
      <c r="M1144" s="153" t="s">
        <v>340</v>
      </c>
      <c r="N1144" s="153" t="s">
        <v>447</v>
      </c>
      <c r="O1144" s="153" t="s">
        <v>339</v>
      </c>
      <c r="Q1144" s="153" t="s">
        <v>410</v>
      </c>
      <c r="R1144" s="153" t="s">
        <v>410</v>
      </c>
      <c r="S1144" s="153" t="s">
        <v>1212</v>
      </c>
      <c r="T1144" s="154">
        <v>4.03</v>
      </c>
      <c r="U1144" s="153" t="s">
        <v>1727</v>
      </c>
      <c r="V1144" s="155">
        <v>5.8900000000000001E-2</v>
      </c>
      <c r="W1144" s="155">
        <v>6.6600000000000006E-2</v>
      </c>
      <c r="X1144" s="153" t="s">
        <v>412</v>
      </c>
      <c r="Y1144" s="153" t="s">
        <v>339</v>
      </c>
      <c r="Z1144" s="154">
        <v>180000</v>
      </c>
      <c r="AA1144" s="154">
        <v>1</v>
      </c>
      <c r="AB1144" s="154">
        <v>103.07</v>
      </c>
      <c r="AD1144" s="154">
        <v>185.52600000000001</v>
      </c>
      <c r="AG1144" s="157" t="s">
        <v>15</v>
      </c>
      <c r="AH1144" s="155">
        <v>6.4999999999999997E-4</v>
      </c>
      <c r="AI1144" s="155">
        <f t="shared" si="17"/>
        <v>1.0085177087532263E-2</v>
      </c>
      <c r="AJ1144" s="155">
        <v>2.5480713486363335E-4</v>
      </c>
    </row>
    <row r="1145" spans="1:36" s="160" customFormat="1">
      <c r="A1145" s="153" t="s">
        <v>1213</v>
      </c>
      <c r="B1145" s="160">
        <v>9301</v>
      </c>
      <c r="C1145" s="153" t="s">
        <v>2408</v>
      </c>
      <c r="D1145" s="153" t="s">
        <v>2409</v>
      </c>
      <c r="E1145" s="153" t="s">
        <v>309</v>
      </c>
      <c r="F1145" s="153" t="s">
        <v>3015</v>
      </c>
      <c r="G1145" s="153" t="s">
        <v>3016</v>
      </c>
      <c r="H1145" s="153" t="s">
        <v>321</v>
      </c>
      <c r="I1145" s="153" t="s">
        <v>754</v>
      </c>
      <c r="J1145" s="153" t="s">
        <v>204</v>
      </c>
      <c r="K1145" s="153" t="s">
        <v>204</v>
      </c>
      <c r="L1145" s="153" t="s">
        <v>327</v>
      </c>
      <c r="M1145" s="153" t="s">
        <v>340</v>
      </c>
      <c r="N1145" s="153" t="s">
        <v>451</v>
      </c>
      <c r="O1145" s="153" t="s">
        <v>339</v>
      </c>
      <c r="P1145" s="153" t="s">
        <v>1521</v>
      </c>
      <c r="Q1145" s="153" t="s">
        <v>413</v>
      </c>
      <c r="R1145" s="153" t="s">
        <v>407</v>
      </c>
      <c r="S1145" s="153" t="s">
        <v>1212</v>
      </c>
      <c r="T1145" s="154">
        <v>4</v>
      </c>
      <c r="U1145" s="153" t="s">
        <v>1717</v>
      </c>
      <c r="V1145" s="155">
        <v>3.4450000000000001E-2</v>
      </c>
      <c r="W1145" s="155">
        <v>3.4500000000000003E-2</v>
      </c>
      <c r="X1145" s="153" t="s">
        <v>412</v>
      </c>
      <c r="Y1145" s="153" t="s">
        <v>339</v>
      </c>
      <c r="Z1145" s="154">
        <v>168295</v>
      </c>
      <c r="AA1145" s="154">
        <v>1</v>
      </c>
      <c r="AB1145" s="154">
        <f>AD1145*1000/Z1145*100</f>
        <v>103.41543123681632</v>
      </c>
      <c r="AD1145" s="154">
        <f>174.118-0.075</f>
        <v>174.04300000000001</v>
      </c>
      <c r="AG1145" s="157" t="s">
        <v>15</v>
      </c>
      <c r="AH1145" s="155">
        <v>3.8000000000000002E-4</v>
      </c>
      <c r="AI1145" s="155">
        <f t="shared" si="17"/>
        <v>9.4609622147050956E-3</v>
      </c>
      <c r="AJ1145" s="155">
        <v>2.3903602822823397E-4</v>
      </c>
    </row>
    <row r="1146" spans="1:36" s="160" customFormat="1">
      <c r="A1146" s="153" t="s">
        <v>1213</v>
      </c>
      <c r="B1146" s="160">
        <v>9301</v>
      </c>
      <c r="C1146" s="153" t="s">
        <v>1973</v>
      </c>
      <c r="D1146" s="153" t="s">
        <v>1974</v>
      </c>
      <c r="E1146" s="153" t="s">
        <v>309</v>
      </c>
      <c r="F1146" s="153" t="s">
        <v>1984</v>
      </c>
      <c r="G1146" s="153" t="s">
        <v>1985</v>
      </c>
      <c r="H1146" s="153" t="s">
        <v>321</v>
      </c>
      <c r="I1146" s="153" t="s">
        <v>754</v>
      </c>
      <c r="J1146" s="153" t="s">
        <v>204</v>
      </c>
      <c r="K1146" s="153" t="s">
        <v>204</v>
      </c>
      <c r="L1146" s="153" t="s">
        <v>325</v>
      </c>
      <c r="M1146" s="153" t="s">
        <v>340</v>
      </c>
      <c r="N1146" s="153" t="s">
        <v>464</v>
      </c>
      <c r="O1146" s="153" t="s">
        <v>339</v>
      </c>
      <c r="P1146" s="153" t="s">
        <v>1538</v>
      </c>
      <c r="Q1146" s="153" t="s">
        <v>413</v>
      </c>
      <c r="R1146" s="153" t="s">
        <v>407</v>
      </c>
      <c r="S1146" s="153" t="s">
        <v>1212</v>
      </c>
      <c r="T1146" s="154">
        <v>1.89</v>
      </c>
      <c r="U1146" s="153" t="s">
        <v>1522</v>
      </c>
      <c r="V1146" s="155">
        <v>2.4E-2</v>
      </c>
      <c r="W1146" s="155">
        <v>2.4899999999999999E-2</v>
      </c>
      <c r="X1146" s="153" t="s">
        <v>412</v>
      </c>
      <c r="Y1146" s="153" t="s">
        <v>339</v>
      </c>
      <c r="Z1146" s="154">
        <v>149041.18</v>
      </c>
      <c r="AA1146" s="154">
        <v>1</v>
      </c>
      <c r="AB1146" s="154">
        <v>115.87</v>
      </c>
      <c r="AD1146" s="154">
        <v>172.69399999999999</v>
      </c>
      <c r="AG1146" s="157" t="s">
        <v>15</v>
      </c>
      <c r="AH1146" s="155">
        <v>2.7999999999999998E-4</v>
      </c>
      <c r="AI1146" s="155">
        <f t="shared" si="17"/>
        <v>9.3876306930257558E-3</v>
      </c>
      <c r="AJ1146" s="155">
        <v>2.3718326998986821E-4</v>
      </c>
    </row>
    <row r="1147" spans="1:36" s="160" customFormat="1">
      <c r="A1147" s="153" t="s">
        <v>1213</v>
      </c>
      <c r="B1147" s="160">
        <v>9301</v>
      </c>
      <c r="C1147" s="153" t="s">
        <v>455</v>
      </c>
      <c r="D1147" s="153" t="s">
        <v>2106</v>
      </c>
      <c r="E1147" s="153" t="s">
        <v>309</v>
      </c>
      <c r="F1147" s="153" t="s">
        <v>2433</v>
      </c>
      <c r="G1147" s="153" t="s">
        <v>2434</v>
      </c>
      <c r="H1147" s="153" t="s">
        <v>321</v>
      </c>
      <c r="I1147" s="153" t="s">
        <v>754</v>
      </c>
      <c r="J1147" s="153" t="s">
        <v>204</v>
      </c>
      <c r="K1147" s="153" t="s">
        <v>204</v>
      </c>
      <c r="L1147" s="153" t="s">
        <v>325</v>
      </c>
      <c r="M1147" s="153" t="s">
        <v>340</v>
      </c>
      <c r="N1147" s="153" t="s">
        <v>440</v>
      </c>
      <c r="O1147" s="153" t="s">
        <v>339</v>
      </c>
      <c r="P1147" s="153" t="s">
        <v>1923</v>
      </c>
      <c r="Q1147" s="153" t="s">
        <v>415</v>
      </c>
      <c r="R1147" s="153" t="s">
        <v>407</v>
      </c>
      <c r="S1147" s="153" t="s">
        <v>1212</v>
      </c>
      <c r="T1147" s="154">
        <v>7.64</v>
      </c>
      <c r="U1147" s="153" t="s">
        <v>2435</v>
      </c>
      <c r="V1147" s="155">
        <v>2.802E-2</v>
      </c>
      <c r="W1147" s="155">
        <v>3.2599999999999997E-2</v>
      </c>
      <c r="X1147" s="153" t="s">
        <v>412</v>
      </c>
      <c r="Y1147" s="153" t="s">
        <v>339</v>
      </c>
      <c r="Z1147" s="154">
        <v>165000</v>
      </c>
      <c r="AA1147" s="154">
        <v>1</v>
      </c>
      <c r="AB1147" s="154">
        <v>103.71</v>
      </c>
      <c r="AD1147" s="154">
        <v>171.12200000000001</v>
      </c>
      <c r="AG1147" s="157" t="s">
        <v>15</v>
      </c>
      <c r="AH1147" s="155">
        <v>4.0000000000000003E-5</v>
      </c>
      <c r="AI1147" s="155">
        <f t="shared" si="17"/>
        <v>9.3021769109057264E-3</v>
      </c>
      <c r="AJ1147" s="155">
        <v>2.3502423666836274E-4</v>
      </c>
    </row>
    <row r="1148" spans="1:36" s="160" customFormat="1">
      <c r="A1148" s="153" t="s">
        <v>1213</v>
      </c>
      <c r="B1148" s="160">
        <v>9301</v>
      </c>
      <c r="C1148" s="153" t="s">
        <v>1600</v>
      </c>
      <c r="D1148" s="153" t="s">
        <v>1601</v>
      </c>
      <c r="E1148" s="153" t="s">
        <v>309</v>
      </c>
      <c r="F1148" s="153" t="s">
        <v>1954</v>
      </c>
      <c r="G1148" s="153" t="s">
        <v>1955</v>
      </c>
      <c r="H1148" s="153" t="s">
        <v>321</v>
      </c>
      <c r="I1148" s="153" t="s">
        <v>754</v>
      </c>
      <c r="J1148" s="153" t="s">
        <v>204</v>
      </c>
      <c r="K1148" s="153" t="s">
        <v>204</v>
      </c>
      <c r="L1148" s="153" t="s">
        <v>325</v>
      </c>
      <c r="M1148" s="153" t="s">
        <v>340</v>
      </c>
      <c r="N1148" s="153" t="s">
        <v>448</v>
      </c>
      <c r="O1148" s="153" t="s">
        <v>339</v>
      </c>
      <c r="P1148" s="153" t="s">
        <v>1215</v>
      </c>
      <c r="Q1148" s="153" t="s">
        <v>413</v>
      </c>
      <c r="R1148" s="153" t="s">
        <v>407</v>
      </c>
      <c r="S1148" s="153" t="s">
        <v>1212</v>
      </c>
      <c r="T1148" s="154">
        <v>3.02</v>
      </c>
      <c r="U1148" s="153" t="s">
        <v>1956</v>
      </c>
      <c r="V1148" s="155">
        <v>1.7500000000000002E-2</v>
      </c>
      <c r="W1148" s="155">
        <v>2.35E-2</v>
      </c>
      <c r="X1148" s="153" t="s">
        <v>412</v>
      </c>
      <c r="Y1148" s="153" t="s">
        <v>339</v>
      </c>
      <c r="Z1148" s="154">
        <v>149000.72</v>
      </c>
      <c r="AA1148" s="154">
        <v>1</v>
      </c>
      <c r="AB1148" s="154">
        <v>114.28</v>
      </c>
      <c r="AD1148" s="154">
        <v>170.27799999999999</v>
      </c>
      <c r="AG1148" s="157" t="s">
        <v>15</v>
      </c>
      <c r="AH1148" s="155">
        <v>6.0000000000000002E-5</v>
      </c>
      <c r="AI1148" s="155">
        <f t="shared" si="17"/>
        <v>9.2562971449328853E-3</v>
      </c>
      <c r="AJ1148" s="155">
        <v>2.338650610173763E-4</v>
      </c>
    </row>
    <row r="1149" spans="1:36" s="160" customFormat="1">
      <c r="A1149" s="153" t="s">
        <v>1213</v>
      </c>
      <c r="B1149" s="160">
        <v>9301</v>
      </c>
      <c r="C1149" s="153" t="s">
        <v>2866</v>
      </c>
      <c r="D1149" s="153" t="s">
        <v>2867</v>
      </c>
      <c r="E1149" s="153" t="s">
        <v>309</v>
      </c>
      <c r="F1149" s="153" t="s">
        <v>2881</v>
      </c>
      <c r="G1149" s="153" t="s">
        <v>2882</v>
      </c>
      <c r="H1149" s="153" t="s">
        <v>321</v>
      </c>
      <c r="I1149" s="153" t="s">
        <v>754</v>
      </c>
      <c r="J1149" s="153" t="s">
        <v>204</v>
      </c>
      <c r="K1149" s="153" t="s">
        <v>204</v>
      </c>
      <c r="L1149" s="153" t="s">
        <v>325</v>
      </c>
      <c r="M1149" s="153" t="s">
        <v>340</v>
      </c>
      <c r="N1149" s="153" t="s">
        <v>464</v>
      </c>
      <c r="O1149" s="153" t="s">
        <v>339</v>
      </c>
      <c r="P1149" s="153" t="s">
        <v>1554</v>
      </c>
      <c r="Q1149" s="153" t="s">
        <v>413</v>
      </c>
      <c r="R1149" s="153" t="s">
        <v>407</v>
      </c>
      <c r="S1149" s="153" t="s">
        <v>1212</v>
      </c>
      <c r="T1149" s="154">
        <v>1.25</v>
      </c>
      <c r="U1149" s="153" t="s">
        <v>1777</v>
      </c>
      <c r="V1149" s="155">
        <v>1.278E-2</v>
      </c>
      <c r="W1149" s="155">
        <v>1.6500000000000001E-2</v>
      </c>
      <c r="X1149" s="153" t="s">
        <v>412</v>
      </c>
      <c r="Y1149" s="153" t="s">
        <v>339</v>
      </c>
      <c r="Z1149" s="154">
        <v>132000</v>
      </c>
      <c r="AA1149" s="154">
        <v>1</v>
      </c>
      <c r="AB1149" s="154">
        <v>113.17</v>
      </c>
      <c r="AD1149" s="154">
        <v>149.38399999999999</v>
      </c>
      <c r="AG1149" s="157" t="s">
        <v>15</v>
      </c>
      <c r="AH1149" s="155">
        <v>2.3000000000000001E-4</v>
      </c>
      <c r="AI1149" s="155">
        <f t="shared" si="17"/>
        <v>8.1205011375436297E-3</v>
      </c>
      <c r="AJ1149" s="155">
        <v>2.0516859650113189E-4</v>
      </c>
    </row>
    <row r="1150" spans="1:36" s="160" customFormat="1">
      <c r="A1150" s="153" t="s">
        <v>1213</v>
      </c>
      <c r="B1150" s="160">
        <v>9301</v>
      </c>
      <c r="C1150" s="153" t="s">
        <v>1512</v>
      </c>
      <c r="D1150" s="153" t="s">
        <v>1513</v>
      </c>
      <c r="E1150" s="153" t="s">
        <v>309</v>
      </c>
      <c r="F1150" s="153" t="s">
        <v>3002</v>
      </c>
      <c r="G1150" s="153" t="s">
        <v>3003</v>
      </c>
      <c r="H1150" s="153" t="s">
        <v>321</v>
      </c>
      <c r="I1150" s="153" t="s">
        <v>754</v>
      </c>
      <c r="J1150" s="153" t="s">
        <v>204</v>
      </c>
      <c r="K1150" s="153" t="s">
        <v>204</v>
      </c>
      <c r="L1150" s="153" t="s">
        <v>325</v>
      </c>
      <c r="M1150" s="153" t="s">
        <v>340</v>
      </c>
      <c r="N1150" s="153" t="s">
        <v>448</v>
      </c>
      <c r="O1150" s="153" t="s">
        <v>339</v>
      </c>
      <c r="P1150" s="153" t="s">
        <v>1211</v>
      </c>
      <c r="Q1150" s="153" t="s">
        <v>415</v>
      </c>
      <c r="R1150" s="153" t="s">
        <v>407</v>
      </c>
      <c r="S1150" s="153" t="s">
        <v>1212</v>
      </c>
      <c r="T1150" s="154">
        <v>0.42</v>
      </c>
      <c r="U1150" s="153" t="s">
        <v>2049</v>
      </c>
      <c r="V1150" s="155">
        <v>9.4999999999999998E-3</v>
      </c>
      <c r="W1150" s="155">
        <v>2.6599999999999999E-2</v>
      </c>
      <c r="X1150" s="153" t="s">
        <v>412</v>
      </c>
      <c r="Y1150" s="153" t="s">
        <v>339</v>
      </c>
      <c r="Z1150" s="154">
        <v>120000.11</v>
      </c>
      <c r="AA1150" s="154">
        <v>1</v>
      </c>
      <c r="AB1150" s="154">
        <v>116.08</v>
      </c>
      <c r="AD1150" s="154">
        <v>139.29599999999999</v>
      </c>
      <c r="AG1150" s="157" t="s">
        <v>15</v>
      </c>
      <c r="AH1150" s="155">
        <v>7.5000000000000002E-4</v>
      </c>
      <c r="AI1150" s="155">
        <f t="shared" si="17"/>
        <v>7.5721183423611456E-3</v>
      </c>
      <c r="AJ1150" s="155">
        <v>1.9131342592393878E-4</v>
      </c>
    </row>
    <row r="1151" spans="1:36" s="160" customFormat="1">
      <c r="A1151" s="153" t="s">
        <v>1213</v>
      </c>
      <c r="B1151" s="160">
        <v>9301</v>
      </c>
      <c r="C1151" s="153" t="s">
        <v>2893</v>
      </c>
      <c r="D1151" s="153" t="s">
        <v>2894</v>
      </c>
      <c r="E1151" s="153" t="s">
        <v>309</v>
      </c>
      <c r="F1151" s="153" t="s">
        <v>2895</v>
      </c>
      <c r="G1151" s="153" t="s">
        <v>2896</v>
      </c>
      <c r="H1151" s="153" t="s">
        <v>321</v>
      </c>
      <c r="I1151" s="153" t="s">
        <v>754</v>
      </c>
      <c r="J1151" s="153" t="s">
        <v>204</v>
      </c>
      <c r="K1151" s="153" t="s">
        <v>204</v>
      </c>
      <c r="L1151" s="153" t="s">
        <v>329</v>
      </c>
      <c r="M1151" s="153" t="s">
        <v>340</v>
      </c>
      <c r="N1151" s="153" t="s">
        <v>447</v>
      </c>
      <c r="O1151" s="153" t="s">
        <v>339</v>
      </c>
      <c r="Q1151" s="153" t="s">
        <v>410</v>
      </c>
      <c r="R1151" s="153" t="s">
        <v>410</v>
      </c>
      <c r="S1151" s="153" t="s">
        <v>1212</v>
      </c>
      <c r="T1151" s="154">
        <v>3.44</v>
      </c>
      <c r="U1151" s="153" t="s">
        <v>1654</v>
      </c>
      <c r="V1151" s="155">
        <v>5.4710000000000002E-2</v>
      </c>
      <c r="W1151" s="155">
        <v>3.8899999999999997E-2</v>
      </c>
      <c r="X1151" s="153" t="s">
        <v>412</v>
      </c>
      <c r="Y1151" s="153" t="s">
        <v>339</v>
      </c>
      <c r="Z1151" s="154">
        <v>144000</v>
      </c>
      <c r="AA1151" s="154">
        <v>1</v>
      </c>
      <c r="AB1151" s="154">
        <v>96.1</v>
      </c>
      <c r="AD1151" s="154">
        <v>138.38399999999999</v>
      </c>
      <c r="AG1151" s="157" t="s">
        <v>15</v>
      </c>
      <c r="AH1151" s="155">
        <v>1.1800000000000001E-3</v>
      </c>
      <c r="AI1151" s="155">
        <f t="shared" si="17"/>
        <v>7.5225421023525779E-3</v>
      </c>
      <c r="AJ1151" s="155">
        <v>1.9006085697405772E-4</v>
      </c>
    </row>
    <row r="1152" spans="1:36" s="160" customFormat="1">
      <c r="A1152" s="153" t="s">
        <v>1213</v>
      </c>
      <c r="B1152" s="160">
        <v>9301</v>
      </c>
      <c r="C1152" s="153" t="s">
        <v>1691</v>
      </c>
      <c r="D1152" s="153" t="s">
        <v>1692</v>
      </c>
      <c r="E1152" s="153" t="s">
        <v>309</v>
      </c>
      <c r="F1152" s="153" t="s">
        <v>2133</v>
      </c>
      <c r="G1152" s="153" t="s">
        <v>2134</v>
      </c>
      <c r="H1152" s="153" t="s">
        <v>321</v>
      </c>
      <c r="I1152" s="153" t="s">
        <v>754</v>
      </c>
      <c r="J1152" s="153" t="s">
        <v>204</v>
      </c>
      <c r="K1152" s="153" t="s">
        <v>204</v>
      </c>
      <c r="L1152" s="153" t="s">
        <v>325</v>
      </c>
      <c r="M1152" s="153" t="s">
        <v>340</v>
      </c>
      <c r="N1152" s="153" t="s">
        <v>464</v>
      </c>
      <c r="O1152" s="153" t="s">
        <v>339</v>
      </c>
      <c r="P1152" s="153" t="s">
        <v>1538</v>
      </c>
      <c r="Q1152" s="153" t="s">
        <v>413</v>
      </c>
      <c r="R1152" s="153" t="s">
        <v>407</v>
      </c>
      <c r="S1152" s="153" t="s">
        <v>1212</v>
      </c>
      <c r="T1152" s="154">
        <v>2.14</v>
      </c>
      <c r="U1152" s="153" t="s">
        <v>2135</v>
      </c>
      <c r="V1152" s="155">
        <v>1.585E-2</v>
      </c>
      <c r="W1152" s="155">
        <v>2.63E-2</v>
      </c>
      <c r="X1152" s="153" t="s">
        <v>412</v>
      </c>
      <c r="Y1152" s="153" t="s">
        <v>339</v>
      </c>
      <c r="Z1152" s="154">
        <v>110635.83</v>
      </c>
      <c r="AA1152" s="154">
        <v>1</v>
      </c>
      <c r="AB1152" s="154">
        <v>119.57</v>
      </c>
      <c r="AD1152" s="154">
        <v>132.28700000000001</v>
      </c>
      <c r="AG1152" s="157" t="s">
        <v>15</v>
      </c>
      <c r="AH1152" s="155">
        <v>1.1E-4</v>
      </c>
      <c r="AI1152" s="155">
        <f t="shared" si="17"/>
        <v>7.1911097171198672E-3</v>
      </c>
      <c r="AJ1152" s="155">
        <v>1.8168704898346034E-4</v>
      </c>
    </row>
    <row r="1153" spans="1:36" s="160" customFormat="1">
      <c r="A1153" s="153" t="s">
        <v>1213</v>
      </c>
      <c r="B1153" s="160">
        <v>9301</v>
      </c>
      <c r="C1153" s="153" t="s">
        <v>1825</v>
      </c>
      <c r="D1153" s="153" t="s">
        <v>1826</v>
      </c>
      <c r="E1153" s="153" t="s">
        <v>309</v>
      </c>
      <c r="F1153" s="153" t="s">
        <v>2891</v>
      </c>
      <c r="G1153" s="153" t="s">
        <v>2892</v>
      </c>
      <c r="H1153" s="153" t="s">
        <v>321</v>
      </c>
      <c r="I1153" s="153" t="s">
        <v>951</v>
      </c>
      <c r="J1153" s="153" t="s">
        <v>204</v>
      </c>
      <c r="K1153" s="153" t="s">
        <v>204</v>
      </c>
      <c r="L1153" s="153" t="s">
        <v>325</v>
      </c>
      <c r="M1153" s="153" t="s">
        <v>340</v>
      </c>
      <c r="N1153" s="153" t="s">
        <v>441</v>
      </c>
      <c r="O1153" s="153" t="s">
        <v>339</v>
      </c>
      <c r="Q1153" s="153" t="s">
        <v>410</v>
      </c>
      <c r="R1153" s="153" t="s">
        <v>410</v>
      </c>
      <c r="S1153" s="153" t="s">
        <v>1212</v>
      </c>
      <c r="T1153" s="154">
        <v>0.74</v>
      </c>
      <c r="U1153" s="153" t="s">
        <v>1848</v>
      </c>
      <c r="V1153" s="155">
        <v>3.6560000000000002E-2</v>
      </c>
      <c r="W1153" s="155">
        <v>6.2899999999999998E-2</v>
      </c>
      <c r="X1153" s="153" t="s">
        <v>412</v>
      </c>
      <c r="Y1153" s="153" t="s">
        <v>339</v>
      </c>
      <c r="Z1153" s="154">
        <v>132000.47</v>
      </c>
      <c r="AA1153" s="154">
        <v>1</v>
      </c>
      <c r="AB1153" s="154">
        <v>99</v>
      </c>
      <c r="AD1153" s="154">
        <v>130.68</v>
      </c>
      <c r="AG1153" s="157" t="s">
        <v>15</v>
      </c>
      <c r="AH1153" s="155">
        <v>9.2000000000000003E-4</v>
      </c>
      <c r="AI1153" s="155">
        <f t="shared" si="17"/>
        <v>7.1037533380696833E-3</v>
      </c>
      <c r="AJ1153" s="155">
        <v>1.7947994558164141E-4</v>
      </c>
    </row>
    <row r="1154" spans="1:36" s="160" customFormat="1">
      <c r="A1154" s="153" t="s">
        <v>1213</v>
      </c>
      <c r="B1154" s="160">
        <v>9301</v>
      </c>
      <c r="C1154" s="153" t="s">
        <v>2887</v>
      </c>
      <c r="D1154" s="153" t="s">
        <v>2888</v>
      </c>
      <c r="E1154" s="153" t="s">
        <v>311</v>
      </c>
      <c r="F1154" s="153" t="s">
        <v>2889</v>
      </c>
      <c r="G1154" s="153" t="s">
        <v>2890</v>
      </c>
      <c r="H1154" s="153" t="s">
        <v>321</v>
      </c>
      <c r="I1154" s="153" t="s">
        <v>951</v>
      </c>
      <c r="J1154" s="153" t="s">
        <v>204</v>
      </c>
      <c r="K1154" s="153" t="s">
        <v>204</v>
      </c>
      <c r="L1154" s="153" t="s">
        <v>325</v>
      </c>
      <c r="M1154" s="153" t="s">
        <v>340</v>
      </c>
      <c r="N1154" s="153" t="s">
        <v>465</v>
      </c>
      <c r="O1154" s="153" t="s">
        <v>339</v>
      </c>
      <c r="P1154" s="153" t="s">
        <v>1586</v>
      </c>
      <c r="Q1154" s="153" t="s">
        <v>415</v>
      </c>
      <c r="R1154" s="153" t="s">
        <v>407</v>
      </c>
      <c r="S1154" s="153" t="s">
        <v>1212</v>
      </c>
      <c r="T1154" s="154">
        <v>2.81</v>
      </c>
      <c r="U1154" s="153" t="s">
        <v>1528</v>
      </c>
      <c r="V1154" s="155">
        <v>8.3330000000000001E-2</v>
      </c>
      <c r="W1154" s="155">
        <v>7.6600000000000001E-2</v>
      </c>
      <c r="X1154" s="153" t="s">
        <v>412</v>
      </c>
      <c r="Y1154" s="153" t="s">
        <v>339</v>
      </c>
      <c r="Z1154" s="154">
        <v>125000</v>
      </c>
      <c r="AA1154" s="154">
        <v>1</v>
      </c>
      <c r="AB1154" s="154">
        <v>102.7</v>
      </c>
      <c r="AD1154" s="154">
        <v>128.375</v>
      </c>
      <c r="AG1154" s="157" t="s">
        <v>15</v>
      </c>
      <c r="AH1154" s="155">
        <v>6.9999999999999999E-4</v>
      </c>
      <c r="AI1154" s="155">
        <f t="shared" si="17"/>
        <v>6.9784537402410134E-3</v>
      </c>
      <c r="AJ1154" s="155">
        <v>1.7631418743528632E-4</v>
      </c>
    </row>
    <row r="1155" spans="1:36" s="160" customFormat="1">
      <c r="A1155" s="153" t="s">
        <v>1213</v>
      </c>
      <c r="B1155" s="160">
        <v>9301</v>
      </c>
      <c r="C1155" s="153" t="s">
        <v>2373</v>
      </c>
      <c r="D1155" s="153" t="s">
        <v>2374</v>
      </c>
      <c r="E1155" s="153" t="s">
        <v>309</v>
      </c>
      <c r="F1155" s="153" t="s">
        <v>2375</v>
      </c>
      <c r="G1155" s="153" t="s">
        <v>2376</v>
      </c>
      <c r="H1155" s="153" t="s">
        <v>321</v>
      </c>
      <c r="I1155" s="153" t="s">
        <v>755</v>
      </c>
      <c r="J1155" s="153" t="s">
        <v>204</v>
      </c>
      <c r="K1155" s="153" t="s">
        <v>204</v>
      </c>
      <c r="L1155" s="153" t="s">
        <v>325</v>
      </c>
      <c r="M1155" s="153" t="s">
        <v>340</v>
      </c>
      <c r="N1155" s="153" t="s">
        <v>454</v>
      </c>
      <c r="O1155" s="153" t="s">
        <v>339</v>
      </c>
      <c r="P1155" s="153" t="s">
        <v>1544</v>
      </c>
      <c r="Q1155" s="153" t="s">
        <v>415</v>
      </c>
      <c r="R1155" s="153" t="s">
        <v>407</v>
      </c>
      <c r="S1155" s="153" t="s">
        <v>1212</v>
      </c>
      <c r="T1155" s="154">
        <v>2.97</v>
      </c>
      <c r="U1155" s="153" t="s">
        <v>2377</v>
      </c>
      <c r="V1155" s="155">
        <v>6.9889999999999994E-2</v>
      </c>
      <c r="W1155" s="155">
        <v>7.6100000000000001E-2</v>
      </c>
      <c r="X1155" s="153" t="s">
        <v>412</v>
      </c>
      <c r="Y1155" s="153" t="s">
        <v>339</v>
      </c>
      <c r="Z1155" s="154">
        <v>130036.92</v>
      </c>
      <c r="AA1155" s="154">
        <v>1</v>
      </c>
      <c r="AB1155" s="154">
        <v>97.95</v>
      </c>
      <c r="AD1155" s="154">
        <v>127.371</v>
      </c>
      <c r="AG1155" s="157" t="s">
        <v>15</v>
      </c>
      <c r="AH1155" s="155">
        <v>1E-4</v>
      </c>
      <c r="AI1155" s="155">
        <f t="shared" ref="AI1155:AI1218" si="18">AD1155/SUMIF(B:B,B1155,AD:AD)</f>
        <v>6.9238763883017569E-3</v>
      </c>
      <c r="AJ1155" s="155">
        <v>1.7493526284572425E-4</v>
      </c>
    </row>
    <row r="1156" spans="1:36" s="160" customFormat="1">
      <c r="A1156" s="153" t="s">
        <v>1213</v>
      </c>
      <c r="B1156" s="160">
        <v>9301</v>
      </c>
      <c r="C1156" s="153" t="s">
        <v>2866</v>
      </c>
      <c r="D1156" s="153" t="s">
        <v>2867</v>
      </c>
      <c r="E1156" s="153" t="s">
        <v>309</v>
      </c>
      <c r="F1156" s="153" t="s">
        <v>2868</v>
      </c>
      <c r="G1156" s="153" t="s">
        <v>2869</v>
      </c>
      <c r="H1156" s="153" t="s">
        <v>321</v>
      </c>
      <c r="I1156" s="153" t="s">
        <v>754</v>
      </c>
      <c r="J1156" s="153" t="s">
        <v>204</v>
      </c>
      <c r="K1156" s="153" t="s">
        <v>204</v>
      </c>
      <c r="L1156" s="153" t="s">
        <v>325</v>
      </c>
      <c r="M1156" s="153" t="s">
        <v>340</v>
      </c>
      <c r="N1156" s="153" t="s">
        <v>464</v>
      </c>
      <c r="O1156" s="153" t="s">
        <v>339</v>
      </c>
      <c r="P1156" s="153" t="s">
        <v>1554</v>
      </c>
      <c r="Q1156" s="153" t="s">
        <v>413</v>
      </c>
      <c r="R1156" s="153" t="s">
        <v>407</v>
      </c>
      <c r="S1156" s="153" t="s">
        <v>1212</v>
      </c>
      <c r="T1156" s="154">
        <v>2.4900000000000002</v>
      </c>
      <c r="U1156" s="153" t="s">
        <v>1343</v>
      </c>
      <c r="V1156" s="155">
        <v>1.3440000000000001E-2</v>
      </c>
      <c r="W1156" s="155">
        <v>3.1899999999999998E-2</v>
      </c>
      <c r="X1156" s="153" t="s">
        <v>412</v>
      </c>
      <c r="Y1156" s="153" t="s">
        <v>339</v>
      </c>
      <c r="Z1156" s="154">
        <v>121000</v>
      </c>
      <c r="AA1156" s="154">
        <v>1</v>
      </c>
      <c r="AB1156" s="154">
        <v>103.74</v>
      </c>
      <c r="AD1156" s="154">
        <v>125.52500000000001</v>
      </c>
      <c r="AG1156" s="157" t="s">
        <v>15</v>
      </c>
      <c r="AH1156" s="155">
        <v>2.4000000000000001E-4</v>
      </c>
      <c r="AI1156" s="155">
        <f t="shared" si="18"/>
        <v>6.8235279902142407E-3</v>
      </c>
      <c r="AJ1156" s="155">
        <v>1.7239990946690801E-4</v>
      </c>
    </row>
    <row r="1157" spans="1:36" s="160" customFormat="1">
      <c r="A1157" s="153" t="s">
        <v>1213</v>
      </c>
      <c r="B1157" s="160">
        <v>9301</v>
      </c>
      <c r="C1157" s="153" t="s">
        <v>1909</v>
      </c>
      <c r="D1157" s="153" t="s">
        <v>1910</v>
      </c>
      <c r="E1157" s="153" t="s">
        <v>309</v>
      </c>
      <c r="F1157" s="153" t="s">
        <v>2870</v>
      </c>
      <c r="G1157" s="153" t="s">
        <v>2871</v>
      </c>
      <c r="H1157" s="153" t="s">
        <v>321</v>
      </c>
      <c r="I1157" s="153" t="s">
        <v>754</v>
      </c>
      <c r="J1157" s="153" t="s">
        <v>204</v>
      </c>
      <c r="K1157" s="153" t="s">
        <v>204</v>
      </c>
      <c r="L1157" s="153" t="s">
        <v>325</v>
      </c>
      <c r="M1157" s="153" t="s">
        <v>340</v>
      </c>
      <c r="N1157" s="153" t="s">
        <v>464</v>
      </c>
      <c r="O1157" s="153" t="s">
        <v>339</v>
      </c>
      <c r="Q1157" s="153" t="s">
        <v>410</v>
      </c>
      <c r="R1157" s="153" t="s">
        <v>410</v>
      </c>
      <c r="S1157" s="153" t="s">
        <v>1212</v>
      </c>
      <c r="T1157" s="154">
        <v>2.78</v>
      </c>
      <c r="U1157" s="153" t="s">
        <v>1528</v>
      </c>
      <c r="V1157" s="155">
        <v>2.7189999999999999E-2</v>
      </c>
      <c r="W1157" s="155">
        <v>2.7099999999999999E-2</v>
      </c>
      <c r="X1157" s="153" t="s">
        <v>412</v>
      </c>
      <c r="Y1157" s="153" t="s">
        <v>339</v>
      </c>
      <c r="Z1157" s="154">
        <v>105000.89</v>
      </c>
      <c r="AA1157" s="154">
        <v>1</v>
      </c>
      <c r="AB1157" s="154">
        <v>115.62</v>
      </c>
      <c r="AD1157" s="154">
        <v>121.402</v>
      </c>
      <c r="AG1157" s="157" t="s">
        <v>15</v>
      </c>
      <c r="AH1157" s="155">
        <v>1.9000000000000001E-4</v>
      </c>
      <c r="AI1157" s="155">
        <f t="shared" si="18"/>
        <v>6.599402071842177E-3</v>
      </c>
      <c r="AJ1157" s="155">
        <v>1.6673725400598739E-4</v>
      </c>
    </row>
    <row r="1158" spans="1:36" s="160" customFormat="1">
      <c r="A1158" s="153" t="s">
        <v>1213</v>
      </c>
      <c r="B1158" s="160">
        <v>9301</v>
      </c>
      <c r="C1158" s="153" t="s">
        <v>2273</v>
      </c>
      <c r="D1158" s="153" t="s">
        <v>2274</v>
      </c>
      <c r="E1158" s="153" t="s">
        <v>309</v>
      </c>
      <c r="F1158" s="153" t="s">
        <v>2275</v>
      </c>
      <c r="G1158" s="153" t="s">
        <v>2276</v>
      </c>
      <c r="H1158" s="153" t="s">
        <v>321</v>
      </c>
      <c r="I1158" s="153" t="s">
        <v>754</v>
      </c>
      <c r="J1158" s="153" t="s">
        <v>204</v>
      </c>
      <c r="K1158" s="153" t="s">
        <v>204</v>
      </c>
      <c r="L1158" s="153" t="s">
        <v>325</v>
      </c>
      <c r="M1158" s="153" t="s">
        <v>340</v>
      </c>
      <c r="N1158" s="153" t="s">
        <v>477</v>
      </c>
      <c r="O1158" s="153" t="s">
        <v>339</v>
      </c>
      <c r="P1158" s="153" t="s">
        <v>1215</v>
      </c>
      <c r="Q1158" s="153" t="s">
        <v>413</v>
      </c>
      <c r="R1158" s="153" t="s">
        <v>407</v>
      </c>
      <c r="S1158" s="153" t="s">
        <v>1212</v>
      </c>
      <c r="T1158" s="154">
        <v>1.72</v>
      </c>
      <c r="U1158" s="153" t="s">
        <v>1528</v>
      </c>
      <c r="V1158" s="155">
        <v>1.2359999999999999E-2</v>
      </c>
      <c r="W1158" s="155">
        <v>1.9699999999999999E-2</v>
      </c>
      <c r="X1158" s="153" t="s">
        <v>412</v>
      </c>
      <c r="Y1158" s="153" t="s">
        <v>339</v>
      </c>
      <c r="Z1158" s="154">
        <v>108000</v>
      </c>
      <c r="AA1158" s="154">
        <v>1</v>
      </c>
      <c r="AB1158" s="154">
        <v>110.07</v>
      </c>
      <c r="AD1158" s="154">
        <v>118.876</v>
      </c>
      <c r="AG1158" s="157" t="s">
        <v>15</v>
      </c>
      <c r="AH1158" s="155">
        <v>1.2999999999999999E-4</v>
      </c>
      <c r="AI1158" s="155">
        <f t="shared" si="18"/>
        <v>6.4620889333973962E-3</v>
      </c>
      <c r="AJ1158" s="155">
        <v>1.6326796763822471E-4</v>
      </c>
    </row>
    <row r="1159" spans="1:36" s="160" customFormat="1">
      <c r="A1159" s="153" t="s">
        <v>1213</v>
      </c>
      <c r="B1159" s="160">
        <v>9301</v>
      </c>
      <c r="C1159" s="153" t="s">
        <v>1674</v>
      </c>
      <c r="D1159" s="153" t="s">
        <v>1675</v>
      </c>
      <c r="E1159" s="153" t="s">
        <v>309</v>
      </c>
      <c r="F1159" s="153" t="s">
        <v>1676</v>
      </c>
      <c r="G1159" s="153" t="s">
        <v>1677</v>
      </c>
      <c r="H1159" s="153" t="s">
        <v>321</v>
      </c>
      <c r="I1159" s="153" t="s">
        <v>754</v>
      </c>
      <c r="J1159" s="153" t="s">
        <v>204</v>
      </c>
      <c r="K1159" s="153" t="s">
        <v>204</v>
      </c>
      <c r="L1159" s="153" t="s">
        <v>325</v>
      </c>
      <c r="M1159" s="153" t="s">
        <v>340</v>
      </c>
      <c r="N1159" s="153" t="s">
        <v>464</v>
      </c>
      <c r="O1159" s="153" t="s">
        <v>339</v>
      </c>
      <c r="P1159" s="153" t="s">
        <v>1538</v>
      </c>
      <c r="Q1159" s="153" t="s">
        <v>413</v>
      </c>
      <c r="R1159" s="153" t="s">
        <v>407</v>
      </c>
      <c r="S1159" s="153" t="s">
        <v>1212</v>
      </c>
      <c r="T1159" s="154">
        <v>1.43</v>
      </c>
      <c r="U1159" s="153" t="s">
        <v>1678</v>
      </c>
      <c r="V1159" s="155">
        <v>1.5890000000000001E-2</v>
      </c>
      <c r="W1159" s="155">
        <v>2.58E-2</v>
      </c>
      <c r="X1159" s="153" t="s">
        <v>412</v>
      </c>
      <c r="Y1159" s="153" t="s">
        <v>339</v>
      </c>
      <c r="Z1159" s="154">
        <v>101307.69</v>
      </c>
      <c r="AA1159" s="154">
        <v>1</v>
      </c>
      <c r="AB1159" s="154">
        <v>115.21</v>
      </c>
      <c r="AD1159" s="154">
        <v>116.717</v>
      </c>
      <c r="AG1159" s="157" t="s">
        <v>15</v>
      </c>
      <c r="AH1159" s="155">
        <v>2.1000000000000001E-4</v>
      </c>
      <c r="AI1159" s="155">
        <f t="shared" si="18"/>
        <v>6.3447258827630795E-3</v>
      </c>
      <c r="AJ1159" s="155">
        <v>1.6030273039831987E-4</v>
      </c>
    </row>
    <row r="1160" spans="1:36" s="160" customFormat="1">
      <c r="A1160" s="153" t="s">
        <v>1213</v>
      </c>
      <c r="B1160" s="160">
        <v>9301</v>
      </c>
      <c r="C1160" s="153" t="s">
        <v>2391</v>
      </c>
      <c r="D1160" s="153" t="s">
        <v>2392</v>
      </c>
      <c r="E1160" s="153" t="s">
        <v>309</v>
      </c>
      <c r="F1160" s="153" t="s">
        <v>2393</v>
      </c>
      <c r="G1160" s="153" t="s">
        <v>2394</v>
      </c>
      <c r="H1160" s="153" t="s">
        <v>321</v>
      </c>
      <c r="I1160" s="153" t="s">
        <v>754</v>
      </c>
      <c r="J1160" s="153" t="s">
        <v>204</v>
      </c>
      <c r="K1160" s="153" t="s">
        <v>204</v>
      </c>
      <c r="L1160" s="153" t="s">
        <v>325</v>
      </c>
      <c r="M1160" s="153" t="s">
        <v>340</v>
      </c>
      <c r="N1160" s="153" t="s">
        <v>464</v>
      </c>
      <c r="O1160" s="153" t="s">
        <v>339</v>
      </c>
      <c r="P1160" s="153" t="s">
        <v>1538</v>
      </c>
      <c r="Q1160" s="153" t="s">
        <v>413</v>
      </c>
      <c r="R1160" s="153" t="s">
        <v>407</v>
      </c>
      <c r="S1160" s="153" t="s">
        <v>1212</v>
      </c>
      <c r="T1160" s="154">
        <v>2.23</v>
      </c>
      <c r="U1160" s="153" t="s">
        <v>2395</v>
      </c>
      <c r="V1160" s="155">
        <v>1.736E-2</v>
      </c>
      <c r="W1160" s="155">
        <v>2.6599999999999999E-2</v>
      </c>
      <c r="X1160" s="153" t="s">
        <v>412</v>
      </c>
      <c r="Y1160" s="153" t="s">
        <v>339</v>
      </c>
      <c r="Z1160" s="154">
        <v>100685.7</v>
      </c>
      <c r="AA1160" s="154">
        <v>1</v>
      </c>
      <c r="AB1160" s="154">
        <v>112.91</v>
      </c>
      <c r="AD1160" s="154">
        <v>113.684</v>
      </c>
      <c r="AG1160" s="157" t="s">
        <v>15</v>
      </c>
      <c r="AH1160" s="155">
        <v>8.0000000000000007E-5</v>
      </c>
      <c r="AI1160" s="155">
        <f t="shared" si="18"/>
        <v>6.1798522687872195E-3</v>
      </c>
      <c r="AJ1160" s="155">
        <v>1.5613711458144566E-4</v>
      </c>
    </row>
    <row r="1161" spans="1:36" s="160" customFormat="1">
      <c r="A1161" s="153" t="s">
        <v>1213</v>
      </c>
      <c r="B1161" s="160">
        <v>9301</v>
      </c>
      <c r="C1161" s="153" t="s">
        <v>1512</v>
      </c>
      <c r="D1161" s="153" t="s">
        <v>1513</v>
      </c>
      <c r="E1161" s="153" t="s">
        <v>309</v>
      </c>
      <c r="F1161" s="153" t="s">
        <v>1898</v>
      </c>
      <c r="G1161" s="153" t="s">
        <v>1899</v>
      </c>
      <c r="H1161" s="153" t="s">
        <v>321</v>
      </c>
      <c r="I1161" s="153" t="s">
        <v>754</v>
      </c>
      <c r="J1161" s="153" t="s">
        <v>204</v>
      </c>
      <c r="K1161" s="153" t="s">
        <v>204</v>
      </c>
      <c r="L1161" s="153" t="s">
        <v>325</v>
      </c>
      <c r="M1161" s="153" t="s">
        <v>340</v>
      </c>
      <c r="N1161" s="153" t="s">
        <v>448</v>
      </c>
      <c r="O1161" s="153" t="s">
        <v>339</v>
      </c>
      <c r="P1161" s="153" t="s">
        <v>1215</v>
      </c>
      <c r="Q1161" s="153" t="s">
        <v>413</v>
      </c>
      <c r="R1161" s="153" t="s">
        <v>407</v>
      </c>
      <c r="S1161" s="153" t="s">
        <v>1212</v>
      </c>
      <c r="T1161" s="154">
        <v>3.43</v>
      </c>
      <c r="U1161" s="153" t="s">
        <v>1900</v>
      </c>
      <c r="V1161" s="155">
        <v>1.1310000000000001E-2</v>
      </c>
      <c r="W1161" s="155">
        <v>2.4799999999999999E-2</v>
      </c>
      <c r="X1161" s="153" t="s">
        <v>412</v>
      </c>
      <c r="Y1161" s="153" t="s">
        <v>339</v>
      </c>
      <c r="Z1161" s="154">
        <v>110000.33</v>
      </c>
      <c r="AA1161" s="154">
        <v>1</v>
      </c>
      <c r="AB1161" s="154">
        <v>102.63</v>
      </c>
      <c r="AD1161" s="154">
        <v>112.893</v>
      </c>
      <c r="AG1161" s="157" t="s">
        <v>15</v>
      </c>
      <c r="AH1161" s="155">
        <v>4.0000000000000003E-5</v>
      </c>
      <c r="AI1161" s="155">
        <f t="shared" si="18"/>
        <v>6.1368535781657543E-3</v>
      </c>
      <c r="AJ1161" s="155">
        <v>1.5505073076636244E-4</v>
      </c>
    </row>
    <row r="1162" spans="1:36" s="160" customFormat="1">
      <c r="A1162" s="153" t="s">
        <v>1213</v>
      </c>
      <c r="B1162" s="160">
        <v>9301</v>
      </c>
      <c r="C1162" s="153" t="s">
        <v>2893</v>
      </c>
      <c r="D1162" s="153" t="s">
        <v>2894</v>
      </c>
      <c r="E1162" s="153" t="s">
        <v>309</v>
      </c>
      <c r="F1162" s="153" t="s">
        <v>2938</v>
      </c>
      <c r="G1162" s="153" t="s">
        <v>2939</v>
      </c>
      <c r="H1162" s="153" t="s">
        <v>321</v>
      </c>
      <c r="I1162" s="153" t="s">
        <v>754</v>
      </c>
      <c r="J1162" s="153" t="s">
        <v>204</v>
      </c>
      <c r="K1162" s="153" t="s">
        <v>204</v>
      </c>
      <c r="L1162" s="153" t="s">
        <v>329</v>
      </c>
      <c r="M1162" s="153" t="s">
        <v>340</v>
      </c>
      <c r="N1162" s="153" t="s">
        <v>447</v>
      </c>
      <c r="O1162" s="153" t="s">
        <v>339</v>
      </c>
      <c r="Q1162" s="153" t="s">
        <v>410</v>
      </c>
      <c r="R1162" s="153" t="s">
        <v>410</v>
      </c>
      <c r="S1162" s="153" t="s">
        <v>1212</v>
      </c>
      <c r="T1162" s="154">
        <v>1.6</v>
      </c>
      <c r="U1162" s="153" t="s">
        <v>2071</v>
      </c>
      <c r="V1162" s="155">
        <v>3.1040000000000002E-2</v>
      </c>
      <c r="W1162" s="155">
        <v>-3.7000000000000002E-3</v>
      </c>
      <c r="X1162" s="153" t="s">
        <v>412</v>
      </c>
      <c r="Y1162" s="153" t="s">
        <v>339</v>
      </c>
      <c r="Z1162" s="154">
        <v>107519.74</v>
      </c>
      <c r="AA1162" s="154">
        <v>1</v>
      </c>
      <c r="AB1162" s="154">
        <v>103.4</v>
      </c>
      <c r="AD1162" s="154">
        <v>111.175</v>
      </c>
      <c r="AG1162" s="157" t="s">
        <v>15</v>
      </c>
      <c r="AH1162" s="155">
        <v>8.0999999999999996E-4</v>
      </c>
      <c r="AI1162" s="155">
        <f t="shared" si="18"/>
        <v>6.0434632488513699E-3</v>
      </c>
      <c r="AJ1162" s="155">
        <v>1.5269117653840666E-4</v>
      </c>
    </row>
    <row r="1163" spans="1:36" s="160" customFormat="1">
      <c r="A1163" s="153" t="s">
        <v>1213</v>
      </c>
      <c r="B1163" s="160">
        <v>9301</v>
      </c>
      <c r="C1163" s="153" t="s">
        <v>1705</v>
      </c>
      <c r="D1163" s="153" t="s">
        <v>1706</v>
      </c>
      <c r="E1163" s="153" t="s">
        <v>311</v>
      </c>
      <c r="F1163" s="153" t="s">
        <v>1707</v>
      </c>
      <c r="G1163" s="153" t="s">
        <v>1708</v>
      </c>
      <c r="H1163" s="153" t="s">
        <v>321</v>
      </c>
      <c r="I1163" s="153" t="s">
        <v>951</v>
      </c>
      <c r="J1163" s="153" t="s">
        <v>204</v>
      </c>
      <c r="K1163" s="153" t="s">
        <v>224</v>
      </c>
      <c r="L1163" s="153" t="s">
        <v>325</v>
      </c>
      <c r="M1163" s="153" t="s">
        <v>340</v>
      </c>
      <c r="N1163" s="153" t="s">
        <v>443</v>
      </c>
      <c r="O1163" s="153" t="s">
        <v>339</v>
      </c>
      <c r="P1163" s="153" t="s">
        <v>1544</v>
      </c>
      <c r="Q1163" s="153" t="s">
        <v>415</v>
      </c>
      <c r="R1163" s="153" t="s">
        <v>407</v>
      </c>
      <c r="S1163" s="153" t="s">
        <v>1212</v>
      </c>
      <c r="T1163" s="154">
        <v>0.96</v>
      </c>
      <c r="U1163" s="153" t="s">
        <v>1709</v>
      </c>
      <c r="V1163" s="155">
        <v>5.3109999999999997E-2</v>
      </c>
      <c r="W1163" s="155">
        <v>6.4100000000000004E-2</v>
      </c>
      <c r="X1163" s="153" t="s">
        <v>412</v>
      </c>
      <c r="Y1163" s="153" t="s">
        <v>339</v>
      </c>
      <c r="Z1163" s="154">
        <v>110476.5</v>
      </c>
      <c r="AA1163" s="154">
        <v>1</v>
      </c>
      <c r="AB1163" s="154">
        <v>98.68</v>
      </c>
      <c r="AD1163" s="154">
        <v>109.018</v>
      </c>
      <c r="AG1163" s="157" t="s">
        <v>15</v>
      </c>
      <c r="AH1163" s="155">
        <v>1.8000000000000001E-4</v>
      </c>
      <c r="AI1163" s="155">
        <f t="shared" si="18"/>
        <v>5.9262089180416337E-3</v>
      </c>
      <c r="AJ1163" s="155">
        <v>1.4972868616023403E-4</v>
      </c>
    </row>
    <row r="1164" spans="1:36" s="160" customFormat="1">
      <c r="A1164" s="153" t="s">
        <v>1213</v>
      </c>
      <c r="B1164" s="160">
        <v>9301</v>
      </c>
      <c r="C1164" s="153" t="s">
        <v>1634</v>
      </c>
      <c r="D1164" s="153" t="s">
        <v>1635</v>
      </c>
      <c r="E1164" s="153" t="s">
        <v>309</v>
      </c>
      <c r="F1164" s="153" t="s">
        <v>1763</v>
      </c>
      <c r="G1164" s="153" t="s">
        <v>1764</v>
      </c>
      <c r="H1164" s="153" t="s">
        <v>321</v>
      </c>
      <c r="I1164" s="153" t="s">
        <v>951</v>
      </c>
      <c r="J1164" s="153" t="s">
        <v>204</v>
      </c>
      <c r="K1164" s="153" t="s">
        <v>204</v>
      </c>
      <c r="L1164" s="153" t="s">
        <v>325</v>
      </c>
      <c r="M1164" s="153" t="s">
        <v>340</v>
      </c>
      <c r="N1164" s="153" t="s">
        <v>454</v>
      </c>
      <c r="O1164" s="153" t="s">
        <v>339</v>
      </c>
      <c r="P1164" s="153" t="s">
        <v>1554</v>
      </c>
      <c r="Q1164" s="153" t="s">
        <v>413</v>
      </c>
      <c r="R1164" s="153" t="s">
        <v>407</v>
      </c>
      <c r="S1164" s="153" t="s">
        <v>1212</v>
      </c>
      <c r="T1164" s="154">
        <v>3.75</v>
      </c>
      <c r="U1164" s="153" t="s">
        <v>1765</v>
      </c>
      <c r="V1164" s="155">
        <v>5.5100000000000003E-2</v>
      </c>
      <c r="W1164" s="155">
        <v>6.5699999999999995E-2</v>
      </c>
      <c r="X1164" s="153" t="s">
        <v>412</v>
      </c>
      <c r="Y1164" s="153" t="s">
        <v>339</v>
      </c>
      <c r="Z1164" s="154">
        <v>108000</v>
      </c>
      <c r="AA1164" s="154">
        <v>1</v>
      </c>
      <c r="AB1164" s="154">
        <v>100.86</v>
      </c>
      <c r="AD1164" s="154">
        <v>108.929</v>
      </c>
      <c r="AG1164" s="157" t="s">
        <v>15</v>
      </c>
      <c r="AH1164" s="155">
        <v>1.2E-4</v>
      </c>
      <c r="AI1164" s="155">
        <f t="shared" si="18"/>
        <v>5.9213708858478157E-3</v>
      </c>
      <c r="AJ1164" s="155">
        <v>1.4960645081315134E-4</v>
      </c>
    </row>
    <row r="1165" spans="1:36" s="160" customFormat="1">
      <c r="A1165" s="153" t="s">
        <v>1213</v>
      </c>
      <c r="B1165" s="160">
        <v>9301</v>
      </c>
      <c r="C1165" s="153" t="s">
        <v>2323</v>
      </c>
      <c r="D1165" s="153" t="s">
        <v>2324</v>
      </c>
      <c r="E1165" s="153" t="s">
        <v>309</v>
      </c>
      <c r="F1165" s="153" t="s">
        <v>2325</v>
      </c>
      <c r="G1165" s="153" t="s">
        <v>2326</v>
      </c>
      <c r="H1165" s="153" t="s">
        <v>321</v>
      </c>
      <c r="I1165" s="153" t="s">
        <v>754</v>
      </c>
      <c r="J1165" s="153" t="s">
        <v>204</v>
      </c>
      <c r="K1165" s="153" t="s">
        <v>204</v>
      </c>
      <c r="L1165" s="153" t="s">
        <v>325</v>
      </c>
      <c r="M1165" s="153" t="s">
        <v>340</v>
      </c>
      <c r="N1165" s="153" t="s">
        <v>448</v>
      </c>
      <c r="O1165" s="153" t="s">
        <v>339</v>
      </c>
      <c r="P1165" s="153" t="s">
        <v>1215</v>
      </c>
      <c r="Q1165" s="153" t="s">
        <v>413</v>
      </c>
      <c r="R1165" s="153" t="s">
        <v>407</v>
      </c>
      <c r="S1165" s="153" t="s">
        <v>1212</v>
      </c>
      <c r="T1165" s="154">
        <v>2.73</v>
      </c>
      <c r="U1165" s="153" t="s">
        <v>2327</v>
      </c>
      <c r="V1165" s="155">
        <v>1.4999999999999999E-2</v>
      </c>
      <c r="W1165" s="155">
        <v>2.24E-2</v>
      </c>
      <c r="X1165" s="153" t="s">
        <v>412</v>
      </c>
      <c r="Y1165" s="153" t="s">
        <v>339</v>
      </c>
      <c r="Z1165" s="154">
        <v>95000.66</v>
      </c>
      <c r="AA1165" s="154">
        <v>1</v>
      </c>
      <c r="AB1165" s="154">
        <v>114.19</v>
      </c>
      <c r="AD1165" s="154">
        <v>108.48099999999999</v>
      </c>
      <c r="AG1165" s="157" t="s">
        <v>15</v>
      </c>
      <c r="AH1165" s="155">
        <v>3.4000000000000002E-4</v>
      </c>
      <c r="AI1165" s="155">
        <f t="shared" si="18"/>
        <v>5.8970176451418523E-3</v>
      </c>
      <c r="AJ1165" s="155">
        <v>1.4899115378513958E-4</v>
      </c>
    </row>
    <row r="1166" spans="1:36" s="160" customFormat="1">
      <c r="A1166" s="153" t="s">
        <v>1213</v>
      </c>
      <c r="B1166" s="160">
        <v>9301</v>
      </c>
      <c r="C1166" s="153" t="s">
        <v>2491</v>
      </c>
      <c r="D1166" s="153" t="s">
        <v>2492</v>
      </c>
      <c r="E1166" s="153" t="s">
        <v>311</v>
      </c>
      <c r="F1166" s="153" t="s">
        <v>2506</v>
      </c>
      <c r="G1166" s="153" t="s">
        <v>2507</v>
      </c>
      <c r="H1166" s="153" t="s">
        <v>321</v>
      </c>
      <c r="I1166" s="153" t="s">
        <v>951</v>
      </c>
      <c r="J1166" s="153" t="s">
        <v>204</v>
      </c>
      <c r="K1166" s="153" t="s">
        <v>224</v>
      </c>
      <c r="L1166" s="153" t="s">
        <v>325</v>
      </c>
      <c r="M1166" s="153" t="s">
        <v>340</v>
      </c>
      <c r="N1166" s="153" t="s">
        <v>465</v>
      </c>
      <c r="O1166" s="153" t="s">
        <v>339</v>
      </c>
      <c r="P1166" s="153" t="s">
        <v>1521</v>
      </c>
      <c r="Q1166" s="153" t="s">
        <v>413</v>
      </c>
      <c r="R1166" s="153" t="s">
        <v>407</v>
      </c>
      <c r="S1166" s="153" t="s">
        <v>1212</v>
      </c>
      <c r="T1166" s="154">
        <v>0.88</v>
      </c>
      <c r="U1166" s="153" t="s">
        <v>1289</v>
      </c>
      <c r="V1166" s="155">
        <v>4.6780000000000002E-2</v>
      </c>
      <c r="W1166" s="155">
        <v>8.5699999999999998E-2</v>
      </c>
      <c r="X1166" s="153" t="s">
        <v>412</v>
      </c>
      <c r="Y1166" s="153" t="s">
        <v>339</v>
      </c>
      <c r="Z1166" s="154">
        <v>110000.48</v>
      </c>
      <c r="AA1166" s="154">
        <v>1</v>
      </c>
      <c r="AB1166" s="154">
        <v>98.47</v>
      </c>
      <c r="AD1166" s="154">
        <v>108.31699999999999</v>
      </c>
      <c r="AG1166" s="157" t="s">
        <v>15</v>
      </c>
      <c r="AH1166" s="155">
        <v>3.8999999999999999E-4</v>
      </c>
      <c r="AI1166" s="155">
        <f t="shared" si="18"/>
        <v>5.8881026195262767E-3</v>
      </c>
      <c r="AJ1166" s="155">
        <v>1.4876591112309955E-4</v>
      </c>
    </row>
    <row r="1167" spans="1:36" s="160" customFormat="1">
      <c r="A1167" s="153" t="s">
        <v>1213</v>
      </c>
      <c r="B1167" s="160">
        <v>9301</v>
      </c>
      <c r="C1167" s="153" t="s">
        <v>2223</v>
      </c>
      <c r="D1167" s="153" t="s">
        <v>2224</v>
      </c>
      <c r="E1167" s="153" t="s">
        <v>309</v>
      </c>
      <c r="F1167" s="153" t="s">
        <v>3068</v>
      </c>
      <c r="G1167" s="153" t="s">
        <v>3069</v>
      </c>
      <c r="H1167" s="153" t="s">
        <v>321</v>
      </c>
      <c r="I1167" s="153" t="s">
        <v>951</v>
      </c>
      <c r="J1167" s="153" t="s">
        <v>204</v>
      </c>
      <c r="K1167" s="153" t="s">
        <v>204</v>
      </c>
      <c r="L1167" s="153" t="s">
        <v>325</v>
      </c>
      <c r="M1167" s="153" t="s">
        <v>340</v>
      </c>
      <c r="N1167" s="153" t="s">
        <v>464</v>
      </c>
      <c r="O1167" s="153" t="s">
        <v>339</v>
      </c>
      <c r="P1167" s="153" t="s">
        <v>1538</v>
      </c>
      <c r="Q1167" s="153" t="s">
        <v>413</v>
      </c>
      <c r="R1167" s="153" t="s">
        <v>407</v>
      </c>
      <c r="S1167" s="153" t="s">
        <v>1212</v>
      </c>
      <c r="T1167" s="154">
        <v>0.73</v>
      </c>
      <c r="U1167" s="153" t="s">
        <v>3070</v>
      </c>
      <c r="V1167" s="155">
        <v>4.8660000000000002E-2</v>
      </c>
      <c r="W1167" s="155">
        <v>4.8800000000000003E-2</v>
      </c>
      <c r="X1167" s="153" t="s">
        <v>412</v>
      </c>
      <c r="Y1167" s="153" t="s">
        <v>339</v>
      </c>
      <c r="Z1167" s="154">
        <v>108666.67</v>
      </c>
      <c r="AA1167" s="154">
        <v>1</v>
      </c>
      <c r="AB1167" s="154">
        <v>99.04</v>
      </c>
      <c r="AD1167" s="154">
        <v>107.623</v>
      </c>
      <c r="AG1167" s="157" t="s">
        <v>15</v>
      </c>
      <c r="AH1167" s="155">
        <v>1.6199999999999999E-3</v>
      </c>
      <c r="AI1167" s="155">
        <f t="shared" si="18"/>
        <v>5.8503768403969508E-3</v>
      </c>
      <c r="AJ1167" s="155">
        <v>1.4781275010202781E-4</v>
      </c>
    </row>
    <row r="1168" spans="1:36" s="160" customFormat="1">
      <c r="A1168" s="153" t="s">
        <v>1213</v>
      </c>
      <c r="B1168" s="160">
        <v>9301</v>
      </c>
      <c r="C1168" s="153" t="s">
        <v>2428</v>
      </c>
      <c r="D1168" s="153" t="s">
        <v>2429</v>
      </c>
      <c r="E1168" s="153" t="s">
        <v>309</v>
      </c>
      <c r="F1168" s="153" t="s">
        <v>2430</v>
      </c>
      <c r="G1168" s="153" t="s">
        <v>2431</v>
      </c>
      <c r="H1168" s="153" t="s">
        <v>321</v>
      </c>
      <c r="I1168" s="153" t="s">
        <v>755</v>
      </c>
      <c r="J1168" s="153" t="s">
        <v>204</v>
      </c>
      <c r="K1168" s="153" t="s">
        <v>204</v>
      </c>
      <c r="L1168" s="153" t="s">
        <v>325</v>
      </c>
      <c r="M1168" s="153" t="s">
        <v>340</v>
      </c>
      <c r="N1168" s="153" t="s">
        <v>454</v>
      </c>
      <c r="O1168" s="153" t="s">
        <v>339</v>
      </c>
      <c r="P1168" s="153" t="s">
        <v>1538</v>
      </c>
      <c r="Q1168" s="153" t="s">
        <v>413</v>
      </c>
      <c r="R1168" s="153" t="s">
        <v>407</v>
      </c>
      <c r="S1168" s="153" t="s">
        <v>1212</v>
      </c>
      <c r="T1168" s="154">
        <v>0.5</v>
      </c>
      <c r="U1168" s="153" t="s">
        <v>2432</v>
      </c>
      <c r="V1168" s="155">
        <v>5.314E-2</v>
      </c>
      <c r="W1168" s="155">
        <v>8.8599999999999998E-2</v>
      </c>
      <c r="X1168" s="153" t="s">
        <v>412</v>
      </c>
      <c r="Y1168" s="153" t="s">
        <v>339</v>
      </c>
      <c r="Z1168" s="154">
        <v>102000.13</v>
      </c>
      <c r="AA1168" s="154">
        <v>1</v>
      </c>
      <c r="AB1168" s="154">
        <v>102.3</v>
      </c>
      <c r="AD1168" s="154">
        <v>104.346</v>
      </c>
      <c r="AG1168" s="157" t="s">
        <v>15</v>
      </c>
      <c r="AH1168" s="155">
        <v>2.0000000000000001E-4</v>
      </c>
      <c r="AI1168" s="155">
        <f t="shared" si="18"/>
        <v>5.672239407822308E-3</v>
      </c>
      <c r="AJ1168" s="155">
        <v>1.4331201715382579E-4</v>
      </c>
    </row>
    <row r="1169" spans="1:36" s="160" customFormat="1">
      <c r="A1169" s="153" t="s">
        <v>1213</v>
      </c>
      <c r="B1169" s="160">
        <v>9301</v>
      </c>
      <c r="C1169" s="153" t="s">
        <v>2872</v>
      </c>
      <c r="D1169" s="153" t="s">
        <v>2873</v>
      </c>
      <c r="E1169" s="153" t="s">
        <v>309</v>
      </c>
      <c r="F1169" s="153" t="s">
        <v>2874</v>
      </c>
      <c r="G1169" s="153" t="s">
        <v>2875</v>
      </c>
      <c r="H1169" s="153" t="s">
        <v>321</v>
      </c>
      <c r="I1169" s="153" t="s">
        <v>952</v>
      </c>
      <c r="J1169" s="153" t="s">
        <v>204</v>
      </c>
      <c r="K1169" s="153" t="s">
        <v>204</v>
      </c>
      <c r="L1169" s="153" t="s">
        <v>325</v>
      </c>
      <c r="M1169" s="153" t="s">
        <v>340</v>
      </c>
      <c r="N1169" s="153" t="s">
        <v>441</v>
      </c>
      <c r="O1169" s="153" t="s">
        <v>339</v>
      </c>
      <c r="Q1169" s="153" t="s">
        <v>410</v>
      </c>
      <c r="R1169" s="153" t="s">
        <v>410</v>
      </c>
      <c r="S1169" s="153" t="s">
        <v>1212</v>
      </c>
      <c r="T1169" s="154">
        <v>1.71</v>
      </c>
      <c r="U1169" s="153" t="s">
        <v>1833</v>
      </c>
      <c r="V1169" s="155">
        <v>6.3710000000000003E-2</v>
      </c>
      <c r="W1169" s="155">
        <v>6.83E-2</v>
      </c>
      <c r="X1169" s="153" t="s">
        <v>412</v>
      </c>
      <c r="Y1169" s="153" t="s">
        <v>339</v>
      </c>
      <c r="Z1169" s="154">
        <v>111000</v>
      </c>
      <c r="AA1169" s="154">
        <v>1</v>
      </c>
      <c r="AB1169" s="154">
        <v>93.8</v>
      </c>
      <c r="AD1169" s="154">
        <v>104.11799999999999</v>
      </c>
      <c r="AG1169" s="157" t="s">
        <v>15</v>
      </c>
      <c r="AH1169" s="155">
        <v>3.3E-4</v>
      </c>
      <c r="AI1169" s="155">
        <f t="shared" si="18"/>
        <v>5.6598453478201652E-3</v>
      </c>
      <c r="AJ1169" s="155">
        <v>1.4299887491635551E-4</v>
      </c>
    </row>
    <row r="1170" spans="1:36" s="160" customFormat="1">
      <c r="A1170" s="153" t="s">
        <v>1213</v>
      </c>
      <c r="B1170" s="160">
        <v>9301</v>
      </c>
      <c r="C1170" s="153" t="s">
        <v>1573</v>
      </c>
      <c r="D1170" s="153" t="s">
        <v>1574</v>
      </c>
      <c r="E1170" s="153" t="s">
        <v>309</v>
      </c>
      <c r="F1170" s="153" t="s">
        <v>2094</v>
      </c>
      <c r="G1170" s="153" t="s">
        <v>2095</v>
      </c>
      <c r="H1170" s="153" t="s">
        <v>321</v>
      </c>
      <c r="I1170" s="153" t="s">
        <v>754</v>
      </c>
      <c r="J1170" s="153" t="s">
        <v>204</v>
      </c>
      <c r="K1170" s="153" t="s">
        <v>204</v>
      </c>
      <c r="L1170" s="153" t="s">
        <v>325</v>
      </c>
      <c r="M1170" s="153" t="s">
        <v>340</v>
      </c>
      <c r="N1170" s="153" t="s">
        <v>448</v>
      </c>
      <c r="O1170" s="153" t="s">
        <v>339</v>
      </c>
      <c r="P1170" s="153" t="s">
        <v>1215</v>
      </c>
      <c r="Q1170" s="153" t="s">
        <v>413</v>
      </c>
      <c r="R1170" s="153" t="s">
        <v>407</v>
      </c>
      <c r="S1170" s="153" t="s">
        <v>1212</v>
      </c>
      <c r="T1170" s="154">
        <v>5.04</v>
      </c>
      <c r="U1170" s="153" t="s">
        <v>2096</v>
      </c>
      <c r="V1170" s="155">
        <v>2.0969999999999999E-2</v>
      </c>
      <c r="W1170" s="155">
        <v>2.5899999999999999E-2</v>
      </c>
      <c r="X1170" s="153" t="s">
        <v>412</v>
      </c>
      <c r="Y1170" s="153" t="s">
        <v>339</v>
      </c>
      <c r="Z1170" s="154">
        <v>100000</v>
      </c>
      <c r="AA1170" s="154">
        <v>1</v>
      </c>
      <c r="AB1170" s="154">
        <v>101.35</v>
      </c>
      <c r="AD1170" s="154">
        <v>101.35</v>
      </c>
      <c r="AG1170" s="157" t="s">
        <v>15</v>
      </c>
      <c r="AH1170" s="155">
        <v>3.0000000000000001E-5</v>
      </c>
      <c r="AI1170" s="155">
        <f t="shared" si="18"/>
        <v>5.5093771106011812E-3</v>
      </c>
      <c r="AJ1170" s="155">
        <v>1.391972182789972E-4</v>
      </c>
    </row>
    <row r="1171" spans="1:36" s="160" customFormat="1">
      <c r="A1171" s="153" t="s">
        <v>1213</v>
      </c>
      <c r="B1171" s="160">
        <v>9301</v>
      </c>
      <c r="C1171" s="153" t="s">
        <v>1683</v>
      </c>
      <c r="D1171" s="153" t="s">
        <v>1684</v>
      </c>
      <c r="E1171" s="153" t="s">
        <v>309</v>
      </c>
      <c r="F1171" s="153" t="s">
        <v>1685</v>
      </c>
      <c r="G1171" s="153" t="s">
        <v>1686</v>
      </c>
      <c r="H1171" s="153" t="s">
        <v>321</v>
      </c>
      <c r="I1171" s="153" t="s">
        <v>754</v>
      </c>
      <c r="J1171" s="153" t="s">
        <v>204</v>
      </c>
      <c r="K1171" s="153" t="s">
        <v>204</v>
      </c>
      <c r="L1171" s="153" t="s">
        <v>325</v>
      </c>
      <c r="M1171" s="153" t="s">
        <v>340</v>
      </c>
      <c r="N1171" s="153" t="s">
        <v>441</v>
      </c>
      <c r="O1171" s="153" t="s">
        <v>339</v>
      </c>
      <c r="Q1171" s="153" t="s">
        <v>410</v>
      </c>
      <c r="R1171" s="153" t="s">
        <v>410</v>
      </c>
      <c r="S1171" s="153" t="s">
        <v>1212</v>
      </c>
      <c r="T1171" s="154">
        <v>2.4900000000000002</v>
      </c>
      <c r="U1171" s="153" t="s">
        <v>1528</v>
      </c>
      <c r="V1171" s="155">
        <v>3.483E-2</v>
      </c>
      <c r="W1171" s="155">
        <v>3.1399999999999997E-2</v>
      </c>
      <c r="X1171" s="153" t="s">
        <v>412</v>
      </c>
      <c r="Y1171" s="153" t="s">
        <v>339</v>
      </c>
      <c r="Z1171" s="154">
        <v>90000</v>
      </c>
      <c r="AA1171" s="154">
        <v>1</v>
      </c>
      <c r="AB1171" s="154">
        <v>109.1</v>
      </c>
      <c r="AD1171" s="154">
        <v>98.19</v>
      </c>
      <c r="AG1171" s="157" t="s">
        <v>15</v>
      </c>
      <c r="AH1171" s="155">
        <v>1.2E-4</v>
      </c>
      <c r="AI1171" s="155">
        <f t="shared" si="18"/>
        <v>5.3375997877644797E-3</v>
      </c>
      <c r="AJ1171" s="155">
        <v>1.3485717674212864E-4</v>
      </c>
    </row>
    <row r="1172" spans="1:36" s="160" customFormat="1">
      <c r="A1172" s="153" t="s">
        <v>1213</v>
      </c>
      <c r="B1172" s="160">
        <v>9301</v>
      </c>
      <c r="C1172" s="153" t="s">
        <v>2228</v>
      </c>
      <c r="D1172" s="153" t="s">
        <v>2229</v>
      </c>
      <c r="E1172" s="153" t="s">
        <v>309</v>
      </c>
      <c r="F1172" s="153" t="s">
        <v>2449</v>
      </c>
      <c r="G1172" s="153" t="s">
        <v>2450</v>
      </c>
      <c r="H1172" s="153" t="s">
        <v>321</v>
      </c>
      <c r="I1172" s="153" t="s">
        <v>952</v>
      </c>
      <c r="J1172" s="153" t="s">
        <v>204</v>
      </c>
      <c r="K1172" s="153" t="s">
        <v>204</v>
      </c>
      <c r="L1172" s="153" t="s">
        <v>325</v>
      </c>
      <c r="M1172" s="153" t="s">
        <v>340</v>
      </c>
      <c r="N1172" s="153" t="s">
        <v>441</v>
      </c>
      <c r="O1172" s="153" t="s">
        <v>339</v>
      </c>
      <c r="P1172" s="153" t="s">
        <v>1614</v>
      </c>
      <c r="Q1172" s="153" t="s">
        <v>415</v>
      </c>
      <c r="R1172" s="153" t="s">
        <v>407</v>
      </c>
      <c r="S1172" s="153" t="s">
        <v>1212</v>
      </c>
      <c r="T1172" s="154">
        <v>3.86</v>
      </c>
      <c r="U1172" s="153" t="s">
        <v>2451</v>
      </c>
      <c r="V1172" s="155">
        <v>1.6150000000000001E-2</v>
      </c>
      <c r="W1172" s="155">
        <v>5.9400000000000001E-2</v>
      </c>
      <c r="X1172" s="153" t="s">
        <v>412</v>
      </c>
      <c r="Y1172" s="153" t="s">
        <v>339</v>
      </c>
      <c r="Z1172" s="154">
        <v>118000</v>
      </c>
      <c r="AA1172" s="154">
        <v>1</v>
      </c>
      <c r="AB1172" s="154">
        <v>82.4</v>
      </c>
      <c r="AD1172" s="154">
        <v>97.231999999999999</v>
      </c>
      <c r="AG1172" s="157" t="s">
        <v>15</v>
      </c>
      <c r="AH1172" s="155">
        <v>2.2000000000000001E-4</v>
      </c>
      <c r="AI1172" s="155">
        <f t="shared" si="18"/>
        <v>5.285522991790568E-3</v>
      </c>
      <c r="AJ1172" s="155">
        <v>1.3354142997240709E-4</v>
      </c>
    </row>
    <row r="1173" spans="1:36" s="160" customFormat="1">
      <c r="A1173" s="153" t="s">
        <v>1213</v>
      </c>
      <c r="B1173" s="160">
        <v>9301</v>
      </c>
      <c r="C1173" s="153" t="s">
        <v>3004</v>
      </c>
      <c r="D1173" s="153" t="s">
        <v>3005</v>
      </c>
      <c r="E1173" s="153" t="s">
        <v>309</v>
      </c>
      <c r="F1173" s="153" t="s">
        <v>3006</v>
      </c>
      <c r="G1173" s="153" t="s">
        <v>3007</v>
      </c>
      <c r="H1173" s="153" t="s">
        <v>321</v>
      </c>
      <c r="I1173" s="153" t="s">
        <v>754</v>
      </c>
      <c r="J1173" s="153" t="s">
        <v>204</v>
      </c>
      <c r="K1173" s="153" t="s">
        <v>204</v>
      </c>
      <c r="L1173" s="153" t="s">
        <v>325</v>
      </c>
      <c r="M1173" s="153" t="s">
        <v>340</v>
      </c>
      <c r="N1173" s="153" t="s">
        <v>440</v>
      </c>
      <c r="O1173" s="153" t="s">
        <v>339</v>
      </c>
      <c r="Q1173" s="153" t="s">
        <v>410</v>
      </c>
      <c r="R1173" s="153" t="s">
        <v>410</v>
      </c>
      <c r="S1173" s="153" t="s">
        <v>1212</v>
      </c>
      <c r="T1173" s="154">
        <v>1.45</v>
      </c>
      <c r="U1173" s="153" t="s">
        <v>1768</v>
      </c>
      <c r="V1173" s="155">
        <v>2.8469999999999999E-2</v>
      </c>
      <c r="W1173" s="155">
        <v>3.0700000000000002E-2</v>
      </c>
      <c r="X1173" s="153" t="s">
        <v>412</v>
      </c>
      <c r="Y1173" s="153" t="s">
        <v>339</v>
      </c>
      <c r="Z1173" s="154">
        <v>85856.99</v>
      </c>
      <c r="AA1173" s="154">
        <v>1</v>
      </c>
      <c r="AB1173" s="154">
        <v>113.14</v>
      </c>
      <c r="AD1173" s="154">
        <v>97.138999999999996</v>
      </c>
      <c r="AG1173" s="157" t="s">
        <v>15</v>
      </c>
      <c r="AH1173" s="155">
        <v>3.6000000000000002E-4</v>
      </c>
      <c r="AI1173" s="155">
        <f t="shared" si="18"/>
        <v>5.280467519947589E-3</v>
      </c>
      <c r="AJ1173" s="155">
        <v>1.3341370090185999E-4</v>
      </c>
    </row>
    <row r="1174" spans="1:36" s="160" customFormat="1">
      <c r="A1174" s="153" t="s">
        <v>1213</v>
      </c>
      <c r="B1174" s="160">
        <v>9301</v>
      </c>
      <c r="C1174" s="153" t="s">
        <v>2780</v>
      </c>
      <c r="D1174" s="153" t="s">
        <v>2781</v>
      </c>
      <c r="E1174" s="153" t="s">
        <v>309</v>
      </c>
      <c r="F1174" s="153" t="s">
        <v>3039</v>
      </c>
      <c r="G1174" s="153" t="s">
        <v>3040</v>
      </c>
      <c r="H1174" s="153" t="s">
        <v>321</v>
      </c>
      <c r="I1174" s="153" t="s">
        <v>754</v>
      </c>
      <c r="J1174" s="153" t="s">
        <v>204</v>
      </c>
      <c r="K1174" s="153" t="s">
        <v>204</v>
      </c>
      <c r="L1174" s="153" t="s">
        <v>325</v>
      </c>
      <c r="M1174" s="153" t="s">
        <v>340</v>
      </c>
      <c r="N1174" s="153" t="s">
        <v>464</v>
      </c>
      <c r="O1174" s="153" t="s">
        <v>339</v>
      </c>
      <c r="P1174" s="153" t="s">
        <v>1521</v>
      </c>
      <c r="Q1174" s="153" t="s">
        <v>413</v>
      </c>
      <c r="R1174" s="153" t="s">
        <v>407</v>
      </c>
      <c r="S1174" s="153" t="s">
        <v>1212</v>
      </c>
      <c r="T1174" s="154">
        <v>3.9</v>
      </c>
      <c r="U1174" s="153" t="s">
        <v>1587</v>
      </c>
      <c r="V1174" s="155">
        <v>2.4379999999999999E-2</v>
      </c>
      <c r="W1174" s="155">
        <v>2.8500000000000001E-2</v>
      </c>
      <c r="X1174" s="153" t="s">
        <v>412</v>
      </c>
      <c r="Y1174" s="153" t="s">
        <v>339</v>
      </c>
      <c r="Z1174" s="154">
        <v>85582.42</v>
      </c>
      <c r="AA1174" s="154">
        <v>1</v>
      </c>
      <c r="AB1174" s="154">
        <v>110.2</v>
      </c>
      <c r="AD1174" s="154">
        <v>94.311999999999998</v>
      </c>
      <c r="AG1174" s="157" t="s">
        <v>15</v>
      </c>
      <c r="AH1174" s="155">
        <v>2.3000000000000001E-4</v>
      </c>
      <c r="AI1174" s="155">
        <f t="shared" si="18"/>
        <v>5.1267920479034891E-3</v>
      </c>
      <c r="AJ1174" s="155">
        <v>1.2953101184340191E-4</v>
      </c>
    </row>
    <row r="1175" spans="1:36" s="160" customFormat="1">
      <c r="A1175" s="153" t="s">
        <v>1213</v>
      </c>
      <c r="B1175" s="160">
        <v>9301</v>
      </c>
      <c r="C1175" s="153" t="s">
        <v>2315</v>
      </c>
      <c r="D1175" s="153" t="s">
        <v>2316</v>
      </c>
      <c r="E1175" s="153" t="s">
        <v>309</v>
      </c>
      <c r="F1175" s="153" t="s">
        <v>3307</v>
      </c>
      <c r="G1175" s="153" t="s">
        <v>3308</v>
      </c>
      <c r="H1175" s="153" t="s">
        <v>321</v>
      </c>
      <c r="I1175" s="153" t="s">
        <v>951</v>
      </c>
      <c r="J1175" s="153" t="s">
        <v>204</v>
      </c>
      <c r="K1175" s="153" t="s">
        <v>204</v>
      </c>
      <c r="L1175" s="153" t="s">
        <v>325</v>
      </c>
      <c r="M1175" s="153" t="s">
        <v>340</v>
      </c>
      <c r="N1175" s="153" t="s">
        <v>484</v>
      </c>
      <c r="O1175" s="153" t="s">
        <v>339</v>
      </c>
      <c r="P1175" s="153" t="s">
        <v>1527</v>
      </c>
      <c r="Q1175" s="153" t="s">
        <v>415</v>
      </c>
      <c r="R1175" s="153" t="s">
        <v>407</v>
      </c>
      <c r="S1175" s="153" t="s">
        <v>1212</v>
      </c>
      <c r="T1175" s="154">
        <v>2.0699999999999998</v>
      </c>
      <c r="U1175" s="153" t="s">
        <v>2530</v>
      </c>
      <c r="V1175" s="155">
        <v>3.295E-2</v>
      </c>
      <c r="W1175" s="155">
        <v>5.5899999999999998E-2</v>
      </c>
      <c r="X1175" s="153" t="s">
        <v>412</v>
      </c>
      <c r="Y1175" s="153" t="s">
        <v>339</v>
      </c>
      <c r="Z1175" s="154">
        <v>96000</v>
      </c>
      <c r="AA1175" s="154">
        <v>1</v>
      </c>
      <c r="AB1175" s="154">
        <v>97.46</v>
      </c>
      <c r="AD1175" s="154">
        <v>93.561999999999998</v>
      </c>
      <c r="AG1175" s="157" t="s">
        <v>15</v>
      </c>
      <c r="AH1175" s="155">
        <v>9.0000000000000006E-5</v>
      </c>
      <c r="AI1175" s="155">
        <f t="shared" si="18"/>
        <v>5.0860221136859174E-3</v>
      </c>
      <c r="AJ1175" s="155">
        <v>1.2850093869382867E-4</v>
      </c>
    </row>
    <row r="1176" spans="1:36" s="160" customFormat="1">
      <c r="A1176" s="153" t="s">
        <v>1213</v>
      </c>
      <c r="B1176" s="160">
        <v>9301</v>
      </c>
      <c r="C1176" s="153" t="s">
        <v>2298</v>
      </c>
      <c r="D1176" s="153" t="s">
        <v>2299</v>
      </c>
      <c r="E1176" s="153" t="s">
        <v>309</v>
      </c>
      <c r="F1176" s="153" t="s">
        <v>2949</v>
      </c>
      <c r="G1176" s="153" t="s">
        <v>2950</v>
      </c>
      <c r="H1176" s="153" t="s">
        <v>321</v>
      </c>
      <c r="I1176" s="153" t="s">
        <v>951</v>
      </c>
      <c r="J1176" s="153" t="s">
        <v>204</v>
      </c>
      <c r="K1176" s="153" t="s">
        <v>204</v>
      </c>
      <c r="L1176" s="153" t="s">
        <v>325</v>
      </c>
      <c r="M1176" s="153" t="s">
        <v>340</v>
      </c>
      <c r="N1176" s="153" t="s">
        <v>462</v>
      </c>
      <c r="O1176" s="153" t="s">
        <v>339</v>
      </c>
      <c r="P1176" s="153" t="s">
        <v>1566</v>
      </c>
      <c r="Q1176" s="153" t="s">
        <v>413</v>
      </c>
      <c r="R1176" s="153" t="s">
        <v>407</v>
      </c>
      <c r="S1176" s="153" t="s">
        <v>1212</v>
      </c>
      <c r="T1176" s="154">
        <v>2.0299999999999998</v>
      </c>
      <c r="U1176" s="153" t="s">
        <v>1654</v>
      </c>
      <c r="V1176" s="155">
        <v>3.7190000000000001E-2</v>
      </c>
      <c r="W1176" s="155">
        <v>5.7000000000000002E-2</v>
      </c>
      <c r="X1176" s="153" t="s">
        <v>412</v>
      </c>
      <c r="Y1176" s="153" t="s">
        <v>339</v>
      </c>
      <c r="Z1176" s="154">
        <v>93353.01</v>
      </c>
      <c r="AA1176" s="154">
        <v>1</v>
      </c>
      <c r="AB1176" s="154">
        <v>93.26</v>
      </c>
      <c r="AC1176" s="154">
        <v>6.3570000000000002</v>
      </c>
      <c r="AD1176" s="154">
        <v>93.418000000000006</v>
      </c>
      <c r="AG1176" s="157" t="s">
        <v>15</v>
      </c>
      <c r="AH1176" s="155">
        <v>1.1E-4</v>
      </c>
      <c r="AI1176" s="155">
        <f t="shared" si="18"/>
        <v>5.0781942863161438E-3</v>
      </c>
      <c r="AJ1176" s="155">
        <v>1.2830316464911064E-4</v>
      </c>
    </row>
    <row r="1177" spans="1:36" s="160" customFormat="1">
      <c r="A1177" s="153" t="s">
        <v>1213</v>
      </c>
      <c r="B1177" s="160">
        <v>9301</v>
      </c>
      <c r="C1177" s="153" t="s">
        <v>3060</v>
      </c>
      <c r="D1177" s="153" t="s">
        <v>3061</v>
      </c>
      <c r="E1177" s="153" t="s">
        <v>311</v>
      </c>
      <c r="F1177" s="153" t="s">
        <v>3062</v>
      </c>
      <c r="G1177" s="153" t="s">
        <v>3063</v>
      </c>
      <c r="H1177" s="153" t="s">
        <v>321</v>
      </c>
      <c r="I1177" s="153" t="s">
        <v>951</v>
      </c>
      <c r="J1177" s="153" t="s">
        <v>204</v>
      </c>
      <c r="K1177" s="153" t="s">
        <v>224</v>
      </c>
      <c r="L1177" s="153" t="s">
        <v>325</v>
      </c>
      <c r="M1177" s="153" t="s">
        <v>340</v>
      </c>
      <c r="N1177" s="153" t="s">
        <v>465</v>
      </c>
      <c r="O1177" s="153" t="s">
        <v>339</v>
      </c>
      <c r="P1177" s="153" t="s">
        <v>1560</v>
      </c>
      <c r="Q1177" s="153" t="s">
        <v>413</v>
      </c>
      <c r="R1177" s="153" t="s">
        <v>407</v>
      </c>
      <c r="S1177" s="153" t="s">
        <v>1212</v>
      </c>
      <c r="T1177" s="154">
        <v>1.68</v>
      </c>
      <c r="U1177" s="153" t="s">
        <v>2071</v>
      </c>
      <c r="V1177" s="155">
        <v>7.6530000000000001E-2</v>
      </c>
      <c r="W1177" s="155">
        <v>6.8400000000000002E-2</v>
      </c>
      <c r="X1177" s="153" t="s">
        <v>412</v>
      </c>
      <c r="Y1177" s="153" t="s">
        <v>339</v>
      </c>
      <c r="Z1177" s="154">
        <v>89000</v>
      </c>
      <c r="AA1177" s="154">
        <v>1</v>
      </c>
      <c r="AB1177" s="154">
        <v>102.4</v>
      </c>
      <c r="AD1177" s="154">
        <v>91.135999999999996</v>
      </c>
      <c r="AG1177" s="157" t="s">
        <v>15</v>
      </c>
      <c r="AH1177" s="155">
        <v>6.8000000000000005E-4</v>
      </c>
      <c r="AI1177" s="155">
        <f t="shared" si="18"/>
        <v>4.9541449664701458E-3</v>
      </c>
      <c r="AJ1177" s="155">
        <v>1.2516899541267578E-4</v>
      </c>
    </row>
    <row r="1178" spans="1:36" s="160" customFormat="1">
      <c r="A1178" s="153" t="s">
        <v>1213</v>
      </c>
      <c r="B1178" s="160">
        <v>9301</v>
      </c>
      <c r="C1178" s="153" t="s">
        <v>1600</v>
      </c>
      <c r="D1178" s="153" t="s">
        <v>1601</v>
      </c>
      <c r="E1178" s="153" t="s">
        <v>309</v>
      </c>
      <c r="F1178" s="153" t="s">
        <v>2333</v>
      </c>
      <c r="G1178" s="153" t="s">
        <v>2334</v>
      </c>
      <c r="H1178" s="153" t="s">
        <v>321</v>
      </c>
      <c r="I1178" s="153" t="s">
        <v>754</v>
      </c>
      <c r="J1178" s="153" t="s">
        <v>204</v>
      </c>
      <c r="K1178" s="153" t="s">
        <v>204</v>
      </c>
      <c r="L1178" s="153" t="s">
        <v>325</v>
      </c>
      <c r="M1178" s="153" t="s">
        <v>340</v>
      </c>
      <c r="N1178" s="153" t="s">
        <v>448</v>
      </c>
      <c r="O1178" s="153" t="s">
        <v>339</v>
      </c>
      <c r="P1178" s="153" t="s">
        <v>1215</v>
      </c>
      <c r="Q1178" s="153" t="s">
        <v>413</v>
      </c>
      <c r="R1178" s="153" t="s">
        <v>407</v>
      </c>
      <c r="S1178" s="153" t="s">
        <v>1212</v>
      </c>
      <c r="T1178" s="154">
        <v>3.56</v>
      </c>
      <c r="U1178" s="153" t="s">
        <v>2335</v>
      </c>
      <c r="V1178" s="155">
        <v>1.9779999999999999E-2</v>
      </c>
      <c r="W1178" s="155">
        <v>2.4E-2</v>
      </c>
      <c r="X1178" s="153" t="s">
        <v>412</v>
      </c>
      <c r="Y1178" s="153" t="s">
        <v>339</v>
      </c>
      <c r="Z1178" s="154">
        <v>81030</v>
      </c>
      <c r="AA1178" s="154">
        <v>1</v>
      </c>
      <c r="AB1178" s="154">
        <v>103.73</v>
      </c>
      <c r="AD1178" s="154">
        <v>84.052000000000007</v>
      </c>
      <c r="AG1178" s="157" t="s">
        <v>15</v>
      </c>
      <c r="AH1178" s="155">
        <v>6.9999999999999994E-5</v>
      </c>
      <c r="AI1178" s="155">
        <f t="shared" si="18"/>
        <v>4.5690593478071098E-3</v>
      </c>
      <c r="AJ1178" s="155">
        <v>1.1543961115724001E-4</v>
      </c>
    </row>
    <row r="1179" spans="1:36" s="160" customFormat="1">
      <c r="A1179" s="153" t="s">
        <v>1213</v>
      </c>
      <c r="B1179" s="160">
        <v>9301</v>
      </c>
      <c r="C1179" s="153" t="s">
        <v>1813</v>
      </c>
      <c r="D1179" s="153" t="s">
        <v>1814</v>
      </c>
      <c r="E1179" s="153" t="s">
        <v>309</v>
      </c>
      <c r="F1179" s="153" t="s">
        <v>1815</v>
      </c>
      <c r="G1179" s="153" t="s">
        <v>1816</v>
      </c>
      <c r="H1179" s="153" t="s">
        <v>321</v>
      </c>
      <c r="I1179" s="153" t="s">
        <v>951</v>
      </c>
      <c r="J1179" s="153" t="s">
        <v>204</v>
      </c>
      <c r="K1179" s="153" t="s">
        <v>204</v>
      </c>
      <c r="L1179" s="153" t="s">
        <v>325</v>
      </c>
      <c r="M1179" s="153" t="s">
        <v>340</v>
      </c>
      <c r="N1179" s="153" t="s">
        <v>443</v>
      </c>
      <c r="O1179" s="153" t="s">
        <v>339</v>
      </c>
      <c r="P1179" s="153" t="s">
        <v>1527</v>
      </c>
      <c r="Q1179" s="153" t="s">
        <v>415</v>
      </c>
      <c r="R1179" s="153" t="s">
        <v>407</v>
      </c>
      <c r="S1179" s="153" t="s">
        <v>1212</v>
      </c>
      <c r="T1179" s="154">
        <v>1.45</v>
      </c>
      <c r="U1179" s="153" t="s">
        <v>1522</v>
      </c>
      <c r="V1179" s="155">
        <v>2.0200000000000001E-3</v>
      </c>
      <c r="W1179" s="155">
        <v>6.6000000000000003E-2</v>
      </c>
      <c r="X1179" s="153" t="s">
        <v>412</v>
      </c>
      <c r="Y1179" s="153" t="s">
        <v>339</v>
      </c>
      <c r="Z1179" s="154">
        <v>78390</v>
      </c>
      <c r="AA1179" s="154">
        <v>1</v>
      </c>
      <c r="AB1179" s="154">
        <v>100.59</v>
      </c>
      <c r="AD1179" s="154">
        <v>78.852999999999994</v>
      </c>
      <c r="AG1179" s="157" t="s">
        <v>15</v>
      </c>
      <c r="AH1179" s="155">
        <v>3.2000000000000003E-4</v>
      </c>
      <c r="AI1179" s="155">
        <f t="shared" si="18"/>
        <v>4.286442163810902E-3</v>
      </c>
      <c r="AJ1179" s="155">
        <v>1.0829914408439829E-4</v>
      </c>
    </row>
    <row r="1180" spans="1:36" s="160" customFormat="1">
      <c r="A1180" s="153" t="s">
        <v>1213</v>
      </c>
      <c r="B1180" s="160">
        <v>9301</v>
      </c>
      <c r="C1180" s="153" t="s">
        <v>2927</v>
      </c>
      <c r="D1180" s="153" t="s">
        <v>2928</v>
      </c>
      <c r="E1180" s="153" t="s">
        <v>309</v>
      </c>
      <c r="F1180" s="153" t="s">
        <v>2929</v>
      </c>
      <c r="G1180" s="153" t="s">
        <v>2930</v>
      </c>
      <c r="H1180" s="153" t="s">
        <v>321</v>
      </c>
      <c r="I1180" s="153" t="s">
        <v>951</v>
      </c>
      <c r="J1180" s="153" t="s">
        <v>204</v>
      </c>
      <c r="K1180" s="153" t="s">
        <v>204</v>
      </c>
      <c r="L1180" s="153" t="s">
        <v>325</v>
      </c>
      <c r="M1180" s="153" t="s">
        <v>314</v>
      </c>
      <c r="N1180" s="153" t="s">
        <v>451</v>
      </c>
      <c r="O1180" s="153" t="s">
        <v>339</v>
      </c>
      <c r="Q1180" s="153" t="s">
        <v>410</v>
      </c>
      <c r="R1180" s="153" t="s">
        <v>410</v>
      </c>
      <c r="S1180" s="153" t="s">
        <v>1212</v>
      </c>
      <c r="T1180" s="154">
        <v>2.2000000000000002</v>
      </c>
      <c r="U1180" s="153" t="s">
        <v>1572</v>
      </c>
      <c r="V1180" s="155">
        <v>8.115E-2</v>
      </c>
      <c r="W1180" s="155">
        <v>7.1400000000000005E-2</v>
      </c>
      <c r="X1180" s="153" t="s">
        <v>412</v>
      </c>
      <c r="Y1180" s="153" t="s">
        <v>339</v>
      </c>
      <c r="Z1180" s="154">
        <v>75000</v>
      </c>
      <c r="AA1180" s="154">
        <v>1</v>
      </c>
      <c r="AB1180" s="154">
        <v>104.77</v>
      </c>
      <c r="AD1180" s="154">
        <v>78.578000000000003</v>
      </c>
      <c r="AG1180" s="157" t="s">
        <v>15</v>
      </c>
      <c r="AH1180" s="155">
        <v>9.3000000000000005E-4</v>
      </c>
      <c r="AI1180" s="155">
        <f t="shared" si="18"/>
        <v>4.2714931879311267E-3</v>
      </c>
      <c r="AJ1180" s="155">
        <v>1.0792145059622145E-4</v>
      </c>
    </row>
    <row r="1181" spans="1:36" s="160" customFormat="1">
      <c r="A1181" s="153" t="s">
        <v>1213</v>
      </c>
      <c r="B1181" s="160">
        <v>9301</v>
      </c>
      <c r="C1181" s="153" t="s">
        <v>2897</v>
      </c>
      <c r="D1181" s="153" t="s">
        <v>2898</v>
      </c>
      <c r="E1181" s="153" t="s">
        <v>309</v>
      </c>
      <c r="F1181" s="153" t="s">
        <v>2899</v>
      </c>
      <c r="G1181" s="153" t="s">
        <v>2900</v>
      </c>
      <c r="H1181" s="153" t="s">
        <v>321</v>
      </c>
      <c r="I1181" s="153" t="s">
        <v>951</v>
      </c>
      <c r="J1181" s="153" t="s">
        <v>204</v>
      </c>
      <c r="K1181" s="153" t="s">
        <v>204</v>
      </c>
      <c r="L1181" s="153" t="s">
        <v>325</v>
      </c>
      <c r="M1181" s="153" t="s">
        <v>340</v>
      </c>
      <c r="N1181" s="153" t="s">
        <v>447</v>
      </c>
      <c r="O1181" s="153" t="s">
        <v>339</v>
      </c>
      <c r="P1181" s="153" t="s">
        <v>1614</v>
      </c>
      <c r="Q1181" s="153" t="s">
        <v>415</v>
      </c>
      <c r="R1181" s="153" t="s">
        <v>407</v>
      </c>
      <c r="S1181" s="153" t="s">
        <v>1212</v>
      </c>
      <c r="T1181" s="154">
        <v>1.21</v>
      </c>
      <c r="U1181" s="153" t="s">
        <v>1659</v>
      </c>
      <c r="V1181" s="155">
        <v>5.5419999999999997E-2</v>
      </c>
      <c r="W1181" s="155">
        <v>5.8400000000000001E-2</v>
      </c>
      <c r="X1181" s="153" t="s">
        <v>412</v>
      </c>
      <c r="Y1181" s="153" t="s">
        <v>339</v>
      </c>
      <c r="Z1181" s="154">
        <v>80000</v>
      </c>
      <c r="AA1181" s="154">
        <v>1</v>
      </c>
      <c r="AB1181" s="154">
        <v>96.06</v>
      </c>
      <c r="AD1181" s="154">
        <v>76.847999999999999</v>
      </c>
      <c r="AG1181" s="157" t="s">
        <v>15</v>
      </c>
      <c r="AH1181" s="155">
        <v>2.3000000000000001E-4</v>
      </c>
      <c r="AI1181" s="155">
        <f t="shared" si="18"/>
        <v>4.1774505396692608E-3</v>
      </c>
      <c r="AJ1181" s="155">
        <v>1.055454151978725E-4</v>
      </c>
    </row>
    <row r="1182" spans="1:36" s="160" customFormat="1">
      <c r="A1182" s="153" t="s">
        <v>1213</v>
      </c>
      <c r="B1182" s="160">
        <v>9301</v>
      </c>
      <c r="C1182" s="153" t="s">
        <v>3052</v>
      </c>
      <c r="D1182" s="153" t="s">
        <v>3053</v>
      </c>
      <c r="E1182" s="153" t="s">
        <v>309</v>
      </c>
      <c r="F1182" s="153" t="s">
        <v>3054</v>
      </c>
      <c r="G1182" s="153" t="s">
        <v>3055</v>
      </c>
      <c r="H1182" s="153" t="s">
        <v>321</v>
      </c>
      <c r="I1182" s="153" t="s">
        <v>951</v>
      </c>
      <c r="J1182" s="153" t="s">
        <v>204</v>
      </c>
      <c r="K1182" s="153" t="s">
        <v>204</v>
      </c>
      <c r="L1182" s="153" t="s">
        <v>325</v>
      </c>
      <c r="M1182" s="153" t="s">
        <v>340</v>
      </c>
      <c r="N1182" s="153" t="s">
        <v>447</v>
      </c>
      <c r="O1182" s="153" t="s">
        <v>339</v>
      </c>
      <c r="Q1182" s="153" t="s">
        <v>410</v>
      </c>
      <c r="R1182" s="153" t="s">
        <v>410</v>
      </c>
      <c r="S1182" s="153" t="s">
        <v>1212</v>
      </c>
      <c r="T1182" s="154">
        <v>1.97</v>
      </c>
      <c r="U1182" s="153" t="s">
        <v>2008</v>
      </c>
      <c r="V1182" s="155">
        <v>6.3689999999999997E-2</v>
      </c>
      <c r="W1182" s="155">
        <v>8.1000000000000003E-2</v>
      </c>
      <c r="X1182" s="153" t="s">
        <v>412</v>
      </c>
      <c r="Y1182" s="153" t="s">
        <v>339</v>
      </c>
      <c r="Z1182" s="154">
        <v>79200</v>
      </c>
      <c r="AA1182" s="154">
        <v>1</v>
      </c>
      <c r="AB1182" s="154">
        <v>94.96</v>
      </c>
      <c r="AD1182" s="154">
        <v>75.207999999999998</v>
      </c>
      <c r="AG1182" s="157" t="s">
        <v>15</v>
      </c>
      <c r="AH1182" s="155">
        <v>4.4000000000000002E-4</v>
      </c>
      <c r="AI1182" s="155">
        <f t="shared" si="18"/>
        <v>4.0883002835135039E-3</v>
      </c>
      <c r="AJ1182" s="155">
        <v>1.0329298857747235E-4</v>
      </c>
    </row>
    <row r="1183" spans="1:36" s="160" customFormat="1">
      <c r="A1183" s="153" t="s">
        <v>1213</v>
      </c>
      <c r="B1183" s="160">
        <v>9301</v>
      </c>
      <c r="C1183" s="153" t="s">
        <v>2463</v>
      </c>
      <c r="D1183" s="153" t="s">
        <v>2464</v>
      </c>
      <c r="E1183" s="153" t="s">
        <v>309</v>
      </c>
      <c r="F1183" s="153" t="s">
        <v>2472</v>
      </c>
      <c r="G1183" s="153" t="s">
        <v>2473</v>
      </c>
      <c r="H1183" s="153" t="s">
        <v>321</v>
      </c>
      <c r="I1183" s="153" t="s">
        <v>754</v>
      </c>
      <c r="J1183" s="153" t="s">
        <v>204</v>
      </c>
      <c r="K1183" s="153" t="s">
        <v>204</v>
      </c>
      <c r="L1183" s="153" t="s">
        <v>327</v>
      </c>
      <c r="M1183" s="153" t="s">
        <v>340</v>
      </c>
      <c r="N1183" s="153" t="s">
        <v>465</v>
      </c>
      <c r="O1183" s="153" t="s">
        <v>339</v>
      </c>
      <c r="P1183" s="153" t="s">
        <v>1554</v>
      </c>
      <c r="Q1183" s="153" t="s">
        <v>413</v>
      </c>
      <c r="R1183" s="153" t="s">
        <v>407</v>
      </c>
      <c r="S1183" s="153" t="s">
        <v>1212</v>
      </c>
      <c r="T1183" s="154">
        <v>2.23</v>
      </c>
      <c r="U1183" s="153" t="s">
        <v>1744</v>
      </c>
      <c r="V1183" s="155">
        <v>5.0470000000000001E-2</v>
      </c>
      <c r="W1183" s="155">
        <v>4.3999999999999997E-2</v>
      </c>
      <c r="X1183" s="153" t="s">
        <v>412</v>
      </c>
      <c r="Y1183" s="153" t="s">
        <v>339</v>
      </c>
      <c r="Z1183" s="154">
        <v>65000</v>
      </c>
      <c r="AA1183" s="154">
        <v>1</v>
      </c>
      <c r="AB1183" s="154">
        <f>AD1183*1000/Z1183*100</f>
        <v>114.27230769230769</v>
      </c>
      <c r="AD1183" s="154">
        <f>74.789-0.512</f>
        <v>74.277000000000001</v>
      </c>
      <c r="AG1183" s="157" t="s">
        <v>15</v>
      </c>
      <c r="AH1183" s="155">
        <v>4.0000000000000003E-5</v>
      </c>
      <c r="AI1183" s="155">
        <f t="shared" si="18"/>
        <v>4.0376912051714254E-3</v>
      </c>
      <c r="AJ1183" s="155">
        <v>1.0201432444113543E-4</v>
      </c>
    </row>
    <row r="1184" spans="1:36" s="160" customFormat="1">
      <c r="A1184" s="153" t="s">
        <v>1213</v>
      </c>
      <c r="B1184" s="160">
        <v>9301</v>
      </c>
      <c r="C1184" s="153" t="s">
        <v>2441</v>
      </c>
      <c r="D1184" s="153" t="s">
        <v>2442</v>
      </c>
      <c r="E1184" s="153" t="s">
        <v>309</v>
      </c>
      <c r="F1184" s="153" t="s">
        <v>2979</v>
      </c>
      <c r="G1184" s="153" t="s">
        <v>2980</v>
      </c>
      <c r="H1184" s="153" t="s">
        <v>321</v>
      </c>
      <c r="I1184" s="153" t="s">
        <v>951</v>
      </c>
      <c r="J1184" s="153" t="s">
        <v>204</v>
      </c>
      <c r="K1184" s="153" t="s">
        <v>204</v>
      </c>
      <c r="L1184" s="153" t="s">
        <v>325</v>
      </c>
      <c r="M1184" s="153" t="s">
        <v>340</v>
      </c>
      <c r="N1184" s="153" t="s">
        <v>462</v>
      </c>
      <c r="O1184" s="153" t="s">
        <v>339</v>
      </c>
      <c r="P1184" s="153" t="s">
        <v>1566</v>
      </c>
      <c r="Q1184" s="153" t="s">
        <v>413</v>
      </c>
      <c r="R1184" s="153" t="s">
        <v>407</v>
      </c>
      <c r="S1184" s="153" t="s">
        <v>1212</v>
      </c>
      <c r="T1184" s="154">
        <v>2.11</v>
      </c>
      <c r="U1184" s="153" t="s">
        <v>2981</v>
      </c>
      <c r="V1184" s="155">
        <v>4.6649999999999997E-2</v>
      </c>
      <c r="W1184" s="155">
        <v>5.6899999999999999E-2</v>
      </c>
      <c r="X1184" s="153" t="s">
        <v>412</v>
      </c>
      <c r="Y1184" s="153" t="s">
        <v>339</v>
      </c>
      <c r="Z1184" s="154">
        <v>78935.41</v>
      </c>
      <c r="AA1184" s="154">
        <v>1</v>
      </c>
      <c r="AB1184" s="154">
        <v>93.37</v>
      </c>
      <c r="AD1184" s="154">
        <v>73.701999999999998</v>
      </c>
      <c r="AG1184" s="157" t="s">
        <v>15</v>
      </c>
      <c r="AH1184" s="155">
        <v>2.3000000000000001E-4</v>
      </c>
      <c r="AI1184" s="155">
        <f t="shared" si="18"/>
        <v>4.0064342556046205E-3</v>
      </c>
      <c r="AJ1184" s="155">
        <v>1.0122460169312929E-4</v>
      </c>
    </row>
    <row r="1185" spans="1:36" s="160" customFormat="1">
      <c r="A1185" s="153" t="s">
        <v>1213</v>
      </c>
      <c r="B1185" s="160">
        <v>9301</v>
      </c>
      <c r="C1185" s="153" t="s">
        <v>455</v>
      </c>
      <c r="D1185" s="153" t="s">
        <v>2106</v>
      </c>
      <c r="E1185" s="153" t="s">
        <v>309</v>
      </c>
      <c r="F1185" s="153" t="s">
        <v>2160</v>
      </c>
      <c r="G1185" s="153" t="s">
        <v>2161</v>
      </c>
      <c r="H1185" s="153" t="s">
        <v>321</v>
      </c>
      <c r="I1185" s="153" t="s">
        <v>754</v>
      </c>
      <c r="J1185" s="153" t="s">
        <v>204</v>
      </c>
      <c r="K1185" s="153" t="s">
        <v>204</v>
      </c>
      <c r="L1185" s="153" t="s">
        <v>325</v>
      </c>
      <c r="M1185" s="153" t="s">
        <v>340</v>
      </c>
      <c r="N1185" s="153" t="s">
        <v>440</v>
      </c>
      <c r="O1185" s="153" t="s">
        <v>339</v>
      </c>
      <c r="P1185" s="153" t="s">
        <v>1923</v>
      </c>
      <c r="Q1185" s="153" t="s">
        <v>415</v>
      </c>
      <c r="R1185" s="153" t="s">
        <v>407</v>
      </c>
      <c r="S1185" s="153" t="s">
        <v>1212</v>
      </c>
      <c r="T1185" s="154">
        <v>0.9</v>
      </c>
      <c r="U1185" s="153" t="s">
        <v>2162</v>
      </c>
      <c r="V1185" s="155">
        <v>2.2950000000000002E-2</v>
      </c>
      <c r="W1185" s="155">
        <v>2.6100000000000002E-2</v>
      </c>
      <c r="X1185" s="153" t="s">
        <v>412</v>
      </c>
      <c r="Y1185" s="153" t="s">
        <v>339</v>
      </c>
      <c r="Z1185" s="154">
        <v>61000</v>
      </c>
      <c r="AA1185" s="154">
        <v>1</v>
      </c>
      <c r="AB1185" s="154">
        <v>119.4</v>
      </c>
      <c r="AD1185" s="154">
        <v>72.834000000000003</v>
      </c>
      <c r="AG1185" s="157" t="s">
        <v>15</v>
      </c>
      <c r="AH1185" s="155">
        <v>2.0000000000000002E-5</v>
      </c>
      <c r="AI1185" s="155">
        <f t="shared" si="18"/>
        <v>3.959249851736818E-3</v>
      </c>
      <c r="AJ1185" s="155">
        <v>1.0003246370135652E-4</v>
      </c>
    </row>
    <row r="1186" spans="1:36" s="160" customFormat="1">
      <c r="A1186" s="153" t="s">
        <v>1213</v>
      </c>
      <c r="B1186" s="160">
        <v>9301</v>
      </c>
      <c r="C1186" s="153" t="s">
        <v>1782</v>
      </c>
      <c r="D1186" s="153" t="s">
        <v>1783</v>
      </c>
      <c r="E1186" s="153" t="s">
        <v>309</v>
      </c>
      <c r="F1186" s="153" t="s">
        <v>1784</v>
      </c>
      <c r="G1186" s="153" t="s">
        <v>1785</v>
      </c>
      <c r="H1186" s="153" t="s">
        <v>321</v>
      </c>
      <c r="I1186" s="153" t="s">
        <v>952</v>
      </c>
      <c r="J1186" s="153" t="s">
        <v>204</v>
      </c>
      <c r="K1186" s="153" t="s">
        <v>204</v>
      </c>
      <c r="L1186" s="153" t="s">
        <v>325</v>
      </c>
      <c r="M1186" s="153" t="s">
        <v>340</v>
      </c>
      <c r="N1186" s="153" t="s">
        <v>461</v>
      </c>
      <c r="O1186" s="153" t="s">
        <v>339</v>
      </c>
      <c r="Q1186" s="153" t="s">
        <v>410</v>
      </c>
      <c r="R1186" s="153" t="s">
        <v>410</v>
      </c>
      <c r="S1186" s="153" t="s">
        <v>1212</v>
      </c>
      <c r="T1186" s="154">
        <v>3.43</v>
      </c>
      <c r="U1186" s="153" t="s">
        <v>1744</v>
      </c>
      <c r="V1186" s="155">
        <v>4.7039999999999998E-2</v>
      </c>
      <c r="W1186" s="155">
        <v>0.05</v>
      </c>
      <c r="X1186" s="153" t="s">
        <v>412</v>
      </c>
      <c r="Y1186" s="153" t="s">
        <v>339</v>
      </c>
      <c r="Z1186" s="154">
        <v>72000</v>
      </c>
      <c r="AA1186" s="154">
        <v>1</v>
      </c>
      <c r="AB1186" s="154">
        <v>100.9</v>
      </c>
      <c r="AD1186" s="154">
        <v>72.647999999999996</v>
      </c>
      <c r="AG1186" s="157" t="s">
        <v>15</v>
      </c>
      <c r="AH1186" s="155">
        <v>2.4000000000000001E-4</v>
      </c>
      <c r="AI1186" s="155">
        <f t="shared" si="18"/>
        <v>3.9491389080508598E-3</v>
      </c>
      <c r="AJ1186" s="155">
        <v>9.9777005560262351E-5</v>
      </c>
    </row>
    <row r="1187" spans="1:36" s="160" customFormat="1">
      <c r="A1187" s="153" t="s">
        <v>1213</v>
      </c>
      <c r="B1187" s="160">
        <v>9301</v>
      </c>
      <c r="C1187" s="153" t="s">
        <v>1687</v>
      </c>
      <c r="D1187" s="153" t="s">
        <v>1688</v>
      </c>
      <c r="E1187" s="153" t="s">
        <v>309</v>
      </c>
      <c r="F1187" s="153" t="s">
        <v>3000</v>
      </c>
      <c r="G1187" s="153" t="s">
        <v>3001</v>
      </c>
      <c r="H1187" s="153" t="s">
        <v>321</v>
      </c>
      <c r="I1187" s="153" t="s">
        <v>754</v>
      </c>
      <c r="J1187" s="153" t="s">
        <v>204</v>
      </c>
      <c r="K1187" s="153" t="s">
        <v>204</v>
      </c>
      <c r="L1187" s="153" t="s">
        <v>325</v>
      </c>
      <c r="M1187" s="153" t="s">
        <v>340</v>
      </c>
      <c r="N1187" s="153" t="s">
        <v>465</v>
      </c>
      <c r="O1187" s="153" t="s">
        <v>339</v>
      </c>
      <c r="P1187" s="153" t="s">
        <v>1614</v>
      </c>
      <c r="Q1187" s="153" t="s">
        <v>415</v>
      </c>
      <c r="R1187" s="153" t="s">
        <v>407</v>
      </c>
      <c r="S1187" s="153" t="s">
        <v>1212</v>
      </c>
      <c r="T1187" s="154">
        <v>0.74</v>
      </c>
      <c r="U1187" s="153" t="s">
        <v>1848</v>
      </c>
      <c r="V1187" s="155">
        <v>3.329E-2</v>
      </c>
      <c r="W1187" s="155">
        <v>2.6499999999999999E-2</v>
      </c>
      <c r="X1187" s="153" t="s">
        <v>412</v>
      </c>
      <c r="Y1187" s="153" t="s">
        <v>339</v>
      </c>
      <c r="Z1187" s="154">
        <v>63000</v>
      </c>
      <c r="AA1187" s="154">
        <v>1</v>
      </c>
      <c r="AB1187" s="154">
        <v>114.5</v>
      </c>
      <c r="AD1187" s="154">
        <v>72.135000000000005</v>
      </c>
      <c r="AG1187" s="157" t="s">
        <v>15</v>
      </c>
      <c r="AH1187" s="155">
        <v>2.7E-4</v>
      </c>
      <c r="AI1187" s="155">
        <f t="shared" si="18"/>
        <v>3.9212522730460407E-3</v>
      </c>
      <c r="AJ1187" s="155">
        <v>9.9072435525954266E-5</v>
      </c>
    </row>
    <row r="1188" spans="1:36" s="160" customFormat="1">
      <c r="A1188" s="153" t="s">
        <v>1213</v>
      </c>
      <c r="B1188" s="160">
        <v>9301</v>
      </c>
      <c r="C1188" s="153" t="s">
        <v>3048</v>
      </c>
      <c r="D1188" s="153" t="s">
        <v>3049</v>
      </c>
      <c r="E1188" s="153" t="s">
        <v>309</v>
      </c>
      <c r="F1188" s="153" t="s">
        <v>3050</v>
      </c>
      <c r="G1188" s="153" t="s">
        <v>3051</v>
      </c>
      <c r="H1188" s="153" t="s">
        <v>321</v>
      </c>
      <c r="I1188" s="153" t="s">
        <v>951</v>
      </c>
      <c r="J1188" s="153" t="s">
        <v>204</v>
      </c>
      <c r="K1188" s="153" t="s">
        <v>204</v>
      </c>
      <c r="L1188" s="153" t="s">
        <v>325</v>
      </c>
      <c r="M1188" s="153" t="s">
        <v>340</v>
      </c>
      <c r="N1188" s="153" t="s">
        <v>463</v>
      </c>
      <c r="O1188" s="153" t="s">
        <v>339</v>
      </c>
      <c r="Q1188" s="153" t="s">
        <v>410</v>
      </c>
      <c r="R1188" s="153" t="s">
        <v>410</v>
      </c>
      <c r="S1188" s="153" t="s">
        <v>1212</v>
      </c>
      <c r="T1188" s="154">
        <v>3.6</v>
      </c>
      <c r="U1188" s="153" t="s">
        <v>1717</v>
      </c>
      <c r="V1188" s="155">
        <v>6.5350000000000005E-2</v>
      </c>
      <c r="W1188" s="155">
        <v>6.6900000000000001E-2</v>
      </c>
      <c r="X1188" s="153" t="s">
        <v>412</v>
      </c>
      <c r="Y1188" s="153" t="s">
        <v>339</v>
      </c>
      <c r="Z1188" s="154">
        <v>67000</v>
      </c>
      <c r="AA1188" s="154">
        <v>1</v>
      </c>
      <c r="AB1188" s="154">
        <v>106.5</v>
      </c>
      <c r="AD1188" s="154">
        <v>71.355000000000004</v>
      </c>
      <c r="AG1188" s="157" t="s">
        <v>15</v>
      </c>
      <c r="AH1188" s="155">
        <v>1.2899999999999999E-3</v>
      </c>
      <c r="AI1188" s="155">
        <f t="shared" si="18"/>
        <v>3.8788515414597663E-3</v>
      </c>
      <c r="AJ1188" s="155">
        <v>9.8001159450398102E-5</v>
      </c>
    </row>
    <row r="1189" spans="1:36" s="160" customFormat="1">
      <c r="A1189" s="153" t="s">
        <v>1213</v>
      </c>
      <c r="B1189" s="160">
        <v>9301</v>
      </c>
      <c r="C1189" s="153" t="s">
        <v>1904</v>
      </c>
      <c r="D1189" s="153" t="s">
        <v>1905</v>
      </c>
      <c r="E1189" s="153" t="s">
        <v>309</v>
      </c>
      <c r="F1189" s="153" t="s">
        <v>2916</v>
      </c>
      <c r="G1189" s="153" t="s">
        <v>2917</v>
      </c>
      <c r="H1189" s="153" t="s">
        <v>321</v>
      </c>
      <c r="I1189" s="153" t="s">
        <v>951</v>
      </c>
      <c r="J1189" s="153" t="s">
        <v>204</v>
      </c>
      <c r="K1189" s="153" t="s">
        <v>204</v>
      </c>
      <c r="L1189" s="153" t="s">
        <v>325</v>
      </c>
      <c r="M1189" s="153" t="s">
        <v>340</v>
      </c>
      <c r="N1189" s="153" t="s">
        <v>448</v>
      </c>
      <c r="O1189" s="153" t="s">
        <v>339</v>
      </c>
      <c r="P1189" s="153" t="s">
        <v>1211</v>
      </c>
      <c r="Q1189" s="153" t="s">
        <v>415</v>
      </c>
      <c r="R1189" s="153" t="s">
        <v>407</v>
      </c>
      <c r="S1189" s="153" t="s">
        <v>1212</v>
      </c>
      <c r="T1189" s="154">
        <v>0.94</v>
      </c>
      <c r="U1189" s="153" t="s">
        <v>2918</v>
      </c>
      <c r="V1189" s="155">
        <v>5.0000000000000001E-4</v>
      </c>
      <c r="W1189" s="155">
        <v>4.6399999999999997E-2</v>
      </c>
      <c r="X1189" s="153" t="s">
        <v>412</v>
      </c>
      <c r="Y1189" s="153" t="s">
        <v>339</v>
      </c>
      <c r="Z1189" s="154">
        <v>7100</v>
      </c>
      <c r="AA1189" s="154">
        <v>1</v>
      </c>
      <c r="AB1189" s="154">
        <v>1001.72</v>
      </c>
      <c r="AD1189" s="154">
        <v>71.122</v>
      </c>
      <c r="AG1189" s="157" t="s">
        <v>15</v>
      </c>
      <c r="AH1189" s="155">
        <v>1.0000000000000001E-5</v>
      </c>
      <c r="AI1189" s="155">
        <f t="shared" si="18"/>
        <v>3.8661856818961739E-3</v>
      </c>
      <c r="AJ1189" s="155">
        <v>9.7681150058597332E-5</v>
      </c>
    </row>
    <row r="1190" spans="1:36" s="160" customFormat="1">
      <c r="A1190" s="153" t="s">
        <v>1213</v>
      </c>
      <c r="B1190" s="160">
        <v>9301</v>
      </c>
      <c r="C1190" s="153" t="s">
        <v>3080</v>
      </c>
      <c r="D1190" s="153" t="s">
        <v>3081</v>
      </c>
      <c r="E1190" s="153" t="s">
        <v>311</v>
      </c>
      <c r="F1190" s="153" t="s">
        <v>3082</v>
      </c>
      <c r="G1190" s="153" t="s">
        <v>3083</v>
      </c>
      <c r="H1190" s="153" t="s">
        <v>321</v>
      </c>
      <c r="I1190" s="153" t="s">
        <v>951</v>
      </c>
      <c r="J1190" s="153" t="s">
        <v>204</v>
      </c>
      <c r="K1190" s="153" t="s">
        <v>224</v>
      </c>
      <c r="L1190" s="153" t="s">
        <v>325</v>
      </c>
      <c r="M1190" s="153" t="s">
        <v>340</v>
      </c>
      <c r="N1190" s="153" t="s">
        <v>465</v>
      </c>
      <c r="O1190" s="153" t="s">
        <v>339</v>
      </c>
      <c r="P1190" s="153" t="s">
        <v>3084</v>
      </c>
      <c r="Q1190" s="153" t="s">
        <v>415</v>
      </c>
      <c r="R1190" s="153" t="s">
        <v>407</v>
      </c>
      <c r="S1190" s="153" t="s">
        <v>1212</v>
      </c>
      <c r="T1190" s="154">
        <v>1.33</v>
      </c>
      <c r="U1190" s="153" t="s">
        <v>2162</v>
      </c>
      <c r="V1190" s="155">
        <v>6.7720000000000002E-2</v>
      </c>
      <c r="W1190" s="155">
        <v>0.14180000000000001</v>
      </c>
      <c r="X1190" s="153" t="s">
        <v>412</v>
      </c>
      <c r="Y1190" s="153" t="s">
        <v>338</v>
      </c>
      <c r="Z1190" s="154">
        <v>73586.03</v>
      </c>
      <c r="AA1190" s="154">
        <v>1</v>
      </c>
      <c r="AB1190" s="154">
        <v>94.9</v>
      </c>
      <c r="AD1190" s="154">
        <v>69.832999999999998</v>
      </c>
      <c r="AG1190" s="157" t="s">
        <v>15</v>
      </c>
      <c r="AH1190" s="155">
        <v>3.8000000000000002E-4</v>
      </c>
      <c r="AI1190" s="155">
        <f t="shared" si="18"/>
        <v>3.7961157549542407E-3</v>
      </c>
      <c r="AJ1190" s="155">
        <v>9.5910797672197454E-5</v>
      </c>
    </row>
    <row r="1191" spans="1:36" s="160" customFormat="1">
      <c r="A1191" s="153" t="s">
        <v>1213</v>
      </c>
      <c r="B1191" s="160">
        <v>9301</v>
      </c>
      <c r="C1191" s="153" t="s">
        <v>1825</v>
      </c>
      <c r="D1191" s="153" t="s">
        <v>1826</v>
      </c>
      <c r="E1191" s="153" t="s">
        <v>309</v>
      </c>
      <c r="F1191" s="153" t="s">
        <v>2787</v>
      </c>
      <c r="G1191" s="153" t="s">
        <v>2788</v>
      </c>
      <c r="H1191" s="153" t="s">
        <v>321</v>
      </c>
      <c r="I1191" s="153" t="s">
        <v>951</v>
      </c>
      <c r="J1191" s="153" t="s">
        <v>204</v>
      </c>
      <c r="K1191" s="153" t="s">
        <v>204</v>
      </c>
      <c r="L1191" s="153" t="s">
        <v>325</v>
      </c>
      <c r="M1191" s="153" t="s">
        <v>340</v>
      </c>
      <c r="N1191" s="153" t="s">
        <v>441</v>
      </c>
      <c r="O1191" s="153" t="s">
        <v>339</v>
      </c>
      <c r="Q1191" s="153" t="s">
        <v>410</v>
      </c>
      <c r="R1191" s="153" t="s">
        <v>410</v>
      </c>
      <c r="S1191" s="153" t="s">
        <v>1212</v>
      </c>
      <c r="T1191" s="154">
        <v>2.76</v>
      </c>
      <c r="U1191" s="153" t="s">
        <v>1669</v>
      </c>
      <c r="V1191" s="155">
        <v>5.525E-2</v>
      </c>
      <c r="W1191" s="155">
        <v>5.9299999999999999E-2</v>
      </c>
      <c r="X1191" s="153" t="s">
        <v>412</v>
      </c>
      <c r="Y1191" s="153" t="s">
        <v>339</v>
      </c>
      <c r="Z1191" s="154">
        <v>67000</v>
      </c>
      <c r="AA1191" s="154">
        <v>1</v>
      </c>
      <c r="AB1191" s="154">
        <v>100.56</v>
      </c>
      <c r="AD1191" s="154">
        <v>67.375</v>
      </c>
      <c r="AG1191" s="157" t="s">
        <v>15</v>
      </c>
      <c r="AH1191" s="155">
        <v>2.9999999999999997E-4</v>
      </c>
      <c r="AI1191" s="155">
        <f t="shared" si="18"/>
        <v>3.662499090545186E-3</v>
      </c>
      <c r="AJ1191" s="155">
        <v>9.2534904603329423E-5</v>
      </c>
    </row>
    <row r="1192" spans="1:36" s="160" customFormat="1">
      <c r="A1192" s="153" t="s">
        <v>1213</v>
      </c>
      <c r="B1192" s="160">
        <v>9301</v>
      </c>
      <c r="C1192" s="153" t="s">
        <v>1713</v>
      </c>
      <c r="D1192" s="153" t="s">
        <v>1714</v>
      </c>
      <c r="E1192" s="153" t="s">
        <v>309</v>
      </c>
      <c r="F1192" s="153" t="s">
        <v>1715</v>
      </c>
      <c r="G1192" s="153" t="s">
        <v>1716</v>
      </c>
      <c r="H1192" s="153" t="s">
        <v>321</v>
      </c>
      <c r="I1192" s="153" t="s">
        <v>754</v>
      </c>
      <c r="J1192" s="153" t="s">
        <v>204</v>
      </c>
      <c r="K1192" s="153" t="s">
        <v>204</v>
      </c>
      <c r="L1192" s="153" t="s">
        <v>325</v>
      </c>
      <c r="M1192" s="153" t="s">
        <v>340</v>
      </c>
      <c r="N1192" s="153" t="s">
        <v>459</v>
      </c>
      <c r="O1192" s="153" t="s">
        <v>339</v>
      </c>
      <c r="Q1192" s="153" t="s">
        <v>410</v>
      </c>
      <c r="R1192" s="153" t="s">
        <v>410</v>
      </c>
      <c r="S1192" s="153" t="s">
        <v>1212</v>
      </c>
      <c r="T1192" s="154">
        <v>4.58</v>
      </c>
      <c r="U1192" s="153" t="s">
        <v>1717</v>
      </c>
      <c r="V1192" s="155">
        <v>3.5159999999999997E-2</v>
      </c>
      <c r="W1192" s="155">
        <v>3.8899999999999997E-2</v>
      </c>
      <c r="X1192" s="153" t="s">
        <v>412</v>
      </c>
      <c r="Y1192" s="153" t="s">
        <v>339</v>
      </c>
      <c r="Z1192" s="154">
        <v>66000</v>
      </c>
      <c r="AA1192" s="154">
        <v>1</v>
      </c>
      <c r="AB1192" s="154">
        <v>101.18</v>
      </c>
      <c r="AD1192" s="154">
        <v>66.778999999999996</v>
      </c>
      <c r="AG1192" s="157" t="s">
        <v>15</v>
      </c>
      <c r="AH1192" s="155">
        <v>2.0000000000000001E-4</v>
      </c>
      <c r="AI1192" s="155">
        <f t="shared" si="18"/>
        <v>3.6301005828202888E-3</v>
      </c>
      <c r="AJ1192" s="155">
        <v>9.1716339807135217E-5</v>
      </c>
    </row>
    <row r="1193" spans="1:36" s="160" customFormat="1">
      <c r="A1193" s="153" t="s">
        <v>1213</v>
      </c>
      <c r="B1193" s="160">
        <v>9301</v>
      </c>
      <c r="C1193" s="153" t="s">
        <v>2921</v>
      </c>
      <c r="D1193" s="153" t="s">
        <v>2922</v>
      </c>
      <c r="E1193" s="153" t="s">
        <v>309</v>
      </c>
      <c r="F1193" s="153" t="s">
        <v>2923</v>
      </c>
      <c r="G1193" s="153" t="s">
        <v>2924</v>
      </c>
      <c r="H1193" s="153" t="s">
        <v>321</v>
      </c>
      <c r="I1193" s="153" t="s">
        <v>951</v>
      </c>
      <c r="J1193" s="153" t="s">
        <v>204</v>
      </c>
      <c r="K1193" s="153" t="s">
        <v>204</v>
      </c>
      <c r="L1193" s="153" t="s">
        <v>325</v>
      </c>
      <c r="M1193" s="153" t="s">
        <v>340</v>
      </c>
      <c r="N1193" s="153" t="s">
        <v>447</v>
      </c>
      <c r="O1193" s="153" t="s">
        <v>339</v>
      </c>
      <c r="P1193" s="153" t="s">
        <v>1554</v>
      </c>
      <c r="Q1193" s="153" t="s">
        <v>413</v>
      </c>
      <c r="R1193" s="153" t="s">
        <v>407</v>
      </c>
      <c r="S1193" s="153" t="s">
        <v>1212</v>
      </c>
      <c r="T1193" s="154">
        <v>0.73</v>
      </c>
      <c r="U1193" s="153" t="s">
        <v>1777</v>
      </c>
      <c r="V1193" s="155">
        <v>3.7539999999999997E-2</v>
      </c>
      <c r="W1193" s="155">
        <v>6.2899999999999998E-2</v>
      </c>
      <c r="X1193" s="153" t="s">
        <v>412</v>
      </c>
      <c r="Y1193" s="153" t="s">
        <v>339</v>
      </c>
      <c r="Z1193" s="154">
        <v>66000</v>
      </c>
      <c r="AA1193" s="154">
        <v>1</v>
      </c>
      <c r="AB1193" s="154">
        <v>100.35</v>
      </c>
      <c r="AD1193" s="154">
        <v>66.230999999999995</v>
      </c>
      <c r="AG1193" s="157" t="s">
        <v>15</v>
      </c>
      <c r="AH1193" s="155">
        <v>1E-3</v>
      </c>
      <c r="AI1193" s="155">
        <f t="shared" si="18"/>
        <v>3.6003113508853166E-3</v>
      </c>
      <c r="AJ1193" s="155">
        <v>9.0963699692513702E-5</v>
      </c>
    </row>
    <row r="1194" spans="1:36" s="160" customFormat="1">
      <c r="A1194" s="153" t="s">
        <v>1213</v>
      </c>
      <c r="B1194" s="160">
        <v>9301</v>
      </c>
      <c r="C1194" s="153" t="s">
        <v>1687</v>
      </c>
      <c r="D1194" s="153" t="s">
        <v>1688</v>
      </c>
      <c r="E1194" s="153" t="s">
        <v>309</v>
      </c>
      <c r="F1194" s="153" t="s">
        <v>2956</v>
      </c>
      <c r="G1194" s="153" t="s">
        <v>2957</v>
      </c>
      <c r="H1194" s="153" t="s">
        <v>321</v>
      </c>
      <c r="I1194" s="153" t="s">
        <v>951</v>
      </c>
      <c r="J1194" s="153" t="s">
        <v>204</v>
      </c>
      <c r="K1194" s="153" t="s">
        <v>204</v>
      </c>
      <c r="L1194" s="153" t="s">
        <v>325</v>
      </c>
      <c r="M1194" s="153" t="s">
        <v>340</v>
      </c>
      <c r="N1194" s="153" t="s">
        <v>465</v>
      </c>
      <c r="O1194" s="153" t="s">
        <v>339</v>
      </c>
      <c r="P1194" s="153" t="s">
        <v>1614</v>
      </c>
      <c r="Q1194" s="153" t="s">
        <v>415</v>
      </c>
      <c r="R1194" s="153" t="s">
        <v>407</v>
      </c>
      <c r="S1194" s="153" t="s">
        <v>1212</v>
      </c>
      <c r="T1194" s="154">
        <v>2.65</v>
      </c>
      <c r="U1194" s="153" t="s">
        <v>2613</v>
      </c>
      <c r="V1194" s="155">
        <v>4.9059999999999999E-2</v>
      </c>
      <c r="W1194" s="155">
        <v>5.6399999999999999E-2</v>
      </c>
      <c r="X1194" s="153" t="s">
        <v>412</v>
      </c>
      <c r="Y1194" s="153" t="s">
        <v>339</v>
      </c>
      <c r="Z1194" s="154">
        <v>71945.119999999995</v>
      </c>
      <c r="AA1194" s="154">
        <v>1</v>
      </c>
      <c r="AB1194" s="154">
        <v>91.94</v>
      </c>
      <c r="AD1194" s="154">
        <v>66.146000000000001</v>
      </c>
      <c r="AG1194" s="157" t="s">
        <v>15</v>
      </c>
      <c r="AH1194" s="155">
        <v>1E-4</v>
      </c>
      <c r="AI1194" s="155">
        <f t="shared" si="18"/>
        <v>3.5956907583406584E-3</v>
      </c>
      <c r="AJ1194" s="155">
        <v>9.0846958068895408E-5</v>
      </c>
    </row>
    <row r="1195" spans="1:36" s="160" customFormat="1">
      <c r="A1195" s="153" t="s">
        <v>1213</v>
      </c>
      <c r="B1195" s="160">
        <v>9301</v>
      </c>
      <c r="C1195" s="153" t="s">
        <v>2238</v>
      </c>
      <c r="D1195" s="153" t="s">
        <v>2239</v>
      </c>
      <c r="E1195" s="153" t="s">
        <v>309</v>
      </c>
      <c r="F1195" s="153" t="s">
        <v>2794</v>
      </c>
      <c r="G1195" s="153" t="s">
        <v>2795</v>
      </c>
      <c r="H1195" s="153" t="s">
        <v>321</v>
      </c>
      <c r="I1195" s="153" t="s">
        <v>951</v>
      </c>
      <c r="J1195" s="153" t="s">
        <v>204</v>
      </c>
      <c r="K1195" s="153" t="s">
        <v>204</v>
      </c>
      <c r="L1195" s="153" t="s">
        <v>325</v>
      </c>
      <c r="M1195" s="153" t="s">
        <v>340</v>
      </c>
      <c r="N1195" s="153" t="s">
        <v>447</v>
      </c>
      <c r="O1195" s="153" t="s">
        <v>339</v>
      </c>
      <c r="P1195" s="153" t="s">
        <v>1544</v>
      </c>
      <c r="Q1195" s="153" t="s">
        <v>415</v>
      </c>
      <c r="R1195" s="153" t="s">
        <v>407</v>
      </c>
      <c r="S1195" s="153" t="s">
        <v>1212</v>
      </c>
      <c r="T1195" s="154">
        <v>0.74</v>
      </c>
      <c r="U1195" s="153" t="s">
        <v>1848</v>
      </c>
      <c r="V1195" s="155">
        <v>5.2970000000000003E-2</v>
      </c>
      <c r="W1195" s="155">
        <v>5.4600000000000003E-2</v>
      </c>
      <c r="X1195" s="153" t="s">
        <v>412</v>
      </c>
      <c r="Y1195" s="153" t="s">
        <v>339</v>
      </c>
      <c r="Z1195" s="154">
        <v>66000.27</v>
      </c>
      <c r="AA1195" s="154">
        <v>1</v>
      </c>
      <c r="AB1195" s="154">
        <v>100.18</v>
      </c>
      <c r="AD1195" s="154">
        <v>66.119</v>
      </c>
      <c r="AG1195" s="157" t="s">
        <v>15</v>
      </c>
      <c r="AH1195" s="155">
        <v>6.3000000000000003E-4</v>
      </c>
      <c r="AI1195" s="155">
        <f t="shared" si="18"/>
        <v>3.5942230407088262E-3</v>
      </c>
      <c r="AJ1195" s="155">
        <v>9.0809875435510776E-5</v>
      </c>
    </row>
    <row r="1196" spans="1:36" s="160" customFormat="1">
      <c r="A1196" s="153" t="s">
        <v>1213</v>
      </c>
      <c r="B1196" s="160">
        <v>9301</v>
      </c>
      <c r="C1196" s="153" t="s">
        <v>2396</v>
      </c>
      <c r="D1196" s="153" t="s">
        <v>2397</v>
      </c>
      <c r="E1196" s="153" t="s">
        <v>309</v>
      </c>
      <c r="F1196" s="153" t="s">
        <v>2398</v>
      </c>
      <c r="G1196" s="153" t="s">
        <v>2399</v>
      </c>
      <c r="H1196" s="153" t="s">
        <v>321</v>
      </c>
      <c r="I1196" s="153" t="s">
        <v>754</v>
      </c>
      <c r="J1196" s="153" t="s">
        <v>204</v>
      </c>
      <c r="K1196" s="153" t="s">
        <v>204</v>
      </c>
      <c r="L1196" s="153" t="s">
        <v>325</v>
      </c>
      <c r="M1196" s="153" t="s">
        <v>340</v>
      </c>
      <c r="N1196" s="153" t="s">
        <v>451</v>
      </c>
      <c r="O1196" s="153" t="s">
        <v>339</v>
      </c>
      <c r="P1196" s="153" t="s">
        <v>1521</v>
      </c>
      <c r="Q1196" s="153" t="s">
        <v>413</v>
      </c>
      <c r="R1196" s="153" t="s">
        <v>407</v>
      </c>
      <c r="S1196" s="153" t="s">
        <v>1212</v>
      </c>
      <c r="T1196" s="154">
        <v>4.7</v>
      </c>
      <c r="U1196" s="153" t="s">
        <v>2174</v>
      </c>
      <c r="V1196" s="155">
        <v>3.7039999999999997E-2</v>
      </c>
      <c r="W1196" s="155">
        <v>3.6700000000000003E-2</v>
      </c>
      <c r="X1196" s="153" t="s">
        <v>412</v>
      </c>
      <c r="Y1196" s="153" t="s">
        <v>339</v>
      </c>
      <c r="Z1196" s="154">
        <v>67500</v>
      </c>
      <c r="AA1196" s="154">
        <v>1</v>
      </c>
      <c r="AB1196" s="154">
        <v>97.72</v>
      </c>
      <c r="AD1196" s="154">
        <v>65.960999999999999</v>
      </c>
      <c r="AG1196" s="157" t="s">
        <v>15</v>
      </c>
      <c r="AH1196" s="155">
        <v>6.9999999999999994E-5</v>
      </c>
      <c r="AI1196" s="155">
        <f t="shared" si="18"/>
        <v>3.5856341745669909E-3</v>
      </c>
      <c r="AJ1196" s="155">
        <v>9.0592873358667344E-5</v>
      </c>
    </row>
    <row r="1197" spans="1:36" s="160" customFormat="1">
      <c r="A1197" s="153" t="s">
        <v>1213</v>
      </c>
      <c r="B1197" s="160">
        <v>9301</v>
      </c>
      <c r="C1197" s="153" t="s">
        <v>1512</v>
      </c>
      <c r="D1197" s="153" t="s">
        <v>1513</v>
      </c>
      <c r="E1197" s="153" t="s">
        <v>309</v>
      </c>
      <c r="F1197" s="153" t="s">
        <v>2940</v>
      </c>
      <c r="G1197" s="153" t="s">
        <v>2941</v>
      </c>
      <c r="H1197" s="153" t="s">
        <v>321</v>
      </c>
      <c r="I1197" s="153" t="s">
        <v>754</v>
      </c>
      <c r="J1197" s="153" t="s">
        <v>204</v>
      </c>
      <c r="K1197" s="153" t="s">
        <v>204</v>
      </c>
      <c r="L1197" s="153" t="s">
        <v>325</v>
      </c>
      <c r="M1197" s="153" t="s">
        <v>340</v>
      </c>
      <c r="N1197" s="153" t="s">
        <v>448</v>
      </c>
      <c r="O1197" s="153" t="s">
        <v>339</v>
      </c>
      <c r="P1197" s="153" t="s">
        <v>1215</v>
      </c>
      <c r="Q1197" s="153" t="s">
        <v>413</v>
      </c>
      <c r="R1197" s="153" t="s">
        <v>407</v>
      </c>
      <c r="S1197" s="153" t="s">
        <v>1212</v>
      </c>
      <c r="T1197" s="154">
        <v>4.4000000000000004</v>
      </c>
      <c r="U1197" s="153" t="s">
        <v>2435</v>
      </c>
      <c r="V1197" s="155">
        <v>1.423E-2</v>
      </c>
      <c r="W1197" s="155">
        <v>2.6100000000000002E-2</v>
      </c>
      <c r="X1197" s="153" t="s">
        <v>412</v>
      </c>
      <c r="Y1197" s="153" t="s">
        <v>339</v>
      </c>
      <c r="Z1197" s="154">
        <v>63000</v>
      </c>
      <c r="AA1197" s="154">
        <v>1</v>
      </c>
      <c r="AB1197" s="154">
        <v>102.78</v>
      </c>
      <c r="AD1197" s="154">
        <v>64.751000000000005</v>
      </c>
      <c r="AG1197" s="157" t="s">
        <v>15</v>
      </c>
      <c r="AH1197" s="155">
        <v>3.0000000000000001E-5</v>
      </c>
      <c r="AI1197" s="155">
        <f t="shared" si="18"/>
        <v>3.5198586806959756E-3</v>
      </c>
      <c r="AJ1197" s="155">
        <v>8.893102201068919E-5</v>
      </c>
    </row>
    <row r="1198" spans="1:36" s="160" customFormat="1">
      <c r="A1198" s="153" t="s">
        <v>1213</v>
      </c>
      <c r="B1198" s="160">
        <v>9301</v>
      </c>
      <c r="C1198" s="153" t="s">
        <v>3021</v>
      </c>
      <c r="D1198" s="153" t="s">
        <v>3022</v>
      </c>
      <c r="E1198" s="153" t="s">
        <v>309</v>
      </c>
      <c r="F1198" s="153" t="s">
        <v>3023</v>
      </c>
      <c r="G1198" s="153" t="s">
        <v>3024</v>
      </c>
      <c r="H1198" s="153" t="s">
        <v>321</v>
      </c>
      <c r="I1198" s="153" t="s">
        <v>754</v>
      </c>
      <c r="J1198" s="153" t="s">
        <v>204</v>
      </c>
      <c r="K1198" s="153" t="s">
        <v>204</v>
      </c>
      <c r="L1198" s="153" t="s">
        <v>325</v>
      </c>
      <c r="M1198" s="153" t="s">
        <v>340</v>
      </c>
      <c r="N1198" s="153" t="s">
        <v>441</v>
      </c>
      <c r="O1198" s="153" t="s">
        <v>339</v>
      </c>
      <c r="Q1198" s="153" t="s">
        <v>410</v>
      </c>
      <c r="R1198" s="153" t="s">
        <v>410</v>
      </c>
      <c r="S1198" s="153" t="s">
        <v>1212</v>
      </c>
      <c r="T1198" s="154">
        <v>2.25</v>
      </c>
      <c r="U1198" s="153" t="s">
        <v>1744</v>
      </c>
      <c r="V1198" s="155">
        <v>6.2039999999999998E-2</v>
      </c>
      <c r="W1198" s="155">
        <v>5.9200000000000003E-2</v>
      </c>
      <c r="X1198" s="153" t="s">
        <v>412</v>
      </c>
      <c r="Y1198" s="153" t="s">
        <v>339</v>
      </c>
      <c r="Z1198" s="154">
        <v>59400</v>
      </c>
      <c r="AA1198" s="154">
        <v>1</v>
      </c>
      <c r="AB1198" s="154">
        <v>108.93</v>
      </c>
      <c r="AD1198" s="154">
        <v>64.703999999999994</v>
      </c>
      <c r="AG1198" s="157" t="s">
        <v>15</v>
      </c>
      <c r="AH1198" s="155">
        <v>1.24E-3</v>
      </c>
      <c r="AI1198" s="155">
        <f t="shared" si="18"/>
        <v>3.5173037648183404E-3</v>
      </c>
      <c r="AJ1198" s="155">
        <v>8.886647075998259E-5</v>
      </c>
    </row>
    <row r="1199" spans="1:36" s="160" customFormat="1">
      <c r="A1199" s="153" t="s">
        <v>1213</v>
      </c>
      <c r="B1199" s="160">
        <v>9301</v>
      </c>
      <c r="C1199" s="153" t="s">
        <v>2463</v>
      </c>
      <c r="D1199" s="153" t="s">
        <v>2464</v>
      </c>
      <c r="E1199" s="153" t="s">
        <v>309</v>
      </c>
      <c r="F1199" s="153" t="s">
        <v>3035</v>
      </c>
      <c r="G1199" s="153" t="s">
        <v>3036</v>
      </c>
      <c r="H1199" s="153" t="s">
        <v>321</v>
      </c>
      <c r="I1199" s="153" t="s">
        <v>754</v>
      </c>
      <c r="J1199" s="153" t="s">
        <v>204</v>
      </c>
      <c r="K1199" s="153" t="s">
        <v>204</v>
      </c>
      <c r="L1199" s="153" t="s">
        <v>325</v>
      </c>
      <c r="M1199" s="153" t="s">
        <v>340</v>
      </c>
      <c r="N1199" s="153" t="s">
        <v>465</v>
      </c>
      <c r="O1199" s="153" t="s">
        <v>339</v>
      </c>
      <c r="P1199" s="153" t="s">
        <v>1560</v>
      </c>
      <c r="Q1199" s="153" t="s">
        <v>413</v>
      </c>
      <c r="R1199" s="153" t="s">
        <v>407</v>
      </c>
      <c r="S1199" s="153" t="s">
        <v>1212</v>
      </c>
      <c r="T1199" s="154">
        <v>4.74</v>
      </c>
      <c r="U1199" s="153" t="s">
        <v>1962</v>
      </c>
      <c r="V1199" s="155">
        <v>4.6760000000000003E-2</v>
      </c>
      <c r="W1199" s="155">
        <v>4.2900000000000001E-2</v>
      </c>
      <c r="X1199" s="153" t="s">
        <v>412</v>
      </c>
      <c r="Y1199" s="153" t="s">
        <v>339</v>
      </c>
      <c r="Z1199" s="154">
        <v>59000</v>
      </c>
      <c r="AA1199" s="154">
        <v>1</v>
      </c>
      <c r="AB1199" s="154">
        <v>106.46</v>
      </c>
      <c r="AD1199" s="154">
        <v>62.811</v>
      </c>
      <c r="AG1199" s="157" t="s">
        <v>15</v>
      </c>
      <c r="AH1199" s="155">
        <v>1.3999999999999999E-4</v>
      </c>
      <c r="AI1199" s="155">
        <f t="shared" si="18"/>
        <v>3.41440045085319E-3</v>
      </c>
      <c r="AJ1199" s="155">
        <v>8.6266566130459735E-5</v>
      </c>
    </row>
    <row r="1200" spans="1:36" s="160" customFormat="1">
      <c r="A1200" s="153" t="s">
        <v>1213</v>
      </c>
      <c r="B1200" s="160">
        <v>9301</v>
      </c>
      <c r="C1200" s="153" t="s">
        <v>2835</v>
      </c>
      <c r="D1200" s="153" t="s">
        <v>2836</v>
      </c>
      <c r="E1200" s="153" t="s">
        <v>309</v>
      </c>
      <c r="F1200" s="153" t="s">
        <v>3033</v>
      </c>
      <c r="G1200" s="153" t="s">
        <v>3034</v>
      </c>
      <c r="H1200" s="153" t="s">
        <v>321</v>
      </c>
      <c r="I1200" s="153" t="s">
        <v>951</v>
      </c>
      <c r="J1200" s="153" t="s">
        <v>204</v>
      </c>
      <c r="K1200" s="153" t="s">
        <v>204</v>
      </c>
      <c r="L1200" s="153" t="s">
        <v>325</v>
      </c>
      <c r="M1200" s="153" t="s">
        <v>340</v>
      </c>
      <c r="N1200" s="153" t="s">
        <v>466</v>
      </c>
      <c r="O1200" s="153" t="s">
        <v>339</v>
      </c>
      <c r="P1200" s="153" t="s">
        <v>1521</v>
      </c>
      <c r="Q1200" s="153" t="s">
        <v>413</v>
      </c>
      <c r="R1200" s="153" t="s">
        <v>407</v>
      </c>
      <c r="S1200" s="153" t="s">
        <v>1212</v>
      </c>
      <c r="T1200" s="154">
        <v>0.25</v>
      </c>
      <c r="U1200" s="153" t="s">
        <v>2541</v>
      </c>
      <c r="V1200" s="155">
        <v>5.5300000000000002E-2</v>
      </c>
      <c r="W1200" s="155">
        <v>5.74E-2</v>
      </c>
      <c r="X1200" s="153" t="s">
        <v>412</v>
      </c>
      <c r="Y1200" s="153" t="s">
        <v>339</v>
      </c>
      <c r="Z1200" s="154">
        <v>61000</v>
      </c>
      <c r="AA1200" s="154">
        <v>1</v>
      </c>
      <c r="AB1200" s="154">
        <v>100.96</v>
      </c>
      <c r="AD1200" s="154">
        <v>61.585999999999999</v>
      </c>
      <c r="AG1200" s="157" t="s">
        <v>15</v>
      </c>
      <c r="AH1200" s="155">
        <v>7.2999999999999996E-4</v>
      </c>
      <c r="AI1200" s="155">
        <f t="shared" si="18"/>
        <v>3.3478095582978231E-3</v>
      </c>
      <c r="AJ1200" s="155">
        <v>8.4584113319490105E-5</v>
      </c>
    </row>
    <row r="1201" spans="1:36" s="160" customFormat="1">
      <c r="A1201" s="153" t="s">
        <v>1213</v>
      </c>
      <c r="B1201" s="160">
        <v>9301</v>
      </c>
      <c r="C1201" s="153" t="s">
        <v>2883</v>
      </c>
      <c r="D1201" s="153">
        <v>53368</v>
      </c>
      <c r="E1201" s="153" t="s">
        <v>311</v>
      </c>
      <c r="F1201" s="153" t="s">
        <v>2885</v>
      </c>
      <c r="G1201" s="153" t="s">
        <v>2886</v>
      </c>
      <c r="H1201" s="153" t="s">
        <v>321</v>
      </c>
      <c r="I1201" s="153" t="s">
        <v>755</v>
      </c>
      <c r="J1201" s="153" t="s">
        <v>204</v>
      </c>
      <c r="K1201" s="153" t="s">
        <v>204</v>
      </c>
      <c r="L1201" s="153" t="s">
        <v>325</v>
      </c>
      <c r="M1201" s="153" t="s">
        <v>340</v>
      </c>
      <c r="N1201" s="153" t="s">
        <v>480</v>
      </c>
      <c r="O1201" s="153" t="s">
        <v>339</v>
      </c>
      <c r="P1201" s="153" t="s">
        <v>1566</v>
      </c>
      <c r="Q1201" s="153" t="s">
        <v>413</v>
      </c>
      <c r="R1201" s="153" t="s">
        <v>407</v>
      </c>
      <c r="S1201" s="153" t="s">
        <v>1212</v>
      </c>
      <c r="T1201" s="154">
        <v>0.73</v>
      </c>
      <c r="U1201" s="153" t="s">
        <v>1749</v>
      </c>
      <c r="V1201" s="155">
        <v>2.87E-2</v>
      </c>
      <c r="W1201" s="155">
        <v>7.2599999999999998E-2</v>
      </c>
      <c r="X1201" s="153" t="s">
        <v>412</v>
      </c>
      <c r="Y1201" s="153" t="s">
        <v>339</v>
      </c>
      <c r="Z1201" s="154">
        <v>59333.46</v>
      </c>
      <c r="AA1201" s="154">
        <v>1</v>
      </c>
      <c r="AB1201" s="154">
        <v>103.4</v>
      </c>
      <c r="AD1201" s="154">
        <v>61.350999999999999</v>
      </c>
      <c r="AG1201" s="157" t="s">
        <v>15</v>
      </c>
      <c r="AH1201" s="155">
        <v>4.2000000000000002E-4</v>
      </c>
      <c r="AI1201" s="155">
        <f t="shared" si="18"/>
        <v>3.3350349789096506E-3</v>
      </c>
      <c r="AJ1201" s="155">
        <v>8.4261357065957163E-5</v>
      </c>
    </row>
    <row r="1202" spans="1:36" s="160" customFormat="1">
      <c r="A1202" s="153" t="s">
        <v>1213</v>
      </c>
      <c r="B1202" s="160">
        <v>9301</v>
      </c>
      <c r="C1202" s="153" t="s">
        <v>1893</v>
      </c>
      <c r="D1202" s="153" t="s">
        <v>1894</v>
      </c>
      <c r="E1202" s="153" t="s">
        <v>309</v>
      </c>
      <c r="F1202" s="153" t="s">
        <v>2919</v>
      </c>
      <c r="G1202" s="153" t="s">
        <v>2920</v>
      </c>
      <c r="H1202" s="153" t="s">
        <v>321</v>
      </c>
      <c r="I1202" s="153" t="s">
        <v>951</v>
      </c>
      <c r="J1202" s="153" t="s">
        <v>204</v>
      </c>
      <c r="K1202" s="153" t="s">
        <v>204</v>
      </c>
      <c r="L1202" s="153" t="s">
        <v>325</v>
      </c>
      <c r="M1202" s="153" t="s">
        <v>340</v>
      </c>
      <c r="N1202" s="153" t="s">
        <v>464</v>
      </c>
      <c r="O1202" s="153" t="s">
        <v>339</v>
      </c>
      <c r="P1202" s="153" t="s">
        <v>1560</v>
      </c>
      <c r="Q1202" s="153" t="s">
        <v>413</v>
      </c>
      <c r="R1202" s="153" t="s">
        <v>407</v>
      </c>
      <c r="S1202" s="153" t="s">
        <v>1212</v>
      </c>
      <c r="T1202" s="154">
        <v>0.79</v>
      </c>
      <c r="U1202" s="153" t="s">
        <v>2667</v>
      </c>
      <c r="V1202" s="155">
        <v>6.0000000000000001E-3</v>
      </c>
      <c r="W1202" s="155">
        <v>5.3400000000000003E-2</v>
      </c>
      <c r="X1202" s="153" t="s">
        <v>412</v>
      </c>
      <c r="Y1202" s="153" t="s">
        <v>339</v>
      </c>
      <c r="Z1202" s="154">
        <v>6000</v>
      </c>
      <c r="AA1202" s="154">
        <v>1</v>
      </c>
      <c r="AB1202" s="154">
        <v>1009</v>
      </c>
      <c r="AD1202" s="154">
        <v>60.54</v>
      </c>
      <c r="AG1202" s="157" t="s">
        <v>15</v>
      </c>
      <c r="AH1202" s="155">
        <v>3.0000000000000001E-5</v>
      </c>
      <c r="AI1202" s="155">
        <f t="shared" si="18"/>
        <v>3.2909490900423829E-3</v>
      </c>
      <c r="AJ1202" s="155">
        <v>8.3147504633551968E-5</v>
      </c>
    </row>
    <row r="1203" spans="1:36" s="160" customFormat="1">
      <c r="A1203" s="153" t="s">
        <v>1213</v>
      </c>
      <c r="B1203" s="160">
        <v>9301</v>
      </c>
      <c r="C1203" s="153" t="s">
        <v>2858</v>
      </c>
      <c r="D1203" s="153" t="s">
        <v>2859</v>
      </c>
      <c r="E1203" s="153" t="s">
        <v>309</v>
      </c>
      <c r="F1203" s="153" t="s">
        <v>2860</v>
      </c>
      <c r="G1203" s="153" t="s">
        <v>2861</v>
      </c>
      <c r="H1203" s="153" t="s">
        <v>321</v>
      </c>
      <c r="I1203" s="153" t="s">
        <v>754</v>
      </c>
      <c r="J1203" s="153" t="s">
        <v>204</v>
      </c>
      <c r="K1203" s="153" t="s">
        <v>204</v>
      </c>
      <c r="L1203" s="153" t="s">
        <v>325</v>
      </c>
      <c r="M1203" s="153" t="s">
        <v>340</v>
      </c>
      <c r="N1203" s="153" t="s">
        <v>477</v>
      </c>
      <c r="O1203" s="153" t="s">
        <v>339</v>
      </c>
      <c r="P1203" s="153" t="s">
        <v>1811</v>
      </c>
      <c r="Q1203" s="153" t="s">
        <v>413</v>
      </c>
      <c r="R1203" s="153" t="s">
        <v>407</v>
      </c>
      <c r="S1203" s="153" t="s">
        <v>1212</v>
      </c>
      <c r="T1203" s="154">
        <v>3.63</v>
      </c>
      <c r="U1203" s="153" t="s">
        <v>1555</v>
      </c>
      <c r="V1203" s="155">
        <v>1.9279999999999999E-2</v>
      </c>
      <c r="W1203" s="155">
        <v>2.3300000000000001E-2</v>
      </c>
      <c r="X1203" s="153" t="s">
        <v>412</v>
      </c>
      <c r="Y1203" s="153" t="s">
        <v>339</v>
      </c>
      <c r="Z1203" s="154">
        <v>56000</v>
      </c>
      <c r="AA1203" s="154">
        <v>1</v>
      </c>
      <c r="AB1203" s="154">
        <v>107.45</v>
      </c>
      <c r="AD1203" s="154">
        <v>60.171999999999997</v>
      </c>
      <c r="AG1203" s="157" t="s">
        <v>15</v>
      </c>
      <c r="AH1203" s="155">
        <v>8.0000000000000004E-4</v>
      </c>
      <c r="AI1203" s="155">
        <f t="shared" si="18"/>
        <v>3.2709446423196276E-3</v>
      </c>
      <c r="AJ1203" s="155">
        <v>8.2642082074828026E-5</v>
      </c>
    </row>
    <row r="1204" spans="1:36" s="160" customFormat="1">
      <c r="A1204" s="153" t="s">
        <v>1213</v>
      </c>
      <c r="B1204" s="160">
        <v>9301</v>
      </c>
      <c r="C1204" s="153" t="s">
        <v>1909</v>
      </c>
      <c r="D1204" s="153" t="s">
        <v>1910</v>
      </c>
      <c r="E1204" s="153" t="s">
        <v>309</v>
      </c>
      <c r="F1204" s="153" t="s">
        <v>2925</v>
      </c>
      <c r="G1204" s="153" t="s">
        <v>2926</v>
      </c>
      <c r="H1204" s="153" t="s">
        <v>321</v>
      </c>
      <c r="I1204" s="153" t="s">
        <v>754</v>
      </c>
      <c r="J1204" s="153" t="s">
        <v>204</v>
      </c>
      <c r="K1204" s="153" t="s">
        <v>204</v>
      </c>
      <c r="L1204" s="153" t="s">
        <v>325</v>
      </c>
      <c r="M1204" s="153" t="s">
        <v>340</v>
      </c>
      <c r="N1204" s="153" t="s">
        <v>464</v>
      </c>
      <c r="O1204" s="153" t="s">
        <v>339</v>
      </c>
      <c r="Q1204" s="153" t="s">
        <v>410</v>
      </c>
      <c r="R1204" s="153" t="s">
        <v>410</v>
      </c>
      <c r="S1204" s="153" t="s">
        <v>1212</v>
      </c>
      <c r="T1204" s="154">
        <v>5.66</v>
      </c>
      <c r="U1204" s="153" t="s">
        <v>2227</v>
      </c>
      <c r="V1204" s="155">
        <v>3.116E-2</v>
      </c>
      <c r="W1204" s="155">
        <v>3.44E-2</v>
      </c>
      <c r="X1204" s="153" t="s">
        <v>412</v>
      </c>
      <c r="Y1204" s="153" t="s">
        <v>339</v>
      </c>
      <c r="Z1204" s="154">
        <v>56000</v>
      </c>
      <c r="AA1204" s="154">
        <v>1</v>
      </c>
      <c r="AB1204" s="154">
        <v>107.36</v>
      </c>
      <c r="AD1204" s="154">
        <v>60.122</v>
      </c>
      <c r="AG1204" s="157" t="s">
        <v>15</v>
      </c>
      <c r="AH1204" s="155">
        <v>1.2999999999999999E-4</v>
      </c>
      <c r="AI1204" s="155">
        <f t="shared" si="18"/>
        <v>3.268226646705123E-3</v>
      </c>
      <c r="AJ1204" s="155">
        <v>8.2573410531523148E-5</v>
      </c>
    </row>
    <row r="1205" spans="1:36" s="160" customFormat="1">
      <c r="A1205" s="153" t="s">
        <v>1213</v>
      </c>
      <c r="B1205" s="160">
        <v>9301</v>
      </c>
      <c r="C1205" s="153" t="s">
        <v>1909</v>
      </c>
      <c r="D1205" s="153" t="s">
        <v>1910</v>
      </c>
      <c r="E1205" s="153" t="s">
        <v>309</v>
      </c>
      <c r="F1205" s="153" t="s">
        <v>1911</v>
      </c>
      <c r="G1205" s="153" t="s">
        <v>1912</v>
      </c>
      <c r="H1205" s="153" t="s">
        <v>321</v>
      </c>
      <c r="I1205" s="153" t="s">
        <v>754</v>
      </c>
      <c r="J1205" s="153" t="s">
        <v>204</v>
      </c>
      <c r="K1205" s="153" t="s">
        <v>204</v>
      </c>
      <c r="L1205" s="153" t="s">
        <v>325</v>
      </c>
      <c r="M1205" s="153" t="s">
        <v>340</v>
      </c>
      <c r="N1205" s="153" t="s">
        <v>464</v>
      </c>
      <c r="O1205" s="153" t="s">
        <v>339</v>
      </c>
      <c r="Q1205" s="153" t="s">
        <v>410</v>
      </c>
      <c r="R1205" s="153" t="s">
        <v>410</v>
      </c>
      <c r="S1205" s="153" t="s">
        <v>1212</v>
      </c>
      <c r="T1205" s="154">
        <v>4.2</v>
      </c>
      <c r="U1205" s="153" t="s">
        <v>1913</v>
      </c>
      <c r="V1205" s="155">
        <v>2.5999999999999999E-2</v>
      </c>
      <c r="W1205" s="155">
        <v>3.0300000000000001E-2</v>
      </c>
      <c r="X1205" s="153" t="s">
        <v>412</v>
      </c>
      <c r="Y1205" s="153" t="s">
        <v>339</v>
      </c>
      <c r="Z1205" s="154">
        <v>56000</v>
      </c>
      <c r="AA1205" s="154">
        <v>1</v>
      </c>
      <c r="AB1205" s="154">
        <v>104.57</v>
      </c>
      <c r="AD1205" s="154">
        <v>58.558999999999997</v>
      </c>
      <c r="AG1205" s="157" t="s">
        <v>15</v>
      </c>
      <c r="AH1205" s="155">
        <v>9.0000000000000006E-5</v>
      </c>
      <c r="AI1205" s="155">
        <f t="shared" si="18"/>
        <v>3.1832621037957039E-3</v>
      </c>
      <c r="AJ1205" s="155">
        <v>8.0426738087812513E-5</v>
      </c>
    </row>
    <row r="1206" spans="1:36" s="160" customFormat="1">
      <c r="A1206" s="153" t="s">
        <v>1213</v>
      </c>
      <c r="B1206" s="160">
        <v>9301</v>
      </c>
      <c r="C1206" s="153" t="s">
        <v>2391</v>
      </c>
      <c r="D1206" s="153" t="s">
        <v>2392</v>
      </c>
      <c r="E1206" s="153" t="s">
        <v>309</v>
      </c>
      <c r="F1206" s="153" t="s">
        <v>2909</v>
      </c>
      <c r="G1206" s="153" t="s">
        <v>2910</v>
      </c>
      <c r="H1206" s="153" t="s">
        <v>321</v>
      </c>
      <c r="I1206" s="153" t="s">
        <v>754</v>
      </c>
      <c r="J1206" s="153" t="s">
        <v>204</v>
      </c>
      <c r="K1206" s="153" t="s">
        <v>204</v>
      </c>
      <c r="L1206" s="153" t="s">
        <v>327</v>
      </c>
      <c r="M1206" s="153" t="s">
        <v>340</v>
      </c>
      <c r="N1206" s="153" t="s">
        <v>464</v>
      </c>
      <c r="O1206" s="153" t="s">
        <v>339</v>
      </c>
      <c r="P1206" s="153" t="s">
        <v>1538</v>
      </c>
      <c r="Q1206" s="153" t="s">
        <v>413</v>
      </c>
      <c r="R1206" s="153" t="s">
        <v>407</v>
      </c>
      <c r="S1206" s="153" t="s">
        <v>1212</v>
      </c>
      <c r="T1206" s="154">
        <v>1.1599999999999999</v>
      </c>
      <c r="U1206" s="153" t="s">
        <v>2530</v>
      </c>
      <c r="V1206" s="155">
        <v>1.643E-2</v>
      </c>
      <c r="W1206" s="155">
        <v>2.4500000000000001E-2</v>
      </c>
      <c r="X1206" s="153" t="s">
        <v>412</v>
      </c>
      <c r="Y1206" s="153" t="s">
        <v>339</v>
      </c>
      <c r="Z1206" s="154">
        <v>15000</v>
      </c>
      <c r="AA1206" s="154">
        <v>1</v>
      </c>
      <c r="AB1206" s="154">
        <f>AD1206*1000/Z1206*100</f>
        <v>115.772932604736</v>
      </c>
      <c r="AD1206" s="154">
        <f>17365.9398907104/1000</f>
        <v>17.365939890710401</v>
      </c>
      <c r="AG1206" s="157" t="s">
        <v>15</v>
      </c>
      <c r="AH1206" s="155">
        <v>1.2E-4</v>
      </c>
      <c r="AI1206" s="155">
        <f t="shared" si="18"/>
        <v>9.4401096929408847E-4</v>
      </c>
      <c r="AJ1206" s="155">
        <v>2.3850917864698181E-5</v>
      </c>
    </row>
    <row r="1207" spans="1:36" s="160" customFormat="1">
      <c r="A1207" s="153" t="s">
        <v>1213</v>
      </c>
      <c r="B1207" s="160">
        <v>9301</v>
      </c>
      <c r="C1207" s="153" t="s">
        <v>2876</v>
      </c>
      <c r="D1207" s="153" t="s">
        <v>2877</v>
      </c>
      <c r="E1207" s="153" t="s">
        <v>309</v>
      </c>
      <c r="F1207" s="153" t="s">
        <v>2878</v>
      </c>
      <c r="G1207" s="153" t="s">
        <v>2879</v>
      </c>
      <c r="H1207" s="153" t="s">
        <v>321</v>
      </c>
      <c r="I1207" s="153" t="s">
        <v>951</v>
      </c>
      <c r="J1207" s="153" t="s">
        <v>204</v>
      </c>
      <c r="K1207" s="153" t="s">
        <v>204</v>
      </c>
      <c r="L1207" s="153" t="s">
        <v>325</v>
      </c>
      <c r="M1207" s="153" t="s">
        <v>340</v>
      </c>
      <c r="N1207" s="153" t="s">
        <v>436</v>
      </c>
      <c r="O1207" s="153" t="s">
        <v>339</v>
      </c>
      <c r="P1207" s="153" t="s">
        <v>1211</v>
      </c>
      <c r="Q1207" s="153" t="s">
        <v>415</v>
      </c>
      <c r="R1207" s="153" t="s">
        <v>407</v>
      </c>
      <c r="S1207" s="153" t="s">
        <v>1212</v>
      </c>
      <c r="T1207" s="154">
        <v>2.3199999999999998</v>
      </c>
      <c r="U1207" s="153" t="s">
        <v>2880</v>
      </c>
      <c r="V1207" s="155">
        <v>2.3900000000000001E-2</v>
      </c>
      <c r="W1207" s="155">
        <v>5.1999999999999998E-2</v>
      </c>
      <c r="X1207" s="153" t="s">
        <v>412</v>
      </c>
      <c r="Y1207" s="153" t="s">
        <v>339</v>
      </c>
      <c r="Z1207" s="154">
        <v>60000</v>
      </c>
      <c r="AA1207" s="154">
        <v>1</v>
      </c>
      <c r="AB1207" s="154">
        <v>96.67</v>
      </c>
      <c r="AD1207" s="154">
        <v>58.002000000000002</v>
      </c>
      <c r="AG1207" s="157" t="s">
        <v>15</v>
      </c>
      <c r="AH1207" s="155">
        <v>5.5000000000000003E-4</v>
      </c>
      <c r="AI1207" s="155">
        <f t="shared" si="18"/>
        <v>3.1529836326501209E-3</v>
      </c>
      <c r="AJ1207" s="155">
        <v>7.9661737095396121E-5</v>
      </c>
    </row>
    <row r="1208" spans="1:36" s="160" customFormat="1">
      <c r="A1208" s="153" t="s">
        <v>1213</v>
      </c>
      <c r="B1208" s="160">
        <v>9301</v>
      </c>
      <c r="C1208" s="153" t="s">
        <v>1947</v>
      </c>
      <c r="D1208" s="153" t="s">
        <v>1948</v>
      </c>
      <c r="E1208" s="153" t="s">
        <v>309</v>
      </c>
      <c r="F1208" s="153" t="s">
        <v>1949</v>
      </c>
      <c r="G1208" s="153" t="s">
        <v>1950</v>
      </c>
      <c r="H1208" s="153" t="s">
        <v>321</v>
      </c>
      <c r="I1208" s="153" t="s">
        <v>754</v>
      </c>
      <c r="J1208" s="153" t="s">
        <v>204</v>
      </c>
      <c r="K1208" s="153" t="s">
        <v>204</v>
      </c>
      <c r="L1208" s="153" t="s">
        <v>325</v>
      </c>
      <c r="M1208" s="153" t="s">
        <v>340</v>
      </c>
      <c r="N1208" s="153" t="s">
        <v>464</v>
      </c>
      <c r="O1208" s="153" t="s">
        <v>339</v>
      </c>
      <c r="Q1208" s="153" t="s">
        <v>410</v>
      </c>
      <c r="R1208" s="153" t="s">
        <v>410</v>
      </c>
      <c r="S1208" s="153" t="s">
        <v>1212</v>
      </c>
      <c r="T1208" s="154">
        <v>2.37</v>
      </c>
      <c r="U1208" s="153" t="s">
        <v>1951</v>
      </c>
      <c r="V1208" s="155">
        <v>2.6749999999999999E-2</v>
      </c>
      <c r="W1208" s="155">
        <v>3.5400000000000001E-2</v>
      </c>
      <c r="X1208" s="153" t="s">
        <v>412</v>
      </c>
      <c r="Y1208" s="153" t="s">
        <v>339</v>
      </c>
      <c r="Z1208" s="154">
        <v>49761.55</v>
      </c>
      <c r="AA1208" s="154">
        <v>1</v>
      </c>
      <c r="AB1208" s="154">
        <v>106.58</v>
      </c>
      <c r="AC1208" s="154">
        <v>1.397</v>
      </c>
      <c r="AD1208" s="154">
        <v>54.432000000000002</v>
      </c>
      <c r="AG1208" s="157" t="s">
        <v>15</v>
      </c>
      <c r="AH1208" s="155">
        <v>9.0000000000000006E-5</v>
      </c>
      <c r="AI1208" s="155">
        <f t="shared" si="18"/>
        <v>2.9589187457744795E-3</v>
      </c>
      <c r="AJ1208" s="155">
        <v>7.4758588903427493E-5</v>
      </c>
    </row>
    <row r="1209" spans="1:36" s="160" customFormat="1">
      <c r="A1209" s="153" t="s">
        <v>1213</v>
      </c>
      <c r="B1209" s="160">
        <v>9301</v>
      </c>
      <c r="C1209" s="153" t="s">
        <v>2812</v>
      </c>
      <c r="D1209" s="153" t="s">
        <v>2813</v>
      </c>
      <c r="E1209" s="153" t="s">
        <v>309</v>
      </c>
      <c r="F1209" s="153" t="s">
        <v>3012</v>
      </c>
      <c r="G1209" s="153" t="s">
        <v>3013</v>
      </c>
      <c r="H1209" s="153" t="s">
        <v>321</v>
      </c>
      <c r="I1209" s="153" t="s">
        <v>951</v>
      </c>
      <c r="J1209" s="153" t="s">
        <v>204</v>
      </c>
      <c r="K1209" s="153" t="s">
        <v>204</v>
      </c>
      <c r="L1209" s="153" t="s">
        <v>325</v>
      </c>
      <c r="M1209" s="153" t="s">
        <v>340</v>
      </c>
      <c r="N1209" s="153" t="s">
        <v>447</v>
      </c>
      <c r="O1209" s="153" t="s">
        <v>339</v>
      </c>
      <c r="P1209" s="153" t="s">
        <v>1614</v>
      </c>
      <c r="Q1209" s="153" t="s">
        <v>415</v>
      </c>
      <c r="R1209" s="153" t="s">
        <v>407</v>
      </c>
      <c r="S1209" s="153" t="s">
        <v>1212</v>
      </c>
      <c r="T1209" s="154">
        <v>0.5</v>
      </c>
      <c r="U1209" s="153" t="s">
        <v>3014</v>
      </c>
      <c r="V1209" s="155">
        <v>5.3289999999999997E-2</v>
      </c>
      <c r="W1209" s="155">
        <v>5.8900000000000001E-2</v>
      </c>
      <c r="X1209" s="153" t="s">
        <v>412</v>
      </c>
      <c r="Y1209" s="153" t="s">
        <v>339</v>
      </c>
      <c r="Z1209" s="154">
        <v>55000.67</v>
      </c>
      <c r="AA1209" s="154">
        <v>1</v>
      </c>
      <c r="AB1209" s="154">
        <v>98.54</v>
      </c>
      <c r="AD1209" s="154">
        <v>54.198</v>
      </c>
      <c r="AG1209" s="157" t="s">
        <v>15</v>
      </c>
      <c r="AH1209" s="155">
        <v>6.2E-4</v>
      </c>
      <c r="AI1209" s="155">
        <f t="shared" si="18"/>
        <v>2.9461985262985973E-3</v>
      </c>
      <c r="AJ1209" s="155">
        <v>7.4437206080760644E-5</v>
      </c>
    </row>
    <row r="1210" spans="1:36" s="160" customFormat="1">
      <c r="A1210" s="153" t="s">
        <v>1213</v>
      </c>
      <c r="B1210" s="160">
        <v>9301</v>
      </c>
      <c r="C1210" s="153" t="s">
        <v>2961</v>
      </c>
      <c r="D1210" s="153" t="s">
        <v>2962</v>
      </c>
      <c r="E1210" s="153" t="s">
        <v>309</v>
      </c>
      <c r="F1210" s="153" t="s">
        <v>2963</v>
      </c>
      <c r="G1210" s="153" t="s">
        <v>2964</v>
      </c>
      <c r="H1210" s="153" t="s">
        <v>321</v>
      </c>
      <c r="I1210" s="153" t="s">
        <v>754</v>
      </c>
      <c r="J1210" s="153" t="s">
        <v>204</v>
      </c>
      <c r="K1210" s="153" t="s">
        <v>204</v>
      </c>
      <c r="L1210" s="153" t="s">
        <v>325</v>
      </c>
      <c r="M1210" s="153" t="s">
        <v>340</v>
      </c>
      <c r="N1210" s="153" t="s">
        <v>464</v>
      </c>
      <c r="O1210" s="153" t="s">
        <v>339</v>
      </c>
      <c r="Q1210" s="153" t="s">
        <v>410</v>
      </c>
      <c r="R1210" s="153" t="s">
        <v>410</v>
      </c>
      <c r="S1210" s="153" t="s">
        <v>1212</v>
      </c>
      <c r="T1210" s="154">
        <v>3.61</v>
      </c>
      <c r="U1210" s="153" t="s">
        <v>2451</v>
      </c>
      <c r="V1210" s="155">
        <v>3.4529999999999998E-2</v>
      </c>
      <c r="W1210" s="155">
        <v>3.5999999999999997E-2</v>
      </c>
      <c r="X1210" s="153" t="s">
        <v>412</v>
      </c>
      <c r="Y1210" s="153" t="s">
        <v>339</v>
      </c>
      <c r="Z1210" s="154">
        <v>50000</v>
      </c>
      <c r="AA1210" s="154">
        <v>1</v>
      </c>
      <c r="AB1210" s="154">
        <v>102.4</v>
      </c>
      <c r="AD1210" s="154">
        <v>51.2</v>
      </c>
      <c r="AG1210" s="157" t="s">
        <v>15</v>
      </c>
      <c r="AH1210" s="155">
        <v>2.5000000000000001E-4</v>
      </c>
      <c r="AI1210" s="155">
        <f t="shared" si="18"/>
        <v>2.7832275092528908E-3</v>
      </c>
      <c r="AJ1210" s="155">
        <v>7.0319660344199882E-5</v>
      </c>
    </row>
    <row r="1211" spans="1:36" s="160" customFormat="1">
      <c r="A1211" s="153" t="s">
        <v>1213</v>
      </c>
      <c r="B1211" s="160">
        <v>9301</v>
      </c>
      <c r="C1211" s="153" t="s">
        <v>2973</v>
      </c>
      <c r="D1211" s="153" t="s">
        <v>2974</v>
      </c>
      <c r="E1211" s="153" t="s">
        <v>309</v>
      </c>
      <c r="F1211" s="153" t="s">
        <v>2975</v>
      </c>
      <c r="G1211" s="153" t="s">
        <v>2976</v>
      </c>
      <c r="H1211" s="153" t="s">
        <v>321</v>
      </c>
      <c r="I1211" s="153" t="s">
        <v>951</v>
      </c>
      <c r="J1211" s="153" t="s">
        <v>204</v>
      </c>
      <c r="K1211" s="153" t="s">
        <v>204</v>
      </c>
      <c r="L1211" s="153" t="s">
        <v>325</v>
      </c>
      <c r="M1211" s="153" t="s">
        <v>340</v>
      </c>
      <c r="N1211" s="153" t="s">
        <v>458</v>
      </c>
      <c r="O1211" s="153" t="s">
        <v>339</v>
      </c>
      <c r="Q1211" s="153" t="s">
        <v>410</v>
      </c>
      <c r="R1211" s="153" t="s">
        <v>410</v>
      </c>
      <c r="S1211" s="153" t="s">
        <v>1212</v>
      </c>
      <c r="T1211" s="154">
        <v>1.23</v>
      </c>
      <c r="U1211" s="153" t="s">
        <v>1777</v>
      </c>
      <c r="V1211" s="155">
        <v>2.6780000000000002E-2</v>
      </c>
      <c r="W1211" s="155">
        <v>5.45E-2</v>
      </c>
      <c r="X1211" s="153" t="s">
        <v>412</v>
      </c>
      <c r="Y1211" s="153" t="s">
        <v>339</v>
      </c>
      <c r="Z1211" s="154">
        <v>53000</v>
      </c>
      <c r="AA1211" s="154">
        <v>1</v>
      </c>
      <c r="AB1211" s="154">
        <v>96.45</v>
      </c>
      <c r="AD1211" s="154">
        <v>51.119</v>
      </c>
      <c r="AG1211" s="157" t="s">
        <v>15</v>
      </c>
      <c r="AH1211" s="155">
        <v>3.5E-4</v>
      </c>
      <c r="AI1211" s="155">
        <f t="shared" si="18"/>
        <v>2.7788243563573933E-3</v>
      </c>
      <c r="AJ1211" s="155">
        <v>7.020841244404596E-5</v>
      </c>
    </row>
    <row r="1212" spans="1:36" s="160" customFormat="1">
      <c r="A1212" s="153" t="s">
        <v>1213</v>
      </c>
      <c r="B1212" s="160">
        <v>9301</v>
      </c>
      <c r="C1212" s="153" t="s">
        <v>1893</v>
      </c>
      <c r="D1212" s="153" t="s">
        <v>1894</v>
      </c>
      <c r="E1212" s="153" t="s">
        <v>309</v>
      </c>
      <c r="F1212" s="153" t="s">
        <v>1895</v>
      </c>
      <c r="G1212" s="153" t="s">
        <v>1896</v>
      </c>
      <c r="H1212" s="153" t="s">
        <v>321</v>
      </c>
      <c r="I1212" s="153" t="s">
        <v>754</v>
      </c>
      <c r="J1212" s="153" t="s">
        <v>204</v>
      </c>
      <c r="K1212" s="153" t="s">
        <v>204</v>
      </c>
      <c r="L1212" s="153" t="s">
        <v>325</v>
      </c>
      <c r="M1212" s="153" t="s">
        <v>340</v>
      </c>
      <c r="N1212" s="153" t="s">
        <v>464</v>
      </c>
      <c r="O1212" s="153" t="s">
        <v>339</v>
      </c>
      <c r="P1212" s="153" t="s">
        <v>1566</v>
      </c>
      <c r="Q1212" s="153" t="s">
        <v>413</v>
      </c>
      <c r="R1212" s="153" t="s">
        <v>407</v>
      </c>
      <c r="S1212" s="153" t="s">
        <v>1212</v>
      </c>
      <c r="T1212" s="154">
        <v>5.66</v>
      </c>
      <c r="U1212" s="153" t="s">
        <v>1897</v>
      </c>
      <c r="V1212" s="155">
        <v>2.7009999999999999E-2</v>
      </c>
      <c r="W1212" s="155">
        <v>3.2199999999999999E-2</v>
      </c>
      <c r="X1212" s="153" t="s">
        <v>412</v>
      </c>
      <c r="Y1212" s="153" t="s">
        <v>339</v>
      </c>
      <c r="Z1212" s="154">
        <v>50000</v>
      </c>
      <c r="AA1212" s="154">
        <v>1</v>
      </c>
      <c r="AB1212" s="154">
        <v>100.92</v>
      </c>
      <c r="AD1212" s="154">
        <v>50.46</v>
      </c>
      <c r="AG1212" s="157" t="s">
        <v>15</v>
      </c>
      <c r="AH1212" s="155">
        <v>1.3999999999999999E-4</v>
      </c>
      <c r="AI1212" s="155">
        <f t="shared" si="18"/>
        <v>2.7430011741582201E-3</v>
      </c>
      <c r="AJ1212" s="155">
        <v>6.9303321503287613E-5</v>
      </c>
    </row>
    <row r="1213" spans="1:36" s="160" customFormat="1">
      <c r="A1213" s="153" t="s">
        <v>1213</v>
      </c>
      <c r="B1213" s="160">
        <v>9301</v>
      </c>
      <c r="C1213" s="153" t="s">
        <v>1861</v>
      </c>
      <c r="D1213" s="153" t="s">
        <v>1862</v>
      </c>
      <c r="E1213" s="153" t="s">
        <v>309</v>
      </c>
      <c r="F1213" s="153" t="s">
        <v>2642</v>
      </c>
      <c r="G1213" s="153" t="s">
        <v>2643</v>
      </c>
      <c r="H1213" s="153" t="s">
        <v>321</v>
      </c>
      <c r="I1213" s="153" t="s">
        <v>754</v>
      </c>
      <c r="J1213" s="153" t="s">
        <v>204</v>
      </c>
      <c r="K1213" s="153" t="s">
        <v>204</v>
      </c>
      <c r="L1213" s="153" t="s">
        <v>325</v>
      </c>
      <c r="M1213" s="153" t="s">
        <v>340</v>
      </c>
      <c r="N1213" s="153" t="s">
        <v>464</v>
      </c>
      <c r="O1213" s="153" t="s">
        <v>339</v>
      </c>
      <c r="P1213" s="153" t="s">
        <v>1538</v>
      </c>
      <c r="Q1213" s="153" t="s">
        <v>413</v>
      </c>
      <c r="R1213" s="153" t="s">
        <v>407</v>
      </c>
      <c r="S1213" s="153" t="s">
        <v>1212</v>
      </c>
      <c r="T1213" s="154">
        <v>2.38</v>
      </c>
      <c r="U1213" s="153" t="s">
        <v>1951</v>
      </c>
      <c r="V1213" s="155">
        <v>2.35E-2</v>
      </c>
      <c r="W1213" s="155">
        <v>2.3900000000000001E-2</v>
      </c>
      <c r="X1213" s="153" t="s">
        <v>412</v>
      </c>
      <c r="Y1213" s="153" t="s">
        <v>339</v>
      </c>
      <c r="Z1213" s="154">
        <v>41023.39</v>
      </c>
      <c r="AA1213" s="154">
        <v>1</v>
      </c>
      <c r="AB1213" s="154">
        <v>116.64</v>
      </c>
      <c r="AC1213" s="154">
        <v>1.139</v>
      </c>
      <c r="AD1213" s="154">
        <v>48.988999999999997</v>
      </c>
      <c r="AG1213" s="157" t="s">
        <v>15</v>
      </c>
      <c r="AH1213" s="155">
        <v>4.0000000000000003E-5</v>
      </c>
      <c r="AI1213" s="155">
        <f t="shared" si="18"/>
        <v>2.6630377431794893E-3</v>
      </c>
      <c r="AJ1213" s="155">
        <v>6.7283004699257963E-5</v>
      </c>
    </row>
    <row r="1214" spans="1:36" s="160" customFormat="1">
      <c r="A1214" s="153" t="s">
        <v>1213</v>
      </c>
      <c r="B1214" s="160">
        <v>9301</v>
      </c>
      <c r="C1214" s="153" t="s">
        <v>3056</v>
      </c>
      <c r="D1214" s="153" t="s">
        <v>3057</v>
      </c>
      <c r="E1214" s="153" t="s">
        <v>309</v>
      </c>
      <c r="F1214" s="153" t="s">
        <v>3058</v>
      </c>
      <c r="G1214" s="153" t="s">
        <v>3059</v>
      </c>
      <c r="H1214" s="153" t="s">
        <v>321</v>
      </c>
      <c r="I1214" s="153" t="s">
        <v>951</v>
      </c>
      <c r="J1214" s="153" t="s">
        <v>204</v>
      </c>
      <c r="K1214" s="153" t="s">
        <v>204</v>
      </c>
      <c r="L1214" s="153" t="s">
        <v>325</v>
      </c>
      <c r="M1214" s="153" t="s">
        <v>340</v>
      </c>
      <c r="N1214" s="153" t="s">
        <v>440</v>
      </c>
      <c r="O1214" s="153" t="s">
        <v>339</v>
      </c>
      <c r="Q1214" s="153" t="s">
        <v>410</v>
      </c>
      <c r="R1214" s="153" t="s">
        <v>410</v>
      </c>
      <c r="S1214" s="153" t="s">
        <v>1212</v>
      </c>
      <c r="T1214" s="154">
        <v>2.58</v>
      </c>
      <c r="U1214" s="153" t="s">
        <v>2057</v>
      </c>
      <c r="V1214" s="155">
        <v>7.4999999999999997E-2</v>
      </c>
      <c r="W1214" s="155">
        <v>6.1800000000000001E-2</v>
      </c>
      <c r="X1214" s="153" t="s">
        <v>412</v>
      </c>
      <c r="Y1214" s="153" t="s">
        <v>339</v>
      </c>
      <c r="Z1214" s="154">
        <v>42330.21</v>
      </c>
      <c r="AA1214" s="154">
        <v>1</v>
      </c>
      <c r="AB1214" s="154">
        <v>115.44</v>
      </c>
      <c r="AD1214" s="154">
        <v>48.866</v>
      </c>
      <c r="AG1214" s="157" t="s">
        <v>15</v>
      </c>
      <c r="AH1214" s="155">
        <v>2.9999999999999997E-4</v>
      </c>
      <c r="AI1214" s="155">
        <f t="shared" si="18"/>
        <v>2.6563514739678081E-3</v>
      </c>
      <c r="AJ1214" s="155">
        <v>6.7114072702727947E-5</v>
      </c>
    </row>
    <row r="1215" spans="1:36" s="160" customFormat="1">
      <c r="A1215" s="153" t="s">
        <v>1213</v>
      </c>
      <c r="B1215" s="160">
        <v>9301</v>
      </c>
      <c r="C1215" s="153" t="s">
        <v>1679</v>
      </c>
      <c r="D1215" s="153" t="s">
        <v>1680</v>
      </c>
      <c r="E1215" s="153" t="s">
        <v>309</v>
      </c>
      <c r="F1215" s="153" t="s">
        <v>1681</v>
      </c>
      <c r="G1215" s="153" t="s">
        <v>1682</v>
      </c>
      <c r="H1215" s="153" t="s">
        <v>321</v>
      </c>
      <c r="I1215" s="153" t="s">
        <v>951</v>
      </c>
      <c r="J1215" s="153" t="s">
        <v>204</v>
      </c>
      <c r="K1215" s="153" t="s">
        <v>204</v>
      </c>
      <c r="L1215" s="153" t="s">
        <v>325</v>
      </c>
      <c r="M1215" s="153" t="s">
        <v>340</v>
      </c>
      <c r="N1215" s="153" t="s">
        <v>447</v>
      </c>
      <c r="O1215" s="153" t="s">
        <v>339</v>
      </c>
      <c r="Q1215" s="153" t="s">
        <v>410</v>
      </c>
      <c r="R1215" s="153" t="s">
        <v>410</v>
      </c>
      <c r="S1215" s="153" t="s">
        <v>1212</v>
      </c>
      <c r="T1215" s="154">
        <v>2.0499999999999998</v>
      </c>
      <c r="U1215" s="153" t="s">
        <v>1572</v>
      </c>
      <c r="V1215" s="155">
        <v>7.3969999999999994E-2</v>
      </c>
      <c r="W1215" s="155">
        <v>7.1099999999999997E-2</v>
      </c>
      <c r="X1215" s="153" t="s">
        <v>412</v>
      </c>
      <c r="Y1215" s="153" t="s">
        <v>339</v>
      </c>
      <c r="Z1215" s="154">
        <v>46000</v>
      </c>
      <c r="AA1215" s="154">
        <v>1</v>
      </c>
      <c r="AB1215" s="154">
        <v>105.22</v>
      </c>
      <c r="AD1215" s="154">
        <v>48.401000000000003</v>
      </c>
      <c r="AG1215" s="157" t="s">
        <v>15</v>
      </c>
      <c r="AH1215" s="155">
        <v>3.5E-4</v>
      </c>
      <c r="AI1215" s="155">
        <f t="shared" si="18"/>
        <v>2.6310741147529135E-3</v>
      </c>
      <c r="AJ1215" s="155">
        <v>6.6475427349992555E-5</v>
      </c>
    </row>
    <row r="1216" spans="1:36" s="160" customFormat="1">
      <c r="A1216" s="153" t="s">
        <v>1213</v>
      </c>
      <c r="B1216" s="160">
        <v>9301</v>
      </c>
      <c r="C1216" s="153" t="s">
        <v>2905</v>
      </c>
      <c r="D1216" s="153" t="s">
        <v>2906</v>
      </c>
      <c r="E1216" s="153" t="s">
        <v>309</v>
      </c>
      <c r="F1216" s="153" t="s">
        <v>2907</v>
      </c>
      <c r="G1216" s="153" t="s">
        <v>2908</v>
      </c>
      <c r="H1216" s="153" t="s">
        <v>321</v>
      </c>
      <c r="I1216" s="153" t="s">
        <v>951</v>
      </c>
      <c r="J1216" s="153" t="s">
        <v>204</v>
      </c>
      <c r="K1216" s="153" t="s">
        <v>204</v>
      </c>
      <c r="L1216" s="153" t="s">
        <v>325</v>
      </c>
      <c r="M1216" s="153" t="s">
        <v>340</v>
      </c>
      <c r="N1216" s="153" t="s">
        <v>477</v>
      </c>
      <c r="O1216" s="153" t="s">
        <v>339</v>
      </c>
      <c r="P1216" s="153" t="s">
        <v>1554</v>
      </c>
      <c r="Q1216" s="153" t="s">
        <v>413</v>
      </c>
      <c r="R1216" s="153" t="s">
        <v>407</v>
      </c>
      <c r="S1216" s="153" t="s">
        <v>1212</v>
      </c>
      <c r="T1216" s="154">
        <v>1.25</v>
      </c>
      <c r="U1216" s="153" t="s">
        <v>1659</v>
      </c>
      <c r="V1216" s="155">
        <v>3.6510000000000001E-2</v>
      </c>
      <c r="W1216" s="155">
        <v>5.6300000000000003E-2</v>
      </c>
      <c r="X1216" s="153" t="s">
        <v>412</v>
      </c>
      <c r="Y1216" s="153" t="s">
        <v>339</v>
      </c>
      <c r="Z1216" s="154">
        <v>48000.51</v>
      </c>
      <c r="AA1216" s="154">
        <v>1</v>
      </c>
      <c r="AB1216" s="154">
        <v>98</v>
      </c>
      <c r="AD1216" s="154">
        <v>47.04</v>
      </c>
      <c r="AG1216" s="157" t="s">
        <v>15</v>
      </c>
      <c r="AH1216" s="155">
        <v>7.6999999999999996E-4</v>
      </c>
      <c r="AI1216" s="155">
        <f t="shared" si="18"/>
        <v>2.5570902741260935E-3</v>
      </c>
      <c r="AJ1216" s="155">
        <v>6.4606187941233632E-5</v>
      </c>
    </row>
    <row r="1217" spans="1:36" s="160" customFormat="1">
      <c r="A1217" s="153" t="s">
        <v>1213</v>
      </c>
      <c r="B1217" s="160">
        <v>9301</v>
      </c>
      <c r="C1217" s="153" t="s">
        <v>2517</v>
      </c>
      <c r="D1217" s="153" t="s">
        <v>2518</v>
      </c>
      <c r="E1217" s="153" t="s">
        <v>309</v>
      </c>
      <c r="F1217" s="153" t="s">
        <v>2519</v>
      </c>
      <c r="G1217" s="153" t="s">
        <v>2520</v>
      </c>
      <c r="H1217" s="153" t="s">
        <v>321</v>
      </c>
      <c r="I1217" s="153" t="s">
        <v>951</v>
      </c>
      <c r="J1217" s="153" t="s">
        <v>204</v>
      </c>
      <c r="K1217" s="153" t="s">
        <v>204</v>
      </c>
      <c r="L1217" s="153" t="s">
        <v>325</v>
      </c>
      <c r="M1217" s="153" t="s">
        <v>340</v>
      </c>
      <c r="N1217" s="153" t="s">
        <v>464</v>
      </c>
      <c r="O1217" s="153" t="s">
        <v>339</v>
      </c>
      <c r="P1217" s="153" t="s">
        <v>1211</v>
      </c>
      <c r="Q1217" s="153" t="s">
        <v>415</v>
      </c>
      <c r="R1217" s="153" t="s">
        <v>407</v>
      </c>
      <c r="S1217" s="153" t="s">
        <v>1212</v>
      </c>
      <c r="T1217" s="154">
        <v>1.94</v>
      </c>
      <c r="U1217" s="153" t="s">
        <v>2521</v>
      </c>
      <c r="V1217" s="155">
        <v>4.3549999999999998E-2</v>
      </c>
      <c r="W1217" s="155">
        <v>4.8599999999999997E-2</v>
      </c>
      <c r="X1217" s="153" t="s">
        <v>412</v>
      </c>
      <c r="Y1217" s="153" t="s">
        <v>339</v>
      </c>
      <c r="Z1217" s="154">
        <v>50000.38</v>
      </c>
      <c r="AA1217" s="154">
        <v>1</v>
      </c>
      <c r="AB1217" s="154">
        <v>93.75</v>
      </c>
      <c r="AD1217" s="154">
        <v>46.875</v>
      </c>
      <c r="AG1217" s="157" t="s">
        <v>15</v>
      </c>
      <c r="AH1217" s="155">
        <v>1.3999999999999999E-4</v>
      </c>
      <c r="AI1217" s="155">
        <f t="shared" si="18"/>
        <v>2.5481208885982276E-3</v>
      </c>
      <c r="AJ1217" s="155">
        <v>6.4379571848327522E-5</v>
      </c>
    </row>
    <row r="1218" spans="1:36" s="160" customFormat="1">
      <c r="A1218" s="153" t="s">
        <v>1213</v>
      </c>
      <c r="B1218" s="160">
        <v>9301</v>
      </c>
      <c r="C1218" s="153" t="s">
        <v>2211</v>
      </c>
      <c r="D1218" s="153" t="s">
        <v>2212</v>
      </c>
      <c r="E1218" s="153" t="s">
        <v>309</v>
      </c>
      <c r="F1218" s="153" t="s">
        <v>2389</v>
      </c>
      <c r="G1218" s="153" t="s">
        <v>2390</v>
      </c>
      <c r="H1218" s="153" t="s">
        <v>321</v>
      </c>
      <c r="I1218" s="153" t="s">
        <v>951</v>
      </c>
      <c r="J1218" s="153" t="s">
        <v>204</v>
      </c>
      <c r="K1218" s="153" t="s">
        <v>204</v>
      </c>
      <c r="L1218" s="153" t="s">
        <v>325</v>
      </c>
      <c r="M1218" s="153" t="s">
        <v>340</v>
      </c>
      <c r="N1218" s="153" t="s">
        <v>454</v>
      </c>
      <c r="O1218" s="153" t="s">
        <v>339</v>
      </c>
      <c r="P1218" s="153" t="s">
        <v>1527</v>
      </c>
      <c r="Q1218" s="153" t="s">
        <v>415</v>
      </c>
      <c r="R1218" s="153" t="s">
        <v>407</v>
      </c>
      <c r="S1218" s="153" t="s">
        <v>1212</v>
      </c>
      <c r="T1218" s="154">
        <v>2.72</v>
      </c>
      <c r="U1218" s="153" t="s">
        <v>1628</v>
      </c>
      <c r="V1218" s="155">
        <v>6.4570000000000002E-2</v>
      </c>
      <c r="W1218" s="155">
        <v>6.4399999999999999E-2</v>
      </c>
      <c r="X1218" s="153" t="s">
        <v>412</v>
      </c>
      <c r="Y1218" s="153" t="s">
        <v>339</v>
      </c>
      <c r="Z1218" s="154">
        <v>45000.44</v>
      </c>
      <c r="AA1218" s="154">
        <v>1</v>
      </c>
      <c r="AB1218" s="154">
        <v>102.2</v>
      </c>
      <c r="AD1218" s="154">
        <v>45.99</v>
      </c>
      <c r="AG1218" s="157" t="s">
        <v>15</v>
      </c>
      <c r="AH1218" s="155">
        <v>3.0000000000000001E-5</v>
      </c>
      <c r="AI1218" s="155">
        <f t="shared" si="18"/>
        <v>2.5000123662214935E-3</v>
      </c>
      <c r="AJ1218" s="155">
        <v>6.3164085531831109E-5</v>
      </c>
    </row>
    <row r="1219" spans="1:36" s="160" customFormat="1">
      <c r="A1219" s="153" t="s">
        <v>1213</v>
      </c>
      <c r="B1219" s="160">
        <v>9301</v>
      </c>
      <c r="C1219" s="153" t="s">
        <v>2845</v>
      </c>
      <c r="D1219" s="153" t="s">
        <v>2846</v>
      </c>
      <c r="E1219" s="153" t="s">
        <v>309</v>
      </c>
      <c r="F1219" s="153" t="s">
        <v>2847</v>
      </c>
      <c r="G1219" s="153" t="s">
        <v>2848</v>
      </c>
      <c r="H1219" s="153" t="s">
        <v>321</v>
      </c>
      <c r="I1219" s="153" t="s">
        <v>951</v>
      </c>
      <c r="J1219" s="153" t="s">
        <v>204</v>
      </c>
      <c r="K1219" s="153" t="s">
        <v>204</v>
      </c>
      <c r="L1219" s="153" t="s">
        <v>325</v>
      </c>
      <c r="M1219" s="153" t="s">
        <v>340</v>
      </c>
      <c r="N1219" s="153" t="s">
        <v>446</v>
      </c>
      <c r="O1219" s="153" t="s">
        <v>339</v>
      </c>
      <c r="P1219" s="153" t="s">
        <v>1215</v>
      </c>
      <c r="Q1219" s="153" t="s">
        <v>413</v>
      </c>
      <c r="R1219" s="153" t="s">
        <v>407</v>
      </c>
      <c r="S1219" s="153" t="s">
        <v>1212</v>
      </c>
      <c r="T1219" s="154">
        <v>1.1299999999999999</v>
      </c>
      <c r="U1219" s="153" t="s">
        <v>2372</v>
      </c>
      <c r="V1219" s="155">
        <v>-9.8200000000000006E-3</v>
      </c>
      <c r="W1219" s="155">
        <v>5.2499999999999998E-2</v>
      </c>
      <c r="X1219" s="153" t="s">
        <v>412</v>
      </c>
      <c r="Y1219" s="153" t="s">
        <v>339</v>
      </c>
      <c r="Z1219" s="154">
        <v>44000.47</v>
      </c>
      <c r="AA1219" s="154">
        <v>1</v>
      </c>
      <c r="AB1219" s="154">
        <v>102.1</v>
      </c>
      <c r="AD1219" s="154">
        <v>44.923999999999999</v>
      </c>
      <c r="AG1219" s="157" t="s">
        <v>15</v>
      </c>
      <c r="AH1219" s="155">
        <v>2.7999999999999998E-4</v>
      </c>
      <c r="AI1219" s="155">
        <f t="shared" ref="AI1219:AI1282" si="19">AD1219/SUMIF(B:B,B1219,AD:AD)</f>
        <v>2.4420646997202512E-3</v>
      </c>
      <c r="AJ1219" s="155">
        <v>6.1700008228571005E-5</v>
      </c>
    </row>
    <row r="1220" spans="1:36" s="160" customFormat="1">
      <c r="A1220" s="153" t="s">
        <v>1213</v>
      </c>
      <c r="B1220" s="160">
        <v>9301</v>
      </c>
      <c r="C1220" s="153" t="s">
        <v>2018</v>
      </c>
      <c r="D1220" s="153" t="s">
        <v>2019</v>
      </c>
      <c r="E1220" s="153" t="s">
        <v>309</v>
      </c>
      <c r="F1220" s="153" t="s">
        <v>2020</v>
      </c>
      <c r="G1220" s="153" t="s">
        <v>2021</v>
      </c>
      <c r="H1220" s="153" t="s">
        <v>321</v>
      </c>
      <c r="I1220" s="153" t="s">
        <v>951</v>
      </c>
      <c r="J1220" s="153" t="s">
        <v>204</v>
      </c>
      <c r="K1220" s="153" t="s">
        <v>204</v>
      </c>
      <c r="L1220" s="153" t="s">
        <v>325</v>
      </c>
      <c r="M1220" s="153" t="s">
        <v>340</v>
      </c>
      <c r="N1220" s="153" t="s">
        <v>451</v>
      </c>
      <c r="O1220" s="153" t="s">
        <v>339</v>
      </c>
      <c r="P1220" s="153" t="s">
        <v>1538</v>
      </c>
      <c r="Q1220" s="153" t="s">
        <v>413</v>
      </c>
      <c r="R1220" s="153" t="s">
        <v>407</v>
      </c>
      <c r="S1220" s="153" t="s">
        <v>1212</v>
      </c>
      <c r="T1220" s="154">
        <v>2.87</v>
      </c>
      <c r="U1220" s="153" t="s">
        <v>2022</v>
      </c>
      <c r="V1220" s="155">
        <v>4.8399999999999999E-2</v>
      </c>
      <c r="W1220" s="155">
        <v>5.4899999999999997E-2</v>
      </c>
      <c r="X1220" s="153" t="s">
        <v>412</v>
      </c>
      <c r="Y1220" s="153" t="s">
        <v>339</v>
      </c>
      <c r="Z1220" s="154">
        <v>50000</v>
      </c>
      <c r="AA1220" s="154">
        <v>1</v>
      </c>
      <c r="AB1220" s="154">
        <v>89.72</v>
      </c>
      <c r="AD1220" s="154">
        <v>44.86</v>
      </c>
      <c r="AG1220" s="157" t="s">
        <v>15</v>
      </c>
      <c r="AH1220" s="155">
        <v>1.6000000000000001E-4</v>
      </c>
      <c r="AI1220" s="155">
        <f t="shared" si="19"/>
        <v>2.4385856653336853E-3</v>
      </c>
      <c r="AJ1220" s="155">
        <v>6.1612108653140757E-5</v>
      </c>
    </row>
    <row r="1221" spans="1:36" s="160" customFormat="1">
      <c r="A1221" s="153" t="s">
        <v>1213</v>
      </c>
      <c r="B1221" s="160">
        <v>9301</v>
      </c>
      <c r="C1221" s="153" t="s">
        <v>1550</v>
      </c>
      <c r="D1221" s="153" t="s">
        <v>1551</v>
      </c>
      <c r="E1221" s="153" t="s">
        <v>311</v>
      </c>
      <c r="F1221" s="153" t="s">
        <v>1657</v>
      </c>
      <c r="G1221" s="153" t="s">
        <v>1658</v>
      </c>
      <c r="H1221" s="153" t="s">
        <v>321</v>
      </c>
      <c r="I1221" s="153" t="s">
        <v>951</v>
      </c>
      <c r="J1221" s="153" t="s">
        <v>204</v>
      </c>
      <c r="K1221" s="153" t="s">
        <v>224</v>
      </c>
      <c r="L1221" s="153" t="s">
        <v>325</v>
      </c>
      <c r="M1221" s="153" t="s">
        <v>340</v>
      </c>
      <c r="N1221" s="153" t="s">
        <v>465</v>
      </c>
      <c r="O1221" s="153" t="s">
        <v>339</v>
      </c>
      <c r="P1221" s="153" t="s">
        <v>1560</v>
      </c>
      <c r="Q1221" s="153" t="s">
        <v>413</v>
      </c>
      <c r="R1221" s="153" t="s">
        <v>407</v>
      </c>
      <c r="S1221" s="153" t="s">
        <v>1212</v>
      </c>
      <c r="T1221" s="154">
        <v>2.02</v>
      </c>
      <c r="U1221" s="153" t="s">
        <v>1659</v>
      </c>
      <c r="V1221" s="155">
        <v>7.7920000000000003E-2</v>
      </c>
      <c r="W1221" s="155">
        <v>6.5199999999999994E-2</v>
      </c>
      <c r="X1221" s="153" t="s">
        <v>412</v>
      </c>
      <c r="Y1221" s="153" t="s">
        <v>339</v>
      </c>
      <c r="Z1221" s="154">
        <v>42680</v>
      </c>
      <c r="AA1221" s="154">
        <v>1</v>
      </c>
      <c r="AB1221" s="154">
        <v>102.45</v>
      </c>
      <c r="AD1221" s="154">
        <v>43.725999999999999</v>
      </c>
      <c r="AG1221" s="157" t="s">
        <v>15</v>
      </c>
      <c r="AH1221" s="155">
        <v>1.2E-4</v>
      </c>
      <c r="AI1221" s="155">
        <f t="shared" si="19"/>
        <v>2.376941524796717E-3</v>
      </c>
      <c r="AJ1221" s="155">
        <v>6.0054638050986013E-5</v>
      </c>
    </row>
    <row r="1222" spans="1:36" s="160" customFormat="1">
      <c r="A1222" s="153" t="s">
        <v>1213</v>
      </c>
      <c r="B1222" s="160">
        <v>9301</v>
      </c>
      <c r="C1222" s="153" t="s">
        <v>455</v>
      </c>
      <c r="D1222" s="153" t="s">
        <v>2106</v>
      </c>
      <c r="E1222" s="153" t="s">
        <v>309</v>
      </c>
      <c r="F1222" s="153" t="s">
        <v>2289</v>
      </c>
      <c r="G1222" s="153" t="s">
        <v>2290</v>
      </c>
      <c r="H1222" s="153" t="s">
        <v>321</v>
      </c>
      <c r="I1222" s="153" t="s">
        <v>754</v>
      </c>
      <c r="J1222" s="153" t="s">
        <v>204</v>
      </c>
      <c r="K1222" s="153" t="s">
        <v>204</v>
      </c>
      <c r="L1222" s="153" t="s">
        <v>325</v>
      </c>
      <c r="M1222" s="153" t="s">
        <v>340</v>
      </c>
      <c r="N1222" s="153" t="s">
        <v>440</v>
      </c>
      <c r="O1222" s="153" t="s">
        <v>339</v>
      </c>
      <c r="P1222" s="153" t="s">
        <v>1923</v>
      </c>
      <c r="Q1222" s="153" t="s">
        <v>415</v>
      </c>
      <c r="R1222" s="153" t="s">
        <v>407</v>
      </c>
      <c r="S1222" s="153" t="s">
        <v>1212</v>
      </c>
      <c r="T1222" s="154">
        <v>3.44</v>
      </c>
      <c r="U1222" s="153" t="s">
        <v>2291</v>
      </c>
      <c r="V1222" s="155">
        <v>2.0410000000000001E-2</v>
      </c>
      <c r="W1222" s="155">
        <v>2.5700000000000001E-2</v>
      </c>
      <c r="X1222" s="153" t="s">
        <v>412</v>
      </c>
      <c r="Y1222" s="153" t="s">
        <v>339</v>
      </c>
      <c r="Z1222" s="154">
        <v>35000.42</v>
      </c>
      <c r="AA1222" s="154">
        <v>1</v>
      </c>
      <c r="AB1222" s="154">
        <v>121.2</v>
      </c>
      <c r="AC1222" s="154">
        <v>0.78200000000000003</v>
      </c>
      <c r="AD1222" s="154">
        <v>43.203000000000003</v>
      </c>
      <c r="AG1222" s="157" t="s">
        <v>15</v>
      </c>
      <c r="AH1222" s="155">
        <v>1.0000000000000001E-5</v>
      </c>
      <c r="AI1222" s="155">
        <f t="shared" si="19"/>
        <v>2.3485112906689973E-3</v>
      </c>
      <c r="AJ1222" s="155">
        <v>5.9336333708016944E-5</v>
      </c>
    </row>
    <row r="1223" spans="1:36" s="160" customFormat="1">
      <c r="A1223" s="153" t="s">
        <v>1213</v>
      </c>
      <c r="B1223" s="160">
        <v>9301</v>
      </c>
      <c r="C1223" s="153" t="s">
        <v>1540</v>
      </c>
      <c r="D1223" s="153" t="s">
        <v>1541</v>
      </c>
      <c r="E1223" s="153" t="s">
        <v>80</v>
      </c>
      <c r="F1223" s="153" t="s">
        <v>1542</v>
      </c>
      <c r="G1223" s="153" t="s">
        <v>1543</v>
      </c>
      <c r="H1223" s="153" t="s">
        <v>321</v>
      </c>
      <c r="I1223" s="153" t="s">
        <v>755</v>
      </c>
      <c r="J1223" s="153" t="s">
        <v>204</v>
      </c>
      <c r="K1223" s="153" t="s">
        <v>224</v>
      </c>
      <c r="L1223" s="153" t="s">
        <v>325</v>
      </c>
      <c r="M1223" s="153" t="s">
        <v>340</v>
      </c>
      <c r="N1223" s="153" t="s">
        <v>443</v>
      </c>
      <c r="O1223" s="153" t="s">
        <v>339</v>
      </c>
      <c r="P1223" s="153" t="s">
        <v>1544</v>
      </c>
      <c r="Q1223" s="153" t="s">
        <v>415</v>
      </c>
      <c r="R1223" s="153" t="s">
        <v>407</v>
      </c>
      <c r="S1223" s="153" t="s">
        <v>1212</v>
      </c>
      <c r="T1223" s="154">
        <v>1.77</v>
      </c>
      <c r="U1223" s="153" t="s">
        <v>1545</v>
      </c>
      <c r="V1223" s="155">
        <v>8.8999999999999995E-4</v>
      </c>
      <c r="W1223" s="155">
        <v>8.1500000000000003E-2</v>
      </c>
      <c r="X1223" s="153" t="s">
        <v>412</v>
      </c>
      <c r="Y1223" s="153" t="s">
        <v>339</v>
      </c>
      <c r="Z1223" s="154">
        <v>40000</v>
      </c>
      <c r="AA1223" s="154">
        <v>1</v>
      </c>
      <c r="AB1223" s="154">
        <v>104.6</v>
      </c>
      <c r="AD1223" s="154">
        <v>41.84</v>
      </c>
      <c r="AG1223" s="157" t="s">
        <v>15</v>
      </c>
      <c r="AH1223" s="155">
        <v>1E-4</v>
      </c>
      <c r="AI1223" s="155">
        <f t="shared" si="19"/>
        <v>2.2744187302175967E-3</v>
      </c>
      <c r="AJ1223" s="155">
        <v>5.7464347437525843E-5</v>
      </c>
    </row>
    <row r="1224" spans="1:36" s="160" customFormat="1">
      <c r="A1224" s="153" t="s">
        <v>1213</v>
      </c>
      <c r="B1224" s="160">
        <v>9301</v>
      </c>
      <c r="C1224" s="153" t="s">
        <v>2211</v>
      </c>
      <c r="D1224" s="153" t="s">
        <v>2212</v>
      </c>
      <c r="E1224" s="153" t="s">
        <v>309</v>
      </c>
      <c r="F1224" s="153" t="s">
        <v>2213</v>
      </c>
      <c r="G1224" s="153" t="s">
        <v>2214</v>
      </c>
      <c r="H1224" s="153" t="s">
        <v>321</v>
      </c>
      <c r="I1224" s="153" t="s">
        <v>951</v>
      </c>
      <c r="J1224" s="153" t="s">
        <v>204</v>
      </c>
      <c r="K1224" s="153" t="s">
        <v>204</v>
      </c>
      <c r="L1224" s="153" t="s">
        <v>325</v>
      </c>
      <c r="M1224" s="153" t="s">
        <v>340</v>
      </c>
      <c r="N1224" s="153" t="s">
        <v>454</v>
      </c>
      <c r="O1224" s="153" t="s">
        <v>339</v>
      </c>
      <c r="P1224" s="153" t="s">
        <v>1527</v>
      </c>
      <c r="Q1224" s="153" t="s">
        <v>415</v>
      </c>
      <c r="R1224" s="153" t="s">
        <v>407</v>
      </c>
      <c r="S1224" s="153" t="s">
        <v>1212</v>
      </c>
      <c r="T1224" s="154">
        <v>3.82</v>
      </c>
      <c r="U1224" s="153" t="s">
        <v>2215</v>
      </c>
      <c r="V1224" s="155">
        <v>4.5670000000000002E-2</v>
      </c>
      <c r="W1224" s="155">
        <v>6.5299999999999997E-2</v>
      </c>
      <c r="X1224" s="153" t="s">
        <v>412</v>
      </c>
      <c r="Y1224" s="153" t="s">
        <v>339</v>
      </c>
      <c r="Z1224" s="154">
        <v>38000</v>
      </c>
      <c r="AA1224" s="154">
        <v>1</v>
      </c>
      <c r="AB1224" s="154">
        <v>103.07</v>
      </c>
      <c r="AD1224" s="154">
        <v>39.167000000000002</v>
      </c>
      <c r="AG1224" s="157" t="s">
        <v>15</v>
      </c>
      <c r="AH1224" s="155">
        <v>3.0000000000000001E-5</v>
      </c>
      <c r="AI1224" s="155">
        <f t="shared" si="19"/>
        <v>2.1291146846661715E-3</v>
      </c>
      <c r="AJ1224" s="155">
        <v>5.379316673244681E-5</v>
      </c>
    </row>
    <row r="1225" spans="1:36" s="160" customFormat="1">
      <c r="A1225" s="153" t="s">
        <v>1213</v>
      </c>
      <c r="B1225" s="160">
        <v>9301</v>
      </c>
      <c r="C1225" s="153" t="s">
        <v>1573</v>
      </c>
      <c r="D1225" s="153" t="s">
        <v>1574</v>
      </c>
      <c r="E1225" s="153" t="s">
        <v>309</v>
      </c>
      <c r="F1225" s="153" t="s">
        <v>2982</v>
      </c>
      <c r="G1225" s="153" t="s">
        <v>2983</v>
      </c>
      <c r="H1225" s="153" t="s">
        <v>321</v>
      </c>
      <c r="I1225" s="153" t="s">
        <v>951</v>
      </c>
      <c r="J1225" s="153" t="s">
        <v>204</v>
      </c>
      <c r="K1225" s="153" t="s">
        <v>204</v>
      </c>
      <c r="L1225" s="153" t="s">
        <v>325</v>
      </c>
      <c r="M1225" s="153" t="s">
        <v>340</v>
      </c>
      <c r="N1225" s="153" t="s">
        <v>448</v>
      </c>
      <c r="O1225" s="153" t="s">
        <v>339</v>
      </c>
      <c r="P1225" s="153" t="s">
        <v>1211</v>
      </c>
      <c r="Q1225" s="153" t="s">
        <v>415</v>
      </c>
      <c r="R1225" s="153" t="s">
        <v>407</v>
      </c>
      <c r="S1225" s="153" t="s">
        <v>1212</v>
      </c>
      <c r="T1225" s="154">
        <v>0.94</v>
      </c>
      <c r="U1225" s="153" t="s">
        <v>2918</v>
      </c>
      <c r="V1225" s="155">
        <v>5.0000000000000001E-4</v>
      </c>
      <c r="W1225" s="155">
        <v>4.6399999999999997E-2</v>
      </c>
      <c r="X1225" s="153" t="s">
        <v>412</v>
      </c>
      <c r="Y1225" s="153" t="s">
        <v>339</v>
      </c>
      <c r="Z1225" s="154">
        <v>3900</v>
      </c>
      <c r="AA1225" s="154">
        <v>1</v>
      </c>
      <c r="AB1225" s="154">
        <v>1001.9</v>
      </c>
      <c r="AD1225" s="154">
        <v>39.073999999999998</v>
      </c>
      <c r="AG1225" s="157" t="s">
        <v>15</v>
      </c>
      <c r="AH1225" s="155">
        <v>0</v>
      </c>
      <c r="AI1225" s="155">
        <f t="shared" si="19"/>
        <v>2.1240592128231924E-3</v>
      </c>
      <c r="AJ1225" s="155">
        <v>5.3665437661899725E-5</v>
      </c>
    </row>
    <row r="1226" spans="1:36" s="160" customFormat="1">
      <c r="A1226" s="153" t="s">
        <v>1213</v>
      </c>
      <c r="B1226" s="160">
        <v>9301</v>
      </c>
      <c r="C1226" s="153" t="s">
        <v>2951</v>
      </c>
      <c r="D1226" s="153" t="s">
        <v>2952</v>
      </c>
      <c r="E1226" s="153" t="s">
        <v>309</v>
      </c>
      <c r="F1226" s="153" t="s">
        <v>2953</v>
      </c>
      <c r="G1226" s="153" t="s">
        <v>2954</v>
      </c>
      <c r="H1226" s="153" t="s">
        <v>321</v>
      </c>
      <c r="I1226" s="153" t="s">
        <v>951</v>
      </c>
      <c r="J1226" s="153" t="s">
        <v>204</v>
      </c>
      <c r="K1226" s="153" t="s">
        <v>204</v>
      </c>
      <c r="L1226" s="153" t="s">
        <v>325</v>
      </c>
      <c r="M1226" s="153" t="s">
        <v>340</v>
      </c>
      <c r="N1226" s="153" t="s">
        <v>454</v>
      </c>
      <c r="O1226" s="153" t="s">
        <v>339</v>
      </c>
      <c r="P1226" s="153" t="s">
        <v>1538</v>
      </c>
      <c r="Q1226" s="153" t="s">
        <v>413</v>
      </c>
      <c r="R1226" s="153" t="s">
        <v>407</v>
      </c>
      <c r="S1226" s="153" t="s">
        <v>1212</v>
      </c>
      <c r="T1226" s="154">
        <v>0.32</v>
      </c>
      <c r="U1226" s="153" t="s">
        <v>2955</v>
      </c>
      <c r="V1226" s="155">
        <v>2.5659999999999999E-2</v>
      </c>
      <c r="W1226" s="155">
        <v>4.7399999999999998E-2</v>
      </c>
      <c r="X1226" s="153" t="s">
        <v>412</v>
      </c>
      <c r="Y1226" s="153" t="s">
        <v>339</v>
      </c>
      <c r="Z1226" s="154">
        <v>38500.21</v>
      </c>
      <c r="AA1226" s="154">
        <v>1</v>
      </c>
      <c r="AB1226" s="154">
        <v>99.69</v>
      </c>
      <c r="AD1226" s="154">
        <v>38.381</v>
      </c>
      <c r="AG1226" s="157" t="s">
        <v>15</v>
      </c>
      <c r="AH1226" s="155">
        <v>1.2199999999999999E-3</v>
      </c>
      <c r="AI1226" s="155">
        <f t="shared" si="19"/>
        <v>2.0863877936061564E-3</v>
      </c>
      <c r="AJ1226" s="155">
        <v>5.2713650071694054E-5</v>
      </c>
    </row>
    <row r="1227" spans="1:36" s="160" customFormat="1">
      <c r="A1227" s="153" t="s">
        <v>1213</v>
      </c>
      <c r="B1227" s="160">
        <v>9301</v>
      </c>
      <c r="C1227" s="153" t="s">
        <v>1998</v>
      </c>
      <c r="D1227" s="153" t="s">
        <v>1999</v>
      </c>
      <c r="E1227" s="153" t="s">
        <v>309</v>
      </c>
      <c r="F1227" s="153" t="s">
        <v>2000</v>
      </c>
      <c r="G1227" s="153" t="s">
        <v>2001</v>
      </c>
      <c r="H1227" s="153" t="s">
        <v>321</v>
      </c>
      <c r="I1227" s="153" t="s">
        <v>754</v>
      </c>
      <c r="J1227" s="153" t="s">
        <v>204</v>
      </c>
      <c r="K1227" s="153" t="s">
        <v>204</v>
      </c>
      <c r="L1227" s="153" t="s">
        <v>325</v>
      </c>
      <c r="M1227" s="153" t="s">
        <v>340</v>
      </c>
      <c r="N1227" s="153" t="s">
        <v>464</v>
      </c>
      <c r="O1227" s="153" t="s">
        <v>339</v>
      </c>
      <c r="P1227" s="153" t="s">
        <v>1560</v>
      </c>
      <c r="Q1227" s="153" t="s">
        <v>413</v>
      </c>
      <c r="R1227" s="153" t="s">
        <v>407</v>
      </c>
      <c r="S1227" s="153" t="s">
        <v>1212</v>
      </c>
      <c r="T1227" s="154">
        <v>3.2</v>
      </c>
      <c r="U1227" s="153" t="s">
        <v>1913</v>
      </c>
      <c r="V1227" s="155">
        <v>2.4920000000000001E-2</v>
      </c>
      <c r="W1227" s="155">
        <v>3.32E-2</v>
      </c>
      <c r="X1227" s="153" t="s">
        <v>412</v>
      </c>
      <c r="Y1227" s="153" t="s">
        <v>339</v>
      </c>
      <c r="Z1227" s="154">
        <v>36000</v>
      </c>
      <c r="AA1227" s="154">
        <v>1</v>
      </c>
      <c r="AB1227" s="154">
        <v>105.81</v>
      </c>
      <c r="AD1227" s="154">
        <v>38.091999999999999</v>
      </c>
      <c r="AG1227" s="157" t="s">
        <v>15</v>
      </c>
      <c r="AH1227" s="155">
        <v>8.0000000000000007E-5</v>
      </c>
      <c r="AI1227" s="155">
        <f t="shared" si="19"/>
        <v>2.0706777789543185E-3</v>
      </c>
      <c r="AJ1227" s="155">
        <v>5.2316728551391828E-5</v>
      </c>
    </row>
    <row r="1228" spans="1:36" s="160" customFormat="1">
      <c r="A1228" s="153" t="s">
        <v>1213</v>
      </c>
      <c r="B1228" s="160">
        <v>9301</v>
      </c>
      <c r="C1228" s="153" t="s">
        <v>1904</v>
      </c>
      <c r="D1228" s="153" t="s">
        <v>1905</v>
      </c>
      <c r="E1228" s="153" t="s">
        <v>309</v>
      </c>
      <c r="F1228" s="153" t="s">
        <v>1906</v>
      </c>
      <c r="G1228" s="153" t="s">
        <v>1907</v>
      </c>
      <c r="H1228" s="153" t="s">
        <v>321</v>
      </c>
      <c r="I1228" s="153" t="s">
        <v>754</v>
      </c>
      <c r="J1228" s="153" t="s">
        <v>204</v>
      </c>
      <c r="K1228" s="153" t="s">
        <v>204</v>
      </c>
      <c r="L1228" s="153" t="s">
        <v>325</v>
      </c>
      <c r="M1228" s="153" t="s">
        <v>340</v>
      </c>
      <c r="N1228" s="153" t="s">
        <v>448</v>
      </c>
      <c r="O1228" s="153" t="s">
        <v>339</v>
      </c>
      <c r="P1228" s="153" t="s">
        <v>1215</v>
      </c>
      <c r="Q1228" s="153" t="s">
        <v>413</v>
      </c>
      <c r="R1228" s="153" t="s">
        <v>407</v>
      </c>
      <c r="S1228" s="153" t="s">
        <v>1212</v>
      </c>
      <c r="T1228" s="154">
        <v>3.98</v>
      </c>
      <c r="U1228" s="153" t="s">
        <v>1908</v>
      </c>
      <c r="V1228" s="155">
        <v>2.102E-2</v>
      </c>
      <c r="W1228" s="155">
        <v>2.52E-2</v>
      </c>
      <c r="X1228" s="153" t="s">
        <v>412</v>
      </c>
      <c r="Y1228" s="153" t="s">
        <v>339</v>
      </c>
      <c r="Z1228" s="154">
        <v>36705.879999999997</v>
      </c>
      <c r="AA1228" s="154">
        <v>1</v>
      </c>
      <c r="AB1228" s="154">
        <v>102.6</v>
      </c>
      <c r="AD1228" s="154">
        <v>37.659999999999997</v>
      </c>
      <c r="AG1228" s="157" t="s">
        <v>15</v>
      </c>
      <c r="AH1228" s="155">
        <v>1.0000000000000001E-5</v>
      </c>
      <c r="AI1228" s="155">
        <f t="shared" si="19"/>
        <v>2.0471942968449974E-3</v>
      </c>
      <c r="AJ1228" s="155">
        <v>5.1723406417237639E-5</v>
      </c>
    </row>
    <row r="1229" spans="1:36" s="160" customFormat="1">
      <c r="A1229" s="153" t="s">
        <v>1213</v>
      </c>
      <c r="B1229" s="160">
        <v>9301</v>
      </c>
      <c r="C1229" s="153" t="s">
        <v>1986</v>
      </c>
      <c r="D1229" s="153" t="s">
        <v>1987</v>
      </c>
      <c r="E1229" s="153" t="s">
        <v>309</v>
      </c>
      <c r="F1229" s="153" t="s">
        <v>2504</v>
      </c>
      <c r="G1229" s="153" t="s">
        <v>2505</v>
      </c>
      <c r="H1229" s="153" t="s">
        <v>321</v>
      </c>
      <c r="I1229" s="153" t="s">
        <v>951</v>
      </c>
      <c r="J1229" s="153" t="s">
        <v>204</v>
      </c>
      <c r="K1229" s="153" t="s">
        <v>204</v>
      </c>
      <c r="L1229" s="153" t="s">
        <v>325</v>
      </c>
      <c r="M1229" s="153" t="s">
        <v>340</v>
      </c>
      <c r="N1229" s="153" t="s">
        <v>484</v>
      </c>
      <c r="O1229" s="153" t="s">
        <v>339</v>
      </c>
      <c r="P1229" s="153" t="s">
        <v>1538</v>
      </c>
      <c r="Q1229" s="153" t="s">
        <v>413</v>
      </c>
      <c r="R1229" s="153" t="s">
        <v>407</v>
      </c>
      <c r="S1229" s="153" t="s">
        <v>1212</v>
      </c>
      <c r="T1229" s="154">
        <v>0.65</v>
      </c>
      <c r="U1229" s="153" t="s">
        <v>2372</v>
      </c>
      <c r="V1229" s="155">
        <v>5.0049999999999997E-2</v>
      </c>
      <c r="W1229" s="155">
        <v>5.0500000000000003E-2</v>
      </c>
      <c r="X1229" s="153" t="s">
        <v>412</v>
      </c>
      <c r="Y1229" s="153" t="s">
        <v>339</v>
      </c>
      <c r="Z1229" s="154">
        <v>37000</v>
      </c>
      <c r="AA1229" s="154">
        <v>1</v>
      </c>
      <c r="AB1229" s="154">
        <v>100.35</v>
      </c>
      <c r="AD1229" s="154">
        <v>37.130000000000003</v>
      </c>
      <c r="AG1229" s="157" t="s">
        <v>15</v>
      </c>
      <c r="AH1229" s="155">
        <v>3.0000000000000001E-5</v>
      </c>
      <c r="AI1229" s="155">
        <f t="shared" si="19"/>
        <v>2.0183835433312471E-3</v>
      </c>
      <c r="AJ1229" s="155">
        <v>5.0995488058205892E-5</v>
      </c>
    </row>
    <row r="1230" spans="1:36" s="160" customFormat="1">
      <c r="A1230" s="153" t="s">
        <v>1213</v>
      </c>
      <c r="B1230" s="160">
        <v>9301</v>
      </c>
      <c r="C1230" s="153" t="s">
        <v>1683</v>
      </c>
      <c r="D1230" s="153" t="s">
        <v>1684</v>
      </c>
      <c r="E1230" s="153" t="s">
        <v>309</v>
      </c>
      <c r="F1230" s="153" t="s">
        <v>2242</v>
      </c>
      <c r="G1230" s="153" t="s">
        <v>2243</v>
      </c>
      <c r="H1230" s="153" t="s">
        <v>321</v>
      </c>
      <c r="I1230" s="153" t="s">
        <v>952</v>
      </c>
      <c r="J1230" s="153" t="s">
        <v>204</v>
      </c>
      <c r="K1230" s="153" t="s">
        <v>204</v>
      </c>
      <c r="L1230" s="153" t="s">
        <v>325</v>
      </c>
      <c r="M1230" s="153" t="s">
        <v>340</v>
      </c>
      <c r="N1230" s="153" t="s">
        <v>441</v>
      </c>
      <c r="O1230" s="153" t="s">
        <v>339</v>
      </c>
      <c r="Q1230" s="153" t="s">
        <v>410</v>
      </c>
      <c r="R1230" s="153" t="s">
        <v>410</v>
      </c>
      <c r="S1230" s="153" t="s">
        <v>1212</v>
      </c>
      <c r="T1230" s="154">
        <v>3.85</v>
      </c>
      <c r="U1230" s="153" t="s">
        <v>1587</v>
      </c>
      <c r="V1230" s="155">
        <v>5.2850000000000001E-2</v>
      </c>
      <c r="W1230" s="155">
        <v>3.49E-2</v>
      </c>
      <c r="X1230" s="153" t="s">
        <v>412</v>
      </c>
      <c r="Y1230" s="153" t="s">
        <v>339</v>
      </c>
      <c r="Z1230" s="154">
        <v>34000</v>
      </c>
      <c r="AA1230" s="154">
        <v>1</v>
      </c>
      <c r="AB1230" s="154">
        <v>107.3</v>
      </c>
      <c r="AD1230" s="154">
        <v>36.481999999999999</v>
      </c>
      <c r="AG1230" s="157" t="s">
        <v>15</v>
      </c>
      <c r="AH1230" s="155">
        <v>8.0000000000000007E-5</v>
      </c>
      <c r="AI1230" s="155">
        <f t="shared" si="19"/>
        <v>1.9831583201672647E-3</v>
      </c>
      <c r="AJ1230" s="155">
        <v>5.0105504856974608E-5</v>
      </c>
    </row>
    <row r="1231" spans="1:36" s="160" customFormat="1">
      <c r="A1231" s="153" t="s">
        <v>1213</v>
      </c>
      <c r="B1231" s="160">
        <v>9301</v>
      </c>
      <c r="C1231" s="153" t="s">
        <v>2967</v>
      </c>
      <c r="D1231" s="153" t="s">
        <v>2968</v>
      </c>
      <c r="E1231" s="153" t="s">
        <v>309</v>
      </c>
      <c r="F1231" s="153" t="s">
        <v>2969</v>
      </c>
      <c r="G1231" s="153" t="s">
        <v>2970</v>
      </c>
      <c r="H1231" s="153" t="s">
        <v>321</v>
      </c>
      <c r="I1231" s="153" t="s">
        <v>754</v>
      </c>
      <c r="J1231" s="153" t="s">
        <v>204</v>
      </c>
      <c r="K1231" s="153" t="s">
        <v>204</v>
      </c>
      <c r="L1231" s="153" t="s">
        <v>325</v>
      </c>
      <c r="M1231" s="153" t="s">
        <v>340</v>
      </c>
      <c r="N1231" s="153" t="s">
        <v>464</v>
      </c>
      <c r="O1231" s="153" t="s">
        <v>339</v>
      </c>
      <c r="Q1231" s="153" t="s">
        <v>410</v>
      </c>
      <c r="R1231" s="153" t="s">
        <v>410</v>
      </c>
      <c r="S1231" s="153" t="s">
        <v>1212</v>
      </c>
      <c r="T1231" s="154">
        <v>5.25</v>
      </c>
      <c r="U1231" s="153" t="s">
        <v>1717</v>
      </c>
      <c r="V1231" s="155">
        <v>3.8269999999999998E-2</v>
      </c>
      <c r="W1231" s="155">
        <v>4.2099999999999999E-2</v>
      </c>
      <c r="X1231" s="153" t="s">
        <v>412</v>
      </c>
      <c r="Y1231" s="153" t="s">
        <v>339</v>
      </c>
      <c r="Z1231" s="154">
        <v>37857.760000000002</v>
      </c>
      <c r="AA1231" s="154">
        <v>1</v>
      </c>
      <c r="AB1231" s="154">
        <v>95.16</v>
      </c>
      <c r="AD1231" s="154">
        <v>36.024999999999999</v>
      </c>
      <c r="AG1231" s="157" t="s">
        <v>15</v>
      </c>
      <c r="AH1231" s="155">
        <v>1.4999999999999999E-4</v>
      </c>
      <c r="AI1231" s="155">
        <f t="shared" si="19"/>
        <v>1.958315840250691E-3</v>
      </c>
      <c r="AJ1231" s="155">
        <v>4.9477846951167979E-5</v>
      </c>
    </row>
    <row r="1232" spans="1:36" s="160" customFormat="1">
      <c r="A1232" s="153" t="s">
        <v>1213</v>
      </c>
      <c r="B1232" s="160">
        <v>9301</v>
      </c>
      <c r="C1232" s="153" t="s">
        <v>2343</v>
      </c>
      <c r="D1232" s="153" t="s">
        <v>2344</v>
      </c>
      <c r="E1232" s="153" t="s">
        <v>309</v>
      </c>
      <c r="F1232" s="153" t="s">
        <v>2931</v>
      </c>
      <c r="G1232" s="153" t="s">
        <v>2932</v>
      </c>
      <c r="H1232" s="153" t="s">
        <v>321</v>
      </c>
      <c r="I1232" s="153" t="s">
        <v>951</v>
      </c>
      <c r="J1232" s="153" t="s">
        <v>204</v>
      </c>
      <c r="K1232" s="153" t="s">
        <v>204</v>
      </c>
      <c r="L1232" s="153" t="s">
        <v>325</v>
      </c>
      <c r="M1232" s="153" t="s">
        <v>340</v>
      </c>
      <c r="N1232" s="153" t="s">
        <v>476</v>
      </c>
      <c r="O1232" s="153" t="s">
        <v>339</v>
      </c>
      <c r="P1232" s="153" t="s">
        <v>1566</v>
      </c>
      <c r="Q1232" s="153" t="s">
        <v>413</v>
      </c>
      <c r="R1232" s="153" t="s">
        <v>407</v>
      </c>
      <c r="S1232" s="153" t="s">
        <v>1212</v>
      </c>
      <c r="T1232" s="154">
        <v>1.33</v>
      </c>
      <c r="U1232" s="153" t="s">
        <v>2933</v>
      </c>
      <c r="V1232" s="155">
        <v>2.9020000000000001E-2</v>
      </c>
      <c r="W1232" s="155">
        <v>5.2200000000000003E-2</v>
      </c>
      <c r="X1232" s="153" t="s">
        <v>412</v>
      </c>
      <c r="Y1232" s="153" t="s">
        <v>339</v>
      </c>
      <c r="Z1232" s="154">
        <v>37000.870000000003</v>
      </c>
      <c r="AA1232" s="154">
        <v>1</v>
      </c>
      <c r="AB1232" s="154">
        <v>97.05</v>
      </c>
      <c r="AD1232" s="154">
        <v>35.908999999999999</v>
      </c>
      <c r="AG1232" s="157" t="s">
        <v>15</v>
      </c>
      <c r="AH1232" s="155">
        <v>9.0000000000000006E-5</v>
      </c>
      <c r="AI1232" s="155">
        <f t="shared" si="19"/>
        <v>1.9520100904250402E-3</v>
      </c>
      <c r="AJ1232" s="155">
        <v>4.9318528970700647E-5</v>
      </c>
    </row>
    <row r="1233" spans="1:36" s="160" customFormat="1">
      <c r="A1233" s="153" t="s">
        <v>1213</v>
      </c>
      <c r="B1233" s="160">
        <v>9301</v>
      </c>
      <c r="C1233" s="153" t="s">
        <v>1512</v>
      </c>
      <c r="D1233" s="153" t="s">
        <v>1513</v>
      </c>
      <c r="E1233" s="153" t="s">
        <v>309</v>
      </c>
      <c r="F1233" s="153" t="s">
        <v>2474</v>
      </c>
      <c r="G1233" s="153" t="s">
        <v>2475</v>
      </c>
      <c r="H1233" s="153" t="s">
        <v>321</v>
      </c>
      <c r="I1233" s="153" t="s">
        <v>754</v>
      </c>
      <c r="J1233" s="153" t="s">
        <v>204</v>
      </c>
      <c r="K1233" s="153" t="s">
        <v>204</v>
      </c>
      <c r="L1233" s="153" t="s">
        <v>325</v>
      </c>
      <c r="M1233" s="153" t="s">
        <v>340</v>
      </c>
      <c r="N1233" s="153" t="s">
        <v>448</v>
      </c>
      <c r="O1233" s="153" t="s">
        <v>339</v>
      </c>
      <c r="P1233" s="153" t="s">
        <v>1215</v>
      </c>
      <c r="Q1233" s="153" t="s">
        <v>413</v>
      </c>
      <c r="R1233" s="153" t="s">
        <v>407</v>
      </c>
      <c r="S1233" s="153" t="s">
        <v>1212</v>
      </c>
      <c r="T1233" s="154">
        <v>2.96</v>
      </c>
      <c r="U1233" s="153" t="s">
        <v>2476</v>
      </c>
      <c r="V1233" s="155">
        <v>2.137E-2</v>
      </c>
      <c r="W1233" s="155">
        <v>2.2599999999999999E-2</v>
      </c>
      <c r="X1233" s="153" t="s">
        <v>412</v>
      </c>
      <c r="Y1233" s="153" t="s">
        <v>339</v>
      </c>
      <c r="Z1233" s="154">
        <v>30000</v>
      </c>
      <c r="AA1233" s="154">
        <v>1</v>
      </c>
      <c r="AB1233" s="154">
        <v>113.04</v>
      </c>
      <c r="AD1233" s="154">
        <v>33.911999999999999</v>
      </c>
      <c r="AG1233" s="157" t="s">
        <v>15</v>
      </c>
      <c r="AH1233" s="155">
        <v>1.0000000000000001E-5</v>
      </c>
      <c r="AI1233" s="155">
        <f t="shared" si="19"/>
        <v>1.8434533455817194E-3</v>
      </c>
      <c r="AJ1233" s="155">
        <v>4.6575787531103637E-5</v>
      </c>
    </row>
    <row r="1234" spans="1:36" s="160" customFormat="1">
      <c r="A1234" s="153" t="s">
        <v>1213</v>
      </c>
      <c r="B1234" s="160">
        <v>9301</v>
      </c>
      <c r="C1234" s="153" t="s">
        <v>2741</v>
      </c>
      <c r="D1234" s="153" t="s">
        <v>2742</v>
      </c>
      <c r="E1234" s="153" t="s">
        <v>309</v>
      </c>
      <c r="F1234" s="153" t="s">
        <v>3025</v>
      </c>
      <c r="G1234" s="153" t="s">
        <v>3026</v>
      </c>
      <c r="H1234" s="153" t="s">
        <v>321</v>
      </c>
      <c r="I1234" s="153" t="s">
        <v>754</v>
      </c>
      <c r="J1234" s="153" t="s">
        <v>204</v>
      </c>
      <c r="K1234" s="153" t="s">
        <v>204</v>
      </c>
      <c r="L1234" s="153" t="s">
        <v>325</v>
      </c>
      <c r="M1234" s="153" t="s">
        <v>340</v>
      </c>
      <c r="N1234" s="153" t="s">
        <v>464</v>
      </c>
      <c r="O1234" s="153" t="s">
        <v>339</v>
      </c>
      <c r="P1234" s="153" t="s">
        <v>1544</v>
      </c>
      <c r="Q1234" s="153" t="s">
        <v>415</v>
      </c>
      <c r="R1234" s="153" t="s">
        <v>407</v>
      </c>
      <c r="S1234" s="153" t="s">
        <v>1212</v>
      </c>
      <c r="T1234" s="154">
        <v>1.1599999999999999</v>
      </c>
      <c r="U1234" s="153" t="s">
        <v>1777</v>
      </c>
      <c r="V1234" s="155">
        <v>6.5900000000000004E-3</v>
      </c>
      <c r="W1234" s="155">
        <v>2.58E-2</v>
      </c>
      <c r="X1234" s="153" t="s">
        <v>412</v>
      </c>
      <c r="Y1234" s="153" t="s">
        <v>339</v>
      </c>
      <c r="Z1234" s="154">
        <v>28785.79</v>
      </c>
      <c r="AA1234" s="154">
        <v>1</v>
      </c>
      <c r="AB1234" s="154">
        <v>117.36</v>
      </c>
      <c r="AD1234" s="154">
        <v>33.783000000000001</v>
      </c>
      <c r="AG1234" s="157" t="s">
        <v>15</v>
      </c>
      <c r="AH1234" s="155">
        <v>9.0000000000000006E-5</v>
      </c>
      <c r="AI1234" s="155">
        <f t="shared" si="19"/>
        <v>1.8364409168962971E-3</v>
      </c>
      <c r="AJ1234" s="155">
        <v>4.6398614949377043E-5</v>
      </c>
    </row>
    <row r="1235" spans="1:36" s="160" customFormat="1">
      <c r="A1235" s="153" t="s">
        <v>1213</v>
      </c>
      <c r="B1235" s="160">
        <v>9301</v>
      </c>
      <c r="C1235" s="153" t="s">
        <v>2445</v>
      </c>
      <c r="D1235" s="153" t="s">
        <v>2446</v>
      </c>
      <c r="E1235" s="153" t="s">
        <v>309</v>
      </c>
      <c r="F1235" s="153" t="s">
        <v>2447</v>
      </c>
      <c r="G1235" s="153" t="s">
        <v>2448</v>
      </c>
      <c r="H1235" s="153" t="s">
        <v>321</v>
      </c>
      <c r="I1235" s="153" t="s">
        <v>951</v>
      </c>
      <c r="J1235" s="153" t="s">
        <v>204</v>
      </c>
      <c r="K1235" s="153" t="s">
        <v>204</v>
      </c>
      <c r="L1235" s="153" t="s">
        <v>325</v>
      </c>
      <c r="M1235" s="153" t="s">
        <v>340</v>
      </c>
      <c r="N1235" s="153" t="s">
        <v>440</v>
      </c>
      <c r="O1235" s="153" t="s">
        <v>339</v>
      </c>
      <c r="P1235" s="153" t="s">
        <v>1614</v>
      </c>
      <c r="Q1235" s="153" t="s">
        <v>415</v>
      </c>
      <c r="R1235" s="153" t="s">
        <v>407</v>
      </c>
      <c r="S1235" s="153" t="s">
        <v>1212</v>
      </c>
      <c r="T1235" s="154">
        <v>1.92</v>
      </c>
      <c r="U1235" s="153" t="s">
        <v>1370</v>
      </c>
      <c r="V1235" s="155">
        <v>5.9229999999999998E-2</v>
      </c>
      <c r="W1235" s="155">
        <v>5.7599999999999998E-2</v>
      </c>
      <c r="X1235" s="153" t="s">
        <v>412</v>
      </c>
      <c r="Y1235" s="153" t="s">
        <v>339</v>
      </c>
      <c r="Z1235" s="154">
        <v>35000</v>
      </c>
      <c r="AA1235" s="154">
        <v>1</v>
      </c>
      <c r="AB1235" s="154">
        <v>95.6</v>
      </c>
      <c r="AD1235" s="154">
        <v>33.46</v>
      </c>
      <c r="AG1235" s="157" t="s">
        <v>15</v>
      </c>
      <c r="AH1235" s="155">
        <v>5.0000000000000002E-5</v>
      </c>
      <c r="AI1235" s="155">
        <f t="shared" si="19"/>
        <v>1.8188826652265962E-3</v>
      </c>
      <c r="AJ1235" s="155">
        <v>4.5954996779627501E-5</v>
      </c>
    </row>
    <row r="1236" spans="1:36" s="160" customFormat="1">
      <c r="A1236" s="153" t="s">
        <v>1213</v>
      </c>
      <c r="B1236" s="160">
        <v>9301</v>
      </c>
      <c r="C1236" s="153" t="s">
        <v>1840</v>
      </c>
      <c r="D1236" s="153" t="s">
        <v>1841</v>
      </c>
      <c r="E1236" s="153" t="s">
        <v>309</v>
      </c>
      <c r="F1236" s="153" t="s">
        <v>2971</v>
      </c>
      <c r="G1236" s="153" t="s">
        <v>2972</v>
      </c>
      <c r="H1236" s="153" t="s">
        <v>321</v>
      </c>
      <c r="I1236" s="153" t="s">
        <v>951</v>
      </c>
      <c r="J1236" s="153" t="s">
        <v>204</v>
      </c>
      <c r="K1236" s="153" t="s">
        <v>204</v>
      </c>
      <c r="L1236" s="153" t="s">
        <v>325</v>
      </c>
      <c r="M1236" s="153" t="s">
        <v>340</v>
      </c>
      <c r="N1236" s="153" t="s">
        <v>447</v>
      </c>
      <c r="O1236" s="153" t="s">
        <v>339</v>
      </c>
      <c r="Q1236" s="153" t="s">
        <v>410</v>
      </c>
      <c r="R1236" s="153" t="s">
        <v>410</v>
      </c>
      <c r="S1236" s="153" t="s">
        <v>1212</v>
      </c>
      <c r="T1236" s="154">
        <v>1.65</v>
      </c>
      <c r="U1236" s="153" t="s">
        <v>1833</v>
      </c>
      <c r="V1236" s="155">
        <v>4.9369999999999997E-2</v>
      </c>
      <c r="W1236" s="155">
        <v>6.25E-2</v>
      </c>
      <c r="X1236" s="153" t="s">
        <v>412</v>
      </c>
      <c r="Y1236" s="153" t="s">
        <v>339</v>
      </c>
      <c r="Z1236" s="154">
        <v>34000.06</v>
      </c>
      <c r="AA1236" s="154">
        <v>1</v>
      </c>
      <c r="AB1236" s="154">
        <v>97.34</v>
      </c>
      <c r="AD1236" s="154">
        <v>33.095999999999997</v>
      </c>
      <c r="AG1236" s="157" t="s">
        <v>15</v>
      </c>
      <c r="AH1236" s="155">
        <v>1E-4</v>
      </c>
      <c r="AI1236" s="155">
        <f t="shared" si="19"/>
        <v>1.7990956571530012E-3</v>
      </c>
      <c r="AJ1236" s="155">
        <v>4.5455067944367944E-5</v>
      </c>
    </row>
    <row r="1237" spans="1:36" s="160" customFormat="1">
      <c r="A1237" s="153" t="s">
        <v>1213</v>
      </c>
      <c r="B1237" s="160">
        <v>9301</v>
      </c>
      <c r="C1237" s="153" t="s">
        <v>1861</v>
      </c>
      <c r="D1237" s="153" t="s">
        <v>1862</v>
      </c>
      <c r="E1237" s="153" t="s">
        <v>309</v>
      </c>
      <c r="F1237" s="153" t="s">
        <v>2458</v>
      </c>
      <c r="G1237" s="153" t="s">
        <v>2459</v>
      </c>
      <c r="H1237" s="153" t="s">
        <v>321</v>
      </c>
      <c r="I1237" s="153" t="s">
        <v>754</v>
      </c>
      <c r="J1237" s="153" t="s">
        <v>204</v>
      </c>
      <c r="K1237" s="153" t="s">
        <v>204</v>
      </c>
      <c r="L1237" s="153" t="s">
        <v>325</v>
      </c>
      <c r="M1237" s="153" t="s">
        <v>340</v>
      </c>
      <c r="N1237" s="153" t="s">
        <v>464</v>
      </c>
      <c r="O1237" s="153" t="s">
        <v>339</v>
      </c>
      <c r="P1237" s="153" t="s">
        <v>1538</v>
      </c>
      <c r="Q1237" s="153" t="s">
        <v>413</v>
      </c>
      <c r="R1237" s="153" t="s">
        <v>407</v>
      </c>
      <c r="S1237" s="153" t="s">
        <v>1212</v>
      </c>
      <c r="T1237" s="154">
        <v>0.76</v>
      </c>
      <c r="U1237" s="153" t="s">
        <v>2460</v>
      </c>
      <c r="V1237" s="155">
        <v>-1.5310000000000001E-2</v>
      </c>
      <c r="W1237" s="155">
        <v>2.52E-2</v>
      </c>
      <c r="X1237" s="153" t="s">
        <v>412</v>
      </c>
      <c r="Y1237" s="153" t="s">
        <v>339</v>
      </c>
      <c r="Z1237" s="154">
        <v>28174.55</v>
      </c>
      <c r="AA1237" s="154">
        <v>1</v>
      </c>
      <c r="AB1237" s="154">
        <v>117</v>
      </c>
      <c r="AD1237" s="154">
        <v>32.963999999999999</v>
      </c>
      <c r="AG1237" s="157" t="s">
        <v>15</v>
      </c>
      <c r="AH1237" s="155">
        <v>4.0000000000000003E-5</v>
      </c>
      <c r="AI1237" s="155">
        <f t="shared" si="19"/>
        <v>1.7919201487307088E-3</v>
      </c>
      <c r="AJ1237" s="155">
        <v>4.5273775070043057E-5</v>
      </c>
    </row>
    <row r="1238" spans="1:36" s="160" customFormat="1">
      <c r="A1238" s="153" t="s">
        <v>1213</v>
      </c>
      <c r="B1238" s="160">
        <v>9301</v>
      </c>
      <c r="C1238" s="153" t="s">
        <v>1670</v>
      </c>
      <c r="D1238" s="153" t="s">
        <v>1671</v>
      </c>
      <c r="E1238" s="153" t="s">
        <v>309</v>
      </c>
      <c r="F1238" s="153" t="s">
        <v>2936</v>
      </c>
      <c r="G1238" s="153" t="s">
        <v>2937</v>
      </c>
      <c r="H1238" s="153" t="s">
        <v>321</v>
      </c>
      <c r="I1238" s="153" t="s">
        <v>951</v>
      </c>
      <c r="J1238" s="153" t="s">
        <v>204</v>
      </c>
      <c r="K1238" s="153" t="s">
        <v>204</v>
      </c>
      <c r="L1238" s="153" t="s">
        <v>325</v>
      </c>
      <c r="M1238" s="153" t="s">
        <v>340</v>
      </c>
      <c r="N1238" s="153" t="s">
        <v>465</v>
      </c>
      <c r="O1238" s="153" t="s">
        <v>339</v>
      </c>
      <c r="P1238" s="153" t="s">
        <v>1614</v>
      </c>
      <c r="Q1238" s="153" t="s">
        <v>415</v>
      </c>
      <c r="R1238" s="153" t="s">
        <v>407</v>
      </c>
      <c r="S1238" s="153" t="s">
        <v>1212</v>
      </c>
      <c r="T1238" s="154">
        <v>1.58</v>
      </c>
      <c r="U1238" s="153" t="s">
        <v>1522</v>
      </c>
      <c r="V1238" s="155">
        <v>5.2150000000000002E-2</v>
      </c>
      <c r="W1238" s="155">
        <v>5.6800000000000003E-2</v>
      </c>
      <c r="X1238" s="153" t="s">
        <v>412</v>
      </c>
      <c r="Y1238" s="153" t="s">
        <v>339</v>
      </c>
      <c r="Z1238" s="154">
        <v>33036.129999999997</v>
      </c>
      <c r="AA1238" s="154">
        <v>1</v>
      </c>
      <c r="AB1238" s="154">
        <v>99.08</v>
      </c>
      <c r="AD1238" s="154">
        <v>32.731999999999999</v>
      </c>
      <c r="AG1238" s="157" t="s">
        <v>15</v>
      </c>
      <c r="AH1238" s="155">
        <v>1.2E-4</v>
      </c>
      <c r="AI1238" s="155">
        <f t="shared" si="19"/>
        <v>1.7793086490794066E-3</v>
      </c>
      <c r="AJ1238" s="155">
        <v>4.4955139109108407E-5</v>
      </c>
    </row>
    <row r="1239" spans="1:36" s="160" customFormat="1">
      <c r="A1239" s="153" t="s">
        <v>1213</v>
      </c>
      <c r="B1239" s="160">
        <v>9301</v>
      </c>
      <c r="C1239" s="153" t="s">
        <v>455</v>
      </c>
      <c r="D1239" s="153" t="s">
        <v>2106</v>
      </c>
      <c r="E1239" s="153" t="s">
        <v>309</v>
      </c>
      <c r="F1239" s="153" t="s">
        <v>2107</v>
      </c>
      <c r="G1239" s="153" t="s">
        <v>2108</v>
      </c>
      <c r="H1239" s="153" t="s">
        <v>321</v>
      </c>
      <c r="I1239" s="153" t="s">
        <v>754</v>
      </c>
      <c r="J1239" s="153" t="s">
        <v>204</v>
      </c>
      <c r="K1239" s="153" t="s">
        <v>204</v>
      </c>
      <c r="L1239" s="153" t="s">
        <v>325</v>
      </c>
      <c r="M1239" s="153" t="s">
        <v>340</v>
      </c>
      <c r="N1239" s="153" t="s">
        <v>440</v>
      </c>
      <c r="O1239" s="153" t="s">
        <v>339</v>
      </c>
      <c r="P1239" s="153" t="s">
        <v>1923</v>
      </c>
      <c r="Q1239" s="153" t="s">
        <v>415</v>
      </c>
      <c r="R1239" s="153" t="s">
        <v>407</v>
      </c>
      <c r="S1239" s="153" t="s">
        <v>1212</v>
      </c>
      <c r="T1239" s="154">
        <v>10.4</v>
      </c>
      <c r="U1239" s="153" t="s">
        <v>2109</v>
      </c>
      <c r="V1239" s="155">
        <v>2.3980000000000001E-2</v>
      </c>
      <c r="W1239" s="155">
        <v>3.4799999999999998E-2</v>
      </c>
      <c r="X1239" s="153" t="s">
        <v>412</v>
      </c>
      <c r="Y1239" s="153" t="s">
        <v>339</v>
      </c>
      <c r="Z1239" s="154">
        <v>30000</v>
      </c>
      <c r="AA1239" s="154">
        <v>1</v>
      </c>
      <c r="AB1239" s="154">
        <v>102.97</v>
      </c>
      <c r="AD1239" s="154">
        <v>30.890999999999998</v>
      </c>
      <c r="AG1239" s="157" t="s">
        <v>15</v>
      </c>
      <c r="AH1239" s="155">
        <v>1.0000000000000001E-5</v>
      </c>
      <c r="AI1239" s="155">
        <f t="shared" si="19"/>
        <v>1.6792320505533407E-3</v>
      </c>
      <c r="AJ1239" s="155">
        <v>4.2426652884622623E-5</v>
      </c>
    </row>
    <row r="1240" spans="1:36" s="160" customFormat="1">
      <c r="A1240" s="153" t="s">
        <v>1213</v>
      </c>
      <c r="B1240" s="160">
        <v>9301</v>
      </c>
      <c r="C1240" s="153" t="s">
        <v>1728</v>
      </c>
      <c r="D1240" s="153" t="s">
        <v>1729</v>
      </c>
      <c r="E1240" s="153" t="s">
        <v>309</v>
      </c>
      <c r="F1240" s="153" t="s">
        <v>3073</v>
      </c>
      <c r="G1240" s="153" t="s">
        <v>3074</v>
      </c>
      <c r="H1240" s="153" t="s">
        <v>321</v>
      </c>
      <c r="I1240" s="153" t="s">
        <v>951</v>
      </c>
      <c r="J1240" s="153" t="s">
        <v>204</v>
      </c>
      <c r="K1240" s="153" t="s">
        <v>204</v>
      </c>
      <c r="L1240" s="153" t="s">
        <v>325</v>
      </c>
      <c r="M1240" s="153" t="s">
        <v>340</v>
      </c>
      <c r="N1240" s="153" t="s">
        <v>461</v>
      </c>
      <c r="O1240" s="153" t="s">
        <v>339</v>
      </c>
      <c r="P1240" s="153" t="s">
        <v>1614</v>
      </c>
      <c r="Q1240" s="153" t="s">
        <v>415</v>
      </c>
      <c r="R1240" s="153" t="s">
        <v>407</v>
      </c>
      <c r="S1240" s="153" t="s">
        <v>1212</v>
      </c>
      <c r="T1240" s="154">
        <v>1.21</v>
      </c>
      <c r="U1240" s="153" t="s">
        <v>1659</v>
      </c>
      <c r="V1240" s="155">
        <v>6.6479999999999997E-2</v>
      </c>
      <c r="W1240" s="155">
        <v>5.5300000000000002E-2</v>
      </c>
      <c r="X1240" s="153" t="s">
        <v>412</v>
      </c>
      <c r="Y1240" s="153" t="s">
        <v>339</v>
      </c>
      <c r="Z1240" s="154">
        <v>31259.15</v>
      </c>
      <c r="AA1240" s="154">
        <v>1</v>
      </c>
      <c r="AB1240" s="154">
        <v>98.21</v>
      </c>
      <c r="AD1240" s="154">
        <v>30.7</v>
      </c>
      <c r="AG1240" s="157" t="s">
        <v>15</v>
      </c>
      <c r="AH1240" s="155">
        <v>1.2E-4</v>
      </c>
      <c r="AI1240" s="155">
        <f t="shared" si="19"/>
        <v>1.6688493073059325E-3</v>
      </c>
      <c r="AJ1240" s="155">
        <v>4.2164327589197974E-5</v>
      </c>
    </row>
    <row r="1241" spans="1:36" s="160" customFormat="1">
      <c r="A1241" s="153" t="s">
        <v>1213</v>
      </c>
      <c r="B1241" s="160">
        <v>9301</v>
      </c>
      <c r="C1241" s="153" t="s">
        <v>2897</v>
      </c>
      <c r="D1241" s="153" t="s">
        <v>2898</v>
      </c>
      <c r="E1241" s="153" t="s">
        <v>309</v>
      </c>
      <c r="F1241" s="153" t="s">
        <v>3071</v>
      </c>
      <c r="G1241" s="153" t="s">
        <v>3072</v>
      </c>
      <c r="H1241" s="153" t="s">
        <v>321</v>
      </c>
      <c r="I1241" s="153" t="s">
        <v>951</v>
      </c>
      <c r="J1241" s="153" t="s">
        <v>204</v>
      </c>
      <c r="K1241" s="153" t="s">
        <v>204</v>
      </c>
      <c r="L1241" s="153" t="s">
        <v>325</v>
      </c>
      <c r="M1241" s="153" t="s">
        <v>340</v>
      </c>
      <c r="N1241" s="153" t="s">
        <v>447</v>
      </c>
      <c r="O1241" s="153" t="s">
        <v>339</v>
      </c>
      <c r="P1241" s="153" t="s">
        <v>1614</v>
      </c>
      <c r="Q1241" s="153" t="s">
        <v>415</v>
      </c>
      <c r="R1241" s="153" t="s">
        <v>407</v>
      </c>
      <c r="S1241" s="153" t="s">
        <v>1212</v>
      </c>
      <c r="T1241" s="154">
        <v>3.76</v>
      </c>
      <c r="U1241" s="153" t="s">
        <v>1587</v>
      </c>
      <c r="V1241" s="155">
        <v>5.8009999999999999E-2</v>
      </c>
      <c r="W1241" s="155">
        <v>6.1899999999999997E-2</v>
      </c>
      <c r="X1241" s="153" t="s">
        <v>412</v>
      </c>
      <c r="Y1241" s="153" t="s">
        <v>339</v>
      </c>
      <c r="Z1241" s="154">
        <v>30000</v>
      </c>
      <c r="AA1241" s="154">
        <v>1</v>
      </c>
      <c r="AB1241" s="154">
        <v>100.7</v>
      </c>
      <c r="AD1241" s="154">
        <v>30.21</v>
      </c>
      <c r="AG1241" s="157" t="s">
        <v>15</v>
      </c>
      <c r="AH1241" s="155">
        <v>1.4999999999999999E-4</v>
      </c>
      <c r="AI1241" s="155">
        <f t="shared" si="19"/>
        <v>1.6422129502837858E-3</v>
      </c>
      <c r="AJ1241" s="155">
        <v>4.1491346464810122E-5</v>
      </c>
    </row>
    <row r="1242" spans="1:36" s="160" customFormat="1">
      <c r="A1242" s="153" t="s">
        <v>1213</v>
      </c>
      <c r="B1242" s="160">
        <v>9301</v>
      </c>
      <c r="C1242" s="153" t="s">
        <v>1799</v>
      </c>
      <c r="D1242" s="153" t="s">
        <v>1800</v>
      </c>
      <c r="E1242" s="153" t="s">
        <v>309</v>
      </c>
      <c r="F1242" s="153" t="s">
        <v>1801</v>
      </c>
      <c r="G1242" s="153" t="s">
        <v>1802</v>
      </c>
      <c r="H1242" s="153" t="s">
        <v>321</v>
      </c>
      <c r="I1242" s="153" t="s">
        <v>754</v>
      </c>
      <c r="J1242" s="153" t="s">
        <v>204</v>
      </c>
      <c r="K1242" s="153" t="s">
        <v>204</v>
      </c>
      <c r="L1242" s="153" t="s">
        <v>325</v>
      </c>
      <c r="M1242" s="153" t="s">
        <v>340</v>
      </c>
      <c r="N1242" s="153" t="s">
        <v>464</v>
      </c>
      <c r="O1242" s="153" t="s">
        <v>339</v>
      </c>
      <c r="P1242" s="153" t="s">
        <v>1538</v>
      </c>
      <c r="Q1242" s="153" t="s">
        <v>413</v>
      </c>
      <c r="R1242" s="153" t="s">
        <v>407</v>
      </c>
      <c r="S1242" s="153" t="s">
        <v>1212</v>
      </c>
      <c r="T1242" s="154">
        <v>4.75</v>
      </c>
      <c r="U1242" s="153" t="s">
        <v>1803</v>
      </c>
      <c r="V1242" s="155">
        <v>2.5569999999999999E-2</v>
      </c>
      <c r="W1242" s="155">
        <v>2.92E-2</v>
      </c>
      <c r="X1242" s="153" t="s">
        <v>412</v>
      </c>
      <c r="Y1242" s="153" t="s">
        <v>339</v>
      </c>
      <c r="Z1242" s="154">
        <v>28043.96</v>
      </c>
      <c r="AA1242" s="154">
        <v>1</v>
      </c>
      <c r="AB1242" s="154">
        <v>104.22</v>
      </c>
      <c r="AD1242" s="154">
        <v>29.227</v>
      </c>
      <c r="AG1242" s="157" t="s">
        <v>15</v>
      </c>
      <c r="AH1242" s="155">
        <v>4.0000000000000003E-5</v>
      </c>
      <c r="AI1242" s="155">
        <f t="shared" si="19"/>
        <v>1.5887771565026218E-3</v>
      </c>
      <c r="AJ1242" s="155">
        <v>4.0141263923436132E-5</v>
      </c>
    </row>
    <row r="1243" spans="1:36" s="160" customFormat="1">
      <c r="A1243" s="153" t="s">
        <v>1213</v>
      </c>
      <c r="B1243" s="160">
        <v>9301</v>
      </c>
      <c r="C1243" s="153" t="s">
        <v>2408</v>
      </c>
      <c r="D1243" s="153" t="s">
        <v>2409</v>
      </c>
      <c r="E1243" s="153" t="s">
        <v>309</v>
      </c>
      <c r="F1243" s="153" t="s">
        <v>2410</v>
      </c>
      <c r="G1243" s="153" t="s">
        <v>2411</v>
      </c>
      <c r="H1243" s="153" t="s">
        <v>321</v>
      </c>
      <c r="I1243" s="153" t="s">
        <v>951</v>
      </c>
      <c r="J1243" s="153" t="s">
        <v>204</v>
      </c>
      <c r="K1243" s="153" t="s">
        <v>204</v>
      </c>
      <c r="L1243" s="153" t="s">
        <v>325</v>
      </c>
      <c r="M1243" s="153" t="s">
        <v>340</v>
      </c>
      <c r="N1243" s="153" t="s">
        <v>451</v>
      </c>
      <c r="O1243" s="153" t="s">
        <v>339</v>
      </c>
      <c r="P1243" s="153" t="s">
        <v>1521</v>
      </c>
      <c r="Q1243" s="153" t="s">
        <v>413</v>
      </c>
      <c r="R1243" s="153" t="s">
        <v>407</v>
      </c>
      <c r="S1243" s="153" t="s">
        <v>1212</v>
      </c>
      <c r="T1243" s="154">
        <v>1.46</v>
      </c>
      <c r="U1243" s="153" t="s">
        <v>1522</v>
      </c>
      <c r="V1243" s="155">
        <v>5.0139999999999997E-2</v>
      </c>
      <c r="W1243" s="155">
        <v>5.8700000000000002E-2</v>
      </c>
      <c r="X1243" s="153" t="s">
        <v>412</v>
      </c>
      <c r="Y1243" s="153" t="s">
        <v>339</v>
      </c>
      <c r="Z1243" s="154">
        <v>30000</v>
      </c>
      <c r="AA1243" s="154">
        <v>1</v>
      </c>
      <c r="AB1243" s="154">
        <v>97.35</v>
      </c>
      <c r="AD1243" s="154">
        <v>29.204999999999998</v>
      </c>
      <c r="AG1243" s="157" t="s">
        <v>15</v>
      </c>
      <c r="AH1243" s="155">
        <v>5.0000000000000002E-5</v>
      </c>
      <c r="AI1243" s="155">
        <f t="shared" si="19"/>
        <v>1.5875812384322397E-3</v>
      </c>
      <c r="AJ1243" s="155">
        <v>4.0111048444381979E-5</v>
      </c>
    </row>
    <row r="1244" spans="1:36" s="160" customFormat="1">
      <c r="A1244" s="153" t="s">
        <v>1213</v>
      </c>
      <c r="B1244" s="160">
        <v>9301</v>
      </c>
      <c r="C1244" s="153" t="s">
        <v>2238</v>
      </c>
      <c r="D1244" s="153" t="s">
        <v>2239</v>
      </c>
      <c r="E1244" s="153" t="s">
        <v>309</v>
      </c>
      <c r="F1244" s="153" t="s">
        <v>3019</v>
      </c>
      <c r="G1244" s="153" t="s">
        <v>3020</v>
      </c>
      <c r="H1244" s="153" t="s">
        <v>321</v>
      </c>
      <c r="I1244" s="153" t="s">
        <v>951</v>
      </c>
      <c r="J1244" s="153" t="s">
        <v>204</v>
      </c>
      <c r="K1244" s="153" t="s">
        <v>204</v>
      </c>
      <c r="L1244" s="153" t="s">
        <v>325</v>
      </c>
      <c r="M1244" s="153" t="s">
        <v>340</v>
      </c>
      <c r="N1244" s="153" t="s">
        <v>447</v>
      </c>
      <c r="O1244" s="153" t="s">
        <v>339</v>
      </c>
      <c r="P1244" s="153" t="s">
        <v>1544</v>
      </c>
      <c r="Q1244" s="153" t="s">
        <v>415</v>
      </c>
      <c r="R1244" s="153" t="s">
        <v>407</v>
      </c>
      <c r="S1244" s="153" t="s">
        <v>1212</v>
      </c>
      <c r="T1244" s="154">
        <v>0.74</v>
      </c>
      <c r="U1244" s="153" t="s">
        <v>1848</v>
      </c>
      <c r="V1244" s="155">
        <v>5.6370000000000003E-2</v>
      </c>
      <c r="W1244" s="155">
        <v>5.67E-2</v>
      </c>
      <c r="X1244" s="153" t="s">
        <v>412</v>
      </c>
      <c r="Y1244" s="153" t="s">
        <v>339</v>
      </c>
      <c r="Z1244" s="154">
        <v>29000.33</v>
      </c>
      <c r="AA1244" s="154">
        <v>1</v>
      </c>
      <c r="AB1244" s="154">
        <v>98.94</v>
      </c>
      <c r="AD1244" s="154">
        <v>28.693000000000001</v>
      </c>
      <c r="AG1244" s="157" t="s">
        <v>15</v>
      </c>
      <c r="AH1244" s="155">
        <v>1.2999999999999999E-3</v>
      </c>
      <c r="AI1244" s="155">
        <f t="shared" si="19"/>
        <v>1.5597489633397109E-3</v>
      </c>
      <c r="AJ1244" s="155">
        <v>3.9407851840939987E-5</v>
      </c>
    </row>
    <row r="1245" spans="1:36" s="160" customFormat="1">
      <c r="A1245" s="153" t="s">
        <v>1213</v>
      </c>
      <c r="B1245" s="160">
        <v>9301</v>
      </c>
      <c r="C1245" s="153" t="s">
        <v>3027</v>
      </c>
      <c r="D1245" s="153" t="s">
        <v>3028</v>
      </c>
      <c r="E1245" s="153" t="s">
        <v>311</v>
      </c>
      <c r="F1245" s="153" t="s">
        <v>3075</v>
      </c>
      <c r="G1245" s="153" t="s">
        <v>3076</v>
      </c>
      <c r="H1245" s="153" t="s">
        <v>321</v>
      </c>
      <c r="I1245" s="153" t="s">
        <v>754</v>
      </c>
      <c r="J1245" s="153" t="s">
        <v>204</v>
      </c>
      <c r="K1245" s="153" t="s">
        <v>204</v>
      </c>
      <c r="L1245" s="153" t="s">
        <v>325</v>
      </c>
      <c r="M1245" s="153" t="s">
        <v>340</v>
      </c>
      <c r="N1245" s="153" t="s">
        <v>464</v>
      </c>
      <c r="O1245" s="153" t="s">
        <v>339</v>
      </c>
      <c r="Q1245" s="153" t="s">
        <v>410</v>
      </c>
      <c r="R1245" s="153" t="s">
        <v>410</v>
      </c>
      <c r="S1245" s="153" t="s">
        <v>1212</v>
      </c>
      <c r="T1245" s="154">
        <v>2.83</v>
      </c>
      <c r="U1245" s="153" t="s">
        <v>1528</v>
      </c>
      <c r="V1245" s="155">
        <v>6.3020000000000007E-2</v>
      </c>
      <c r="W1245" s="155">
        <v>4.5100000000000001E-2</v>
      </c>
      <c r="X1245" s="153" t="s">
        <v>412</v>
      </c>
      <c r="Y1245" s="153" t="s">
        <v>339</v>
      </c>
      <c r="Z1245" s="154">
        <v>26000</v>
      </c>
      <c r="AA1245" s="154">
        <v>1</v>
      </c>
      <c r="AB1245" s="154">
        <v>110.06</v>
      </c>
      <c r="AD1245" s="154">
        <v>28.616</v>
      </c>
      <c r="AG1245" s="157" t="s">
        <v>15</v>
      </c>
      <c r="AH1245" s="155">
        <v>3.1E-4</v>
      </c>
      <c r="AI1245" s="155">
        <f t="shared" si="19"/>
        <v>1.5555632500933736E-3</v>
      </c>
      <c r="AJ1245" s="155">
        <v>3.9302097664250464E-5</v>
      </c>
    </row>
    <row r="1246" spans="1:36" s="160" customFormat="1">
      <c r="A1246" s="153" t="s">
        <v>1213</v>
      </c>
      <c r="B1246" s="160">
        <v>9301</v>
      </c>
      <c r="C1246" s="153" t="s">
        <v>2753</v>
      </c>
      <c r="D1246" s="153" t="s">
        <v>2754</v>
      </c>
      <c r="E1246" s="153" t="s">
        <v>309</v>
      </c>
      <c r="F1246" s="153" t="s">
        <v>2843</v>
      </c>
      <c r="G1246" s="153" t="s">
        <v>2844</v>
      </c>
      <c r="H1246" s="153" t="s">
        <v>321</v>
      </c>
      <c r="I1246" s="153" t="s">
        <v>951</v>
      </c>
      <c r="J1246" s="153" t="s">
        <v>204</v>
      </c>
      <c r="K1246" s="153" t="s">
        <v>204</v>
      </c>
      <c r="L1246" s="153" t="s">
        <v>325</v>
      </c>
      <c r="M1246" s="153" t="s">
        <v>340</v>
      </c>
      <c r="N1246" s="153" t="s">
        <v>447</v>
      </c>
      <c r="O1246" s="153" t="s">
        <v>339</v>
      </c>
      <c r="P1246" s="153" t="s">
        <v>1586</v>
      </c>
      <c r="Q1246" s="153" t="s">
        <v>415</v>
      </c>
      <c r="R1246" s="153" t="s">
        <v>407</v>
      </c>
      <c r="S1246" s="153" t="s">
        <v>1212</v>
      </c>
      <c r="T1246" s="154">
        <v>0.73</v>
      </c>
      <c r="U1246" s="153" t="s">
        <v>1848</v>
      </c>
      <c r="V1246" s="155">
        <v>6.293E-2</v>
      </c>
      <c r="W1246" s="155">
        <v>6.1499999999999999E-2</v>
      </c>
      <c r="X1246" s="153" t="s">
        <v>412</v>
      </c>
      <c r="Y1246" s="153" t="s">
        <v>339</v>
      </c>
      <c r="Z1246" s="154">
        <v>28000</v>
      </c>
      <c r="AA1246" s="154">
        <v>1</v>
      </c>
      <c r="AB1246" s="154">
        <v>99.92</v>
      </c>
      <c r="AD1246" s="154">
        <v>27.978000000000002</v>
      </c>
      <c r="AG1246" s="157" t="s">
        <v>15</v>
      </c>
      <c r="AH1246" s="155">
        <v>4.2000000000000002E-4</v>
      </c>
      <c r="AI1246" s="155">
        <f t="shared" si="19"/>
        <v>1.5208816260522927E-3</v>
      </c>
      <c r="AJ1246" s="155">
        <v>3.8425848771680163E-5</v>
      </c>
    </row>
    <row r="1247" spans="1:36" s="160" customFormat="1">
      <c r="A1247" s="153" t="s">
        <v>1213</v>
      </c>
      <c r="B1247" s="160">
        <v>9301</v>
      </c>
      <c r="C1247" s="153" t="s">
        <v>2463</v>
      </c>
      <c r="D1247" s="153" t="s">
        <v>2464</v>
      </c>
      <c r="E1247" s="153" t="s">
        <v>309</v>
      </c>
      <c r="F1247" s="153" t="s">
        <v>2903</v>
      </c>
      <c r="G1247" s="153" t="s">
        <v>2904</v>
      </c>
      <c r="H1247" s="153" t="s">
        <v>321</v>
      </c>
      <c r="I1247" s="153" t="s">
        <v>754</v>
      </c>
      <c r="J1247" s="153" t="s">
        <v>204</v>
      </c>
      <c r="K1247" s="153" t="s">
        <v>204</v>
      </c>
      <c r="L1247" s="153" t="s">
        <v>325</v>
      </c>
      <c r="M1247" s="153" t="s">
        <v>340</v>
      </c>
      <c r="N1247" s="153" t="s">
        <v>465</v>
      </c>
      <c r="O1247" s="153" t="s">
        <v>339</v>
      </c>
      <c r="P1247" s="153" t="s">
        <v>1560</v>
      </c>
      <c r="Q1247" s="153" t="s">
        <v>413</v>
      </c>
      <c r="R1247" s="153" t="s">
        <v>407</v>
      </c>
      <c r="S1247" s="153" t="s">
        <v>1212</v>
      </c>
      <c r="T1247" s="154">
        <v>4.99</v>
      </c>
      <c r="U1247" s="153" t="s">
        <v>2752</v>
      </c>
      <c r="V1247" s="155">
        <v>4.1169999999999998E-2</v>
      </c>
      <c r="W1247" s="155">
        <v>3.7900000000000003E-2</v>
      </c>
      <c r="X1247" s="177"/>
      <c r="Y1247" s="177"/>
      <c r="Z1247" s="154">
        <v>26000</v>
      </c>
      <c r="AA1247" s="154">
        <v>1</v>
      </c>
      <c r="AB1247" s="154">
        <v>103.93</v>
      </c>
      <c r="AD1247" s="154">
        <v>27.021999999999998</v>
      </c>
      <c r="AG1247" s="157" t="s">
        <v>15</v>
      </c>
      <c r="AH1247" s="155">
        <v>4.0000000000000003E-5</v>
      </c>
      <c r="AI1247" s="155">
        <f t="shared" si="19"/>
        <v>1.4689135499029611E-3</v>
      </c>
      <c r="AJ1247" s="155">
        <v>3.7112848863690798E-5</v>
      </c>
    </row>
    <row r="1248" spans="1:36" s="160" customFormat="1">
      <c r="A1248" s="153" t="s">
        <v>1213</v>
      </c>
      <c r="B1248" s="160">
        <v>9301</v>
      </c>
      <c r="C1248" s="153" t="s">
        <v>1718</v>
      </c>
      <c r="D1248" s="153" t="s">
        <v>1719</v>
      </c>
      <c r="E1248" s="153" t="s">
        <v>309</v>
      </c>
      <c r="F1248" s="153" t="s">
        <v>1720</v>
      </c>
      <c r="G1248" s="153" t="s">
        <v>1721</v>
      </c>
      <c r="H1248" s="153" t="s">
        <v>321</v>
      </c>
      <c r="I1248" s="153" t="s">
        <v>951</v>
      </c>
      <c r="J1248" s="153" t="s">
        <v>204</v>
      </c>
      <c r="K1248" s="153" t="s">
        <v>204</v>
      </c>
      <c r="L1248" s="153" t="s">
        <v>325</v>
      </c>
      <c r="M1248" s="153" t="s">
        <v>340</v>
      </c>
      <c r="N1248" s="153" t="s">
        <v>440</v>
      </c>
      <c r="O1248" s="153" t="s">
        <v>339</v>
      </c>
      <c r="P1248" s="153" t="s">
        <v>1527</v>
      </c>
      <c r="Q1248" s="153" t="s">
        <v>415</v>
      </c>
      <c r="R1248" s="153" t="s">
        <v>407</v>
      </c>
      <c r="S1248" s="153" t="s">
        <v>1212</v>
      </c>
      <c r="T1248" s="154">
        <v>3</v>
      </c>
      <c r="U1248" s="153" t="s">
        <v>1722</v>
      </c>
      <c r="V1248" s="155">
        <v>7.2499999999999995E-2</v>
      </c>
      <c r="W1248" s="155">
        <v>6.4000000000000001E-2</v>
      </c>
      <c r="X1248" s="153" t="s">
        <v>412</v>
      </c>
      <c r="Y1248" s="153" t="s">
        <v>339</v>
      </c>
      <c r="Z1248" s="154">
        <v>25000</v>
      </c>
      <c r="AA1248" s="154">
        <v>1</v>
      </c>
      <c r="AB1248" s="154">
        <v>105.92</v>
      </c>
      <c r="AD1248" s="154">
        <v>26.48</v>
      </c>
      <c r="AG1248" s="157" t="s">
        <v>15</v>
      </c>
      <c r="AH1248" s="155">
        <v>3.0000000000000001E-5</v>
      </c>
      <c r="AI1248" s="155">
        <f t="shared" si="19"/>
        <v>1.4394504774417295E-3</v>
      </c>
      <c r="AJ1248" s="155">
        <v>3.6368449334265875E-5</v>
      </c>
    </row>
    <row r="1249" spans="1:36" s="160" customFormat="1">
      <c r="A1249" s="153" t="s">
        <v>1213</v>
      </c>
      <c r="B1249" s="160">
        <v>9301</v>
      </c>
      <c r="C1249" s="153" t="s">
        <v>1737</v>
      </c>
      <c r="D1249" s="153" t="s">
        <v>1738</v>
      </c>
      <c r="E1249" s="153" t="s">
        <v>309</v>
      </c>
      <c r="F1249" s="153" t="s">
        <v>3037</v>
      </c>
      <c r="G1249" s="153" t="s">
        <v>3038</v>
      </c>
      <c r="H1249" s="153" t="s">
        <v>321</v>
      </c>
      <c r="I1249" s="153" t="s">
        <v>754</v>
      </c>
      <c r="J1249" s="153" t="s">
        <v>204</v>
      </c>
      <c r="K1249" s="153" t="s">
        <v>204</v>
      </c>
      <c r="L1249" s="153" t="s">
        <v>325</v>
      </c>
      <c r="M1249" s="153" t="s">
        <v>340</v>
      </c>
      <c r="N1249" s="153" t="s">
        <v>447</v>
      </c>
      <c r="O1249" s="153" t="s">
        <v>339</v>
      </c>
      <c r="Q1249" s="153" t="s">
        <v>410</v>
      </c>
      <c r="R1249" s="153" t="s">
        <v>410</v>
      </c>
      <c r="S1249" s="153" t="s">
        <v>1212</v>
      </c>
      <c r="T1249" s="154">
        <v>1.63</v>
      </c>
      <c r="U1249" s="153" t="s">
        <v>1659</v>
      </c>
      <c r="V1249" s="155">
        <v>3.1960000000000002E-2</v>
      </c>
      <c r="W1249" s="155">
        <v>4.48E-2</v>
      </c>
      <c r="X1249" s="153" t="s">
        <v>412</v>
      </c>
      <c r="Y1249" s="153" t="s">
        <v>339</v>
      </c>
      <c r="Z1249" s="154">
        <v>24000</v>
      </c>
      <c r="AA1249" s="154">
        <v>1</v>
      </c>
      <c r="AB1249" s="154">
        <v>108.54</v>
      </c>
      <c r="AD1249" s="154">
        <v>26.05</v>
      </c>
      <c r="AG1249" s="157" t="s">
        <v>15</v>
      </c>
      <c r="AH1249" s="155">
        <v>1.3999999999999999E-4</v>
      </c>
      <c r="AI1249" s="155">
        <f t="shared" si="19"/>
        <v>1.4160757151569885E-3</v>
      </c>
      <c r="AJ1249" s="155">
        <v>3.5777874061843885E-5</v>
      </c>
    </row>
    <row r="1250" spans="1:36" s="160" customFormat="1">
      <c r="A1250" s="153" t="s">
        <v>1213</v>
      </c>
      <c r="B1250" s="160">
        <v>9301</v>
      </c>
      <c r="C1250" s="153" t="s">
        <v>2757</v>
      </c>
      <c r="D1250" s="153" t="s">
        <v>2758</v>
      </c>
      <c r="E1250" s="153" t="s">
        <v>309</v>
      </c>
      <c r="F1250" s="153" t="s">
        <v>2759</v>
      </c>
      <c r="G1250" s="153" t="s">
        <v>2760</v>
      </c>
      <c r="H1250" s="153" t="s">
        <v>321</v>
      </c>
      <c r="I1250" s="153" t="s">
        <v>755</v>
      </c>
      <c r="J1250" s="153" t="s">
        <v>204</v>
      </c>
      <c r="K1250" s="153" t="s">
        <v>204</v>
      </c>
      <c r="L1250" s="153" t="s">
        <v>325</v>
      </c>
      <c r="M1250" s="153" t="s">
        <v>340</v>
      </c>
      <c r="N1250" s="153" t="s">
        <v>440</v>
      </c>
      <c r="O1250" s="153" t="s">
        <v>339</v>
      </c>
      <c r="P1250" s="153" t="s">
        <v>1521</v>
      </c>
      <c r="Q1250" s="153" t="s">
        <v>413</v>
      </c>
      <c r="R1250" s="153" t="s">
        <v>407</v>
      </c>
      <c r="S1250" s="153" t="s">
        <v>1212</v>
      </c>
      <c r="T1250" s="154">
        <v>0.74</v>
      </c>
      <c r="U1250" s="153" t="s">
        <v>2761</v>
      </c>
      <c r="V1250" s="155">
        <v>7.4230000000000004E-2</v>
      </c>
      <c r="W1250" s="155">
        <v>7.5899999999999995E-2</v>
      </c>
      <c r="X1250" s="153" t="s">
        <v>412</v>
      </c>
      <c r="Y1250" s="153" t="s">
        <v>339</v>
      </c>
      <c r="Z1250" s="154">
        <v>26000</v>
      </c>
      <c r="AA1250" s="154">
        <v>1</v>
      </c>
      <c r="AB1250" s="154">
        <v>100.15</v>
      </c>
      <c r="AD1250" s="154">
        <v>26.039000000000001</v>
      </c>
      <c r="AG1250" s="157" t="s">
        <v>15</v>
      </c>
      <c r="AH1250" s="155">
        <v>1.1E-4</v>
      </c>
      <c r="AI1250" s="155">
        <f t="shared" si="19"/>
        <v>1.4154777561217974E-3</v>
      </c>
      <c r="AJ1250" s="155">
        <v>3.5762766322316809E-5</v>
      </c>
    </row>
    <row r="1251" spans="1:36" s="160" customFormat="1">
      <c r="A1251" s="153" t="s">
        <v>1213</v>
      </c>
      <c r="B1251" s="160">
        <v>9301</v>
      </c>
      <c r="C1251" s="153" t="s">
        <v>1546</v>
      </c>
      <c r="D1251" s="153" t="s">
        <v>1547</v>
      </c>
      <c r="E1251" s="153" t="s">
        <v>309</v>
      </c>
      <c r="F1251" s="153" t="s">
        <v>1834</v>
      </c>
      <c r="G1251" s="153" t="s">
        <v>1835</v>
      </c>
      <c r="H1251" s="153" t="s">
        <v>321</v>
      </c>
      <c r="I1251" s="153" t="s">
        <v>754</v>
      </c>
      <c r="J1251" s="153" t="s">
        <v>204</v>
      </c>
      <c r="K1251" s="153" t="s">
        <v>204</v>
      </c>
      <c r="L1251" s="153" t="s">
        <v>325</v>
      </c>
      <c r="M1251" s="153" t="s">
        <v>340</v>
      </c>
      <c r="N1251" s="153" t="s">
        <v>443</v>
      </c>
      <c r="O1251" s="153" t="s">
        <v>339</v>
      </c>
      <c r="P1251" s="153" t="s">
        <v>1544</v>
      </c>
      <c r="Q1251" s="153" t="s">
        <v>415</v>
      </c>
      <c r="R1251" s="153" t="s">
        <v>407</v>
      </c>
      <c r="S1251" s="153" t="s">
        <v>1212</v>
      </c>
      <c r="T1251" s="154">
        <v>0.66</v>
      </c>
      <c r="U1251" s="153" t="s">
        <v>1836</v>
      </c>
      <c r="V1251" s="155">
        <v>4.1700000000000001E-3</v>
      </c>
      <c r="W1251" s="155">
        <v>2.7099999999999999E-2</v>
      </c>
      <c r="X1251" s="153" t="s">
        <v>412</v>
      </c>
      <c r="Y1251" s="153" t="s">
        <v>339</v>
      </c>
      <c r="Z1251" s="154">
        <v>22846.65</v>
      </c>
      <c r="AA1251" s="154">
        <v>1</v>
      </c>
      <c r="AB1251" s="154">
        <v>113.12</v>
      </c>
      <c r="AD1251" s="154">
        <v>25.844000000000001</v>
      </c>
      <c r="AG1251" s="157" t="s">
        <v>15</v>
      </c>
      <c r="AH1251" s="155">
        <v>8.0000000000000007E-5</v>
      </c>
      <c r="AI1251" s="155">
        <f t="shared" si="19"/>
        <v>1.4048775732252289E-3</v>
      </c>
      <c r="AJ1251" s="155">
        <v>3.5494947303427768E-5</v>
      </c>
    </row>
    <row r="1252" spans="1:36" s="160" customFormat="1">
      <c r="A1252" s="153" t="s">
        <v>1213</v>
      </c>
      <c r="B1252" s="160">
        <v>9301</v>
      </c>
      <c r="C1252" s="153" t="s">
        <v>1634</v>
      </c>
      <c r="D1252" s="153" t="s">
        <v>1635</v>
      </c>
      <c r="E1252" s="153" t="s">
        <v>309</v>
      </c>
      <c r="F1252" s="153" t="s">
        <v>3045</v>
      </c>
      <c r="G1252" s="153" t="s">
        <v>3046</v>
      </c>
      <c r="H1252" s="153" t="s">
        <v>321</v>
      </c>
      <c r="I1252" s="153" t="s">
        <v>951</v>
      </c>
      <c r="J1252" s="153" t="s">
        <v>204</v>
      </c>
      <c r="K1252" s="153" t="s">
        <v>204</v>
      </c>
      <c r="L1252" s="153" t="s">
        <v>325</v>
      </c>
      <c r="M1252" s="153" t="s">
        <v>340</v>
      </c>
      <c r="N1252" s="153" t="s">
        <v>454</v>
      </c>
      <c r="O1252" s="153" t="s">
        <v>339</v>
      </c>
      <c r="P1252" s="153" t="s">
        <v>1554</v>
      </c>
      <c r="Q1252" s="153" t="s">
        <v>413</v>
      </c>
      <c r="R1252" s="153" t="s">
        <v>407</v>
      </c>
      <c r="S1252" s="153" t="s">
        <v>1212</v>
      </c>
      <c r="T1252" s="154">
        <v>2.39</v>
      </c>
      <c r="U1252" s="153" t="s">
        <v>3047</v>
      </c>
      <c r="V1252" s="155">
        <v>4.9480000000000003E-2</v>
      </c>
      <c r="W1252" s="155">
        <v>6.4199999999999993E-2</v>
      </c>
      <c r="X1252" s="153" t="s">
        <v>412</v>
      </c>
      <c r="Y1252" s="153" t="s">
        <v>339</v>
      </c>
      <c r="Z1252" s="154">
        <v>26000</v>
      </c>
      <c r="AA1252" s="154">
        <v>1</v>
      </c>
      <c r="AB1252" s="154">
        <v>98.6</v>
      </c>
      <c r="AD1252" s="154">
        <v>25.635999999999999</v>
      </c>
      <c r="AG1252" s="157" t="s">
        <v>15</v>
      </c>
      <c r="AH1252" s="155">
        <v>8.0000000000000007E-5</v>
      </c>
      <c r="AI1252" s="155">
        <f t="shared" si="19"/>
        <v>1.3935707114688888E-3</v>
      </c>
      <c r="AJ1252" s="155">
        <v>3.520927368327945E-5</v>
      </c>
    </row>
    <row r="1253" spans="1:36" s="160" customFormat="1">
      <c r="A1253" s="153" t="s">
        <v>1213</v>
      </c>
      <c r="B1253" s="160">
        <v>9301</v>
      </c>
      <c r="C1253" s="153" t="s">
        <v>2866</v>
      </c>
      <c r="D1253" s="153" t="s">
        <v>2867</v>
      </c>
      <c r="E1253" s="153" t="s">
        <v>309</v>
      </c>
      <c r="F1253" s="153" t="s">
        <v>2901</v>
      </c>
      <c r="G1253" s="153" t="s">
        <v>2902</v>
      </c>
      <c r="H1253" s="153" t="s">
        <v>321</v>
      </c>
      <c r="I1253" s="153" t="s">
        <v>754</v>
      </c>
      <c r="J1253" s="153" t="s">
        <v>204</v>
      </c>
      <c r="K1253" s="153" t="s">
        <v>204</v>
      </c>
      <c r="L1253" s="153" t="s">
        <v>325</v>
      </c>
      <c r="M1253" s="153" t="s">
        <v>340</v>
      </c>
      <c r="N1253" s="153" t="s">
        <v>464</v>
      </c>
      <c r="O1253" s="153" t="s">
        <v>339</v>
      </c>
      <c r="P1253" s="153" t="s">
        <v>1554</v>
      </c>
      <c r="Q1253" s="153" t="s">
        <v>413</v>
      </c>
      <c r="R1253" s="153" t="s">
        <v>407</v>
      </c>
      <c r="S1253" s="153" t="s">
        <v>1212</v>
      </c>
      <c r="T1253" s="154">
        <v>1.99</v>
      </c>
      <c r="U1253" s="153" t="s">
        <v>1522</v>
      </c>
      <c r="V1253" s="155">
        <v>4.4920000000000002E-2</v>
      </c>
      <c r="W1253" s="155">
        <v>3.1899999999999998E-2</v>
      </c>
      <c r="X1253" s="153" t="s">
        <v>412</v>
      </c>
      <c r="Y1253" s="153" t="s">
        <v>339</v>
      </c>
      <c r="Z1253" s="154">
        <v>25000</v>
      </c>
      <c r="AA1253" s="154">
        <v>1</v>
      </c>
      <c r="AB1253" s="154">
        <v>101.09</v>
      </c>
      <c r="AD1253" s="154">
        <v>25.273</v>
      </c>
      <c r="AG1253" s="157" t="s">
        <v>15</v>
      </c>
      <c r="AH1253" s="155">
        <v>6.0000000000000002E-5</v>
      </c>
      <c r="AI1253" s="155">
        <f t="shared" si="19"/>
        <v>1.3738380633075843E-3</v>
      </c>
      <c r="AJ1253" s="155">
        <v>3.4710718278886007E-5</v>
      </c>
    </row>
    <row r="1254" spans="1:36" s="160" customFormat="1">
      <c r="A1254" s="153" t="s">
        <v>1213</v>
      </c>
      <c r="B1254" s="160">
        <v>9301</v>
      </c>
      <c r="C1254" s="153" t="s">
        <v>2228</v>
      </c>
      <c r="D1254" s="153" t="s">
        <v>2229</v>
      </c>
      <c r="E1254" s="153" t="s">
        <v>309</v>
      </c>
      <c r="F1254" s="153" t="s">
        <v>2911</v>
      </c>
      <c r="G1254" s="153" t="s">
        <v>2912</v>
      </c>
      <c r="H1254" s="153" t="s">
        <v>321</v>
      </c>
      <c r="I1254" s="153" t="s">
        <v>951</v>
      </c>
      <c r="J1254" s="153" t="s">
        <v>204</v>
      </c>
      <c r="K1254" s="153" t="s">
        <v>204</v>
      </c>
      <c r="L1254" s="153" t="s">
        <v>325</v>
      </c>
      <c r="M1254" s="153" t="s">
        <v>340</v>
      </c>
      <c r="N1254" s="153" t="s">
        <v>441</v>
      </c>
      <c r="O1254" s="153" t="s">
        <v>339</v>
      </c>
      <c r="Q1254" s="153" t="s">
        <v>410</v>
      </c>
      <c r="R1254" s="153" t="s">
        <v>410</v>
      </c>
      <c r="S1254" s="153" t="s">
        <v>1212</v>
      </c>
      <c r="T1254" s="154">
        <v>0.42</v>
      </c>
      <c r="U1254" s="153" t="s">
        <v>2049</v>
      </c>
      <c r="V1254" s="155">
        <v>2.0320000000000001E-2</v>
      </c>
      <c r="W1254" s="155">
        <v>6.1199999999999997E-2</v>
      </c>
      <c r="X1254" s="153" t="s">
        <v>412</v>
      </c>
      <c r="Y1254" s="153" t="s">
        <v>339</v>
      </c>
      <c r="Z1254" s="154">
        <v>25000.41</v>
      </c>
      <c r="AA1254" s="154">
        <v>1</v>
      </c>
      <c r="AB1254" s="154">
        <v>99.63</v>
      </c>
      <c r="AD1254" s="154">
        <v>24.908000000000001</v>
      </c>
      <c r="AG1254" s="157" t="s">
        <v>15</v>
      </c>
      <c r="AH1254" s="155">
        <v>3.2000000000000003E-4</v>
      </c>
      <c r="AI1254" s="155">
        <f t="shared" si="19"/>
        <v>1.3539966953216994E-3</v>
      </c>
      <c r="AJ1254" s="155">
        <v>3.4209416012760364E-5</v>
      </c>
    </row>
    <row r="1255" spans="1:36" s="160" customFormat="1">
      <c r="A1255" s="153" t="s">
        <v>1213</v>
      </c>
      <c r="B1255" s="160">
        <v>9301</v>
      </c>
      <c r="C1255" s="153" t="s">
        <v>2866</v>
      </c>
      <c r="D1255" s="153" t="s">
        <v>2867</v>
      </c>
      <c r="E1255" s="153" t="s">
        <v>309</v>
      </c>
      <c r="F1255" s="153" t="s">
        <v>2965</v>
      </c>
      <c r="G1255" s="153" t="s">
        <v>2966</v>
      </c>
      <c r="H1255" s="153" t="s">
        <v>321</v>
      </c>
      <c r="I1255" s="153" t="s">
        <v>754</v>
      </c>
      <c r="J1255" s="153" t="s">
        <v>204</v>
      </c>
      <c r="K1255" s="153" t="s">
        <v>204</v>
      </c>
      <c r="L1255" s="153" t="s">
        <v>327</v>
      </c>
      <c r="M1255" s="153" t="s">
        <v>340</v>
      </c>
      <c r="N1255" s="153" t="s">
        <v>464</v>
      </c>
      <c r="O1255" s="153" t="s">
        <v>339</v>
      </c>
      <c r="P1255" s="153" t="s">
        <v>1554</v>
      </c>
      <c r="Q1255" s="153" t="s">
        <v>413</v>
      </c>
      <c r="R1255" s="153" t="s">
        <v>407</v>
      </c>
      <c r="S1255" s="153" t="s">
        <v>1212</v>
      </c>
      <c r="T1255" s="154">
        <v>2.2400000000000002</v>
      </c>
      <c r="U1255" s="153" t="s">
        <v>1659</v>
      </c>
      <c r="V1255" s="155">
        <v>3.764E-2</v>
      </c>
      <c r="W1255" s="155">
        <v>3.1699999999999999E-2</v>
      </c>
      <c r="X1255" s="153" t="s">
        <v>412</v>
      </c>
      <c r="Y1255" s="153" t="s">
        <v>339</v>
      </c>
      <c r="Z1255" s="154">
        <v>20000</v>
      </c>
      <c r="AA1255" s="154">
        <v>1</v>
      </c>
      <c r="AB1255" s="154">
        <f>AD1255*1000/Z1255*100</f>
        <v>96.444644808742993</v>
      </c>
      <c r="AD1255" s="154">
        <f>19288.9289617486/1000</f>
        <v>19.288928961748599</v>
      </c>
      <c r="AG1255" s="157" t="s">
        <v>15</v>
      </c>
      <c r="AH1255" s="155">
        <v>6.9999999999999994E-5</v>
      </c>
      <c r="AI1255" s="155">
        <f t="shared" si="19"/>
        <v>1.0485444865305372E-3</v>
      </c>
      <c r="AJ1255" s="155">
        <v>2.6492010410030497E-5</v>
      </c>
    </row>
    <row r="1256" spans="1:36" s="160" customFormat="1">
      <c r="A1256" s="153" t="s">
        <v>1213</v>
      </c>
      <c r="B1256" s="160">
        <v>9301</v>
      </c>
      <c r="C1256" s="153" t="s">
        <v>1546</v>
      </c>
      <c r="D1256" s="153" t="s">
        <v>1547</v>
      </c>
      <c r="E1256" s="153" t="s">
        <v>309</v>
      </c>
      <c r="F1256" s="153" t="s">
        <v>2487</v>
      </c>
      <c r="G1256" s="153" t="s">
        <v>2488</v>
      </c>
      <c r="H1256" s="153" t="s">
        <v>321</v>
      </c>
      <c r="I1256" s="153" t="s">
        <v>754</v>
      </c>
      <c r="J1256" s="153" t="s">
        <v>204</v>
      </c>
      <c r="K1256" s="153" t="s">
        <v>204</v>
      </c>
      <c r="L1256" s="153" t="s">
        <v>325</v>
      </c>
      <c r="M1256" s="153" t="s">
        <v>340</v>
      </c>
      <c r="N1256" s="153" t="s">
        <v>443</v>
      </c>
      <c r="O1256" s="153" t="s">
        <v>339</v>
      </c>
      <c r="P1256" s="153" t="s">
        <v>1544</v>
      </c>
      <c r="Q1256" s="153" t="s">
        <v>415</v>
      </c>
      <c r="R1256" s="153" t="s">
        <v>407</v>
      </c>
      <c r="S1256" s="153" t="s">
        <v>1212</v>
      </c>
      <c r="T1256" s="154">
        <v>0.79</v>
      </c>
      <c r="U1256" s="153" t="s">
        <v>1777</v>
      </c>
      <c r="V1256" s="155">
        <v>8.1899999999999994E-3</v>
      </c>
      <c r="W1256" s="155">
        <v>2.7199999999999998E-2</v>
      </c>
      <c r="X1256" s="153" t="s">
        <v>412</v>
      </c>
      <c r="Y1256" s="153" t="s">
        <v>339</v>
      </c>
      <c r="Z1256" s="154">
        <v>20000</v>
      </c>
      <c r="AA1256" s="154">
        <v>1</v>
      </c>
      <c r="AB1256" s="154">
        <v>115.1</v>
      </c>
      <c r="AD1256" s="154">
        <v>23.02</v>
      </c>
      <c r="AG1256" s="157" t="s">
        <v>15</v>
      </c>
      <c r="AH1256" s="155">
        <v>5.0000000000000002E-5</v>
      </c>
      <c r="AI1256" s="155">
        <f t="shared" si="19"/>
        <v>1.2513651809179991E-3</v>
      </c>
      <c r="AJ1256" s="155">
        <v>3.1616378537567994E-5</v>
      </c>
    </row>
    <row r="1257" spans="1:36" s="160" customFormat="1">
      <c r="A1257" s="153" t="s">
        <v>1213</v>
      </c>
      <c r="B1257" s="160">
        <v>9301</v>
      </c>
      <c r="C1257" s="153" t="s">
        <v>2780</v>
      </c>
      <c r="D1257" s="153" t="s">
        <v>2781</v>
      </c>
      <c r="E1257" s="153" t="s">
        <v>309</v>
      </c>
      <c r="F1257" s="153" t="s">
        <v>3017</v>
      </c>
      <c r="G1257" s="153" t="s">
        <v>3018</v>
      </c>
      <c r="H1257" s="153" t="s">
        <v>321</v>
      </c>
      <c r="I1257" s="153" t="s">
        <v>754</v>
      </c>
      <c r="J1257" s="153" t="s">
        <v>204</v>
      </c>
      <c r="K1257" s="153" t="s">
        <v>204</v>
      </c>
      <c r="L1257" s="153" t="s">
        <v>325</v>
      </c>
      <c r="M1257" s="153" t="s">
        <v>340</v>
      </c>
      <c r="N1257" s="153" t="s">
        <v>464</v>
      </c>
      <c r="O1257" s="153" t="s">
        <v>339</v>
      </c>
      <c r="P1257" s="153" t="s">
        <v>1521</v>
      </c>
      <c r="Q1257" s="153" t="s">
        <v>413</v>
      </c>
      <c r="R1257" s="153" t="s">
        <v>407</v>
      </c>
      <c r="S1257" s="153" t="s">
        <v>1212</v>
      </c>
      <c r="T1257" s="154">
        <v>3.43</v>
      </c>
      <c r="U1257" s="153" t="s">
        <v>1266</v>
      </c>
      <c r="V1257" s="155">
        <v>-4.8399999999999997E-3</v>
      </c>
      <c r="W1257" s="155">
        <v>2.8899999999999999E-2</v>
      </c>
      <c r="X1257" s="153" t="s">
        <v>412</v>
      </c>
      <c r="Y1257" s="153" t="s">
        <v>339</v>
      </c>
      <c r="Z1257" s="154">
        <v>20000</v>
      </c>
      <c r="AA1257" s="154">
        <v>1</v>
      </c>
      <c r="AB1257" s="154">
        <v>112.07</v>
      </c>
      <c r="AD1257" s="154">
        <v>22.414000000000001</v>
      </c>
      <c r="AG1257" s="157" t="s">
        <v>15</v>
      </c>
      <c r="AH1257" s="155">
        <v>1E-4</v>
      </c>
      <c r="AI1257" s="155">
        <f t="shared" si="19"/>
        <v>1.2184230740702011E-3</v>
      </c>
      <c r="AJ1257" s="155">
        <v>3.0784079432712817E-5</v>
      </c>
    </row>
    <row r="1258" spans="1:36" s="160" customFormat="1">
      <c r="A1258" s="153" t="s">
        <v>1213</v>
      </c>
      <c r="B1258" s="160">
        <v>9301</v>
      </c>
      <c r="C1258" s="153" t="s">
        <v>2150</v>
      </c>
      <c r="D1258" s="153" t="s">
        <v>2151</v>
      </c>
      <c r="E1258" s="153" t="s">
        <v>309</v>
      </c>
      <c r="F1258" s="153" t="s">
        <v>2469</v>
      </c>
      <c r="G1258" s="153" t="s">
        <v>2470</v>
      </c>
      <c r="H1258" s="153" t="s">
        <v>321</v>
      </c>
      <c r="I1258" s="153" t="s">
        <v>754</v>
      </c>
      <c r="J1258" s="153" t="s">
        <v>204</v>
      </c>
      <c r="K1258" s="153" t="s">
        <v>204</v>
      </c>
      <c r="L1258" s="153" t="s">
        <v>325</v>
      </c>
      <c r="M1258" s="153" t="s">
        <v>340</v>
      </c>
      <c r="N1258" s="153" t="s">
        <v>477</v>
      </c>
      <c r="O1258" s="153" t="s">
        <v>339</v>
      </c>
      <c r="P1258" s="153" t="s">
        <v>1538</v>
      </c>
      <c r="Q1258" s="153" t="s">
        <v>413</v>
      </c>
      <c r="R1258" s="153" t="s">
        <v>407</v>
      </c>
      <c r="S1258" s="153" t="s">
        <v>1212</v>
      </c>
      <c r="T1258" s="154">
        <v>0.96</v>
      </c>
      <c r="U1258" s="153" t="s">
        <v>2471</v>
      </c>
      <c r="V1258" s="155">
        <v>-8.8699999999999994E-3</v>
      </c>
      <c r="W1258" s="155">
        <v>2.2800000000000001E-2</v>
      </c>
      <c r="X1258" s="153" t="s">
        <v>412</v>
      </c>
      <c r="Y1258" s="153" t="s">
        <v>339</v>
      </c>
      <c r="Z1258" s="154">
        <v>19381.36</v>
      </c>
      <c r="AA1258" s="154">
        <v>1</v>
      </c>
      <c r="AB1258" s="154">
        <v>115.47</v>
      </c>
      <c r="AD1258" s="154">
        <v>22.38</v>
      </c>
      <c r="AG1258" s="157" t="s">
        <v>15</v>
      </c>
      <c r="AH1258" s="155">
        <v>3.0000000000000001E-5</v>
      </c>
      <c r="AI1258" s="155">
        <f t="shared" si="19"/>
        <v>1.2165748370523378E-3</v>
      </c>
      <c r="AJ1258" s="155">
        <v>3.0737382783265494E-5</v>
      </c>
    </row>
    <row r="1259" spans="1:36" s="160" customFormat="1">
      <c r="A1259" s="153" t="s">
        <v>1213</v>
      </c>
      <c r="B1259" s="160">
        <v>9301</v>
      </c>
      <c r="C1259" s="153" t="s">
        <v>2441</v>
      </c>
      <c r="D1259" s="153" t="s">
        <v>2442</v>
      </c>
      <c r="E1259" s="153" t="s">
        <v>309</v>
      </c>
      <c r="F1259" s="153" t="s">
        <v>2496</v>
      </c>
      <c r="G1259" s="153" t="s">
        <v>2497</v>
      </c>
      <c r="H1259" s="153" t="s">
        <v>321</v>
      </c>
      <c r="I1259" s="153" t="s">
        <v>754</v>
      </c>
      <c r="J1259" s="153" t="s">
        <v>204</v>
      </c>
      <c r="K1259" s="153" t="s">
        <v>204</v>
      </c>
      <c r="L1259" s="153" t="s">
        <v>325</v>
      </c>
      <c r="M1259" s="153" t="s">
        <v>340</v>
      </c>
      <c r="N1259" s="153" t="s">
        <v>462</v>
      </c>
      <c r="O1259" s="153" t="s">
        <v>339</v>
      </c>
      <c r="P1259" s="153" t="s">
        <v>1566</v>
      </c>
      <c r="Q1259" s="153" t="s">
        <v>413</v>
      </c>
      <c r="R1259" s="153" t="s">
        <v>407</v>
      </c>
      <c r="S1259" s="153" t="s">
        <v>1212</v>
      </c>
      <c r="T1259" s="154">
        <v>1.46</v>
      </c>
      <c r="U1259" s="153" t="s">
        <v>2498</v>
      </c>
      <c r="V1259" s="155">
        <v>2.3500000000000001E-3</v>
      </c>
      <c r="W1259" s="155">
        <v>2.4400000000000002E-2</v>
      </c>
      <c r="X1259" s="153" t="s">
        <v>412</v>
      </c>
      <c r="Y1259" s="153" t="s">
        <v>339</v>
      </c>
      <c r="Z1259" s="154">
        <v>19147.2</v>
      </c>
      <c r="AA1259" s="154">
        <v>1</v>
      </c>
      <c r="AB1259" s="154">
        <v>112.33</v>
      </c>
      <c r="AD1259" s="154">
        <v>21.507999999999999</v>
      </c>
      <c r="AG1259" s="157" t="s">
        <v>15</v>
      </c>
      <c r="AH1259" s="155">
        <v>9.0000000000000006E-5</v>
      </c>
      <c r="AI1259" s="155">
        <f t="shared" si="19"/>
        <v>1.1691729935353744E-3</v>
      </c>
      <c r="AJ1259" s="155">
        <v>2.9539751068028337E-5</v>
      </c>
    </row>
    <row r="1260" spans="1:36" s="160" customFormat="1">
      <c r="A1260" s="153" t="s">
        <v>1213</v>
      </c>
      <c r="B1260" s="160">
        <v>9301</v>
      </c>
      <c r="C1260" s="153" t="s">
        <v>3089</v>
      </c>
      <c r="D1260" s="153" t="s">
        <v>3090</v>
      </c>
      <c r="E1260" s="153" t="s">
        <v>309</v>
      </c>
      <c r="F1260" s="153" t="s">
        <v>3091</v>
      </c>
      <c r="G1260" s="153" t="s">
        <v>3092</v>
      </c>
      <c r="H1260" s="153" t="s">
        <v>321</v>
      </c>
      <c r="I1260" s="153" t="s">
        <v>951</v>
      </c>
      <c r="J1260" s="153" t="s">
        <v>204</v>
      </c>
      <c r="K1260" s="153" t="s">
        <v>204</v>
      </c>
      <c r="L1260" s="153" t="s">
        <v>325</v>
      </c>
      <c r="M1260" s="153" t="s">
        <v>340</v>
      </c>
      <c r="N1260" s="153" t="s">
        <v>447</v>
      </c>
      <c r="O1260" s="153" t="s">
        <v>339</v>
      </c>
      <c r="Q1260" s="153" t="s">
        <v>410</v>
      </c>
      <c r="R1260" s="153" t="s">
        <v>410</v>
      </c>
      <c r="S1260" s="153" t="s">
        <v>1212</v>
      </c>
      <c r="T1260" s="154">
        <v>1.59</v>
      </c>
      <c r="U1260" s="153" t="s">
        <v>1343</v>
      </c>
      <c r="V1260" s="155">
        <v>5.5789999999999999E-2</v>
      </c>
      <c r="W1260" s="155">
        <v>8.8999999999999996E-2</v>
      </c>
      <c r="X1260" s="153" t="s">
        <v>412</v>
      </c>
      <c r="Y1260" s="153" t="s">
        <v>339</v>
      </c>
      <c r="Z1260" s="154">
        <v>21000.400000000001</v>
      </c>
      <c r="AA1260" s="154">
        <v>1</v>
      </c>
      <c r="AB1260" s="154">
        <v>99.4</v>
      </c>
      <c r="AD1260" s="154">
        <v>20.873999999999999</v>
      </c>
      <c r="AG1260" s="157" t="s">
        <v>15</v>
      </c>
      <c r="AH1260" s="155">
        <v>3.1E-4</v>
      </c>
      <c r="AI1260" s="155">
        <f t="shared" si="19"/>
        <v>1.134708809143454E-3</v>
      </c>
      <c r="AJ1260" s="155">
        <v>2.8668995898922425E-5</v>
      </c>
    </row>
    <row r="1261" spans="1:36" s="160" customFormat="1">
      <c r="A1261" s="153" t="s">
        <v>1213</v>
      </c>
      <c r="B1261" s="160">
        <v>9301</v>
      </c>
      <c r="C1261" s="153" t="s">
        <v>2336</v>
      </c>
      <c r="D1261" s="153" t="s">
        <v>2337</v>
      </c>
      <c r="E1261" s="153" t="s">
        <v>309</v>
      </c>
      <c r="F1261" s="153" t="s">
        <v>2338</v>
      </c>
      <c r="G1261" s="153" t="s">
        <v>2339</v>
      </c>
      <c r="H1261" s="153" t="s">
        <v>321</v>
      </c>
      <c r="I1261" s="153" t="s">
        <v>754</v>
      </c>
      <c r="J1261" s="153" t="s">
        <v>204</v>
      </c>
      <c r="K1261" s="153" t="s">
        <v>204</v>
      </c>
      <c r="L1261" s="153" t="s">
        <v>325</v>
      </c>
      <c r="M1261" s="153" t="s">
        <v>340</v>
      </c>
      <c r="N1261" s="153" t="s">
        <v>464</v>
      </c>
      <c r="O1261" s="153" t="s">
        <v>339</v>
      </c>
      <c r="P1261" s="153" t="s">
        <v>1982</v>
      </c>
      <c r="Q1261" s="153" t="s">
        <v>415</v>
      </c>
      <c r="R1261" s="153" t="s">
        <v>407</v>
      </c>
      <c r="S1261" s="153" t="s">
        <v>1212</v>
      </c>
      <c r="T1261" s="154">
        <v>5.84</v>
      </c>
      <c r="U1261" s="153" t="s">
        <v>2340</v>
      </c>
      <c r="V1261" s="155">
        <v>2.095E-2</v>
      </c>
      <c r="W1261" s="155">
        <v>3.39E-2</v>
      </c>
      <c r="X1261" s="153" t="s">
        <v>412</v>
      </c>
      <c r="Y1261" s="153" t="s">
        <v>339</v>
      </c>
      <c r="Z1261" s="154">
        <v>19501.96</v>
      </c>
      <c r="AA1261" s="154">
        <v>1</v>
      </c>
      <c r="AB1261" s="154">
        <v>104.08</v>
      </c>
      <c r="AD1261" s="154">
        <v>20.297999999999998</v>
      </c>
      <c r="AG1261" s="157" t="s">
        <v>15</v>
      </c>
      <c r="AH1261" s="155">
        <v>2.0000000000000002E-5</v>
      </c>
      <c r="AI1261" s="155">
        <f t="shared" si="19"/>
        <v>1.1033974996643588E-3</v>
      </c>
      <c r="AJ1261" s="155">
        <v>2.7877899720050176E-5</v>
      </c>
    </row>
    <row r="1262" spans="1:36" s="160" customFormat="1">
      <c r="A1262" s="153" t="s">
        <v>1213</v>
      </c>
      <c r="B1262" s="160">
        <v>9301</v>
      </c>
      <c r="C1262" s="153" t="s">
        <v>1674</v>
      </c>
      <c r="D1262" s="153" t="s">
        <v>1675</v>
      </c>
      <c r="E1262" s="153" t="s">
        <v>309</v>
      </c>
      <c r="F1262" s="153" t="s">
        <v>2477</v>
      </c>
      <c r="G1262" s="153" t="s">
        <v>2478</v>
      </c>
      <c r="H1262" s="153" t="s">
        <v>321</v>
      </c>
      <c r="I1262" s="153" t="s">
        <v>754</v>
      </c>
      <c r="J1262" s="153" t="s">
        <v>204</v>
      </c>
      <c r="K1262" s="153" t="s">
        <v>204</v>
      </c>
      <c r="L1262" s="153" t="s">
        <v>325</v>
      </c>
      <c r="M1262" s="153" t="s">
        <v>340</v>
      </c>
      <c r="N1262" s="153" t="s">
        <v>464</v>
      </c>
      <c r="O1262" s="153" t="s">
        <v>339</v>
      </c>
      <c r="P1262" s="153" t="s">
        <v>1538</v>
      </c>
      <c r="Q1262" s="153" t="s">
        <v>413</v>
      </c>
      <c r="R1262" s="153" t="s">
        <v>407</v>
      </c>
      <c r="S1262" s="153" t="s">
        <v>1212</v>
      </c>
      <c r="T1262" s="154">
        <v>1.1100000000000001</v>
      </c>
      <c r="U1262" s="153" t="s">
        <v>2369</v>
      </c>
      <c r="V1262" s="155">
        <v>2.5319999999999999E-2</v>
      </c>
      <c r="W1262" s="155">
        <v>2.4199999999999999E-2</v>
      </c>
      <c r="X1262" s="153" t="s">
        <v>412</v>
      </c>
      <c r="Y1262" s="153" t="s">
        <v>339</v>
      </c>
      <c r="Z1262" s="154">
        <v>18136.36</v>
      </c>
      <c r="AA1262" s="154">
        <v>1</v>
      </c>
      <c r="AB1262" s="154">
        <v>111.51</v>
      </c>
      <c r="AD1262" s="154">
        <v>20.224</v>
      </c>
      <c r="AG1262" s="157" t="s">
        <v>15</v>
      </c>
      <c r="AH1262" s="155">
        <v>6.0000000000000002E-5</v>
      </c>
      <c r="AI1262" s="155">
        <f t="shared" si="19"/>
        <v>1.0993748661548919E-3</v>
      </c>
      <c r="AJ1262" s="155">
        <v>2.7776265835958952E-5</v>
      </c>
    </row>
    <row r="1263" spans="1:36" s="160" customFormat="1">
      <c r="A1263" s="153" t="s">
        <v>1213</v>
      </c>
      <c r="B1263" s="160">
        <v>9301</v>
      </c>
      <c r="C1263" s="153" t="s">
        <v>1534</v>
      </c>
      <c r="D1263" s="153" t="s">
        <v>1535</v>
      </c>
      <c r="E1263" s="153" t="s">
        <v>309</v>
      </c>
      <c r="F1263" s="153" t="s">
        <v>2913</v>
      </c>
      <c r="G1263" s="153" t="s">
        <v>2914</v>
      </c>
      <c r="H1263" s="153" t="s">
        <v>321</v>
      </c>
      <c r="I1263" s="153" t="s">
        <v>951</v>
      </c>
      <c r="J1263" s="153" t="s">
        <v>204</v>
      </c>
      <c r="K1263" s="153" t="s">
        <v>204</v>
      </c>
      <c r="L1263" s="153" t="s">
        <v>325</v>
      </c>
      <c r="M1263" s="153" t="s">
        <v>340</v>
      </c>
      <c r="N1263" s="153" t="s">
        <v>464</v>
      </c>
      <c r="O1263" s="153" t="s">
        <v>339</v>
      </c>
      <c r="P1263" s="153" t="s">
        <v>1538</v>
      </c>
      <c r="Q1263" s="153" t="s">
        <v>413</v>
      </c>
      <c r="R1263" s="153" t="s">
        <v>407</v>
      </c>
      <c r="S1263" s="153" t="s">
        <v>1212</v>
      </c>
      <c r="T1263" s="154">
        <v>0.74</v>
      </c>
      <c r="U1263" s="153" t="s">
        <v>2915</v>
      </c>
      <c r="V1263" s="155">
        <v>5.3120000000000001E-2</v>
      </c>
      <c r="W1263" s="155">
        <v>5.45E-2</v>
      </c>
      <c r="X1263" s="153" t="s">
        <v>412</v>
      </c>
      <c r="Y1263" s="153" t="s">
        <v>339</v>
      </c>
      <c r="Z1263" s="154">
        <v>20000</v>
      </c>
      <c r="AA1263" s="154">
        <v>1</v>
      </c>
      <c r="AB1263" s="154">
        <v>101</v>
      </c>
      <c r="AD1263" s="154">
        <v>20.2</v>
      </c>
      <c r="AG1263" s="157" t="s">
        <v>15</v>
      </c>
      <c r="AH1263" s="155">
        <v>5.0000000000000002E-5</v>
      </c>
      <c r="AI1263" s="155">
        <f t="shared" si="19"/>
        <v>1.0980702282599297E-3</v>
      </c>
      <c r="AJ1263" s="155">
        <v>2.7743303495172605E-5</v>
      </c>
    </row>
    <row r="1264" spans="1:36" s="160" customFormat="1">
      <c r="A1264" s="153" t="s">
        <v>1213</v>
      </c>
      <c r="B1264" s="160">
        <v>9301</v>
      </c>
      <c r="C1264" s="153" t="s">
        <v>2150</v>
      </c>
      <c r="D1264" s="153" t="s">
        <v>2151</v>
      </c>
      <c r="E1264" s="153" t="s">
        <v>309</v>
      </c>
      <c r="F1264" s="153" t="s">
        <v>2191</v>
      </c>
      <c r="G1264" s="153" t="s">
        <v>2192</v>
      </c>
      <c r="H1264" s="153" t="s">
        <v>321</v>
      </c>
      <c r="I1264" s="153" t="s">
        <v>951</v>
      </c>
      <c r="J1264" s="153" t="s">
        <v>204</v>
      </c>
      <c r="K1264" s="153" t="s">
        <v>204</v>
      </c>
      <c r="L1264" s="153" t="s">
        <v>325</v>
      </c>
      <c r="M1264" s="153" t="s">
        <v>340</v>
      </c>
      <c r="N1264" s="153" t="s">
        <v>477</v>
      </c>
      <c r="O1264" s="153" t="s">
        <v>339</v>
      </c>
      <c r="P1264" s="153" t="s">
        <v>1538</v>
      </c>
      <c r="Q1264" s="153" t="s">
        <v>413</v>
      </c>
      <c r="R1264" s="153" t="s">
        <v>407</v>
      </c>
      <c r="S1264" s="153" t="s">
        <v>1212</v>
      </c>
      <c r="T1264" s="154">
        <v>3.31</v>
      </c>
      <c r="U1264" s="153" t="s">
        <v>2154</v>
      </c>
      <c r="V1264" s="155">
        <v>4.727E-2</v>
      </c>
      <c r="W1264" s="155">
        <v>5.8299999999999998E-2</v>
      </c>
      <c r="X1264" s="153" t="s">
        <v>412</v>
      </c>
      <c r="Y1264" s="153" t="s">
        <v>339</v>
      </c>
      <c r="Z1264" s="154">
        <v>20300</v>
      </c>
      <c r="AA1264" s="154">
        <v>1</v>
      </c>
      <c r="AB1264" s="154">
        <v>96.43</v>
      </c>
      <c r="AD1264" s="154">
        <v>19.574999999999999</v>
      </c>
      <c r="AG1264" s="157" t="s">
        <v>15</v>
      </c>
      <c r="AH1264" s="155">
        <v>3.0000000000000001E-5</v>
      </c>
      <c r="AI1264" s="155">
        <f t="shared" si="19"/>
        <v>1.0640952830786199E-3</v>
      </c>
      <c r="AJ1264" s="155">
        <v>2.6884909203861574E-5</v>
      </c>
    </row>
    <row r="1265" spans="1:36" s="160" customFormat="1">
      <c r="A1265" s="153" t="s">
        <v>1213</v>
      </c>
      <c r="B1265" s="160">
        <v>9301</v>
      </c>
      <c r="C1265" s="153" t="s">
        <v>1807</v>
      </c>
      <c r="D1265" s="153" t="s">
        <v>1808</v>
      </c>
      <c r="E1265" s="153" t="s">
        <v>309</v>
      </c>
      <c r="F1265" s="153" t="s">
        <v>2295</v>
      </c>
      <c r="G1265" s="153" t="s">
        <v>2296</v>
      </c>
      <c r="H1265" s="153" t="s">
        <v>321</v>
      </c>
      <c r="I1265" s="153" t="s">
        <v>754</v>
      </c>
      <c r="J1265" s="153" t="s">
        <v>204</v>
      </c>
      <c r="K1265" s="153" t="s">
        <v>204</v>
      </c>
      <c r="L1265" s="153" t="s">
        <v>325</v>
      </c>
      <c r="M1265" s="153" t="s">
        <v>340</v>
      </c>
      <c r="N1265" s="153" t="s">
        <v>464</v>
      </c>
      <c r="O1265" s="153" t="s">
        <v>339</v>
      </c>
      <c r="P1265" s="153" t="s">
        <v>1923</v>
      </c>
      <c r="Q1265" s="153" t="s">
        <v>415</v>
      </c>
      <c r="R1265" s="153" t="s">
        <v>407</v>
      </c>
      <c r="S1265" s="153" t="s">
        <v>1212</v>
      </c>
      <c r="T1265" s="154">
        <v>2.89</v>
      </c>
      <c r="U1265" s="153" t="s">
        <v>2297</v>
      </c>
      <c r="V1265" s="155">
        <v>2.3380000000000001E-2</v>
      </c>
      <c r="W1265" s="155">
        <v>2.8199999999999999E-2</v>
      </c>
      <c r="X1265" s="153" t="s">
        <v>412</v>
      </c>
      <c r="Y1265" s="153" t="s">
        <v>339</v>
      </c>
      <c r="Z1265" s="154">
        <v>17000</v>
      </c>
      <c r="AA1265" s="154">
        <v>1</v>
      </c>
      <c r="AB1265" s="154">
        <v>112.38</v>
      </c>
      <c r="AD1265" s="154">
        <v>19.105</v>
      </c>
      <c r="AG1265" s="157" t="s">
        <v>15</v>
      </c>
      <c r="AH1265" s="155">
        <v>1.0000000000000001E-5</v>
      </c>
      <c r="AI1265" s="155">
        <f t="shared" si="19"/>
        <v>1.0385461243022751E-3</v>
      </c>
      <c r="AJ1265" s="155">
        <v>2.6239396696795676E-5</v>
      </c>
    </row>
    <row r="1266" spans="1:36" s="160" customFormat="1">
      <c r="A1266" s="153" t="s">
        <v>1213</v>
      </c>
      <c r="B1266" s="160">
        <v>9301</v>
      </c>
      <c r="C1266" s="153" t="s">
        <v>2150</v>
      </c>
      <c r="D1266" s="153" t="s">
        <v>2151</v>
      </c>
      <c r="E1266" s="153" t="s">
        <v>309</v>
      </c>
      <c r="F1266" s="153" t="s">
        <v>2934</v>
      </c>
      <c r="G1266" s="153" t="s">
        <v>2935</v>
      </c>
      <c r="H1266" s="153" t="s">
        <v>321</v>
      </c>
      <c r="I1266" s="153" t="s">
        <v>951</v>
      </c>
      <c r="J1266" s="153" t="s">
        <v>204</v>
      </c>
      <c r="K1266" s="153" t="s">
        <v>204</v>
      </c>
      <c r="L1266" s="153" t="s">
        <v>325</v>
      </c>
      <c r="M1266" s="153" t="s">
        <v>340</v>
      </c>
      <c r="N1266" s="153" t="s">
        <v>477</v>
      </c>
      <c r="O1266" s="153" t="s">
        <v>339</v>
      </c>
      <c r="P1266" s="153" t="s">
        <v>1538</v>
      </c>
      <c r="Q1266" s="153" t="s">
        <v>413</v>
      </c>
      <c r="R1266" s="153" t="s">
        <v>407</v>
      </c>
      <c r="S1266" s="153" t="s">
        <v>1212</v>
      </c>
      <c r="T1266" s="154">
        <v>0.95</v>
      </c>
      <c r="U1266" s="153" t="s">
        <v>2471</v>
      </c>
      <c r="V1266" s="155">
        <v>4.947E-2</v>
      </c>
      <c r="W1266" s="155">
        <v>5.5800000000000002E-2</v>
      </c>
      <c r="X1266" s="153" t="s">
        <v>412</v>
      </c>
      <c r="Y1266" s="153" t="s">
        <v>339</v>
      </c>
      <c r="Z1266" s="154">
        <v>19000.61</v>
      </c>
      <c r="AA1266" s="154">
        <v>1</v>
      </c>
      <c r="AB1266" s="154">
        <v>97.51</v>
      </c>
      <c r="AD1266" s="154">
        <v>18.527000000000001</v>
      </c>
      <c r="AG1266" s="157" t="s">
        <v>15</v>
      </c>
      <c r="AH1266" s="155">
        <v>1.7000000000000001E-4</v>
      </c>
      <c r="AI1266" s="155">
        <f t="shared" si="19"/>
        <v>1.0071260949985998E-3</v>
      </c>
      <c r="AJ1266" s="155">
        <v>2.5445553656191234E-5</v>
      </c>
    </row>
    <row r="1267" spans="1:36" s="160" customFormat="1">
      <c r="A1267" s="153" t="s">
        <v>1213</v>
      </c>
      <c r="B1267" s="160">
        <v>9301</v>
      </c>
      <c r="C1267" s="153" t="s">
        <v>3027</v>
      </c>
      <c r="D1267" s="153" t="s">
        <v>3028</v>
      </c>
      <c r="E1267" s="153" t="s">
        <v>311</v>
      </c>
      <c r="F1267" s="153" t="s">
        <v>3029</v>
      </c>
      <c r="G1267" s="153" t="s">
        <v>3030</v>
      </c>
      <c r="H1267" s="153" t="s">
        <v>321</v>
      </c>
      <c r="I1267" s="153" t="s">
        <v>754</v>
      </c>
      <c r="J1267" s="153" t="s">
        <v>204</v>
      </c>
      <c r="K1267" s="153" t="s">
        <v>204</v>
      </c>
      <c r="L1267" s="153" t="s">
        <v>325</v>
      </c>
      <c r="M1267" s="153" t="s">
        <v>340</v>
      </c>
      <c r="N1267" s="153" t="s">
        <v>464</v>
      </c>
      <c r="O1267" s="153" t="s">
        <v>339</v>
      </c>
      <c r="Q1267" s="153" t="s">
        <v>410</v>
      </c>
      <c r="R1267" s="153" t="s">
        <v>410</v>
      </c>
      <c r="S1267" s="153" t="s">
        <v>1212</v>
      </c>
      <c r="T1267" s="154">
        <v>2.87</v>
      </c>
      <c r="U1267" s="153" t="s">
        <v>1744</v>
      </c>
      <c r="V1267" s="155">
        <v>6.234E-2</v>
      </c>
      <c r="W1267" s="155">
        <v>4.4900000000000002E-2</v>
      </c>
      <c r="X1267" s="153" t="s">
        <v>412</v>
      </c>
      <c r="Y1267" s="153" t="s">
        <v>339</v>
      </c>
      <c r="Z1267" s="154">
        <v>16000</v>
      </c>
      <c r="AA1267" s="154">
        <v>1</v>
      </c>
      <c r="AB1267" s="154">
        <v>110.7</v>
      </c>
      <c r="AD1267" s="154">
        <v>17.712</v>
      </c>
      <c r="AG1267" s="157" t="s">
        <v>15</v>
      </c>
      <c r="AH1267" s="155">
        <v>2.1000000000000001E-4</v>
      </c>
      <c r="AI1267" s="155">
        <f t="shared" si="19"/>
        <v>9.628227664821719E-4</v>
      </c>
      <c r="AJ1267" s="155">
        <v>2.4326207500321644E-5</v>
      </c>
    </row>
    <row r="1268" spans="1:36" s="160" customFormat="1">
      <c r="A1268" s="153" t="s">
        <v>1213</v>
      </c>
      <c r="B1268" s="160">
        <v>9301</v>
      </c>
      <c r="C1268" s="153" t="s">
        <v>2336</v>
      </c>
      <c r="D1268" s="153" t="s">
        <v>2337</v>
      </c>
      <c r="E1268" s="153" t="s">
        <v>309</v>
      </c>
      <c r="F1268" s="153" t="s">
        <v>2629</v>
      </c>
      <c r="G1268" s="153" t="s">
        <v>2630</v>
      </c>
      <c r="H1268" s="153" t="s">
        <v>321</v>
      </c>
      <c r="I1268" s="153" t="s">
        <v>754</v>
      </c>
      <c r="J1268" s="153" t="s">
        <v>204</v>
      </c>
      <c r="K1268" s="153" t="s">
        <v>204</v>
      </c>
      <c r="L1268" s="153" t="s">
        <v>325</v>
      </c>
      <c r="M1268" s="153" t="s">
        <v>340</v>
      </c>
      <c r="N1268" s="153" t="s">
        <v>464</v>
      </c>
      <c r="O1268" s="153" t="s">
        <v>339</v>
      </c>
      <c r="P1268" s="153" t="s">
        <v>1982</v>
      </c>
      <c r="Q1268" s="153" t="s">
        <v>415</v>
      </c>
      <c r="R1268" s="153" t="s">
        <v>407</v>
      </c>
      <c r="S1268" s="153" t="s">
        <v>1212</v>
      </c>
      <c r="T1268" s="154">
        <v>0.28000000000000003</v>
      </c>
      <c r="U1268" s="153" t="s">
        <v>2631</v>
      </c>
      <c r="V1268" s="155">
        <v>-1.448E-2</v>
      </c>
      <c r="W1268" s="155">
        <v>4.65E-2</v>
      </c>
      <c r="X1268" s="153" t="s">
        <v>412</v>
      </c>
      <c r="Y1268" s="153" t="s">
        <v>339</v>
      </c>
      <c r="Z1268" s="154">
        <v>15000.37</v>
      </c>
      <c r="AA1268" s="154">
        <v>1</v>
      </c>
      <c r="AB1268" s="154">
        <v>116.74</v>
      </c>
      <c r="AD1268" s="154">
        <v>17.510999999999999</v>
      </c>
      <c r="AG1268" s="157" t="s">
        <v>15</v>
      </c>
      <c r="AH1268" s="155">
        <v>1.1E-4</v>
      </c>
      <c r="AI1268" s="155">
        <f t="shared" si="19"/>
        <v>9.5189642411186274E-4</v>
      </c>
      <c r="AJ1268" s="155">
        <v>2.4050147896236014E-5</v>
      </c>
    </row>
    <row r="1269" spans="1:36" s="160" customFormat="1">
      <c r="A1269" s="153" t="s">
        <v>1213</v>
      </c>
      <c r="B1269" s="160">
        <v>9301</v>
      </c>
      <c r="C1269" s="153" t="s">
        <v>2944</v>
      </c>
      <c r="D1269" s="153" t="s">
        <v>2945</v>
      </c>
      <c r="E1269" s="153" t="s">
        <v>309</v>
      </c>
      <c r="F1269" s="153" t="s">
        <v>2946</v>
      </c>
      <c r="G1269" s="153" t="s">
        <v>2947</v>
      </c>
      <c r="H1269" s="153" t="s">
        <v>321</v>
      </c>
      <c r="I1269" s="153" t="s">
        <v>951</v>
      </c>
      <c r="J1269" s="153" t="s">
        <v>204</v>
      </c>
      <c r="K1269" s="153" t="s">
        <v>204</v>
      </c>
      <c r="L1269" s="159" t="s">
        <v>325</v>
      </c>
      <c r="M1269" s="153" t="s">
        <v>340</v>
      </c>
      <c r="N1269" s="153" t="s">
        <v>478</v>
      </c>
      <c r="O1269" s="153" t="s">
        <v>339</v>
      </c>
      <c r="P1269" s="153" t="s">
        <v>1982</v>
      </c>
      <c r="Q1269" s="153" t="s">
        <v>415</v>
      </c>
      <c r="R1269" s="153" t="s">
        <v>407</v>
      </c>
      <c r="S1269" s="153" t="s">
        <v>1212</v>
      </c>
      <c r="T1269" s="154">
        <v>0.57999999999999996</v>
      </c>
      <c r="U1269" s="153" t="s">
        <v>2948</v>
      </c>
      <c r="V1269" s="155">
        <v>4.7579999999999997E-2</v>
      </c>
      <c r="W1269" s="155">
        <v>6.0299999999999999E-2</v>
      </c>
      <c r="X1269" s="177"/>
      <c r="Y1269" s="177"/>
      <c r="Z1269" s="154">
        <v>17000</v>
      </c>
      <c r="AA1269" s="154">
        <v>1</v>
      </c>
      <c r="AB1269" s="154">
        <v>99.67</v>
      </c>
      <c r="AD1269" s="154">
        <v>16.943999999999999</v>
      </c>
      <c r="AG1269" s="157" t="s">
        <v>15</v>
      </c>
      <c r="AH1269" s="155">
        <v>8.0000000000000007E-5</v>
      </c>
      <c r="AI1269" s="155">
        <f t="shared" si="19"/>
        <v>9.2107435384337856E-4</v>
      </c>
      <c r="AJ1269" s="155">
        <v>2.3271412595158646E-5</v>
      </c>
    </row>
    <row r="1270" spans="1:36" s="160" customFormat="1">
      <c r="A1270" s="153" t="s">
        <v>1213</v>
      </c>
      <c r="B1270" s="160">
        <v>9301</v>
      </c>
      <c r="C1270" s="153" t="s">
        <v>1512</v>
      </c>
      <c r="D1270" s="153" t="s">
        <v>1513</v>
      </c>
      <c r="E1270" s="153" t="s">
        <v>309</v>
      </c>
      <c r="F1270" s="153" t="s">
        <v>2632</v>
      </c>
      <c r="G1270" s="153" t="s">
        <v>2633</v>
      </c>
      <c r="H1270" s="153" t="s">
        <v>321</v>
      </c>
      <c r="I1270" s="153" t="s">
        <v>754</v>
      </c>
      <c r="J1270" s="153" t="s">
        <v>204</v>
      </c>
      <c r="K1270" s="153" t="s">
        <v>204</v>
      </c>
      <c r="L1270" s="153" t="s">
        <v>325</v>
      </c>
      <c r="M1270" s="153" t="s">
        <v>340</v>
      </c>
      <c r="N1270" s="153" t="s">
        <v>448</v>
      </c>
      <c r="O1270" s="153" t="s">
        <v>339</v>
      </c>
      <c r="P1270" s="153" t="s">
        <v>1211</v>
      </c>
      <c r="Q1270" s="153" t="s">
        <v>415</v>
      </c>
      <c r="R1270" s="153" t="s">
        <v>407</v>
      </c>
      <c r="S1270" s="153" t="s">
        <v>1212</v>
      </c>
      <c r="T1270" s="154">
        <v>2.16</v>
      </c>
      <c r="U1270" s="153" t="s">
        <v>2634</v>
      </c>
      <c r="V1270" s="155">
        <v>5.0000000000000001E-3</v>
      </c>
      <c r="W1270" s="155">
        <v>2.1399999999999999E-2</v>
      </c>
      <c r="X1270" s="153" t="s">
        <v>412</v>
      </c>
      <c r="Y1270" s="153" t="s">
        <v>339</v>
      </c>
      <c r="Z1270" s="154">
        <v>15000</v>
      </c>
      <c r="AA1270" s="154">
        <v>1</v>
      </c>
      <c r="AB1270" s="154">
        <v>110.72</v>
      </c>
      <c r="AD1270" s="154">
        <v>16.608000000000001</v>
      </c>
      <c r="AG1270" s="157" t="s">
        <v>15</v>
      </c>
      <c r="AH1270" s="155">
        <v>2.0000000000000002E-5</v>
      </c>
      <c r="AI1270" s="155">
        <f t="shared" si="19"/>
        <v>9.0280942331390647E-4</v>
      </c>
      <c r="AJ1270" s="155">
        <v>2.2809939824149837E-5</v>
      </c>
    </row>
    <row r="1271" spans="1:36" s="160" customFormat="1">
      <c r="A1271" s="153" t="s">
        <v>1213</v>
      </c>
      <c r="B1271" s="160">
        <v>9301</v>
      </c>
      <c r="C1271" s="153" t="s">
        <v>2385</v>
      </c>
      <c r="D1271" s="153" t="s">
        <v>2386</v>
      </c>
      <c r="E1271" s="153" t="s">
        <v>309</v>
      </c>
      <c r="F1271" s="153" t="s">
        <v>2539</v>
      </c>
      <c r="G1271" s="153" t="s">
        <v>2540</v>
      </c>
      <c r="H1271" s="153" t="s">
        <v>321</v>
      </c>
      <c r="I1271" s="153" t="s">
        <v>951</v>
      </c>
      <c r="J1271" s="153" t="s">
        <v>204</v>
      </c>
      <c r="K1271" s="153" t="s">
        <v>204</v>
      </c>
      <c r="L1271" s="153" t="s">
        <v>325</v>
      </c>
      <c r="M1271" s="153" t="s">
        <v>340</v>
      </c>
      <c r="N1271" s="153" t="s">
        <v>464</v>
      </c>
      <c r="O1271" s="153" t="s">
        <v>339</v>
      </c>
      <c r="P1271" s="153" t="s">
        <v>1211</v>
      </c>
      <c r="Q1271" s="153" t="s">
        <v>415</v>
      </c>
      <c r="R1271" s="153" t="s">
        <v>407</v>
      </c>
      <c r="S1271" s="153" t="s">
        <v>1212</v>
      </c>
      <c r="T1271" s="154">
        <v>0.25</v>
      </c>
      <c r="U1271" s="153" t="s">
        <v>2541</v>
      </c>
      <c r="V1271" s="155">
        <v>4.895E-2</v>
      </c>
      <c r="W1271" s="155">
        <v>4.5199999999999997E-2</v>
      </c>
      <c r="X1271" s="153" t="s">
        <v>412</v>
      </c>
      <c r="Y1271" s="153" t="s">
        <v>339</v>
      </c>
      <c r="Z1271" s="154">
        <v>16000</v>
      </c>
      <c r="AA1271" s="154">
        <v>1</v>
      </c>
      <c r="AB1271" s="154">
        <v>99.71</v>
      </c>
      <c r="AD1271" s="154">
        <v>15.954000000000001</v>
      </c>
      <c r="AG1271" s="157" t="s">
        <v>15</v>
      </c>
      <c r="AH1271" s="155">
        <v>1.4999999999999999E-4</v>
      </c>
      <c r="AI1271" s="155">
        <f t="shared" si="19"/>
        <v>8.6725804067618408E-4</v>
      </c>
      <c r="AJ1271" s="155">
        <v>2.1911716037721971E-5</v>
      </c>
    </row>
    <row r="1272" spans="1:36" s="160" customFormat="1">
      <c r="A1272" s="153" t="s">
        <v>1213</v>
      </c>
      <c r="B1272" s="160">
        <v>9301</v>
      </c>
      <c r="C1272" s="153" t="s">
        <v>1674</v>
      </c>
      <c r="D1272" s="153" t="s">
        <v>1675</v>
      </c>
      <c r="E1272" s="153" t="s">
        <v>309</v>
      </c>
      <c r="F1272" s="153" t="s">
        <v>2312</v>
      </c>
      <c r="G1272" s="153" t="s">
        <v>2313</v>
      </c>
      <c r="H1272" s="153" t="s">
        <v>321</v>
      </c>
      <c r="I1272" s="153" t="s">
        <v>754</v>
      </c>
      <c r="J1272" s="153" t="s">
        <v>204</v>
      </c>
      <c r="K1272" s="153" t="s">
        <v>204</v>
      </c>
      <c r="L1272" s="153" t="s">
        <v>325</v>
      </c>
      <c r="M1272" s="153" t="s">
        <v>340</v>
      </c>
      <c r="N1272" s="153" t="s">
        <v>464</v>
      </c>
      <c r="O1272" s="153" t="s">
        <v>339</v>
      </c>
      <c r="P1272" s="153" t="s">
        <v>1538</v>
      </c>
      <c r="Q1272" s="153" t="s">
        <v>413</v>
      </c>
      <c r="R1272" s="153" t="s">
        <v>407</v>
      </c>
      <c r="S1272" s="153" t="s">
        <v>1212</v>
      </c>
      <c r="T1272" s="154">
        <v>2.89</v>
      </c>
      <c r="U1272" s="153" t="s">
        <v>2314</v>
      </c>
      <c r="V1272" s="155">
        <v>2.41E-2</v>
      </c>
      <c r="W1272" s="155">
        <v>2.5499999999999998E-2</v>
      </c>
      <c r="X1272" s="153" t="s">
        <v>412</v>
      </c>
      <c r="Y1272" s="153" t="s">
        <v>339</v>
      </c>
      <c r="Z1272" s="154">
        <v>14000.5</v>
      </c>
      <c r="AA1272" s="154">
        <v>1</v>
      </c>
      <c r="AB1272" s="154">
        <v>113.8</v>
      </c>
      <c r="AD1272" s="154">
        <v>15.933</v>
      </c>
      <c r="AG1272" s="157" t="s">
        <v>15</v>
      </c>
      <c r="AH1272" s="155">
        <v>3.0000000000000001E-5</v>
      </c>
      <c r="AI1272" s="155">
        <f t="shared" si="19"/>
        <v>8.66116482518092E-4</v>
      </c>
      <c r="AJ1272" s="155">
        <v>2.1882873989533918E-5</v>
      </c>
    </row>
    <row r="1273" spans="1:36" s="160" customFormat="1">
      <c r="A1273" s="153" t="s">
        <v>1213</v>
      </c>
      <c r="B1273" s="160">
        <v>9301</v>
      </c>
      <c r="C1273" s="153" t="s">
        <v>2491</v>
      </c>
      <c r="D1273" s="153" t="s">
        <v>2492</v>
      </c>
      <c r="E1273" s="153" t="s">
        <v>311</v>
      </c>
      <c r="F1273" s="153" t="s">
        <v>2493</v>
      </c>
      <c r="G1273" s="153" t="s">
        <v>2494</v>
      </c>
      <c r="H1273" s="153" t="s">
        <v>321</v>
      </c>
      <c r="I1273" s="153" t="s">
        <v>951</v>
      </c>
      <c r="J1273" s="153" t="s">
        <v>204</v>
      </c>
      <c r="K1273" s="153" t="s">
        <v>224</v>
      </c>
      <c r="L1273" s="153" t="s">
        <v>325</v>
      </c>
      <c r="M1273" s="153" t="s">
        <v>340</v>
      </c>
      <c r="N1273" s="153" t="s">
        <v>465</v>
      </c>
      <c r="O1273" s="153" t="s">
        <v>339</v>
      </c>
      <c r="P1273" s="153" t="s">
        <v>1554</v>
      </c>
      <c r="Q1273" s="153" t="s">
        <v>413</v>
      </c>
      <c r="R1273" s="153" t="s">
        <v>407</v>
      </c>
      <c r="S1273" s="153" t="s">
        <v>1212</v>
      </c>
      <c r="T1273" s="154">
        <v>2.69</v>
      </c>
      <c r="U1273" s="153" t="s">
        <v>2495</v>
      </c>
      <c r="V1273" s="155">
        <v>0.08</v>
      </c>
      <c r="W1273" s="155">
        <v>0.17280000000000001</v>
      </c>
      <c r="X1273" s="153" t="s">
        <v>412</v>
      </c>
      <c r="Y1273" s="153" t="s">
        <v>338</v>
      </c>
      <c r="Z1273" s="154">
        <v>19240.25</v>
      </c>
      <c r="AA1273" s="154">
        <v>1</v>
      </c>
      <c r="AB1273" s="154">
        <v>82.33</v>
      </c>
      <c r="AD1273" s="154">
        <v>15.84</v>
      </c>
      <c r="AG1273" s="157" t="s">
        <v>15</v>
      </c>
      <c r="AH1273" s="155">
        <v>2.0000000000000002E-5</v>
      </c>
      <c r="AI1273" s="155">
        <f t="shared" si="19"/>
        <v>8.6106101067511313E-4</v>
      </c>
      <c r="AJ1273" s="155">
        <v>2.1755144918986836E-5</v>
      </c>
    </row>
    <row r="1274" spans="1:36" s="160" customFormat="1">
      <c r="A1274" s="153" t="s">
        <v>1213</v>
      </c>
      <c r="B1274" s="160">
        <v>9301</v>
      </c>
      <c r="C1274" s="153" t="s">
        <v>2441</v>
      </c>
      <c r="D1274" s="153" t="s">
        <v>2442</v>
      </c>
      <c r="E1274" s="153" t="s">
        <v>309</v>
      </c>
      <c r="F1274" s="153" t="s">
        <v>2443</v>
      </c>
      <c r="G1274" s="153" t="s">
        <v>2444</v>
      </c>
      <c r="H1274" s="153" t="s">
        <v>321</v>
      </c>
      <c r="I1274" s="153" t="s">
        <v>754</v>
      </c>
      <c r="J1274" s="153" t="s">
        <v>204</v>
      </c>
      <c r="K1274" s="153" t="s">
        <v>204</v>
      </c>
      <c r="L1274" s="153" t="s">
        <v>325</v>
      </c>
      <c r="M1274" s="153" t="s">
        <v>340</v>
      </c>
      <c r="N1274" s="153" t="s">
        <v>462</v>
      </c>
      <c r="O1274" s="153" t="s">
        <v>339</v>
      </c>
      <c r="P1274" s="153" t="s">
        <v>1566</v>
      </c>
      <c r="Q1274" s="153" t="s">
        <v>413</v>
      </c>
      <c r="R1274" s="153" t="s">
        <v>407</v>
      </c>
      <c r="S1274" s="153" t="s">
        <v>1212</v>
      </c>
      <c r="T1274" s="154">
        <v>3.06</v>
      </c>
      <c r="U1274" s="153" t="s">
        <v>2267</v>
      </c>
      <c r="V1274" s="155">
        <v>1.8540000000000001E-2</v>
      </c>
      <c r="W1274" s="155">
        <v>2.9000000000000001E-2</v>
      </c>
      <c r="X1274" s="153" t="s">
        <v>412</v>
      </c>
      <c r="Y1274" s="153" t="s">
        <v>339</v>
      </c>
      <c r="Z1274" s="154">
        <v>15000</v>
      </c>
      <c r="AA1274" s="154">
        <v>1</v>
      </c>
      <c r="AB1274" s="154">
        <v>105.14</v>
      </c>
      <c r="AD1274" s="154">
        <v>15.771000000000001</v>
      </c>
      <c r="AG1274" s="157" t="s">
        <v>15</v>
      </c>
      <c r="AH1274" s="155">
        <v>4.0000000000000003E-5</v>
      </c>
      <c r="AI1274" s="155">
        <f t="shared" si="19"/>
        <v>8.5731017672709652E-4</v>
      </c>
      <c r="AJ1274" s="155">
        <v>2.16603781892261E-5</v>
      </c>
    </row>
    <row r="1275" spans="1:36" s="160" customFormat="1">
      <c r="A1275" s="153" t="s">
        <v>1213</v>
      </c>
      <c r="B1275" s="160">
        <v>9301</v>
      </c>
      <c r="C1275" s="153" t="s">
        <v>2824</v>
      </c>
      <c r="D1275" s="153" t="s">
        <v>2825</v>
      </c>
      <c r="E1275" s="153" t="s">
        <v>309</v>
      </c>
      <c r="F1275" s="153" t="s">
        <v>2997</v>
      </c>
      <c r="G1275" s="153" t="s">
        <v>2998</v>
      </c>
      <c r="H1275" s="153" t="s">
        <v>321</v>
      </c>
      <c r="I1275" s="153" t="s">
        <v>951</v>
      </c>
      <c r="J1275" s="153" t="s">
        <v>204</v>
      </c>
      <c r="K1275" s="153" t="s">
        <v>204</v>
      </c>
      <c r="L1275" s="159" t="s">
        <v>325</v>
      </c>
      <c r="M1275" s="153" t="s">
        <v>340</v>
      </c>
      <c r="N1275" s="153" t="s">
        <v>463</v>
      </c>
      <c r="O1275" s="153" t="s">
        <v>339</v>
      </c>
      <c r="P1275" s="153" t="s">
        <v>1521</v>
      </c>
      <c r="Q1275" s="153" t="s">
        <v>413</v>
      </c>
      <c r="R1275" s="153" t="s">
        <v>407</v>
      </c>
      <c r="S1275" s="153" t="s">
        <v>1212</v>
      </c>
      <c r="T1275" s="154">
        <v>1</v>
      </c>
      <c r="U1275" s="153" t="s">
        <v>2999</v>
      </c>
      <c r="V1275" s="155">
        <v>5.7169999999999999E-2</v>
      </c>
      <c r="W1275" s="155">
        <v>5.7299999999999997E-2</v>
      </c>
      <c r="X1275" s="177"/>
      <c r="Y1275" s="177"/>
      <c r="Z1275" s="154">
        <v>10000</v>
      </c>
      <c r="AA1275" s="154">
        <v>1</v>
      </c>
      <c r="AB1275" s="154">
        <v>97.76</v>
      </c>
      <c r="AC1275" s="154">
        <v>5.6840000000000002</v>
      </c>
      <c r="AD1275" s="154">
        <v>15.46</v>
      </c>
      <c r="AG1275" s="157" t="s">
        <v>15</v>
      </c>
      <c r="AH1275" s="155">
        <v>1.4999999999999999E-4</v>
      </c>
      <c r="AI1275" s="155">
        <f t="shared" si="19"/>
        <v>8.4040424400487685E-4</v>
      </c>
      <c r="AJ1275" s="155">
        <v>2.1233241189869731E-5</v>
      </c>
    </row>
    <row r="1276" spans="1:36" s="160" customFormat="1">
      <c r="A1276" s="153" t="s">
        <v>1213</v>
      </c>
      <c r="B1276" s="160">
        <v>9301</v>
      </c>
      <c r="C1276" s="153" t="s">
        <v>3309</v>
      </c>
      <c r="D1276" s="153" t="s">
        <v>3310</v>
      </c>
      <c r="E1276" s="153" t="s">
        <v>309</v>
      </c>
      <c r="F1276" s="153" t="s">
        <v>3311</v>
      </c>
      <c r="G1276" s="153" t="s">
        <v>3312</v>
      </c>
      <c r="H1276" s="153" t="s">
        <v>321</v>
      </c>
      <c r="I1276" s="153" t="s">
        <v>754</v>
      </c>
      <c r="J1276" s="153" t="s">
        <v>204</v>
      </c>
      <c r="K1276" s="153" t="s">
        <v>204</v>
      </c>
      <c r="L1276" s="153" t="s">
        <v>325</v>
      </c>
      <c r="M1276" s="153" t="s">
        <v>340</v>
      </c>
      <c r="N1276" s="153" t="s">
        <v>441</v>
      </c>
      <c r="O1276" s="153" t="s">
        <v>339</v>
      </c>
      <c r="Q1276" s="153" t="s">
        <v>410</v>
      </c>
      <c r="R1276" s="153" t="s">
        <v>410</v>
      </c>
      <c r="S1276" s="153" t="s">
        <v>1212</v>
      </c>
      <c r="T1276" s="154">
        <v>2.1</v>
      </c>
      <c r="U1276" s="153" t="s">
        <v>1528</v>
      </c>
      <c r="V1276" s="155">
        <v>2.751E-2</v>
      </c>
      <c r="W1276" s="155">
        <v>3.6299999999999999E-2</v>
      </c>
      <c r="X1276" s="153" t="s">
        <v>412</v>
      </c>
      <c r="Y1276" s="153" t="s">
        <v>339</v>
      </c>
      <c r="Z1276" s="154">
        <v>14000</v>
      </c>
      <c r="AA1276" s="154">
        <v>1</v>
      </c>
      <c r="AB1276" s="154">
        <v>110</v>
      </c>
      <c r="AD1276" s="154">
        <v>15.4</v>
      </c>
      <c r="AG1276" s="157" t="s">
        <v>15</v>
      </c>
      <c r="AH1276" s="155">
        <v>6.0000000000000002E-5</v>
      </c>
      <c r="AI1276" s="155">
        <f t="shared" si="19"/>
        <v>8.3714264926747109E-4</v>
      </c>
      <c r="AJ1276" s="155">
        <v>2.1150835337903869E-5</v>
      </c>
    </row>
    <row r="1277" spans="1:36" s="160" customFormat="1">
      <c r="A1277" s="153" t="s">
        <v>1213</v>
      </c>
      <c r="B1277" s="160">
        <v>9301</v>
      </c>
      <c r="C1277" s="153" t="s">
        <v>2298</v>
      </c>
      <c r="D1277" s="153" t="s">
        <v>2299</v>
      </c>
      <c r="E1277" s="153" t="s">
        <v>309</v>
      </c>
      <c r="F1277" s="153" t="s">
        <v>2562</v>
      </c>
      <c r="G1277" s="153" t="s">
        <v>2563</v>
      </c>
      <c r="H1277" s="153" t="s">
        <v>321</v>
      </c>
      <c r="I1277" s="153" t="s">
        <v>951</v>
      </c>
      <c r="J1277" s="153" t="s">
        <v>204</v>
      </c>
      <c r="K1277" s="153" t="s">
        <v>204</v>
      </c>
      <c r="L1277" s="153" t="s">
        <v>325</v>
      </c>
      <c r="M1277" s="153" t="s">
        <v>340</v>
      </c>
      <c r="N1277" s="153" t="s">
        <v>462</v>
      </c>
      <c r="O1277" s="153" t="s">
        <v>339</v>
      </c>
      <c r="P1277" s="153" t="s">
        <v>1566</v>
      </c>
      <c r="Q1277" s="153" t="s">
        <v>413</v>
      </c>
      <c r="R1277" s="153" t="s">
        <v>407</v>
      </c>
      <c r="S1277" s="153" t="s">
        <v>1212</v>
      </c>
      <c r="T1277" s="154">
        <v>1.1499999999999999</v>
      </c>
      <c r="U1277" s="153" t="s">
        <v>2232</v>
      </c>
      <c r="V1277" s="155">
        <v>2.632E-2</v>
      </c>
      <c r="W1277" s="155">
        <v>5.5399999999999998E-2</v>
      </c>
      <c r="X1277" s="153" t="s">
        <v>412</v>
      </c>
      <c r="Y1277" s="153" t="s">
        <v>339</v>
      </c>
      <c r="Z1277" s="154">
        <v>14000.9</v>
      </c>
      <c r="AA1277" s="154">
        <v>1</v>
      </c>
      <c r="AB1277" s="154">
        <v>97.21</v>
      </c>
      <c r="AD1277" s="154">
        <v>13.61</v>
      </c>
      <c r="AG1277" s="157" t="s">
        <v>15</v>
      </c>
      <c r="AH1277" s="155">
        <v>8.0000000000000007E-5</v>
      </c>
      <c r="AI1277" s="155">
        <f t="shared" si="19"/>
        <v>7.3983840626820011E-4</v>
      </c>
      <c r="AJ1277" s="155">
        <v>1.8692394087589069E-5</v>
      </c>
    </row>
    <row r="1278" spans="1:36" s="160" customFormat="1">
      <c r="A1278" s="153" t="s">
        <v>1213</v>
      </c>
      <c r="B1278" s="160">
        <v>9301</v>
      </c>
      <c r="C1278" s="153" t="s">
        <v>2250</v>
      </c>
      <c r="D1278" s="153" t="s">
        <v>2251</v>
      </c>
      <c r="E1278" s="153" t="s">
        <v>309</v>
      </c>
      <c r="F1278" s="153" t="s">
        <v>2252</v>
      </c>
      <c r="G1278" s="153" t="s">
        <v>2253</v>
      </c>
      <c r="H1278" s="153" t="s">
        <v>321</v>
      </c>
      <c r="I1278" s="153" t="s">
        <v>754</v>
      </c>
      <c r="J1278" s="153" t="s">
        <v>204</v>
      </c>
      <c r="K1278" s="153" t="s">
        <v>204</v>
      </c>
      <c r="L1278" s="153" t="s">
        <v>325</v>
      </c>
      <c r="M1278" s="153" t="s">
        <v>340</v>
      </c>
      <c r="N1278" s="153" t="s">
        <v>448</v>
      </c>
      <c r="O1278" s="153" t="s">
        <v>339</v>
      </c>
      <c r="P1278" s="153" t="s">
        <v>1215</v>
      </c>
      <c r="Q1278" s="153" t="s">
        <v>413</v>
      </c>
      <c r="R1278" s="153" t="s">
        <v>407</v>
      </c>
      <c r="S1278" s="153" t="s">
        <v>1212</v>
      </c>
      <c r="T1278" s="154">
        <v>0.94</v>
      </c>
      <c r="U1278" s="153" t="s">
        <v>2254</v>
      </c>
      <c r="V1278" s="155">
        <v>2.358E-2</v>
      </c>
      <c r="W1278" s="155">
        <v>1.9699999999999999E-2</v>
      </c>
      <c r="X1278" s="153" t="s">
        <v>412</v>
      </c>
      <c r="Y1278" s="153" t="s">
        <v>339</v>
      </c>
      <c r="Z1278" s="154">
        <v>12000</v>
      </c>
      <c r="AA1278" s="154">
        <v>1</v>
      </c>
      <c r="AB1278" s="154">
        <v>112.67</v>
      </c>
      <c r="AD1278" s="154">
        <v>13.52</v>
      </c>
      <c r="AG1278" s="157" t="s">
        <v>15</v>
      </c>
      <c r="AH1278" s="155">
        <v>1.0000000000000001E-5</v>
      </c>
      <c r="AI1278" s="155">
        <f t="shared" si="19"/>
        <v>7.3494601416209152E-4</v>
      </c>
      <c r="AJ1278" s="155">
        <v>1.856878530964028E-5</v>
      </c>
    </row>
    <row r="1279" spans="1:36" s="160" customFormat="1">
      <c r="A1279" s="153" t="s">
        <v>1213</v>
      </c>
      <c r="B1279" s="160">
        <v>9301</v>
      </c>
      <c r="C1279" s="153" t="s">
        <v>2424</v>
      </c>
      <c r="D1279" s="153" t="s">
        <v>2425</v>
      </c>
      <c r="E1279" s="153" t="s">
        <v>309</v>
      </c>
      <c r="F1279" s="153" t="s">
        <v>2426</v>
      </c>
      <c r="G1279" s="153" t="s">
        <v>2427</v>
      </c>
      <c r="H1279" s="153" t="s">
        <v>321</v>
      </c>
      <c r="I1279" s="153" t="s">
        <v>754</v>
      </c>
      <c r="J1279" s="153" t="s">
        <v>204</v>
      </c>
      <c r="K1279" s="153" t="s">
        <v>204</v>
      </c>
      <c r="L1279" s="153" t="s">
        <v>325</v>
      </c>
      <c r="M1279" s="153" t="s">
        <v>340</v>
      </c>
      <c r="N1279" s="153" t="s">
        <v>477</v>
      </c>
      <c r="O1279" s="153" t="s">
        <v>339</v>
      </c>
      <c r="P1279" s="153" t="s">
        <v>1923</v>
      </c>
      <c r="Q1279" s="153" t="s">
        <v>415</v>
      </c>
      <c r="R1279" s="153" t="s">
        <v>407</v>
      </c>
      <c r="S1279" s="153" t="s">
        <v>1212</v>
      </c>
      <c r="T1279" s="154">
        <v>5.47</v>
      </c>
      <c r="U1279" s="153" t="s">
        <v>2177</v>
      </c>
      <c r="V1279" s="155">
        <v>1.274E-2</v>
      </c>
      <c r="W1279" s="155">
        <v>2.7400000000000001E-2</v>
      </c>
      <c r="X1279" s="153" t="s">
        <v>412</v>
      </c>
      <c r="Y1279" s="153" t="s">
        <v>339</v>
      </c>
      <c r="Z1279" s="154">
        <v>11584.03</v>
      </c>
      <c r="AA1279" s="154">
        <v>1</v>
      </c>
      <c r="AB1279" s="154">
        <v>116.33</v>
      </c>
      <c r="AD1279" s="154">
        <v>13.476000000000001</v>
      </c>
      <c r="AG1279" s="157" t="s">
        <v>15</v>
      </c>
      <c r="AH1279" s="155">
        <v>1.0000000000000001E-5</v>
      </c>
      <c r="AI1279" s="155">
        <f t="shared" si="19"/>
        <v>7.3255417802132734E-4</v>
      </c>
      <c r="AJ1279" s="155">
        <v>1.8508354351531983E-5</v>
      </c>
    </row>
    <row r="1280" spans="1:36" s="160" customFormat="1">
      <c r="A1280" s="153" t="s">
        <v>1213</v>
      </c>
      <c r="B1280" s="160">
        <v>9301</v>
      </c>
      <c r="C1280" s="153" t="s">
        <v>2988</v>
      </c>
      <c r="D1280" s="153" t="s">
        <v>2989</v>
      </c>
      <c r="E1280" s="153" t="s">
        <v>309</v>
      </c>
      <c r="F1280" s="153" t="s">
        <v>2990</v>
      </c>
      <c r="G1280" s="153" t="s">
        <v>2991</v>
      </c>
      <c r="H1280" s="153" t="s">
        <v>321</v>
      </c>
      <c r="I1280" s="153" t="s">
        <v>951</v>
      </c>
      <c r="J1280" s="153" t="s">
        <v>204</v>
      </c>
      <c r="K1280" s="153" t="s">
        <v>204</v>
      </c>
      <c r="L1280" s="153" t="s">
        <v>325</v>
      </c>
      <c r="M1280" s="153" t="s">
        <v>340</v>
      </c>
      <c r="N1280" s="153" t="s">
        <v>445</v>
      </c>
      <c r="O1280" s="153" t="s">
        <v>339</v>
      </c>
      <c r="P1280" s="153" t="s">
        <v>1614</v>
      </c>
      <c r="Q1280" s="153" t="s">
        <v>415</v>
      </c>
      <c r="R1280" s="153" t="s">
        <v>407</v>
      </c>
      <c r="S1280" s="153" t="s">
        <v>1212</v>
      </c>
      <c r="T1280" s="154">
        <v>1.1000000000000001</v>
      </c>
      <c r="U1280" s="153" t="s">
        <v>2992</v>
      </c>
      <c r="V1280" s="155">
        <v>5.4339999999999999E-2</v>
      </c>
      <c r="W1280" s="155">
        <v>5.5399999999999998E-2</v>
      </c>
      <c r="X1280" s="153" t="s">
        <v>412</v>
      </c>
      <c r="Y1280" s="153" t="s">
        <v>339</v>
      </c>
      <c r="Z1280" s="154">
        <v>13000</v>
      </c>
      <c r="AA1280" s="154">
        <v>1</v>
      </c>
      <c r="AB1280" s="154">
        <v>98.85</v>
      </c>
      <c r="AD1280" s="154">
        <v>12.851000000000001</v>
      </c>
      <c r="AG1280" s="157" t="s">
        <v>15</v>
      </c>
      <c r="AH1280" s="155">
        <v>4.0000000000000003E-5</v>
      </c>
      <c r="AI1280" s="155">
        <f t="shared" si="19"/>
        <v>6.9857923284001762E-4</v>
      </c>
      <c r="AJ1280" s="155">
        <v>1.7649960060220952E-5</v>
      </c>
    </row>
    <row r="1281" spans="1:36" s="160" customFormat="1">
      <c r="A1281" s="153" t="s">
        <v>1213</v>
      </c>
      <c r="B1281" s="160">
        <v>9301</v>
      </c>
      <c r="C1281" s="153" t="s">
        <v>2576</v>
      </c>
      <c r="D1281" s="153" t="s">
        <v>2577</v>
      </c>
      <c r="E1281" s="153" t="s">
        <v>309</v>
      </c>
      <c r="F1281" s="153" t="s">
        <v>2584</v>
      </c>
      <c r="G1281" s="153" t="s">
        <v>2585</v>
      </c>
      <c r="H1281" s="153" t="s">
        <v>321</v>
      </c>
      <c r="I1281" s="153" t="s">
        <v>951</v>
      </c>
      <c r="J1281" s="153" t="s">
        <v>204</v>
      </c>
      <c r="K1281" s="153" t="s">
        <v>204</v>
      </c>
      <c r="L1281" s="153" t="s">
        <v>325</v>
      </c>
      <c r="M1281" s="153" t="s">
        <v>340</v>
      </c>
      <c r="N1281" s="153" t="s">
        <v>451</v>
      </c>
      <c r="O1281" s="153" t="s">
        <v>339</v>
      </c>
      <c r="P1281" s="153" t="s">
        <v>1521</v>
      </c>
      <c r="Q1281" s="153" t="s">
        <v>413</v>
      </c>
      <c r="R1281" s="153" t="s">
        <v>407</v>
      </c>
      <c r="S1281" s="153" t="s">
        <v>1212</v>
      </c>
      <c r="T1281" s="154">
        <v>1.49</v>
      </c>
      <c r="U1281" s="153" t="s">
        <v>1522</v>
      </c>
      <c r="V1281" s="155">
        <v>4.8210000000000003E-2</v>
      </c>
      <c r="W1281" s="155">
        <v>5.4399999999999997E-2</v>
      </c>
      <c r="X1281" s="153" t="s">
        <v>412</v>
      </c>
      <c r="Y1281" s="153" t="s">
        <v>339</v>
      </c>
      <c r="Z1281" s="154">
        <v>12954.55</v>
      </c>
      <c r="AA1281" s="154">
        <v>1</v>
      </c>
      <c r="AB1281" s="154">
        <v>97.46</v>
      </c>
      <c r="AD1281" s="154">
        <v>12.625999999999999</v>
      </c>
      <c r="AG1281" s="157" t="s">
        <v>15</v>
      </c>
      <c r="AH1281" s="155">
        <v>6.0000000000000002E-5</v>
      </c>
      <c r="AI1281" s="155">
        <f t="shared" si="19"/>
        <v>6.8634825257474609E-4</v>
      </c>
      <c r="AJ1281" s="155">
        <v>1.7340938115348976E-5</v>
      </c>
    </row>
    <row r="1282" spans="1:36" s="160" customFormat="1">
      <c r="A1282" s="153" t="s">
        <v>1213</v>
      </c>
      <c r="B1282" s="160">
        <v>9301</v>
      </c>
      <c r="C1282" s="153" t="s">
        <v>2013</v>
      </c>
      <c r="D1282" s="153" t="s">
        <v>2014</v>
      </c>
      <c r="E1282" s="153" t="s">
        <v>309</v>
      </c>
      <c r="F1282" s="153" t="s">
        <v>3313</v>
      </c>
      <c r="G1282" s="153" t="s">
        <v>3314</v>
      </c>
      <c r="H1282" s="153" t="s">
        <v>321</v>
      </c>
      <c r="I1282" s="153" t="s">
        <v>951</v>
      </c>
      <c r="J1282" s="153" t="s">
        <v>204</v>
      </c>
      <c r="K1282" s="153" t="s">
        <v>204</v>
      </c>
      <c r="L1282" s="153" t="s">
        <v>325</v>
      </c>
      <c r="M1282" s="153" t="s">
        <v>340</v>
      </c>
      <c r="N1282" s="153" t="s">
        <v>447</v>
      </c>
      <c r="O1282" s="153" t="s">
        <v>339</v>
      </c>
      <c r="Q1282" s="153" t="s">
        <v>410</v>
      </c>
      <c r="R1282" s="153" t="s">
        <v>410</v>
      </c>
      <c r="S1282" s="153" t="s">
        <v>1212</v>
      </c>
      <c r="T1282" s="154">
        <v>1.69</v>
      </c>
      <c r="U1282" s="153" t="s">
        <v>3315</v>
      </c>
      <c r="V1282" s="155">
        <v>4.2599999999999999E-2</v>
      </c>
      <c r="W1282" s="155">
        <v>6.4899999999999999E-2</v>
      </c>
      <c r="X1282" s="153" t="s">
        <v>412</v>
      </c>
      <c r="Y1282" s="153" t="s">
        <v>339</v>
      </c>
      <c r="Z1282" s="154">
        <v>12750</v>
      </c>
      <c r="AA1282" s="154">
        <v>1</v>
      </c>
      <c r="AB1282" s="154">
        <v>97.82</v>
      </c>
      <c r="AD1282" s="154">
        <v>12.472</v>
      </c>
      <c r="AG1282" s="157" t="s">
        <v>15</v>
      </c>
      <c r="AH1282" s="155">
        <v>1.3999999999999999E-4</v>
      </c>
      <c r="AI1282" s="155">
        <f t="shared" si="19"/>
        <v>6.779768260820714E-4</v>
      </c>
      <c r="AJ1282" s="155">
        <v>1.712942976196994E-5</v>
      </c>
    </row>
    <row r="1283" spans="1:36" s="160" customFormat="1">
      <c r="A1283" s="153" t="s">
        <v>1213</v>
      </c>
      <c r="B1283" s="160">
        <v>9301</v>
      </c>
      <c r="C1283" s="153" t="s">
        <v>3041</v>
      </c>
      <c r="D1283" s="153" t="s">
        <v>3042</v>
      </c>
      <c r="E1283" s="153" t="s">
        <v>309</v>
      </c>
      <c r="F1283" s="153" t="s">
        <v>3043</v>
      </c>
      <c r="G1283" s="153" t="s">
        <v>3044</v>
      </c>
      <c r="H1283" s="153" t="s">
        <v>321</v>
      </c>
      <c r="I1283" s="153" t="s">
        <v>951</v>
      </c>
      <c r="J1283" s="153" t="s">
        <v>204</v>
      </c>
      <c r="K1283" s="153" t="s">
        <v>204</v>
      </c>
      <c r="L1283" s="153" t="s">
        <v>325</v>
      </c>
      <c r="M1283" s="153" t="s">
        <v>340</v>
      </c>
      <c r="N1283" s="153" t="s">
        <v>459</v>
      </c>
      <c r="O1283" s="153" t="s">
        <v>339</v>
      </c>
      <c r="P1283" s="153" t="s">
        <v>1544</v>
      </c>
      <c r="Q1283" s="153" t="s">
        <v>415</v>
      </c>
      <c r="R1283" s="153" t="s">
        <v>407</v>
      </c>
      <c r="S1283" s="153" t="s">
        <v>1212</v>
      </c>
      <c r="T1283" s="154">
        <v>0.25</v>
      </c>
      <c r="U1283" s="153" t="s">
        <v>2541</v>
      </c>
      <c r="V1283" s="155">
        <v>2.5579999999999999E-2</v>
      </c>
      <c r="W1283" s="155">
        <v>5.8900000000000001E-2</v>
      </c>
      <c r="X1283" s="153" t="s">
        <v>412</v>
      </c>
      <c r="Y1283" s="153" t="s">
        <v>339</v>
      </c>
      <c r="Z1283" s="154">
        <v>11000.33</v>
      </c>
      <c r="AA1283" s="154">
        <v>1</v>
      </c>
      <c r="AB1283" s="154">
        <v>100.16</v>
      </c>
      <c r="AD1283" s="154">
        <v>11.018000000000001</v>
      </c>
      <c r="AG1283" s="157" t="s">
        <v>15</v>
      </c>
      <c r="AH1283" s="155">
        <v>5.5999999999999995E-4</v>
      </c>
      <c r="AI1283" s="155">
        <f t="shared" ref="AI1283:AI1346" si="20">AD1283/SUMIF(B:B,B1283,AD:AD)</f>
        <v>5.9893751361227252E-4</v>
      </c>
      <c r="AJ1283" s="155">
        <v>1.513246128266395E-5</v>
      </c>
    </row>
    <row r="1284" spans="1:36" s="160" customFormat="1">
      <c r="A1284" s="153" t="s">
        <v>1213</v>
      </c>
      <c r="B1284" s="160">
        <v>9301</v>
      </c>
      <c r="C1284" s="153" t="s">
        <v>2155</v>
      </c>
      <c r="D1284" s="153" t="s">
        <v>2156</v>
      </c>
      <c r="E1284" s="153" t="s">
        <v>309</v>
      </c>
      <c r="F1284" s="153" t="s">
        <v>2593</v>
      </c>
      <c r="G1284" s="153" t="s">
        <v>2594</v>
      </c>
      <c r="H1284" s="153" t="s">
        <v>321</v>
      </c>
      <c r="I1284" s="153" t="s">
        <v>951</v>
      </c>
      <c r="J1284" s="153" t="s">
        <v>204</v>
      </c>
      <c r="K1284" s="153" t="s">
        <v>204</v>
      </c>
      <c r="L1284" s="153" t="s">
        <v>325</v>
      </c>
      <c r="M1284" s="153" t="s">
        <v>340</v>
      </c>
      <c r="N1284" s="153" t="s">
        <v>451</v>
      </c>
      <c r="O1284" s="153" t="s">
        <v>339</v>
      </c>
      <c r="P1284" s="153" t="s">
        <v>1521</v>
      </c>
      <c r="Q1284" s="153" t="s">
        <v>413</v>
      </c>
      <c r="R1284" s="153" t="s">
        <v>407</v>
      </c>
      <c r="S1284" s="153" t="s">
        <v>1212</v>
      </c>
      <c r="T1284" s="154">
        <v>1.21</v>
      </c>
      <c r="U1284" s="153" t="s">
        <v>1833</v>
      </c>
      <c r="V1284" s="155">
        <v>4.999E-2</v>
      </c>
      <c r="W1284" s="155">
        <v>5.4800000000000001E-2</v>
      </c>
      <c r="X1284" s="153" t="s">
        <v>412</v>
      </c>
      <c r="Y1284" s="153" t="s">
        <v>339</v>
      </c>
      <c r="Z1284" s="154">
        <v>11000.01</v>
      </c>
      <c r="AA1284" s="154">
        <v>1</v>
      </c>
      <c r="AB1284" s="154">
        <v>99.35</v>
      </c>
      <c r="AD1284" s="154">
        <v>10.929</v>
      </c>
      <c r="AG1284" s="157" t="s">
        <v>15</v>
      </c>
      <c r="AH1284" s="155">
        <v>8.0000000000000007E-5</v>
      </c>
      <c r="AI1284" s="155">
        <f t="shared" si="20"/>
        <v>5.9409948141845399E-4</v>
      </c>
      <c r="AJ1284" s="155">
        <v>1.5010225935581259E-5</v>
      </c>
    </row>
    <row r="1285" spans="1:36" s="160" customFormat="1">
      <c r="A1285" s="153" t="s">
        <v>1213</v>
      </c>
      <c r="B1285" s="160">
        <v>9301</v>
      </c>
      <c r="C1285" s="153" t="s">
        <v>1674</v>
      </c>
      <c r="D1285" s="153" t="s">
        <v>1675</v>
      </c>
      <c r="E1285" s="153" t="s">
        <v>309</v>
      </c>
      <c r="F1285" s="153" t="s">
        <v>2958</v>
      </c>
      <c r="G1285" s="153" t="s">
        <v>2959</v>
      </c>
      <c r="H1285" s="153" t="s">
        <v>321</v>
      </c>
      <c r="I1285" s="153" t="s">
        <v>754</v>
      </c>
      <c r="J1285" s="153" t="s">
        <v>204</v>
      </c>
      <c r="K1285" s="153" t="s">
        <v>204</v>
      </c>
      <c r="L1285" s="153" t="s">
        <v>325</v>
      </c>
      <c r="M1285" s="153" t="s">
        <v>340</v>
      </c>
      <c r="N1285" s="153" t="s">
        <v>464</v>
      </c>
      <c r="O1285" s="153" t="s">
        <v>339</v>
      </c>
      <c r="P1285" s="153" t="s">
        <v>1538</v>
      </c>
      <c r="Q1285" s="153" t="s">
        <v>413</v>
      </c>
      <c r="R1285" s="153" t="s">
        <v>407</v>
      </c>
      <c r="S1285" s="153" t="s">
        <v>1212</v>
      </c>
      <c r="T1285" s="154">
        <v>3.57</v>
      </c>
      <c r="U1285" s="153" t="s">
        <v>2960</v>
      </c>
      <c r="V1285" s="155">
        <v>4.2399999999999998E-3</v>
      </c>
      <c r="W1285" s="155">
        <v>2.6599999999999999E-2</v>
      </c>
      <c r="X1285" s="153" t="s">
        <v>412</v>
      </c>
      <c r="Y1285" s="153" t="s">
        <v>339</v>
      </c>
      <c r="Z1285" s="154">
        <v>9545.7900000000009</v>
      </c>
      <c r="AA1285" s="154">
        <v>1</v>
      </c>
      <c r="AB1285" s="154">
        <v>107.68</v>
      </c>
      <c r="AD1285" s="154">
        <v>10.279</v>
      </c>
      <c r="AG1285" s="157" t="s">
        <v>15</v>
      </c>
      <c r="AH1285" s="155">
        <v>5.0000000000000002E-5</v>
      </c>
      <c r="AI1285" s="155">
        <f t="shared" si="20"/>
        <v>5.5876553842989184E-4</v>
      </c>
      <c r="AJ1285" s="155">
        <v>1.4117495872617784E-5</v>
      </c>
    </row>
    <row r="1286" spans="1:36" s="160" customFormat="1">
      <c r="A1286" s="153" t="s">
        <v>1213</v>
      </c>
      <c r="B1286" s="160">
        <v>9301</v>
      </c>
      <c r="C1286" s="153" t="s">
        <v>1629</v>
      </c>
      <c r="D1286" s="153" t="s">
        <v>1630</v>
      </c>
      <c r="E1286" s="153" t="s">
        <v>309</v>
      </c>
      <c r="F1286" s="153" t="s">
        <v>1631</v>
      </c>
      <c r="G1286" s="153" t="s">
        <v>1632</v>
      </c>
      <c r="H1286" s="153" t="s">
        <v>321</v>
      </c>
      <c r="I1286" s="153" t="s">
        <v>754</v>
      </c>
      <c r="J1286" s="153" t="s">
        <v>204</v>
      </c>
      <c r="K1286" s="153" t="s">
        <v>204</v>
      </c>
      <c r="L1286" s="153" t="s">
        <v>325</v>
      </c>
      <c r="M1286" s="153" t="s">
        <v>340</v>
      </c>
      <c r="N1286" s="153" t="s">
        <v>447</v>
      </c>
      <c r="O1286" s="153" t="s">
        <v>339</v>
      </c>
      <c r="P1286" s="153" t="s">
        <v>1586</v>
      </c>
      <c r="Q1286" s="153" t="s">
        <v>415</v>
      </c>
      <c r="R1286" s="153" t="s">
        <v>407</v>
      </c>
      <c r="S1286" s="153" t="s">
        <v>1212</v>
      </c>
      <c r="T1286" s="154">
        <v>3.66</v>
      </c>
      <c r="U1286" s="153" t="s">
        <v>1633</v>
      </c>
      <c r="V1286" s="155">
        <v>5.0259999999999999E-2</v>
      </c>
      <c r="W1286" s="155">
        <v>4.9700000000000001E-2</v>
      </c>
      <c r="X1286" s="153" t="s">
        <v>412</v>
      </c>
      <c r="Y1286" s="153" t="s">
        <v>339</v>
      </c>
      <c r="Z1286" s="154">
        <v>9850.6</v>
      </c>
      <c r="AA1286" s="154">
        <v>1</v>
      </c>
      <c r="AB1286" s="154">
        <v>101.96</v>
      </c>
      <c r="AD1286" s="154">
        <v>10.044</v>
      </c>
      <c r="AG1286" s="157" t="s">
        <v>15</v>
      </c>
      <c r="AH1286" s="155">
        <v>2.0000000000000002E-5</v>
      </c>
      <c r="AI1286" s="155">
        <f t="shared" si="20"/>
        <v>5.4599095904171952E-4</v>
      </c>
      <c r="AJ1286" s="155">
        <v>1.3794739619084836E-5</v>
      </c>
    </row>
    <row r="1287" spans="1:36" s="160" customFormat="1">
      <c r="A1287" s="153" t="s">
        <v>1213</v>
      </c>
      <c r="B1287" s="160">
        <v>9301</v>
      </c>
      <c r="C1287" s="153" t="s">
        <v>3316</v>
      </c>
      <c r="D1287" s="153" t="s">
        <v>3317</v>
      </c>
      <c r="E1287" s="153" t="s">
        <v>309</v>
      </c>
      <c r="F1287" s="153" t="s">
        <v>3318</v>
      </c>
      <c r="G1287" s="153" t="s">
        <v>3319</v>
      </c>
      <c r="H1287" s="153" t="s">
        <v>321</v>
      </c>
      <c r="I1287" s="153" t="s">
        <v>755</v>
      </c>
      <c r="J1287" s="153" t="s">
        <v>204</v>
      </c>
      <c r="K1287" s="153" t="s">
        <v>204</v>
      </c>
      <c r="L1287" s="153" t="s">
        <v>325</v>
      </c>
      <c r="M1287" s="153" t="s">
        <v>340</v>
      </c>
      <c r="N1287" s="153" t="s">
        <v>454</v>
      </c>
      <c r="O1287" s="153" t="s">
        <v>339</v>
      </c>
      <c r="Q1287" s="153" t="s">
        <v>410</v>
      </c>
      <c r="R1287" s="153" t="s">
        <v>410</v>
      </c>
      <c r="S1287" s="153" t="s">
        <v>1212</v>
      </c>
      <c r="T1287" s="154">
        <v>2.5</v>
      </c>
      <c r="U1287" s="153" t="s">
        <v>1539</v>
      </c>
      <c r="V1287" s="155">
        <v>4.8759999999999998E-2</v>
      </c>
      <c r="W1287" s="155">
        <v>7.51E-2</v>
      </c>
      <c r="X1287" s="153" t="s">
        <v>412</v>
      </c>
      <c r="Y1287" s="153" t="s">
        <v>339</v>
      </c>
      <c r="Z1287" s="154">
        <v>7920</v>
      </c>
      <c r="AA1287" s="154">
        <v>1</v>
      </c>
      <c r="AB1287" s="154">
        <v>112.24</v>
      </c>
      <c r="AD1287" s="154">
        <v>8.8889999999999993</v>
      </c>
      <c r="AG1287" s="157" t="s">
        <v>15</v>
      </c>
      <c r="AH1287" s="155">
        <v>3.0000000000000001E-5</v>
      </c>
      <c r="AI1287" s="155">
        <f t="shared" si="20"/>
        <v>4.8320526034665906E-4</v>
      </c>
      <c r="AJ1287" s="155">
        <v>1.2208426968742043E-5</v>
      </c>
    </row>
    <row r="1288" spans="1:36" s="160" customFormat="1">
      <c r="A1288" s="153" t="s">
        <v>1213</v>
      </c>
      <c r="B1288" s="160">
        <v>9301</v>
      </c>
      <c r="C1288" s="153" t="s">
        <v>1861</v>
      </c>
      <c r="D1288" s="153" t="s">
        <v>1862</v>
      </c>
      <c r="E1288" s="153" t="s">
        <v>309</v>
      </c>
      <c r="F1288" s="153" t="s">
        <v>1936</v>
      </c>
      <c r="G1288" s="153" t="s">
        <v>1937</v>
      </c>
      <c r="H1288" s="153" t="s">
        <v>321</v>
      </c>
      <c r="I1288" s="153" t="s">
        <v>754</v>
      </c>
      <c r="J1288" s="153" t="s">
        <v>204</v>
      </c>
      <c r="K1288" s="153" t="s">
        <v>204</v>
      </c>
      <c r="L1288" s="153" t="s">
        <v>325</v>
      </c>
      <c r="M1288" s="153" t="s">
        <v>340</v>
      </c>
      <c r="N1288" s="153" t="s">
        <v>464</v>
      </c>
      <c r="O1288" s="153" t="s">
        <v>339</v>
      </c>
      <c r="P1288" s="153" t="s">
        <v>1538</v>
      </c>
      <c r="Q1288" s="153" t="s">
        <v>413</v>
      </c>
      <c r="R1288" s="153" t="s">
        <v>407</v>
      </c>
      <c r="S1288" s="153" t="s">
        <v>1212</v>
      </c>
      <c r="T1288" s="154">
        <v>4.34</v>
      </c>
      <c r="U1288" s="153" t="s">
        <v>1587</v>
      </c>
      <c r="V1288" s="155">
        <v>6.6E-3</v>
      </c>
      <c r="W1288" s="155">
        <v>2.9399999999999999E-2</v>
      </c>
      <c r="X1288" s="153" t="s">
        <v>412</v>
      </c>
      <c r="Y1288" s="153" t="s">
        <v>339</v>
      </c>
      <c r="Z1288" s="154">
        <v>7748.16</v>
      </c>
      <c r="AA1288" s="154">
        <v>1</v>
      </c>
      <c r="AB1288" s="154">
        <v>108.57</v>
      </c>
      <c r="AD1288" s="154">
        <v>8.4120000000000008</v>
      </c>
      <c r="AG1288" s="157" t="s">
        <v>15</v>
      </c>
      <c r="AH1288" s="155">
        <v>1.0000000000000001E-5</v>
      </c>
      <c r="AI1288" s="155">
        <f t="shared" si="20"/>
        <v>4.5727558218428357E-4</v>
      </c>
      <c r="AJ1288" s="155">
        <v>1.1553300445613466E-5</v>
      </c>
    </row>
    <row r="1289" spans="1:36" s="160" customFormat="1">
      <c r="A1289" s="153" t="s">
        <v>1213</v>
      </c>
      <c r="B1289" s="160">
        <v>9301</v>
      </c>
      <c r="C1289" s="153" t="s">
        <v>2638</v>
      </c>
      <c r="D1289" s="153" t="s">
        <v>2639</v>
      </c>
      <c r="E1289" s="153" t="s">
        <v>311</v>
      </c>
      <c r="F1289" s="153" t="s">
        <v>2640</v>
      </c>
      <c r="G1289" s="153" t="s">
        <v>2641</v>
      </c>
      <c r="H1289" s="153" t="s">
        <v>321</v>
      </c>
      <c r="I1289" s="153" t="s">
        <v>755</v>
      </c>
      <c r="J1289" s="153" t="s">
        <v>204</v>
      </c>
      <c r="K1289" s="153" t="s">
        <v>204</v>
      </c>
      <c r="L1289" s="153" t="s">
        <v>325</v>
      </c>
      <c r="M1289" s="153" t="s">
        <v>340</v>
      </c>
      <c r="N1289" s="153" t="s">
        <v>465</v>
      </c>
      <c r="O1289" s="153" t="s">
        <v>339</v>
      </c>
      <c r="P1289" s="153" t="s">
        <v>1982</v>
      </c>
      <c r="Q1289" s="153" t="s">
        <v>415</v>
      </c>
      <c r="R1289" s="153" t="s">
        <v>407</v>
      </c>
      <c r="S1289" s="153" t="s">
        <v>1212</v>
      </c>
      <c r="T1289" s="154">
        <v>2.91</v>
      </c>
      <c r="U1289" s="153" t="s">
        <v>1664</v>
      </c>
      <c r="V1289" s="155">
        <v>5.7169999999999999E-2</v>
      </c>
      <c r="W1289" s="155">
        <v>0.10150000000000001</v>
      </c>
      <c r="X1289" s="153" t="s">
        <v>412</v>
      </c>
      <c r="Y1289" s="153" t="s">
        <v>339</v>
      </c>
      <c r="Z1289" s="154">
        <v>9359.7000000000007</v>
      </c>
      <c r="AA1289" s="154">
        <v>1</v>
      </c>
      <c r="AB1289" s="154">
        <v>89.69</v>
      </c>
      <c r="AD1289" s="154">
        <v>8.3949999999999996</v>
      </c>
      <c r="AG1289" s="157" t="s">
        <v>15</v>
      </c>
      <c r="AH1289" s="155">
        <v>1.0000000000000001E-5</v>
      </c>
      <c r="AI1289" s="155">
        <f t="shared" si="20"/>
        <v>4.5635146367535188E-4</v>
      </c>
      <c r="AJ1289" s="155">
        <v>1.1529952120889803E-5</v>
      </c>
    </row>
    <row r="1290" spans="1:36" s="160" customFormat="1">
      <c r="A1290" s="153" t="s">
        <v>1213</v>
      </c>
      <c r="B1290" s="160">
        <v>9301</v>
      </c>
      <c r="C1290" s="153" t="s">
        <v>2343</v>
      </c>
      <c r="D1290" s="153" t="s">
        <v>2344</v>
      </c>
      <c r="E1290" s="153" t="s">
        <v>309</v>
      </c>
      <c r="F1290" s="153" t="s">
        <v>2345</v>
      </c>
      <c r="G1290" s="153" t="s">
        <v>2346</v>
      </c>
      <c r="H1290" s="153" t="s">
        <v>321</v>
      </c>
      <c r="I1290" s="153" t="s">
        <v>951</v>
      </c>
      <c r="J1290" s="153" t="s">
        <v>204</v>
      </c>
      <c r="K1290" s="153" t="s">
        <v>204</v>
      </c>
      <c r="L1290" s="153" t="s">
        <v>325</v>
      </c>
      <c r="M1290" s="153" t="s">
        <v>340</v>
      </c>
      <c r="N1290" s="153" t="s">
        <v>476</v>
      </c>
      <c r="O1290" s="153" t="s">
        <v>339</v>
      </c>
      <c r="P1290" s="153" t="s">
        <v>1566</v>
      </c>
      <c r="Q1290" s="153" t="s">
        <v>413</v>
      </c>
      <c r="R1290" s="153" t="s">
        <v>407</v>
      </c>
      <c r="S1290" s="153" t="s">
        <v>1212</v>
      </c>
      <c r="T1290" s="154">
        <v>5.63</v>
      </c>
      <c r="U1290" s="153" t="s">
        <v>2347</v>
      </c>
      <c r="V1290" s="155">
        <v>5.552E-2</v>
      </c>
      <c r="W1290" s="155">
        <v>5.6099999999999997E-2</v>
      </c>
      <c r="X1290" s="153" t="s">
        <v>412</v>
      </c>
      <c r="Y1290" s="153" t="s">
        <v>339</v>
      </c>
      <c r="Z1290" s="154">
        <v>8000</v>
      </c>
      <c r="AA1290" s="154">
        <v>1</v>
      </c>
      <c r="AB1290" s="154">
        <v>100.98</v>
      </c>
      <c r="AD1290" s="154">
        <v>8.0779999999999994</v>
      </c>
      <c r="AG1290" s="157" t="s">
        <v>15</v>
      </c>
      <c r="AH1290" s="155">
        <v>5.0000000000000002E-5</v>
      </c>
      <c r="AI1290" s="155">
        <f t="shared" si="20"/>
        <v>4.3911937147939159E-4</v>
      </c>
      <c r="AJ1290" s="155">
        <v>1.1094574536336847E-5</v>
      </c>
    </row>
    <row r="1291" spans="1:36" s="160" customFormat="1">
      <c r="A1291" s="153" t="s">
        <v>1213</v>
      </c>
      <c r="B1291" s="160">
        <v>9301</v>
      </c>
      <c r="C1291" s="153" t="s">
        <v>2984</v>
      </c>
      <c r="D1291" s="153" t="s">
        <v>2985</v>
      </c>
      <c r="E1291" s="153" t="s">
        <v>309</v>
      </c>
      <c r="F1291" s="153" t="s">
        <v>2986</v>
      </c>
      <c r="G1291" s="153" t="s">
        <v>2987</v>
      </c>
      <c r="H1291" s="153" t="s">
        <v>321</v>
      </c>
      <c r="I1291" s="153" t="s">
        <v>952</v>
      </c>
      <c r="J1291" s="153" t="s">
        <v>204</v>
      </c>
      <c r="K1291" s="153" t="s">
        <v>204</v>
      </c>
      <c r="L1291" s="153" t="s">
        <v>325</v>
      </c>
      <c r="M1291" s="153" t="s">
        <v>340</v>
      </c>
      <c r="N1291" s="153" t="s">
        <v>478</v>
      </c>
      <c r="O1291" s="153" t="s">
        <v>339</v>
      </c>
      <c r="P1291" s="153" t="s">
        <v>1544</v>
      </c>
      <c r="Q1291" s="153" t="s">
        <v>415</v>
      </c>
      <c r="R1291" s="153" t="s">
        <v>407</v>
      </c>
      <c r="S1291" s="153" t="s">
        <v>1212</v>
      </c>
      <c r="T1291" s="154">
        <v>1.23</v>
      </c>
      <c r="U1291" s="153" t="s">
        <v>1833</v>
      </c>
      <c r="V1291" s="155">
        <v>5.8680000000000003E-2</v>
      </c>
      <c r="W1291" s="155">
        <v>5.6899999999999999E-2</v>
      </c>
      <c r="X1291" s="153" t="s">
        <v>412</v>
      </c>
      <c r="Y1291" s="153" t="s">
        <v>339</v>
      </c>
      <c r="Z1291" s="154">
        <v>8000</v>
      </c>
      <c r="AA1291" s="154">
        <v>1</v>
      </c>
      <c r="AB1291" s="154">
        <v>95.5</v>
      </c>
      <c r="AD1291" s="154">
        <v>7.64</v>
      </c>
      <c r="AG1291" s="157" t="s">
        <v>15</v>
      </c>
      <c r="AH1291" s="155">
        <v>2.3000000000000001E-4</v>
      </c>
      <c r="AI1291" s="155">
        <f t="shared" si="20"/>
        <v>4.1530972989632978E-4</v>
      </c>
      <c r="AJ1291" s="155">
        <v>1.0493011816986076E-5</v>
      </c>
    </row>
    <row r="1292" spans="1:36" s="160" customFormat="1">
      <c r="A1292" s="153" t="s">
        <v>1213</v>
      </c>
      <c r="B1292" s="160">
        <v>9301</v>
      </c>
      <c r="C1292" s="153" t="s">
        <v>1825</v>
      </c>
      <c r="D1292" s="153" t="s">
        <v>1826</v>
      </c>
      <c r="E1292" s="153" t="s">
        <v>309</v>
      </c>
      <c r="F1292" s="153" t="s">
        <v>1827</v>
      </c>
      <c r="G1292" s="153" t="s">
        <v>1828</v>
      </c>
      <c r="H1292" s="153" t="s">
        <v>321</v>
      </c>
      <c r="I1292" s="153" t="s">
        <v>951</v>
      </c>
      <c r="J1292" s="153" t="s">
        <v>204</v>
      </c>
      <c r="K1292" s="153" t="s">
        <v>204</v>
      </c>
      <c r="L1292" s="153" t="s">
        <v>325</v>
      </c>
      <c r="M1292" s="153" t="s">
        <v>340</v>
      </c>
      <c r="N1292" s="153" t="s">
        <v>441</v>
      </c>
      <c r="O1292" s="153" t="s">
        <v>339</v>
      </c>
      <c r="Q1292" s="153" t="s">
        <v>410</v>
      </c>
      <c r="R1292" s="153" t="s">
        <v>410</v>
      </c>
      <c r="S1292" s="153" t="s">
        <v>1212</v>
      </c>
      <c r="T1292" s="154">
        <v>3.39</v>
      </c>
      <c r="U1292" s="153" t="s">
        <v>1283</v>
      </c>
      <c r="V1292" s="155">
        <v>5.9889999999999999E-2</v>
      </c>
      <c r="W1292" s="155">
        <v>7.0499999999999993E-2</v>
      </c>
      <c r="X1292" s="153" t="s">
        <v>412</v>
      </c>
      <c r="Y1292" s="153" t="s">
        <v>339</v>
      </c>
      <c r="Z1292" s="154">
        <v>8000</v>
      </c>
      <c r="AA1292" s="154">
        <v>1</v>
      </c>
      <c r="AB1292" s="154">
        <v>95.4</v>
      </c>
      <c r="AD1292" s="154">
        <v>7.6319999999999997</v>
      </c>
      <c r="AG1292" s="157" t="s">
        <v>15</v>
      </c>
      <c r="AH1292" s="155">
        <v>3.0000000000000001E-5</v>
      </c>
      <c r="AI1292" s="155">
        <f t="shared" si="20"/>
        <v>4.1487485059800905E-4</v>
      </c>
      <c r="AJ1292" s="155">
        <v>1.0482024370057293E-5</v>
      </c>
    </row>
    <row r="1293" spans="1:36" s="160" customFormat="1">
      <c r="A1293" s="153" t="s">
        <v>1213</v>
      </c>
      <c r="B1293" s="160">
        <v>9301</v>
      </c>
      <c r="C1293" s="153" t="s">
        <v>455</v>
      </c>
      <c r="D1293" s="153" t="s">
        <v>2106</v>
      </c>
      <c r="E1293" s="153" t="s">
        <v>309</v>
      </c>
      <c r="F1293" s="153" t="s">
        <v>2255</v>
      </c>
      <c r="G1293" s="153" t="s">
        <v>2256</v>
      </c>
      <c r="H1293" s="153" t="s">
        <v>321</v>
      </c>
      <c r="I1293" s="153" t="s">
        <v>754</v>
      </c>
      <c r="J1293" s="153" t="s">
        <v>204</v>
      </c>
      <c r="K1293" s="153" t="s">
        <v>204</v>
      </c>
      <c r="L1293" s="153" t="s">
        <v>325</v>
      </c>
      <c r="M1293" s="153" t="s">
        <v>340</v>
      </c>
      <c r="N1293" s="153" t="s">
        <v>440</v>
      </c>
      <c r="O1293" s="153" t="s">
        <v>339</v>
      </c>
      <c r="P1293" s="153" t="s">
        <v>1923</v>
      </c>
      <c r="Q1293" s="153" t="s">
        <v>415</v>
      </c>
      <c r="R1293" s="153" t="s">
        <v>407</v>
      </c>
      <c r="S1293" s="153" t="s">
        <v>1212</v>
      </c>
      <c r="T1293" s="154">
        <v>5.8</v>
      </c>
      <c r="U1293" s="153" t="s">
        <v>2257</v>
      </c>
      <c r="V1293" s="155">
        <v>8.6499999999999997E-3</v>
      </c>
      <c r="W1293" s="155">
        <v>2.92E-2</v>
      </c>
      <c r="X1293" s="153" t="s">
        <v>412</v>
      </c>
      <c r="Y1293" s="153" t="s">
        <v>339</v>
      </c>
      <c r="Z1293" s="154">
        <v>6000</v>
      </c>
      <c r="AA1293" s="154">
        <v>1</v>
      </c>
      <c r="AB1293" s="154">
        <v>111.74</v>
      </c>
      <c r="AD1293" s="154">
        <v>6.7039999999999997</v>
      </c>
      <c r="AG1293" s="157" t="s">
        <v>15</v>
      </c>
      <c r="AH1293" s="155">
        <v>0</v>
      </c>
      <c r="AI1293" s="155">
        <f t="shared" si="20"/>
        <v>3.6442885199280039E-4</v>
      </c>
      <c r="AJ1293" s="155">
        <v>9.2074805263186718E-6</v>
      </c>
    </row>
    <row r="1294" spans="1:36" s="160" customFormat="1">
      <c r="A1294" s="153" t="s">
        <v>1213</v>
      </c>
      <c r="B1294" s="160">
        <v>9301</v>
      </c>
      <c r="C1294" s="153" t="s">
        <v>1512</v>
      </c>
      <c r="D1294" s="153" t="s">
        <v>1513</v>
      </c>
      <c r="E1294" s="153" t="s">
        <v>309</v>
      </c>
      <c r="F1294" s="153" t="s">
        <v>2103</v>
      </c>
      <c r="G1294" s="153" t="s">
        <v>2104</v>
      </c>
      <c r="H1294" s="153" t="s">
        <v>321</v>
      </c>
      <c r="I1294" s="153" t="s">
        <v>754</v>
      </c>
      <c r="J1294" s="153" t="s">
        <v>204</v>
      </c>
      <c r="K1294" s="153" t="s">
        <v>204</v>
      </c>
      <c r="L1294" s="153" t="s">
        <v>325</v>
      </c>
      <c r="M1294" s="153" t="s">
        <v>340</v>
      </c>
      <c r="N1294" s="153" t="s">
        <v>448</v>
      </c>
      <c r="O1294" s="153" t="s">
        <v>339</v>
      </c>
      <c r="P1294" s="153" t="s">
        <v>1215</v>
      </c>
      <c r="Q1294" s="153" t="s">
        <v>413</v>
      </c>
      <c r="R1294" s="153" t="s">
        <v>407</v>
      </c>
      <c r="S1294" s="153" t="s">
        <v>1212</v>
      </c>
      <c r="T1294" s="154">
        <v>4.38</v>
      </c>
      <c r="U1294" s="153" t="s">
        <v>2105</v>
      </c>
      <c r="V1294" s="155">
        <v>2.1569999999999999E-2</v>
      </c>
      <c r="W1294" s="155">
        <v>2.5700000000000001E-2</v>
      </c>
      <c r="X1294" s="153" t="s">
        <v>412</v>
      </c>
      <c r="Y1294" s="153" t="s">
        <v>339</v>
      </c>
      <c r="Z1294" s="154">
        <v>6000</v>
      </c>
      <c r="AA1294" s="154">
        <v>1</v>
      </c>
      <c r="AB1294" s="154">
        <v>102.5</v>
      </c>
      <c r="AD1294" s="154">
        <v>6.15</v>
      </c>
      <c r="AG1294" s="157" t="s">
        <v>15</v>
      </c>
      <c r="AH1294" s="155">
        <v>0</v>
      </c>
      <c r="AI1294" s="155">
        <f t="shared" si="20"/>
        <v>3.3431346058408751E-4</v>
      </c>
      <c r="AJ1294" s="155">
        <v>8.4465998265005708E-6</v>
      </c>
    </row>
    <row r="1295" spans="1:36" s="160" customFormat="1">
      <c r="A1295" s="153" t="s">
        <v>1213</v>
      </c>
      <c r="B1295" s="160">
        <v>9301</v>
      </c>
      <c r="C1295" s="153" t="s">
        <v>1807</v>
      </c>
      <c r="D1295" s="153" t="s">
        <v>1808</v>
      </c>
      <c r="E1295" s="153" t="s">
        <v>309</v>
      </c>
      <c r="F1295" s="153" t="s">
        <v>2284</v>
      </c>
      <c r="G1295" s="153" t="s">
        <v>2285</v>
      </c>
      <c r="H1295" s="153" t="s">
        <v>321</v>
      </c>
      <c r="I1295" s="153" t="s">
        <v>754</v>
      </c>
      <c r="J1295" s="153" t="s">
        <v>204</v>
      </c>
      <c r="K1295" s="153" t="s">
        <v>204</v>
      </c>
      <c r="L1295" s="153" t="s">
        <v>325</v>
      </c>
      <c r="M1295" s="153" t="s">
        <v>340</v>
      </c>
      <c r="N1295" s="153" t="s">
        <v>464</v>
      </c>
      <c r="O1295" s="153" t="s">
        <v>339</v>
      </c>
      <c r="P1295" s="153" t="s">
        <v>1923</v>
      </c>
      <c r="Q1295" s="153" t="s">
        <v>415</v>
      </c>
      <c r="R1295" s="153" t="s">
        <v>407</v>
      </c>
      <c r="S1295" s="153" t="s">
        <v>1212</v>
      </c>
      <c r="T1295" s="154">
        <v>5.47</v>
      </c>
      <c r="U1295" s="153" t="s">
        <v>1732</v>
      </c>
      <c r="V1295" s="155">
        <v>2.6950000000000002E-2</v>
      </c>
      <c r="W1295" s="155">
        <v>3.1800000000000002E-2</v>
      </c>
      <c r="X1295" s="153" t="s">
        <v>412</v>
      </c>
      <c r="Y1295" s="153" t="s">
        <v>339</v>
      </c>
      <c r="Z1295" s="154">
        <v>5000</v>
      </c>
      <c r="AA1295" s="154">
        <v>1</v>
      </c>
      <c r="AB1295" s="154">
        <v>111.87</v>
      </c>
      <c r="AD1295" s="154">
        <v>5.5940000000000003</v>
      </c>
      <c r="AG1295" s="157" t="s">
        <v>15</v>
      </c>
      <c r="AH1295" s="155">
        <v>0</v>
      </c>
      <c r="AI1295" s="155">
        <f t="shared" si="20"/>
        <v>3.040893493507944E-4</v>
      </c>
      <c r="AJ1295" s="155">
        <v>7.6829722649502754E-6</v>
      </c>
    </row>
    <row r="1296" spans="1:36" s="160" customFormat="1">
      <c r="A1296" s="153" t="s">
        <v>1213</v>
      </c>
      <c r="B1296" s="160">
        <v>9301</v>
      </c>
      <c r="C1296" s="153" t="s">
        <v>1512</v>
      </c>
      <c r="D1296" s="153" t="s">
        <v>1513</v>
      </c>
      <c r="E1296" s="153" t="s">
        <v>309</v>
      </c>
      <c r="F1296" s="153" t="s">
        <v>2531</v>
      </c>
      <c r="G1296" s="153" t="s">
        <v>2532</v>
      </c>
      <c r="H1296" s="153" t="s">
        <v>321</v>
      </c>
      <c r="I1296" s="153" t="s">
        <v>754</v>
      </c>
      <c r="J1296" s="153" t="s">
        <v>204</v>
      </c>
      <c r="K1296" s="153" t="s">
        <v>204</v>
      </c>
      <c r="L1296" s="153" t="s">
        <v>325</v>
      </c>
      <c r="M1296" s="153" t="s">
        <v>340</v>
      </c>
      <c r="N1296" s="153" t="s">
        <v>448</v>
      </c>
      <c r="O1296" s="153" t="s">
        <v>339</v>
      </c>
      <c r="P1296" s="153" t="s">
        <v>1215</v>
      </c>
      <c r="Q1296" s="153" t="s">
        <v>413</v>
      </c>
      <c r="R1296" s="153" t="s">
        <v>407</v>
      </c>
      <c r="S1296" s="153" t="s">
        <v>1212</v>
      </c>
      <c r="T1296" s="154">
        <v>3.48</v>
      </c>
      <c r="U1296" s="153" t="s">
        <v>2533</v>
      </c>
      <c r="V1296" s="155">
        <v>1.537E-2</v>
      </c>
      <c r="W1296" s="155">
        <v>2.4500000000000001E-2</v>
      </c>
      <c r="X1296" s="153" t="s">
        <v>412</v>
      </c>
      <c r="Y1296" s="153" t="s">
        <v>339</v>
      </c>
      <c r="Z1296" s="154">
        <v>5000.5</v>
      </c>
      <c r="AA1296" s="154">
        <v>1</v>
      </c>
      <c r="AB1296" s="154">
        <v>105.53</v>
      </c>
      <c r="AD1296" s="154">
        <v>5.2770000000000001</v>
      </c>
      <c r="AG1296" s="157" t="s">
        <v>15</v>
      </c>
      <c r="AH1296" s="155">
        <v>0</v>
      </c>
      <c r="AI1296" s="155">
        <f t="shared" si="20"/>
        <v>2.8685725715483411E-4</v>
      </c>
      <c r="AJ1296" s="155">
        <v>7.2475946803973195E-6</v>
      </c>
    </row>
    <row r="1297" spans="1:36" s="160" customFormat="1">
      <c r="A1297" s="153" t="s">
        <v>1213</v>
      </c>
      <c r="B1297" s="160">
        <v>9301</v>
      </c>
      <c r="C1297" s="153" t="s">
        <v>2361</v>
      </c>
      <c r="D1297" s="153" t="s">
        <v>2362</v>
      </c>
      <c r="E1297" s="153" t="s">
        <v>309</v>
      </c>
      <c r="F1297" s="153" t="s">
        <v>2363</v>
      </c>
      <c r="G1297" s="153" t="s">
        <v>2364</v>
      </c>
      <c r="H1297" s="153" t="s">
        <v>321</v>
      </c>
      <c r="I1297" s="153" t="s">
        <v>951</v>
      </c>
      <c r="J1297" s="153" t="s">
        <v>204</v>
      </c>
      <c r="K1297" s="153" t="s">
        <v>204</v>
      </c>
      <c r="L1297" s="153" t="s">
        <v>325</v>
      </c>
      <c r="M1297" s="153" t="s">
        <v>340</v>
      </c>
      <c r="N1297" s="153" t="s">
        <v>446</v>
      </c>
      <c r="O1297" s="153" t="s">
        <v>339</v>
      </c>
      <c r="P1297" s="153" t="s">
        <v>1538</v>
      </c>
      <c r="Q1297" s="153" t="s">
        <v>413</v>
      </c>
      <c r="R1297" s="153" t="s">
        <v>407</v>
      </c>
      <c r="S1297" s="153" t="s">
        <v>1212</v>
      </c>
      <c r="T1297" s="154">
        <v>2.62</v>
      </c>
      <c r="U1297" s="153" t="s">
        <v>1587</v>
      </c>
      <c r="V1297" s="155">
        <v>4.3450000000000003E-2</v>
      </c>
      <c r="W1297" s="155">
        <v>5.2200000000000003E-2</v>
      </c>
      <c r="X1297" s="153" t="s">
        <v>412</v>
      </c>
      <c r="Y1297" s="153" t="s">
        <v>339</v>
      </c>
      <c r="Z1297" s="154">
        <v>5833.33</v>
      </c>
      <c r="AA1297" s="154">
        <v>1</v>
      </c>
      <c r="AB1297" s="154">
        <v>90.15</v>
      </c>
      <c r="AD1297" s="154">
        <v>5.2590000000000003</v>
      </c>
      <c r="AG1297" s="157" t="s">
        <v>15</v>
      </c>
      <c r="AH1297" s="155">
        <v>1.0000000000000001E-5</v>
      </c>
      <c r="AI1297" s="155">
        <f t="shared" si="20"/>
        <v>2.8587877873361236E-4</v>
      </c>
      <c r="AJ1297" s="155">
        <v>7.2228729248075624E-6</v>
      </c>
    </row>
    <row r="1298" spans="1:36" s="160" customFormat="1">
      <c r="A1298" s="153" t="s">
        <v>1213</v>
      </c>
      <c r="B1298" s="160">
        <v>9301</v>
      </c>
      <c r="C1298" s="153" t="s">
        <v>1904</v>
      </c>
      <c r="D1298" s="153" t="s">
        <v>1905</v>
      </c>
      <c r="E1298" s="153" t="s">
        <v>309</v>
      </c>
      <c r="F1298" s="153" t="s">
        <v>2097</v>
      </c>
      <c r="G1298" s="153" t="s">
        <v>2098</v>
      </c>
      <c r="H1298" s="153" t="s">
        <v>321</v>
      </c>
      <c r="I1298" s="153" t="s">
        <v>754</v>
      </c>
      <c r="J1298" s="153" t="s">
        <v>204</v>
      </c>
      <c r="K1298" s="153" t="s">
        <v>204</v>
      </c>
      <c r="L1298" s="153" t="s">
        <v>325</v>
      </c>
      <c r="M1298" s="153" t="s">
        <v>340</v>
      </c>
      <c r="N1298" s="153" t="s">
        <v>448</v>
      </c>
      <c r="O1298" s="153" t="s">
        <v>339</v>
      </c>
      <c r="P1298" s="153" t="s">
        <v>1215</v>
      </c>
      <c r="Q1298" s="153" t="s">
        <v>413</v>
      </c>
      <c r="R1298" s="153" t="s">
        <v>407</v>
      </c>
      <c r="S1298" s="153" t="s">
        <v>1212</v>
      </c>
      <c r="T1298" s="154">
        <v>5.05</v>
      </c>
      <c r="U1298" s="153" t="s">
        <v>2099</v>
      </c>
      <c r="V1298" s="155">
        <v>1.678E-2</v>
      </c>
      <c r="W1298" s="155">
        <v>2.58E-2</v>
      </c>
      <c r="X1298" s="153" t="s">
        <v>412</v>
      </c>
      <c r="Y1298" s="153" t="s">
        <v>339</v>
      </c>
      <c r="Z1298" s="154">
        <v>5000</v>
      </c>
      <c r="AA1298" s="154">
        <v>1</v>
      </c>
      <c r="AB1298" s="154">
        <v>102.7</v>
      </c>
      <c r="AD1298" s="154">
        <v>5.1349999999999998</v>
      </c>
      <c r="AG1298" s="157" t="s">
        <v>15</v>
      </c>
      <c r="AH1298" s="155">
        <v>0</v>
      </c>
      <c r="AI1298" s="155">
        <f t="shared" si="20"/>
        <v>2.791381496096405E-4</v>
      </c>
      <c r="AJ1298" s="155">
        <v>7.0525674974114524E-6</v>
      </c>
    </row>
    <row r="1299" spans="1:36" s="160" customFormat="1">
      <c r="A1299" s="153" t="s">
        <v>1213</v>
      </c>
      <c r="B1299" s="160">
        <v>9301</v>
      </c>
      <c r="C1299" s="153" t="s">
        <v>2228</v>
      </c>
      <c r="D1299" s="153" t="s">
        <v>2229</v>
      </c>
      <c r="E1299" s="153" t="s">
        <v>309</v>
      </c>
      <c r="F1299" s="153" t="s">
        <v>2230</v>
      </c>
      <c r="G1299" s="153" t="s">
        <v>2231</v>
      </c>
      <c r="H1299" s="153" t="s">
        <v>321</v>
      </c>
      <c r="I1299" s="153" t="s">
        <v>951</v>
      </c>
      <c r="J1299" s="153" t="s">
        <v>204</v>
      </c>
      <c r="K1299" s="153" t="s">
        <v>204</v>
      </c>
      <c r="L1299" s="153" t="s">
        <v>325</v>
      </c>
      <c r="M1299" s="153" t="s">
        <v>340</v>
      </c>
      <c r="N1299" s="153" t="s">
        <v>441</v>
      </c>
      <c r="O1299" s="153" t="s">
        <v>339</v>
      </c>
      <c r="P1299" s="153" t="s">
        <v>1614</v>
      </c>
      <c r="Q1299" s="153" t="s">
        <v>415</v>
      </c>
      <c r="R1299" s="153" t="s">
        <v>407</v>
      </c>
      <c r="S1299" s="153" t="s">
        <v>1212</v>
      </c>
      <c r="T1299" s="154">
        <v>1.74</v>
      </c>
      <c r="U1299" s="153" t="s">
        <v>2232</v>
      </c>
      <c r="V1299" s="155">
        <v>3.5439999999999999E-2</v>
      </c>
      <c r="W1299" s="155">
        <v>5.7200000000000001E-2</v>
      </c>
      <c r="X1299" s="153" t="s">
        <v>412</v>
      </c>
      <c r="Y1299" s="153" t="s">
        <v>339</v>
      </c>
      <c r="Z1299" s="154">
        <v>5294.12</v>
      </c>
      <c r="AA1299" s="154">
        <v>1</v>
      </c>
      <c r="AB1299" s="154">
        <v>96.61</v>
      </c>
      <c r="AD1299" s="154">
        <v>5.1150000000000002</v>
      </c>
      <c r="AG1299" s="157" t="s">
        <v>15</v>
      </c>
      <c r="AH1299" s="155">
        <v>1.0000000000000001E-5</v>
      </c>
      <c r="AI1299" s="155">
        <f t="shared" si="20"/>
        <v>2.7805095136383863E-4</v>
      </c>
      <c r="AJ1299" s="155">
        <v>7.0250988800895001E-6</v>
      </c>
    </row>
    <row r="1300" spans="1:36" s="160" customFormat="1">
      <c r="A1300" s="153" t="s">
        <v>1213</v>
      </c>
      <c r="B1300" s="160">
        <v>9301</v>
      </c>
      <c r="C1300" s="153" t="s">
        <v>1600</v>
      </c>
      <c r="D1300" s="153" t="s">
        <v>1601</v>
      </c>
      <c r="E1300" s="153" t="s">
        <v>309</v>
      </c>
      <c r="F1300" s="153" t="s">
        <v>1957</v>
      </c>
      <c r="G1300" s="153" t="s">
        <v>1958</v>
      </c>
      <c r="H1300" s="153" t="s">
        <v>321</v>
      </c>
      <c r="I1300" s="153" t="s">
        <v>754</v>
      </c>
      <c r="J1300" s="153" t="s">
        <v>204</v>
      </c>
      <c r="K1300" s="153" t="s">
        <v>204</v>
      </c>
      <c r="L1300" s="153" t="s">
        <v>325</v>
      </c>
      <c r="M1300" s="153" t="s">
        <v>340</v>
      </c>
      <c r="N1300" s="153" t="s">
        <v>448</v>
      </c>
      <c r="O1300" s="153" t="s">
        <v>339</v>
      </c>
      <c r="P1300" s="153" t="s">
        <v>1215</v>
      </c>
      <c r="Q1300" s="153" t="s">
        <v>413</v>
      </c>
      <c r="R1300" s="153" t="s">
        <v>407</v>
      </c>
      <c r="S1300" s="153" t="s">
        <v>1212</v>
      </c>
      <c r="T1300" s="154">
        <v>3.91</v>
      </c>
      <c r="U1300" s="153" t="s">
        <v>1959</v>
      </c>
      <c r="V1300" s="155">
        <v>2.017E-2</v>
      </c>
      <c r="W1300" s="155">
        <v>2.4799999999999999E-2</v>
      </c>
      <c r="X1300" s="153" t="s">
        <v>412</v>
      </c>
      <c r="Y1300" s="153" t="s">
        <v>339</v>
      </c>
      <c r="Z1300" s="154">
        <v>4000</v>
      </c>
      <c r="AA1300" s="154">
        <v>1</v>
      </c>
      <c r="AB1300" s="154">
        <v>103.84</v>
      </c>
      <c r="AD1300" s="154">
        <v>4.1539999999999999</v>
      </c>
      <c r="AG1300" s="157" t="s">
        <v>15</v>
      </c>
      <c r="AH1300" s="155">
        <v>0</v>
      </c>
      <c r="AI1300" s="155">
        <f t="shared" si="20"/>
        <v>2.2581107565305681E-4</v>
      </c>
      <c r="AJ1300" s="155">
        <v>5.7052318177696537E-6</v>
      </c>
    </row>
    <row r="1301" spans="1:36" s="160" customFormat="1">
      <c r="A1301" s="153" t="s">
        <v>1213</v>
      </c>
      <c r="B1301" s="160">
        <v>9301</v>
      </c>
      <c r="C1301" s="153" t="s">
        <v>3008</v>
      </c>
      <c r="D1301" s="153" t="s">
        <v>3009</v>
      </c>
      <c r="E1301" s="153" t="s">
        <v>309</v>
      </c>
      <c r="F1301" s="153" t="s">
        <v>3010</v>
      </c>
      <c r="G1301" s="153" t="s">
        <v>3011</v>
      </c>
      <c r="H1301" s="153" t="s">
        <v>321</v>
      </c>
      <c r="I1301" s="153" t="s">
        <v>951</v>
      </c>
      <c r="J1301" s="153" t="s">
        <v>204</v>
      </c>
      <c r="K1301" s="153" t="s">
        <v>204</v>
      </c>
      <c r="L1301" s="153" t="s">
        <v>325</v>
      </c>
      <c r="M1301" s="153" t="s">
        <v>340</v>
      </c>
      <c r="N1301" s="153" t="s">
        <v>477</v>
      </c>
      <c r="O1301" s="153" t="s">
        <v>339</v>
      </c>
      <c r="P1301" s="153" t="s">
        <v>1521</v>
      </c>
      <c r="Q1301" s="153" t="s">
        <v>413</v>
      </c>
      <c r="R1301" s="153" t="s">
        <v>407</v>
      </c>
      <c r="S1301" s="153" t="s">
        <v>1212</v>
      </c>
      <c r="T1301" s="154">
        <v>0.25</v>
      </c>
      <c r="U1301" s="153" t="s">
        <v>2541</v>
      </c>
      <c r="V1301" s="155">
        <v>2.18E-2</v>
      </c>
      <c r="W1301" s="155">
        <v>5.8400000000000001E-2</v>
      </c>
      <c r="X1301" s="153" t="s">
        <v>412</v>
      </c>
      <c r="Y1301" s="153" t="s">
        <v>339</v>
      </c>
      <c r="Z1301" s="154">
        <v>4001.9</v>
      </c>
      <c r="AA1301" s="154">
        <v>1</v>
      </c>
      <c r="AB1301" s="154">
        <v>100.05</v>
      </c>
      <c r="AD1301" s="154">
        <v>4.0039999999999996</v>
      </c>
      <c r="AG1301" s="157" t="s">
        <v>15</v>
      </c>
      <c r="AH1301" s="155">
        <v>2.2000000000000001E-4</v>
      </c>
      <c r="AI1301" s="155">
        <f t="shared" si="20"/>
        <v>2.1765708880954246E-4</v>
      </c>
      <c r="AJ1301" s="155">
        <v>5.4992171878550056E-6</v>
      </c>
    </row>
    <row r="1302" spans="1:36" s="160" customFormat="1">
      <c r="A1302" s="153" t="s">
        <v>1213</v>
      </c>
      <c r="B1302" s="160">
        <v>9301</v>
      </c>
      <c r="C1302" s="153" t="s">
        <v>2145</v>
      </c>
      <c r="D1302" s="153" t="s">
        <v>2146</v>
      </c>
      <c r="E1302" s="153" t="s">
        <v>309</v>
      </c>
      <c r="F1302" s="153" t="s">
        <v>3085</v>
      </c>
      <c r="G1302" s="153" t="s">
        <v>3086</v>
      </c>
      <c r="H1302" s="153" t="s">
        <v>321</v>
      </c>
      <c r="I1302" s="153" t="s">
        <v>952</v>
      </c>
      <c r="J1302" s="153" t="s">
        <v>204</v>
      </c>
      <c r="K1302" s="153" t="s">
        <v>204</v>
      </c>
      <c r="L1302" s="153" t="s">
        <v>325</v>
      </c>
      <c r="M1302" s="153" t="s">
        <v>340</v>
      </c>
      <c r="N1302" s="153" t="s">
        <v>445</v>
      </c>
      <c r="O1302" s="153" t="s">
        <v>339</v>
      </c>
      <c r="P1302" s="153" t="s">
        <v>1566</v>
      </c>
      <c r="Q1302" s="153" t="s">
        <v>413</v>
      </c>
      <c r="R1302" s="153" t="s">
        <v>407</v>
      </c>
      <c r="S1302" s="153" t="s">
        <v>1212</v>
      </c>
      <c r="T1302" s="154">
        <v>3.25</v>
      </c>
      <c r="U1302" s="153" t="s">
        <v>2960</v>
      </c>
      <c r="V1302" s="155">
        <v>1.6500000000000001E-2</v>
      </c>
      <c r="W1302" s="155">
        <v>3.9600000000000003E-2</v>
      </c>
      <c r="X1302" s="153" t="s">
        <v>412</v>
      </c>
      <c r="Y1302" s="153" t="s">
        <v>339</v>
      </c>
      <c r="Z1302" s="154">
        <v>4000</v>
      </c>
      <c r="AA1302" s="154">
        <v>1</v>
      </c>
      <c r="AB1302" s="154">
        <v>98</v>
      </c>
      <c r="AD1302" s="154">
        <v>3.92</v>
      </c>
      <c r="AG1302" s="157" t="s">
        <v>15</v>
      </c>
      <c r="AH1302" s="155">
        <v>3.0000000000000001E-5</v>
      </c>
      <c r="AI1302" s="155">
        <f t="shared" si="20"/>
        <v>2.1309085617717444E-4</v>
      </c>
      <c r="AJ1302" s="155">
        <v>5.3838489951028027E-6</v>
      </c>
    </row>
    <row r="1303" spans="1:36" s="160" customFormat="1">
      <c r="A1303" s="153" t="s">
        <v>1213</v>
      </c>
      <c r="B1303" s="160">
        <v>9301</v>
      </c>
      <c r="C1303" s="153" t="s">
        <v>1917</v>
      </c>
      <c r="D1303" s="153" t="s">
        <v>1918</v>
      </c>
      <c r="E1303" s="153" t="s">
        <v>309</v>
      </c>
      <c r="F1303" s="153" t="s">
        <v>2799</v>
      </c>
      <c r="G1303" s="153" t="s">
        <v>2800</v>
      </c>
      <c r="H1303" s="153" t="s">
        <v>321</v>
      </c>
      <c r="I1303" s="153" t="s">
        <v>951</v>
      </c>
      <c r="J1303" s="153" t="s">
        <v>204</v>
      </c>
      <c r="K1303" s="153" t="s">
        <v>204</v>
      </c>
      <c r="L1303" s="153" t="s">
        <v>325</v>
      </c>
      <c r="M1303" s="153" t="s">
        <v>340</v>
      </c>
      <c r="N1303" s="153" t="s">
        <v>447</v>
      </c>
      <c r="O1303" s="153" t="s">
        <v>339</v>
      </c>
      <c r="P1303" s="153" t="s">
        <v>1560</v>
      </c>
      <c r="Q1303" s="153" t="s">
        <v>413</v>
      </c>
      <c r="R1303" s="153" t="s">
        <v>407</v>
      </c>
      <c r="S1303" s="153" t="s">
        <v>1212</v>
      </c>
      <c r="T1303" s="154">
        <v>0.6</v>
      </c>
      <c r="U1303" s="153" t="s">
        <v>2801</v>
      </c>
      <c r="V1303" s="155">
        <v>5.6860000000000001E-2</v>
      </c>
      <c r="W1303" s="155">
        <v>6.13E-2</v>
      </c>
      <c r="X1303" s="153" t="s">
        <v>412</v>
      </c>
      <c r="Y1303" s="153" t="s">
        <v>339</v>
      </c>
      <c r="Z1303" s="154">
        <v>3000</v>
      </c>
      <c r="AA1303" s="154">
        <v>1</v>
      </c>
      <c r="AB1303" s="154">
        <v>100.56</v>
      </c>
      <c r="AD1303" s="154">
        <v>3.0169999999999999</v>
      </c>
      <c r="AG1303" s="157" t="s">
        <v>15</v>
      </c>
      <c r="AH1303" s="155">
        <v>2.0000000000000002E-5</v>
      </c>
      <c r="AI1303" s="155">
        <f t="shared" si="20"/>
        <v>1.6400385537921819E-4</v>
      </c>
      <c r="AJ1303" s="155">
        <v>4.1436409230166212E-6</v>
      </c>
    </row>
    <row r="1304" spans="1:36" s="160" customFormat="1">
      <c r="A1304" s="153" t="s">
        <v>1213</v>
      </c>
      <c r="B1304" s="160">
        <v>9301</v>
      </c>
      <c r="C1304" s="153" t="s">
        <v>2328</v>
      </c>
      <c r="D1304" s="153" t="s">
        <v>2329</v>
      </c>
      <c r="E1304" s="153" t="s">
        <v>309</v>
      </c>
      <c r="F1304" s="153" t="s">
        <v>3031</v>
      </c>
      <c r="G1304" s="153" t="s">
        <v>3032</v>
      </c>
      <c r="H1304" s="153" t="s">
        <v>321</v>
      </c>
      <c r="I1304" s="153" t="s">
        <v>951</v>
      </c>
      <c r="J1304" s="153" t="s">
        <v>204</v>
      </c>
      <c r="K1304" s="153" t="s">
        <v>204</v>
      </c>
      <c r="L1304" s="153" t="s">
        <v>325</v>
      </c>
      <c r="M1304" s="153" t="s">
        <v>340</v>
      </c>
      <c r="N1304" s="153" t="s">
        <v>465</v>
      </c>
      <c r="O1304" s="153" t="s">
        <v>339</v>
      </c>
      <c r="P1304" s="153" t="s">
        <v>1923</v>
      </c>
      <c r="Q1304" s="153" t="s">
        <v>415</v>
      </c>
      <c r="R1304" s="153" t="s">
        <v>407</v>
      </c>
      <c r="S1304" s="153" t="s">
        <v>1212</v>
      </c>
      <c r="T1304" s="154">
        <v>2.0099999999999998</v>
      </c>
      <c r="U1304" s="153" t="s">
        <v>1659</v>
      </c>
      <c r="V1304" s="155">
        <v>4.1759999999999999E-2</v>
      </c>
      <c r="W1304" s="155">
        <v>5.5100000000000003E-2</v>
      </c>
      <c r="X1304" s="153" t="s">
        <v>412</v>
      </c>
      <c r="Y1304" s="153" t="s">
        <v>339</v>
      </c>
      <c r="Z1304" s="154">
        <v>3000.08</v>
      </c>
      <c r="AA1304" s="154">
        <v>1</v>
      </c>
      <c r="AB1304" s="154">
        <v>95.5</v>
      </c>
      <c r="AD1304" s="154">
        <v>2.8650000000000002</v>
      </c>
      <c r="AG1304" s="157" t="s">
        <v>15</v>
      </c>
      <c r="AH1304" s="155">
        <v>4.0000000000000003E-5</v>
      </c>
      <c r="AI1304" s="155">
        <f t="shared" si="20"/>
        <v>1.557411487111237E-4</v>
      </c>
      <c r="AJ1304" s="155">
        <v>3.9348794313697788E-6</v>
      </c>
    </row>
    <row r="1305" spans="1:36" s="160" customFormat="1">
      <c r="A1305" s="153" t="s">
        <v>1213</v>
      </c>
      <c r="B1305" s="160">
        <v>9301</v>
      </c>
      <c r="C1305" s="153" t="s">
        <v>1591</v>
      </c>
      <c r="D1305" s="153" t="s">
        <v>1592</v>
      </c>
      <c r="E1305" s="153" t="s">
        <v>309</v>
      </c>
      <c r="F1305" s="153" t="s">
        <v>2261</v>
      </c>
      <c r="G1305" s="153" t="s">
        <v>2262</v>
      </c>
      <c r="H1305" s="153" t="s">
        <v>321</v>
      </c>
      <c r="I1305" s="153" t="s">
        <v>754</v>
      </c>
      <c r="J1305" s="153" t="s">
        <v>204</v>
      </c>
      <c r="K1305" s="153" t="s">
        <v>204</v>
      </c>
      <c r="L1305" s="153" t="s">
        <v>325</v>
      </c>
      <c r="M1305" s="153" t="s">
        <v>340</v>
      </c>
      <c r="N1305" s="153" t="s">
        <v>464</v>
      </c>
      <c r="O1305" s="153" t="s">
        <v>339</v>
      </c>
      <c r="P1305" s="153" t="s">
        <v>1538</v>
      </c>
      <c r="Q1305" s="153" t="s">
        <v>413</v>
      </c>
      <c r="R1305" s="153" t="s">
        <v>407</v>
      </c>
      <c r="S1305" s="153" t="s">
        <v>1212</v>
      </c>
      <c r="T1305" s="154">
        <v>0.98</v>
      </c>
      <c r="U1305" s="153" t="s">
        <v>1768</v>
      </c>
      <c r="V1305" s="155">
        <v>-1.304E-2</v>
      </c>
      <c r="W1305" s="155">
        <v>2.5600000000000001E-2</v>
      </c>
      <c r="X1305" s="153" t="s">
        <v>412</v>
      </c>
      <c r="Y1305" s="153" t="s">
        <v>339</v>
      </c>
      <c r="Z1305" s="154">
        <v>2000</v>
      </c>
      <c r="AA1305" s="154">
        <v>1</v>
      </c>
      <c r="AB1305" s="154">
        <v>142.99</v>
      </c>
      <c r="AD1305" s="154">
        <v>2.86</v>
      </c>
      <c r="AG1305" s="157" t="s">
        <v>15</v>
      </c>
      <c r="AH1305" s="155">
        <v>0</v>
      </c>
      <c r="AI1305" s="155">
        <f t="shared" si="20"/>
        <v>1.5546934914967319E-4</v>
      </c>
      <c r="AJ1305" s="155">
        <v>3.9280122770392895E-6</v>
      </c>
    </row>
    <row r="1306" spans="1:36" s="160" customFormat="1">
      <c r="A1306" s="153" t="s">
        <v>1213</v>
      </c>
      <c r="B1306" s="160">
        <v>9301</v>
      </c>
      <c r="C1306" s="153" t="s">
        <v>2835</v>
      </c>
      <c r="D1306" s="153" t="s">
        <v>2836</v>
      </c>
      <c r="E1306" s="153" t="s">
        <v>309</v>
      </c>
      <c r="F1306" s="153" t="s">
        <v>2837</v>
      </c>
      <c r="G1306" s="153" t="s">
        <v>2838</v>
      </c>
      <c r="H1306" s="153" t="s">
        <v>321</v>
      </c>
      <c r="I1306" s="153" t="s">
        <v>755</v>
      </c>
      <c r="J1306" s="153" t="s">
        <v>204</v>
      </c>
      <c r="K1306" s="153" t="s">
        <v>204</v>
      </c>
      <c r="L1306" s="153" t="s">
        <v>325</v>
      </c>
      <c r="M1306" s="153" t="s">
        <v>340</v>
      </c>
      <c r="N1306" s="153" t="s">
        <v>466</v>
      </c>
      <c r="O1306" s="153" t="s">
        <v>339</v>
      </c>
      <c r="P1306" s="153" t="s">
        <v>1521</v>
      </c>
      <c r="Q1306" s="153" t="s">
        <v>413</v>
      </c>
      <c r="R1306" s="153" t="s">
        <v>407</v>
      </c>
      <c r="S1306" s="153" t="s">
        <v>1212</v>
      </c>
      <c r="T1306" s="154">
        <v>0.73</v>
      </c>
      <c r="U1306" s="153" t="s">
        <v>1777</v>
      </c>
      <c r="V1306" s="155">
        <v>7.4630000000000002E-2</v>
      </c>
      <c r="W1306" s="155">
        <v>6.8500000000000005E-2</v>
      </c>
      <c r="X1306" s="153" t="s">
        <v>412</v>
      </c>
      <c r="Y1306" s="153" t="s">
        <v>339</v>
      </c>
      <c r="Z1306" s="154">
        <v>2000</v>
      </c>
      <c r="AA1306" s="154">
        <v>1</v>
      </c>
      <c r="AB1306" s="154">
        <v>100.82</v>
      </c>
      <c r="AD1306" s="154">
        <v>2.016</v>
      </c>
      <c r="AG1306" s="157" t="s">
        <v>15</v>
      </c>
      <c r="AH1306" s="155">
        <v>3.0000000000000001E-5</v>
      </c>
      <c r="AI1306" s="155">
        <f t="shared" si="20"/>
        <v>1.0958958317683257E-4</v>
      </c>
      <c r="AJ1306" s="155">
        <v>2.7688366260528703E-6</v>
      </c>
    </row>
    <row r="1307" spans="1:36" s="160" customFormat="1">
      <c r="A1307" s="153" t="s">
        <v>1213</v>
      </c>
      <c r="B1307" s="160">
        <v>9301</v>
      </c>
      <c r="C1307" s="153" t="s">
        <v>3064</v>
      </c>
      <c r="D1307" s="153" t="s">
        <v>3065</v>
      </c>
      <c r="E1307" s="153" t="s">
        <v>309</v>
      </c>
      <c r="F1307" s="153" t="s">
        <v>3066</v>
      </c>
      <c r="G1307" s="153" t="s">
        <v>3067</v>
      </c>
      <c r="H1307" s="153" t="s">
        <v>321</v>
      </c>
      <c r="I1307" s="153" t="s">
        <v>951</v>
      </c>
      <c r="J1307" s="153" t="s">
        <v>204</v>
      </c>
      <c r="K1307" s="153" t="s">
        <v>204</v>
      </c>
      <c r="L1307" s="153" t="s">
        <v>325</v>
      </c>
      <c r="M1307" s="153" t="s">
        <v>340</v>
      </c>
      <c r="N1307" s="153" t="s">
        <v>451</v>
      </c>
      <c r="O1307" s="153" t="s">
        <v>339</v>
      </c>
      <c r="Q1307" s="153" t="s">
        <v>410</v>
      </c>
      <c r="R1307" s="153" t="s">
        <v>410</v>
      </c>
      <c r="S1307" s="153" t="s">
        <v>1212</v>
      </c>
      <c r="T1307" s="154">
        <v>0.73</v>
      </c>
      <c r="U1307" s="153" t="s">
        <v>1777</v>
      </c>
      <c r="V1307" s="155">
        <v>5.0290000000000001E-2</v>
      </c>
      <c r="W1307" s="155">
        <v>5.9799999999999999E-2</v>
      </c>
      <c r="X1307" s="153" t="s">
        <v>412</v>
      </c>
      <c r="Y1307" s="153" t="s">
        <v>339</v>
      </c>
      <c r="Z1307" s="154">
        <v>2000</v>
      </c>
      <c r="AA1307" s="154">
        <v>1</v>
      </c>
      <c r="AB1307" s="154">
        <v>99.16</v>
      </c>
      <c r="AD1307" s="154">
        <v>1.9830000000000001</v>
      </c>
      <c r="AG1307" s="157" t="s">
        <v>15</v>
      </c>
      <c r="AH1307" s="155">
        <v>2.0000000000000002E-5</v>
      </c>
      <c r="AI1307" s="155">
        <f t="shared" si="20"/>
        <v>1.0779570607125944E-4</v>
      </c>
      <c r="AJ1307" s="155">
        <v>2.7235134074716477E-6</v>
      </c>
    </row>
    <row r="1308" spans="1:36" s="160" customFormat="1">
      <c r="A1308" s="153" t="s">
        <v>1213</v>
      </c>
      <c r="B1308" s="160">
        <v>9301</v>
      </c>
      <c r="C1308" s="153" t="s">
        <v>2771</v>
      </c>
      <c r="D1308" s="153" t="s">
        <v>2772</v>
      </c>
      <c r="E1308" s="153" t="s">
        <v>309</v>
      </c>
      <c r="F1308" s="153" t="s">
        <v>2849</v>
      </c>
      <c r="G1308" s="153" t="s">
        <v>2850</v>
      </c>
      <c r="H1308" s="153" t="s">
        <v>321</v>
      </c>
      <c r="I1308" s="153" t="s">
        <v>951</v>
      </c>
      <c r="J1308" s="153" t="s">
        <v>204</v>
      </c>
      <c r="K1308" s="153" t="s">
        <v>204</v>
      </c>
      <c r="L1308" s="153" t="s">
        <v>325</v>
      </c>
      <c r="M1308" s="153" t="s">
        <v>340</v>
      </c>
      <c r="N1308" s="153" t="s">
        <v>447</v>
      </c>
      <c r="O1308" s="153" t="s">
        <v>339</v>
      </c>
      <c r="P1308" s="153" t="s">
        <v>1614</v>
      </c>
      <c r="Q1308" s="153" t="s">
        <v>415</v>
      </c>
      <c r="R1308" s="153" t="s">
        <v>407</v>
      </c>
      <c r="S1308" s="153" t="s">
        <v>1212</v>
      </c>
      <c r="T1308" s="154">
        <v>0.74</v>
      </c>
      <c r="U1308" s="153" t="s">
        <v>1848</v>
      </c>
      <c r="V1308" s="155">
        <v>5.5509999999999997E-2</v>
      </c>
      <c r="W1308" s="155">
        <v>5.8000000000000003E-2</v>
      </c>
      <c r="X1308" s="153" t="s">
        <v>412</v>
      </c>
      <c r="Y1308" s="153" t="s">
        <v>339</v>
      </c>
      <c r="Z1308" s="154">
        <v>1000</v>
      </c>
      <c r="AA1308" s="154">
        <v>1</v>
      </c>
      <c r="AB1308" s="154">
        <v>98.95</v>
      </c>
      <c r="AD1308" s="154">
        <v>0.99</v>
      </c>
      <c r="AG1308" s="157" t="s">
        <v>15</v>
      </c>
      <c r="AH1308" s="155">
        <v>2.0000000000000002E-5</v>
      </c>
      <c r="AI1308" s="155">
        <f t="shared" si="20"/>
        <v>5.381631316719457E-5</v>
      </c>
      <c r="AJ1308" s="155">
        <v>1.3596965574366772E-6</v>
      </c>
    </row>
    <row r="1309" spans="1:36" s="160" customFormat="1">
      <c r="A1309" s="153" t="s">
        <v>1213</v>
      </c>
      <c r="B1309" s="160">
        <v>9301</v>
      </c>
      <c r="C1309" s="153" t="s">
        <v>3099</v>
      </c>
      <c r="D1309" s="153" t="s">
        <v>3100</v>
      </c>
      <c r="E1309" s="153" t="s">
        <v>311</v>
      </c>
      <c r="F1309" s="153" t="s">
        <v>3101</v>
      </c>
      <c r="G1309" s="153" t="s">
        <v>3102</v>
      </c>
      <c r="H1309" s="153" t="s">
        <v>312</v>
      </c>
      <c r="I1309" s="153" t="s">
        <v>951</v>
      </c>
      <c r="J1309" s="153" t="s">
        <v>204</v>
      </c>
      <c r="K1309" s="153" t="s">
        <v>224</v>
      </c>
      <c r="L1309" s="153" t="s">
        <v>314</v>
      </c>
      <c r="M1309" s="153" t="s">
        <v>340</v>
      </c>
      <c r="N1309" s="153" t="s">
        <v>465</v>
      </c>
      <c r="O1309" s="153" t="s">
        <v>339</v>
      </c>
      <c r="Q1309" s="153" t="s">
        <v>410</v>
      </c>
      <c r="R1309" s="153" t="s">
        <v>410</v>
      </c>
      <c r="S1309" s="153" t="s">
        <v>1212</v>
      </c>
      <c r="T1309" s="154">
        <v>6.44</v>
      </c>
      <c r="U1309" s="153" t="s">
        <v>3103</v>
      </c>
      <c r="V1309" s="155">
        <v>0.03</v>
      </c>
      <c r="W1309" s="155">
        <v>9.99</v>
      </c>
      <c r="X1309" s="153" t="s">
        <v>412</v>
      </c>
      <c r="Y1309" s="153" t="s">
        <v>338</v>
      </c>
      <c r="Z1309" s="154">
        <v>13584.21</v>
      </c>
      <c r="AA1309" s="154">
        <v>1</v>
      </c>
      <c r="AB1309" s="154">
        <v>0</v>
      </c>
      <c r="AD1309" s="154">
        <v>0</v>
      </c>
      <c r="AG1309" s="157" t="s">
        <v>15</v>
      </c>
      <c r="AH1309" s="155">
        <v>1.7000000000000001E-4</v>
      </c>
      <c r="AI1309" s="155">
        <f t="shared" si="20"/>
        <v>0</v>
      </c>
      <c r="AJ1309" s="155">
        <v>0</v>
      </c>
    </row>
    <row r="1310" spans="1:36" s="160" customFormat="1">
      <c r="A1310" s="153" t="s">
        <v>1213</v>
      </c>
      <c r="B1310" s="160">
        <v>9301</v>
      </c>
      <c r="C1310" s="153" t="s">
        <v>3104</v>
      </c>
      <c r="D1310" s="153" t="s">
        <v>3105</v>
      </c>
      <c r="E1310" s="153" t="s">
        <v>311</v>
      </c>
      <c r="F1310" s="153" t="s">
        <v>3106</v>
      </c>
      <c r="G1310" s="153" t="s">
        <v>3107</v>
      </c>
      <c r="H1310" s="153" t="s">
        <v>312</v>
      </c>
      <c r="I1310" s="153" t="s">
        <v>951</v>
      </c>
      <c r="J1310" s="153" t="s">
        <v>204</v>
      </c>
      <c r="K1310" s="153" t="s">
        <v>204</v>
      </c>
      <c r="L1310" s="153" t="s">
        <v>314</v>
      </c>
      <c r="M1310" s="153" t="s">
        <v>340</v>
      </c>
      <c r="N1310" s="153" t="s">
        <v>447</v>
      </c>
      <c r="O1310" s="153" t="s">
        <v>339</v>
      </c>
      <c r="Q1310" s="153" t="s">
        <v>410</v>
      </c>
      <c r="R1310" s="153" t="s">
        <v>410</v>
      </c>
      <c r="S1310" s="153" t="s">
        <v>1212</v>
      </c>
      <c r="T1310" s="154">
        <v>0.28999999999999998</v>
      </c>
      <c r="U1310" s="153" t="s">
        <v>3108</v>
      </c>
      <c r="V1310" s="155">
        <v>9.8500000000000004E-2</v>
      </c>
      <c r="W1310" s="155">
        <v>9.8500000000000004E-2</v>
      </c>
      <c r="X1310" s="153" t="s">
        <v>412</v>
      </c>
      <c r="Y1310" s="153" t="s">
        <v>338</v>
      </c>
      <c r="Z1310" s="154">
        <v>36580</v>
      </c>
      <c r="AA1310" s="154">
        <v>1</v>
      </c>
      <c r="AB1310" s="154">
        <v>0</v>
      </c>
      <c r="AD1310" s="154">
        <v>0</v>
      </c>
      <c r="AG1310" s="157" t="s">
        <v>15</v>
      </c>
      <c r="AH1310" s="155">
        <v>5.8E-4</v>
      </c>
      <c r="AI1310" s="155">
        <f t="shared" si="20"/>
        <v>0</v>
      </c>
      <c r="AJ1310" s="155">
        <v>0</v>
      </c>
    </row>
    <row r="1311" spans="1:36" s="160" customFormat="1">
      <c r="A1311" s="153" t="s">
        <v>1213</v>
      </c>
      <c r="B1311" s="160">
        <v>9301</v>
      </c>
      <c r="C1311" s="153" t="s">
        <v>2391</v>
      </c>
      <c r="D1311" s="153" t="s">
        <v>2392</v>
      </c>
      <c r="E1311" s="153" t="s">
        <v>309</v>
      </c>
      <c r="F1311" s="153" t="s">
        <v>2909</v>
      </c>
      <c r="G1311" s="153" t="s">
        <v>2910</v>
      </c>
      <c r="H1311" s="153" t="s">
        <v>321</v>
      </c>
      <c r="I1311" s="153" t="s">
        <v>754</v>
      </c>
      <c r="J1311" s="153" t="s">
        <v>204</v>
      </c>
      <c r="K1311" s="153" t="s">
        <v>204</v>
      </c>
      <c r="L1311" s="153" t="s">
        <v>327</v>
      </c>
      <c r="M1311" s="153" t="s">
        <v>340</v>
      </c>
      <c r="N1311" s="153" t="s">
        <v>464</v>
      </c>
      <c r="O1311" s="153" t="s">
        <v>339</v>
      </c>
      <c r="P1311" s="153" t="s">
        <v>1538</v>
      </c>
      <c r="Q1311" s="153" t="s">
        <v>413</v>
      </c>
      <c r="R1311" s="153" t="s">
        <v>407</v>
      </c>
      <c r="S1311" s="153" t="s">
        <v>1212</v>
      </c>
      <c r="T1311" s="154">
        <v>1.1599999999999999</v>
      </c>
      <c r="U1311" s="153" t="s">
        <v>2530</v>
      </c>
      <c r="V1311" s="155">
        <v>1.8579999999999999E-2</v>
      </c>
      <c r="W1311" s="155">
        <v>2.4500000000000001E-2</v>
      </c>
      <c r="X1311" s="153" t="s">
        <v>412</v>
      </c>
      <c r="Y1311" s="153" t="s">
        <v>339</v>
      </c>
      <c r="Z1311" s="154">
        <v>35000.22</v>
      </c>
      <c r="AA1311" s="154">
        <v>1</v>
      </c>
      <c r="AB1311" s="154">
        <f>AD1311*1000/Z1311*100</f>
        <v>116.45999999999998</v>
      </c>
      <c r="AD1311" s="154">
        <f>40761.256212/1000</f>
        <v>40.761256211999999</v>
      </c>
      <c r="AG1311" s="157" t="s">
        <v>15</v>
      </c>
      <c r="AI1311" s="155">
        <f t="shared" si="20"/>
        <v>2.2157783125184311E-3</v>
      </c>
      <c r="AJ1311" s="155">
        <v>5.598276742247553E-5</v>
      </c>
    </row>
    <row r="1312" spans="1:36" s="160" customFormat="1">
      <c r="A1312" s="153" t="s">
        <v>1213</v>
      </c>
      <c r="B1312" s="160">
        <v>9301</v>
      </c>
      <c r="C1312" s="153" t="s">
        <v>2866</v>
      </c>
      <c r="D1312" s="153" t="s">
        <v>2867</v>
      </c>
      <c r="E1312" s="153" t="s">
        <v>309</v>
      </c>
      <c r="F1312" s="153" t="s">
        <v>2965</v>
      </c>
      <c r="G1312" s="153" t="s">
        <v>2966</v>
      </c>
      <c r="H1312" s="153" t="s">
        <v>321</v>
      </c>
      <c r="I1312" s="153" t="s">
        <v>754</v>
      </c>
      <c r="J1312" s="153" t="s">
        <v>204</v>
      </c>
      <c r="K1312" s="153" t="s">
        <v>204</v>
      </c>
      <c r="L1312" s="153" t="s">
        <v>327</v>
      </c>
      <c r="M1312" s="153" t="s">
        <v>340</v>
      </c>
      <c r="N1312" s="153" t="s">
        <v>464</v>
      </c>
      <c r="O1312" s="153" t="s">
        <v>339</v>
      </c>
      <c r="P1312" s="153" t="s">
        <v>1554</v>
      </c>
      <c r="Q1312" s="153" t="s">
        <v>413</v>
      </c>
      <c r="R1312" s="153" t="s">
        <v>407</v>
      </c>
      <c r="S1312" s="153" t="s">
        <v>1212</v>
      </c>
      <c r="T1312" s="154">
        <v>2.2400000000000002</v>
      </c>
      <c r="U1312" s="153" t="s">
        <v>1659</v>
      </c>
      <c r="V1312" s="155">
        <v>3.764E-2</v>
      </c>
      <c r="W1312" s="155">
        <v>3.1699999999999999E-2</v>
      </c>
      <c r="X1312" s="153" t="s">
        <v>412</v>
      </c>
      <c r="Y1312" s="153" t="s">
        <v>339</v>
      </c>
      <c r="Z1312" s="154">
        <v>4000</v>
      </c>
      <c r="AA1312" s="154">
        <v>1</v>
      </c>
      <c r="AB1312" s="154">
        <f>AD1312*1000/Z1312*100</f>
        <v>97.339999999999989</v>
      </c>
      <c r="AD1312" s="154">
        <f>3893.6/1000</f>
        <v>3.8935999999999997</v>
      </c>
      <c r="AG1312" s="157" t="s">
        <v>15</v>
      </c>
      <c r="AI1312" s="155">
        <f t="shared" si="20"/>
        <v>2.1165575449271591E-4</v>
      </c>
      <c r="AJ1312" s="155">
        <v>5.3475904202378246E-6</v>
      </c>
    </row>
    <row r="1313" spans="1:36" s="160" customFormat="1">
      <c r="A1313" s="153" t="s">
        <v>1213</v>
      </c>
      <c r="B1313" s="160">
        <v>9301</v>
      </c>
      <c r="C1313" s="153" t="s">
        <v>1924</v>
      </c>
      <c r="D1313" s="153" t="s">
        <v>1925</v>
      </c>
      <c r="E1313" s="153" t="s">
        <v>309</v>
      </c>
      <c r="F1313" s="153" t="s">
        <v>1926</v>
      </c>
      <c r="G1313" s="153" t="s">
        <v>1927</v>
      </c>
      <c r="H1313" s="153" t="s">
        <v>321</v>
      </c>
      <c r="I1313" s="153" t="s">
        <v>754</v>
      </c>
      <c r="J1313" s="153" t="s">
        <v>204</v>
      </c>
      <c r="K1313" s="153" t="s">
        <v>204</v>
      </c>
      <c r="L1313" s="153" t="s">
        <v>327</v>
      </c>
      <c r="M1313" s="153" t="s">
        <v>340</v>
      </c>
      <c r="N1313" s="153" t="s">
        <v>441</v>
      </c>
      <c r="O1313" s="153" t="s">
        <v>339</v>
      </c>
      <c r="Q1313" s="153" t="s">
        <v>410</v>
      </c>
      <c r="R1313" s="153" t="s">
        <v>410</v>
      </c>
      <c r="S1313" s="153" t="s">
        <v>1212</v>
      </c>
      <c r="T1313" s="154">
        <v>2.09</v>
      </c>
      <c r="U1313" s="153" t="s">
        <v>1528</v>
      </c>
      <c r="V1313" s="155">
        <v>3.9730000000000001E-2</v>
      </c>
      <c r="W1313" s="155">
        <v>5.04E-2</v>
      </c>
      <c r="X1313" s="153" t="s">
        <v>412</v>
      </c>
      <c r="Y1313" s="153" t="s">
        <v>339</v>
      </c>
      <c r="Z1313" s="154">
        <v>106000</v>
      </c>
      <c r="AA1313" s="154">
        <v>1</v>
      </c>
      <c r="AB1313" s="154">
        <f>AD1313*1000/Z1313*100</f>
        <v>106.84</v>
      </c>
      <c r="AD1313" s="154">
        <f>113250.4/1000</f>
        <v>113.2504</v>
      </c>
      <c r="AG1313" s="157" t="s">
        <v>15</v>
      </c>
      <c r="AI1313" s="155">
        <f t="shared" si="20"/>
        <v>6.1562818108182342E-3</v>
      </c>
      <c r="AJ1313" s="155">
        <v>1.5554159495790573E-4</v>
      </c>
    </row>
    <row r="1314" spans="1:36" s="160" customFormat="1">
      <c r="A1314" s="153" t="s">
        <v>1213</v>
      </c>
      <c r="B1314" s="160">
        <v>9301</v>
      </c>
      <c r="C1314" s="153" t="s">
        <v>3204</v>
      </c>
      <c r="D1314" s="153" t="s">
        <v>3205</v>
      </c>
      <c r="E1314" s="153" t="s">
        <v>80</v>
      </c>
      <c r="F1314" s="153" t="s">
        <v>3206</v>
      </c>
      <c r="G1314" s="153" t="s">
        <v>3207</v>
      </c>
      <c r="H1314" s="153" t="s">
        <v>321</v>
      </c>
      <c r="I1314" s="153" t="s">
        <v>755</v>
      </c>
      <c r="J1314" s="153" t="s">
        <v>205</v>
      </c>
      <c r="K1314" s="153" t="s">
        <v>224</v>
      </c>
      <c r="L1314" s="153" t="s">
        <v>325</v>
      </c>
      <c r="M1314" s="153" t="s">
        <v>314</v>
      </c>
      <c r="N1314" s="153" t="s">
        <v>548</v>
      </c>
      <c r="O1314" s="153" t="s">
        <v>339</v>
      </c>
      <c r="P1314" s="153" t="s">
        <v>1876</v>
      </c>
      <c r="Q1314" s="153" t="s">
        <v>433</v>
      </c>
      <c r="R1314" s="153" t="s">
        <v>407</v>
      </c>
      <c r="S1314" s="153" t="s">
        <v>1216</v>
      </c>
      <c r="T1314" s="154">
        <v>6.9420000000000002</v>
      </c>
      <c r="U1314" s="153" t="s">
        <v>3208</v>
      </c>
      <c r="V1314" s="155">
        <v>5.5559999999999998E-2</v>
      </c>
      <c r="W1314" s="155">
        <v>5.3379999999999997E-2</v>
      </c>
      <c r="X1314" s="153" t="s">
        <v>412</v>
      </c>
      <c r="Y1314" s="153" t="s">
        <v>339</v>
      </c>
      <c r="Z1314" s="154">
        <v>75000</v>
      </c>
      <c r="AA1314" s="154">
        <v>3.71</v>
      </c>
      <c r="AB1314" s="154">
        <v>106.35299999999999</v>
      </c>
      <c r="AD1314" s="154">
        <v>295.92599999999999</v>
      </c>
      <c r="AG1314" s="157" t="s">
        <v>15</v>
      </c>
      <c r="AH1314" s="155">
        <v>1.4999999999999999E-4</v>
      </c>
      <c r="AI1314" s="155">
        <f t="shared" si="20"/>
        <v>1.6086511404358808E-2</v>
      </c>
      <c r="AJ1314" s="155">
        <v>4.064339024808143E-4</v>
      </c>
    </row>
    <row r="1315" spans="1:36" s="160" customFormat="1">
      <c r="A1315" s="153" t="s">
        <v>1213</v>
      </c>
      <c r="B1315" s="160">
        <v>9301</v>
      </c>
      <c r="C1315" s="153" t="s">
        <v>3125</v>
      </c>
      <c r="D1315" s="153" t="s">
        <v>3126</v>
      </c>
      <c r="E1315" s="153" t="s">
        <v>309</v>
      </c>
      <c r="F1315" s="153" t="s">
        <v>3127</v>
      </c>
      <c r="G1315" s="153" t="s">
        <v>3128</v>
      </c>
      <c r="H1315" s="153" t="s">
        <v>321</v>
      </c>
      <c r="I1315" s="153" t="s">
        <v>755</v>
      </c>
      <c r="J1315" s="153" t="s">
        <v>205</v>
      </c>
      <c r="K1315" s="153" t="s">
        <v>224</v>
      </c>
      <c r="L1315" s="153" t="s">
        <v>325</v>
      </c>
      <c r="M1315" s="153" t="s">
        <v>314</v>
      </c>
      <c r="N1315" s="153" t="s">
        <v>554</v>
      </c>
      <c r="O1315" s="153" t="s">
        <v>339</v>
      </c>
      <c r="P1315" s="159" t="s">
        <v>410</v>
      </c>
      <c r="Q1315" s="153" t="s">
        <v>415</v>
      </c>
      <c r="R1315" s="153" t="s">
        <v>407</v>
      </c>
      <c r="S1315" s="153" t="s">
        <v>1216</v>
      </c>
      <c r="T1315" s="180">
        <v>2.7</v>
      </c>
      <c r="U1315" s="153" t="s">
        <v>3129</v>
      </c>
      <c r="V1315" s="155">
        <v>2.7810000000000001E-2</v>
      </c>
      <c r="W1315" s="181">
        <v>2.5000000000000001E-2</v>
      </c>
      <c r="X1315" s="177"/>
      <c r="Y1315" s="177"/>
      <c r="Z1315" s="154">
        <v>60000</v>
      </c>
      <c r="AA1315" s="154">
        <v>3.71</v>
      </c>
      <c r="AB1315" s="154">
        <v>99.772999999999996</v>
      </c>
      <c r="AD1315" s="154">
        <v>222.09399999999999</v>
      </c>
      <c r="AG1315" s="157" t="s">
        <v>15</v>
      </c>
      <c r="AH1315" s="155">
        <v>1.33E-3</v>
      </c>
      <c r="AI1315" s="155">
        <f t="shared" si="20"/>
        <v>1.2073010360156474E-2</v>
      </c>
      <c r="AJ1315" s="155">
        <v>3.0503075477509233E-4</v>
      </c>
    </row>
    <row r="1316" spans="1:36" s="160" customFormat="1">
      <c r="A1316" s="153" t="s">
        <v>1213</v>
      </c>
      <c r="B1316" s="160">
        <v>9301</v>
      </c>
      <c r="C1316" s="153" t="s">
        <v>3181</v>
      </c>
      <c r="D1316" s="153" t="s">
        <v>3182</v>
      </c>
      <c r="E1316" s="153" t="s">
        <v>80</v>
      </c>
      <c r="F1316" s="153" t="s">
        <v>3183</v>
      </c>
      <c r="G1316" s="153" t="s">
        <v>3184</v>
      </c>
      <c r="H1316" s="153" t="s">
        <v>321</v>
      </c>
      <c r="I1316" s="153" t="s">
        <v>755</v>
      </c>
      <c r="J1316" s="153" t="s">
        <v>205</v>
      </c>
      <c r="K1316" s="153" t="s">
        <v>224</v>
      </c>
      <c r="L1316" s="153" t="s">
        <v>325</v>
      </c>
      <c r="M1316" s="153" t="s">
        <v>314</v>
      </c>
      <c r="N1316" s="153" t="s">
        <v>537</v>
      </c>
      <c r="O1316" s="153" t="s">
        <v>339</v>
      </c>
      <c r="P1316" s="153" t="s">
        <v>1876</v>
      </c>
      <c r="Q1316" s="153" t="s">
        <v>433</v>
      </c>
      <c r="R1316" s="153" t="s">
        <v>407</v>
      </c>
      <c r="S1316" s="153" t="s">
        <v>1216</v>
      </c>
      <c r="T1316" s="154">
        <v>3.6760000000000002</v>
      </c>
      <c r="U1316" s="153" t="s">
        <v>2798</v>
      </c>
      <c r="V1316" s="155">
        <v>6.1920000000000003E-2</v>
      </c>
      <c r="W1316" s="155">
        <v>5.8479999999999997E-2</v>
      </c>
      <c r="X1316" s="153" t="s">
        <v>412</v>
      </c>
      <c r="Y1316" s="153" t="s">
        <v>339</v>
      </c>
      <c r="Z1316" s="154">
        <v>50000</v>
      </c>
      <c r="AA1316" s="154">
        <v>3.71</v>
      </c>
      <c r="AB1316" s="154">
        <v>107.51</v>
      </c>
      <c r="AD1316" s="154">
        <v>199.43199999999999</v>
      </c>
      <c r="AG1316" s="157" t="s">
        <v>15</v>
      </c>
      <c r="AH1316" s="155">
        <v>5.0000000000000002E-5</v>
      </c>
      <c r="AI1316" s="155">
        <f t="shared" si="20"/>
        <v>1.084110602783833E-2</v>
      </c>
      <c r="AJ1316" s="155">
        <v>2.7390606448758728E-4</v>
      </c>
    </row>
    <row r="1317" spans="1:36" s="160" customFormat="1">
      <c r="A1317" s="153" t="s">
        <v>1213</v>
      </c>
      <c r="B1317" s="160">
        <v>9301</v>
      </c>
      <c r="C1317" s="153" t="s">
        <v>2089</v>
      </c>
      <c r="D1317" s="153" t="s">
        <v>2090</v>
      </c>
      <c r="E1317" s="153" t="s">
        <v>309</v>
      </c>
      <c r="F1317" s="153" t="s">
        <v>3130</v>
      </c>
      <c r="G1317" s="153" t="s">
        <v>3131</v>
      </c>
      <c r="H1317" s="153" t="s">
        <v>321</v>
      </c>
      <c r="I1317" s="153" t="s">
        <v>755</v>
      </c>
      <c r="J1317" s="153" t="s">
        <v>205</v>
      </c>
      <c r="K1317" s="153" t="s">
        <v>204</v>
      </c>
      <c r="L1317" s="153" t="s">
        <v>325</v>
      </c>
      <c r="M1317" s="153" t="s">
        <v>314</v>
      </c>
      <c r="N1317" s="153" t="s">
        <v>534</v>
      </c>
      <c r="O1317" s="153" t="s">
        <v>339</v>
      </c>
      <c r="P1317" s="153" t="s">
        <v>1890</v>
      </c>
      <c r="Q1317" s="153" t="s">
        <v>433</v>
      </c>
      <c r="R1317" s="153" t="s">
        <v>407</v>
      </c>
      <c r="S1317" s="153" t="s">
        <v>1218</v>
      </c>
      <c r="T1317" s="154">
        <v>2.4159999999999999</v>
      </c>
      <c r="U1317" s="153" t="s">
        <v>2093</v>
      </c>
      <c r="V1317" s="155">
        <v>3.5209999999999998E-2</v>
      </c>
      <c r="W1317" s="155">
        <v>4.0030000000000003E-2</v>
      </c>
      <c r="X1317" s="153" t="s">
        <v>412</v>
      </c>
      <c r="Y1317" s="153" t="s">
        <v>339</v>
      </c>
      <c r="Z1317" s="154">
        <v>40000</v>
      </c>
      <c r="AA1317" s="154">
        <v>4.1524000000000001</v>
      </c>
      <c r="AB1317" s="154">
        <v>100.539</v>
      </c>
      <c r="AD1317" s="154">
        <v>166.99100000000001</v>
      </c>
      <c r="AG1317" s="157" t="s">
        <v>15</v>
      </c>
      <c r="AH1317" s="155">
        <v>4.0000000000000003E-5</v>
      </c>
      <c r="AI1317" s="155">
        <f t="shared" si="20"/>
        <v>9.0776161132353431E-3</v>
      </c>
      <c r="AJ1317" s="155">
        <v>2.2935059376051332E-4</v>
      </c>
    </row>
    <row r="1318" spans="1:36" s="160" customFormat="1">
      <c r="A1318" s="153" t="s">
        <v>1213</v>
      </c>
      <c r="B1318" s="160">
        <v>9301</v>
      </c>
      <c r="C1318" s="153" t="s">
        <v>2066</v>
      </c>
      <c r="D1318" s="153" t="s">
        <v>2067</v>
      </c>
      <c r="E1318" s="153" t="s">
        <v>80</v>
      </c>
      <c r="F1318" s="153" t="s">
        <v>2068</v>
      </c>
      <c r="G1318" s="153" t="s">
        <v>2069</v>
      </c>
      <c r="H1318" s="153" t="s">
        <v>321</v>
      </c>
      <c r="I1318" s="153" t="s">
        <v>755</v>
      </c>
      <c r="J1318" s="153" t="s">
        <v>205</v>
      </c>
      <c r="K1318" s="153" t="s">
        <v>233</v>
      </c>
      <c r="L1318" s="153" t="s">
        <v>325</v>
      </c>
      <c r="M1318" s="153" t="s">
        <v>314</v>
      </c>
      <c r="N1318" s="153" t="s">
        <v>486</v>
      </c>
      <c r="O1318" s="153" t="s">
        <v>339</v>
      </c>
      <c r="P1318" s="153" t="s">
        <v>2070</v>
      </c>
      <c r="Q1318" s="153" t="s">
        <v>431</v>
      </c>
      <c r="R1318" s="153" t="s">
        <v>407</v>
      </c>
      <c r="S1318" s="153" t="s">
        <v>1216</v>
      </c>
      <c r="T1318" s="154">
        <v>0.73899999999999999</v>
      </c>
      <c r="U1318" s="153" t="s">
        <v>2071</v>
      </c>
      <c r="V1318" s="155">
        <v>0.09</v>
      </c>
      <c r="W1318" s="155">
        <v>6.2449999999999999E-2</v>
      </c>
      <c r="X1318" s="153" t="s">
        <v>412</v>
      </c>
      <c r="Y1318" s="153" t="s">
        <v>339</v>
      </c>
      <c r="Z1318" s="154">
        <v>30000</v>
      </c>
      <c r="AA1318" s="154">
        <v>3.71</v>
      </c>
      <c r="AB1318" s="154">
        <v>102.819</v>
      </c>
      <c r="AD1318" s="154">
        <v>114.438</v>
      </c>
      <c r="AG1318" s="157" t="s">
        <v>15</v>
      </c>
      <c r="AH1318" s="155">
        <v>5.0000000000000002E-5</v>
      </c>
      <c r="AI1318" s="155">
        <f t="shared" si="20"/>
        <v>6.2208396426539515E-3</v>
      </c>
      <c r="AJ1318" s="155">
        <v>1.571726814544833E-4</v>
      </c>
    </row>
    <row r="1319" spans="1:36" s="160" customFormat="1">
      <c r="A1319" s="153" t="s">
        <v>1213</v>
      </c>
      <c r="B1319" s="160">
        <v>9301</v>
      </c>
      <c r="C1319" s="153" t="s">
        <v>3158</v>
      </c>
      <c r="D1319" s="153" t="s">
        <v>3159</v>
      </c>
      <c r="E1319" s="153" t="s">
        <v>80</v>
      </c>
      <c r="F1319" s="153" t="s">
        <v>3160</v>
      </c>
      <c r="G1319" s="153" t="s">
        <v>3161</v>
      </c>
      <c r="H1319" s="153" t="s">
        <v>321</v>
      </c>
      <c r="I1319" s="153" t="s">
        <v>755</v>
      </c>
      <c r="J1319" s="153" t="s">
        <v>205</v>
      </c>
      <c r="K1319" s="153" t="s">
        <v>293</v>
      </c>
      <c r="L1319" s="153" t="s">
        <v>325</v>
      </c>
      <c r="M1319" s="153" t="s">
        <v>314</v>
      </c>
      <c r="N1319" s="153" t="s">
        <v>568</v>
      </c>
      <c r="O1319" s="153" t="s">
        <v>339</v>
      </c>
      <c r="P1319" s="153" t="s">
        <v>2070</v>
      </c>
      <c r="Q1319" s="153" t="s">
        <v>431</v>
      </c>
      <c r="R1319" s="153" t="s">
        <v>407</v>
      </c>
      <c r="S1319" s="153" t="s">
        <v>1218</v>
      </c>
      <c r="T1319" s="154">
        <v>2.66</v>
      </c>
      <c r="U1319" s="153" t="s">
        <v>3162</v>
      </c>
      <c r="V1319" s="155">
        <v>4.6179999999999999E-2</v>
      </c>
      <c r="W1319" s="155">
        <v>6.8640000000000007E-2</v>
      </c>
      <c r="X1319" s="153" t="s">
        <v>412</v>
      </c>
      <c r="Y1319" s="153" t="s">
        <v>339</v>
      </c>
      <c r="Z1319" s="154">
        <v>30000</v>
      </c>
      <c r="AA1319" s="154">
        <v>4.1524000000000001</v>
      </c>
      <c r="AB1319" s="154">
        <v>88.606999999999999</v>
      </c>
      <c r="AD1319" s="154">
        <v>110.38</v>
      </c>
      <c r="AG1319" s="157" t="s">
        <v>15</v>
      </c>
      <c r="AH1319" s="155">
        <v>1.2999999999999999E-4</v>
      </c>
      <c r="AI1319" s="155">
        <f t="shared" si="20"/>
        <v>6.0002471185807435E-3</v>
      </c>
      <c r="AJ1319" s="155">
        <v>1.5159929899985903E-4</v>
      </c>
    </row>
    <row r="1320" spans="1:36" s="160" customFormat="1">
      <c r="A1320" s="153" t="s">
        <v>1213</v>
      </c>
      <c r="B1320" s="160">
        <v>9301</v>
      </c>
      <c r="C1320" s="153" t="s">
        <v>3260</v>
      </c>
      <c r="D1320" s="153" t="s">
        <v>3261</v>
      </c>
      <c r="E1320" s="153" t="s">
        <v>80</v>
      </c>
      <c r="F1320" s="153" t="s">
        <v>3262</v>
      </c>
      <c r="G1320" s="153" t="s">
        <v>3263</v>
      </c>
      <c r="H1320" s="153" t="s">
        <v>321</v>
      </c>
      <c r="I1320" s="153" t="s">
        <v>755</v>
      </c>
      <c r="J1320" s="153" t="s">
        <v>205</v>
      </c>
      <c r="K1320" s="153" t="s">
        <v>224</v>
      </c>
      <c r="L1320" s="153" t="s">
        <v>325</v>
      </c>
      <c r="M1320" s="153" t="s">
        <v>314</v>
      </c>
      <c r="N1320" s="153" t="s">
        <v>548</v>
      </c>
      <c r="O1320" s="153" t="s">
        <v>339</v>
      </c>
      <c r="P1320" s="153" t="s">
        <v>2680</v>
      </c>
      <c r="Q1320" s="153" t="s">
        <v>431</v>
      </c>
      <c r="R1320" s="153" t="s">
        <v>407</v>
      </c>
      <c r="S1320" s="153" t="s">
        <v>1216</v>
      </c>
      <c r="T1320" s="154">
        <v>5.7539999999999996</v>
      </c>
      <c r="U1320" s="153" t="s">
        <v>3264</v>
      </c>
      <c r="V1320" s="155">
        <v>2.334E-2</v>
      </c>
      <c r="W1320" s="155">
        <v>4.5069999999999999E-2</v>
      </c>
      <c r="X1320" s="153" t="s">
        <v>412</v>
      </c>
      <c r="Y1320" s="153" t="s">
        <v>339</v>
      </c>
      <c r="Z1320" s="154">
        <v>30000</v>
      </c>
      <c r="AA1320" s="154">
        <v>3.71</v>
      </c>
      <c r="AB1320" s="154">
        <v>88.834999999999994</v>
      </c>
      <c r="AD1320" s="154">
        <v>98.873999999999995</v>
      </c>
      <c r="AG1320" s="157" t="s">
        <v>15</v>
      </c>
      <c r="AH1320" s="155">
        <v>1.0000000000000001E-5</v>
      </c>
      <c r="AI1320" s="155">
        <f t="shared" si="20"/>
        <v>5.3747819677709046E-3</v>
      </c>
      <c r="AJ1320" s="155">
        <v>1.3579660345453942E-4</v>
      </c>
    </row>
    <row r="1321" spans="1:36" s="160" customFormat="1">
      <c r="A1321" s="153" t="s">
        <v>1213</v>
      </c>
      <c r="B1321" s="160">
        <v>9301</v>
      </c>
      <c r="C1321" s="153" t="s">
        <v>1886</v>
      </c>
      <c r="D1321" s="153" t="s">
        <v>1887</v>
      </c>
      <c r="E1321" s="153" t="s">
        <v>80</v>
      </c>
      <c r="F1321" s="153" t="s">
        <v>1888</v>
      </c>
      <c r="G1321" s="153" t="s">
        <v>1889</v>
      </c>
      <c r="H1321" s="153" t="s">
        <v>321</v>
      </c>
      <c r="I1321" s="153" t="s">
        <v>755</v>
      </c>
      <c r="J1321" s="153" t="s">
        <v>205</v>
      </c>
      <c r="K1321" s="153" t="s">
        <v>204</v>
      </c>
      <c r="L1321" s="153" t="s">
        <v>325</v>
      </c>
      <c r="M1321" s="153" t="s">
        <v>314</v>
      </c>
      <c r="N1321" s="153" t="s">
        <v>486</v>
      </c>
      <c r="O1321" s="153" t="s">
        <v>339</v>
      </c>
      <c r="P1321" s="153" t="s">
        <v>1890</v>
      </c>
      <c r="Q1321" s="153" t="s">
        <v>433</v>
      </c>
      <c r="R1321" s="153" t="s">
        <v>407</v>
      </c>
      <c r="S1321" s="153" t="s">
        <v>1216</v>
      </c>
      <c r="T1321" s="154">
        <v>0.69799999999999995</v>
      </c>
      <c r="U1321" s="153" t="s">
        <v>1848</v>
      </c>
      <c r="V1321" s="155">
        <v>7.0169999999999996E-2</v>
      </c>
      <c r="W1321" s="155">
        <v>8.0320000000000003E-2</v>
      </c>
      <c r="X1321" s="153" t="s">
        <v>412</v>
      </c>
      <c r="Y1321" s="153" t="s">
        <v>339</v>
      </c>
      <c r="Z1321" s="154">
        <v>25000</v>
      </c>
      <c r="AA1321" s="154">
        <v>3.71</v>
      </c>
      <c r="AB1321" s="154">
        <v>99.778000000000006</v>
      </c>
      <c r="AD1321" s="154">
        <v>92.543999999999997</v>
      </c>
      <c r="AG1321" s="157" t="s">
        <v>15</v>
      </c>
      <c r="AH1321" s="155">
        <v>4.0000000000000003E-5</v>
      </c>
      <c r="AI1321" s="155">
        <f t="shared" si="20"/>
        <v>5.0306837229745997E-3</v>
      </c>
      <c r="AJ1321" s="155">
        <v>1.2710278607214127E-4</v>
      </c>
    </row>
    <row r="1322" spans="1:36" s="160" customFormat="1">
      <c r="A1322" s="153" t="s">
        <v>1213</v>
      </c>
      <c r="B1322" s="160">
        <v>9301</v>
      </c>
      <c r="C1322" s="153" t="s">
        <v>2089</v>
      </c>
      <c r="D1322" s="153" t="s">
        <v>2090</v>
      </c>
      <c r="E1322" s="153" t="s">
        <v>309</v>
      </c>
      <c r="F1322" s="153" t="s">
        <v>2091</v>
      </c>
      <c r="G1322" s="153" t="s">
        <v>2092</v>
      </c>
      <c r="H1322" s="153" t="s">
        <v>321</v>
      </c>
      <c r="I1322" s="153" t="s">
        <v>755</v>
      </c>
      <c r="J1322" s="153" t="s">
        <v>205</v>
      </c>
      <c r="K1322" s="153" t="s">
        <v>204</v>
      </c>
      <c r="L1322" s="153" t="s">
        <v>325</v>
      </c>
      <c r="M1322" s="153" t="s">
        <v>314</v>
      </c>
      <c r="N1322" s="153" t="s">
        <v>534</v>
      </c>
      <c r="O1322" s="153" t="s">
        <v>339</v>
      </c>
      <c r="P1322" s="153" t="s">
        <v>1890</v>
      </c>
      <c r="Q1322" s="153" t="s">
        <v>433</v>
      </c>
      <c r="R1322" s="153" t="s">
        <v>407</v>
      </c>
      <c r="S1322" s="153" t="s">
        <v>1218</v>
      </c>
      <c r="T1322" s="154">
        <v>4.8339999999999996</v>
      </c>
      <c r="U1322" s="153" t="s">
        <v>2093</v>
      </c>
      <c r="V1322" s="155">
        <v>4.1000000000000002E-2</v>
      </c>
      <c r="W1322" s="155">
        <v>4.4069999999999998E-2</v>
      </c>
      <c r="X1322" s="153" t="s">
        <v>412</v>
      </c>
      <c r="Y1322" s="153" t="s">
        <v>339</v>
      </c>
      <c r="Z1322" s="154">
        <v>20000</v>
      </c>
      <c r="AA1322" s="154">
        <v>4.1524000000000001</v>
      </c>
      <c r="AB1322" s="154">
        <v>101.104</v>
      </c>
      <c r="AD1322" s="154">
        <v>83.963999999999999</v>
      </c>
      <c r="AG1322" s="157" t="s">
        <v>15</v>
      </c>
      <c r="AH1322" s="155">
        <v>1.0000000000000001E-5</v>
      </c>
      <c r="AI1322" s="155">
        <f t="shared" si="20"/>
        <v>4.5642756755255804E-3</v>
      </c>
      <c r="AJ1322" s="155">
        <v>1.153187492410234E-4</v>
      </c>
    </row>
    <row r="1323" spans="1:36" s="160" customFormat="1">
      <c r="A1323" s="153" t="s">
        <v>1213</v>
      </c>
      <c r="B1323" s="160">
        <v>9301</v>
      </c>
      <c r="C1323" s="153" t="s">
        <v>2052</v>
      </c>
      <c r="D1323" s="153" t="s">
        <v>2053</v>
      </c>
      <c r="E1323" s="153" t="s">
        <v>80</v>
      </c>
      <c r="F1323" s="153" t="s">
        <v>2054</v>
      </c>
      <c r="G1323" s="153" t="s">
        <v>2055</v>
      </c>
      <c r="H1323" s="153" t="s">
        <v>321</v>
      </c>
      <c r="I1323" s="153" t="s">
        <v>755</v>
      </c>
      <c r="J1323" s="153" t="s">
        <v>205</v>
      </c>
      <c r="K1323" s="153" t="s">
        <v>233</v>
      </c>
      <c r="L1323" s="153" t="s">
        <v>325</v>
      </c>
      <c r="M1323" s="153" t="s">
        <v>314</v>
      </c>
      <c r="N1323" s="153" t="s">
        <v>486</v>
      </c>
      <c r="O1323" s="153" t="s">
        <v>339</v>
      </c>
      <c r="P1323" s="153" t="s">
        <v>2056</v>
      </c>
      <c r="Q1323" s="153" t="s">
        <v>433</v>
      </c>
      <c r="R1323" s="153" t="s">
        <v>407</v>
      </c>
      <c r="S1323" s="153" t="s">
        <v>1216</v>
      </c>
      <c r="T1323" s="154">
        <v>2.27</v>
      </c>
      <c r="U1323" s="153" t="s">
        <v>2057</v>
      </c>
      <c r="V1323" s="155">
        <v>6.5839999999999996E-2</v>
      </c>
      <c r="W1323" s="155">
        <v>7.1489999999999998E-2</v>
      </c>
      <c r="X1323" s="153" t="s">
        <v>412</v>
      </c>
      <c r="Y1323" s="153" t="s">
        <v>339</v>
      </c>
      <c r="Z1323" s="154">
        <v>20000</v>
      </c>
      <c r="AA1323" s="154">
        <v>3.71</v>
      </c>
      <c r="AB1323" s="154">
        <v>101.167</v>
      </c>
      <c r="AD1323" s="154">
        <v>75.066000000000003</v>
      </c>
      <c r="AG1323" s="157" t="s">
        <v>15</v>
      </c>
      <c r="AH1323" s="155">
        <v>4.0000000000000003E-5</v>
      </c>
      <c r="AI1323" s="155">
        <f t="shared" si="20"/>
        <v>4.0805811759683109E-3</v>
      </c>
      <c r="AJ1323" s="155">
        <v>1.0309796139448649E-4</v>
      </c>
    </row>
    <row r="1324" spans="1:36" s="160" customFormat="1">
      <c r="A1324" s="153" t="s">
        <v>1213</v>
      </c>
      <c r="B1324" s="160">
        <v>9301</v>
      </c>
      <c r="C1324" s="153" t="s">
        <v>2649</v>
      </c>
      <c r="D1324" s="153" t="s">
        <v>2650</v>
      </c>
      <c r="E1324" s="153" t="s">
        <v>80</v>
      </c>
      <c r="F1324" s="153" t="s">
        <v>3150</v>
      </c>
      <c r="G1324" s="153" t="s">
        <v>3151</v>
      </c>
      <c r="H1324" s="153" t="s">
        <v>321</v>
      </c>
      <c r="I1324" s="153" t="s">
        <v>755</v>
      </c>
      <c r="J1324" s="153" t="s">
        <v>205</v>
      </c>
      <c r="K1324" s="153" t="s">
        <v>293</v>
      </c>
      <c r="L1324" s="153" t="s">
        <v>325</v>
      </c>
      <c r="M1324" s="153" t="s">
        <v>314</v>
      </c>
      <c r="N1324" s="153" t="s">
        <v>568</v>
      </c>
      <c r="O1324" s="153" t="s">
        <v>339</v>
      </c>
      <c r="P1324" s="153" t="s">
        <v>2081</v>
      </c>
      <c r="Q1324" s="153" t="s">
        <v>433</v>
      </c>
      <c r="R1324" s="153" t="s">
        <v>407</v>
      </c>
      <c r="S1324" s="153" t="s">
        <v>1218</v>
      </c>
      <c r="T1324" s="154">
        <v>3.153</v>
      </c>
      <c r="U1324" s="153" t="s">
        <v>3152</v>
      </c>
      <c r="V1324" s="155">
        <v>6.9269999999999998E-2</v>
      </c>
      <c r="W1324" s="155">
        <v>3.5549999999999998E-2</v>
      </c>
      <c r="X1324" s="153" t="s">
        <v>412</v>
      </c>
      <c r="Y1324" s="153" t="s">
        <v>339</v>
      </c>
      <c r="Z1324" s="154">
        <v>20000</v>
      </c>
      <c r="AA1324" s="154">
        <v>4.1524000000000001</v>
      </c>
      <c r="AB1324" s="154">
        <v>89.442999999999998</v>
      </c>
      <c r="AD1324" s="154">
        <v>74.281000000000006</v>
      </c>
      <c r="AG1324" s="157" t="s">
        <v>15</v>
      </c>
      <c r="AH1324" s="155">
        <v>2.0000000000000002E-5</v>
      </c>
      <c r="AI1324" s="155">
        <f t="shared" si="20"/>
        <v>4.0379086448205856E-3</v>
      </c>
      <c r="AJ1324" s="155">
        <v>1.0201981816459983E-4</v>
      </c>
    </row>
    <row r="1325" spans="1:36" s="160" customFormat="1">
      <c r="A1325" s="153" t="s">
        <v>1213</v>
      </c>
      <c r="B1325" s="160">
        <v>9301</v>
      </c>
      <c r="C1325" s="153" t="s">
        <v>1872</v>
      </c>
      <c r="D1325" s="153" t="s">
        <v>1873</v>
      </c>
      <c r="E1325" s="153" t="s">
        <v>80</v>
      </c>
      <c r="F1325" s="153" t="s">
        <v>3163</v>
      </c>
      <c r="G1325" s="153" t="s">
        <v>3164</v>
      </c>
      <c r="H1325" s="153" t="s">
        <v>321</v>
      </c>
      <c r="I1325" s="153" t="s">
        <v>755</v>
      </c>
      <c r="J1325" s="153" t="s">
        <v>205</v>
      </c>
      <c r="K1325" s="153" t="s">
        <v>224</v>
      </c>
      <c r="L1325" s="153" t="s">
        <v>325</v>
      </c>
      <c r="M1325" s="153" t="s">
        <v>314</v>
      </c>
      <c r="N1325" s="153" t="s">
        <v>534</v>
      </c>
      <c r="O1325" s="153" t="s">
        <v>339</v>
      </c>
      <c r="P1325" s="153" t="s">
        <v>1876</v>
      </c>
      <c r="Q1325" s="153" t="s">
        <v>433</v>
      </c>
      <c r="R1325" s="153" t="s">
        <v>407</v>
      </c>
      <c r="S1325" s="153" t="s">
        <v>1216</v>
      </c>
      <c r="T1325" s="154">
        <v>2.5760000000000001</v>
      </c>
      <c r="U1325" s="153" t="s">
        <v>3165</v>
      </c>
      <c r="V1325" s="155">
        <v>6.6710000000000005E-2</v>
      </c>
      <c r="W1325" s="155">
        <v>4.5370000000000001E-2</v>
      </c>
      <c r="X1325" s="153" t="s">
        <v>412</v>
      </c>
      <c r="Y1325" s="153" t="s">
        <v>339</v>
      </c>
      <c r="Z1325" s="154">
        <v>20000</v>
      </c>
      <c r="AA1325" s="154">
        <v>3.71</v>
      </c>
      <c r="AB1325" s="154">
        <v>94.784999999999997</v>
      </c>
      <c r="AD1325" s="154">
        <v>70.331000000000003</v>
      </c>
      <c r="AG1325" s="157" t="s">
        <v>15</v>
      </c>
      <c r="AH1325" s="155">
        <v>3.0000000000000001E-5</v>
      </c>
      <c r="AI1325" s="155">
        <f t="shared" si="20"/>
        <v>3.8231869912747087E-3</v>
      </c>
      <c r="AJ1325" s="155">
        <v>9.6594766243514091E-5</v>
      </c>
    </row>
    <row r="1326" spans="1:36" s="160" customFormat="1">
      <c r="A1326" s="153" t="s">
        <v>1213</v>
      </c>
      <c r="B1326" s="160">
        <v>9301</v>
      </c>
      <c r="C1326" s="153" t="s">
        <v>3113</v>
      </c>
      <c r="D1326" s="153" t="s">
        <v>3114</v>
      </c>
      <c r="E1326" s="153" t="s">
        <v>309</v>
      </c>
      <c r="F1326" s="153" t="s">
        <v>3115</v>
      </c>
      <c r="G1326" s="153" t="s">
        <v>3116</v>
      </c>
      <c r="H1326" s="153" t="s">
        <v>321</v>
      </c>
      <c r="I1326" s="153" t="s">
        <v>755</v>
      </c>
      <c r="J1326" s="153" t="s">
        <v>205</v>
      </c>
      <c r="K1326" s="153" t="s">
        <v>204</v>
      </c>
      <c r="L1326" s="153" t="s">
        <v>325</v>
      </c>
      <c r="M1326" s="153" t="s">
        <v>340</v>
      </c>
      <c r="N1326" s="153" t="s">
        <v>536</v>
      </c>
      <c r="O1326" s="153" t="s">
        <v>339</v>
      </c>
      <c r="P1326" s="153" t="s">
        <v>3117</v>
      </c>
      <c r="Q1326" s="153" t="s">
        <v>431</v>
      </c>
      <c r="R1326" s="153" t="s">
        <v>407</v>
      </c>
      <c r="S1326" s="153" t="s">
        <v>1216</v>
      </c>
      <c r="T1326" s="154">
        <v>2.907</v>
      </c>
      <c r="U1326" s="153" t="s">
        <v>3118</v>
      </c>
      <c r="V1326" s="155">
        <v>4.8280000000000003E-2</v>
      </c>
      <c r="W1326" s="155">
        <v>5.3560000000000003E-2</v>
      </c>
      <c r="X1326" s="153" t="s">
        <v>412</v>
      </c>
      <c r="Y1326" s="153" t="s">
        <v>339</v>
      </c>
      <c r="Z1326" s="154">
        <v>15000</v>
      </c>
      <c r="AA1326" s="154">
        <v>3.71</v>
      </c>
      <c r="AB1326" s="154">
        <v>100.83199999999999</v>
      </c>
      <c r="AD1326" s="154">
        <v>56.113</v>
      </c>
      <c r="AG1326" s="157" t="s">
        <v>15</v>
      </c>
      <c r="AH1326" s="155">
        <v>2.0000000000000002E-5</v>
      </c>
      <c r="AI1326" s="155">
        <f t="shared" si="20"/>
        <v>3.0502977583341303E-3</v>
      </c>
      <c r="AJ1326" s="155">
        <v>7.7067326189337652E-5</v>
      </c>
    </row>
    <row r="1327" spans="1:36" s="160" customFormat="1">
      <c r="A1327" s="153" t="s">
        <v>1213</v>
      </c>
      <c r="B1327" s="160">
        <v>9301</v>
      </c>
      <c r="C1327" s="153" t="s">
        <v>1573</v>
      </c>
      <c r="D1327" s="153" t="s">
        <v>1574</v>
      </c>
      <c r="E1327" s="153" t="s">
        <v>309</v>
      </c>
      <c r="F1327" s="153" t="s">
        <v>3109</v>
      </c>
      <c r="G1327" s="153" t="s">
        <v>3110</v>
      </c>
      <c r="H1327" s="153" t="s">
        <v>321</v>
      </c>
      <c r="I1327" s="153" t="s">
        <v>755</v>
      </c>
      <c r="J1327" s="153" t="s">
        <v>205</v>
      </c>
      <c r="K1327" s="153" t="s">
        <v>204</v>
      </c>
      <c r="L1327" s="153" t="s">
        <v>325</v>
      </c>
      <c r="M1327" s="153" t="s">
        <v>340</v>
      </c>
      <c r="N1327" s="153" t="s">
        <v>536</v>
      </c>
      <c r="O1327" s="153" t="s">
        <v>339</v>
      </c>
      <c r="P1327" s="153" t="s">
        <v>3111</v>
      </c>
      <c r="Q1327" s="153" t="s">
        <v>433</v>
      </c>
      <c r="R1327" s="153" t="s">
        <v>407</v>
      </c>
      <c r="S1327" s="153" t="s">
        <v>1216</v>
      </c>
      <c r="T1327" s="154">
        <v>2.5019999999999998</v>
      </c>
      <c r="U1327" s="153" t="s">
        <v>3112</v>
      </c>
      <c r="V1327" s="155">
        <v>4.7289999999999999E-2</v>
      </c>
      <c r="W1327" s="155">
        <v>5.0999999999999997E-2</v>
      </c>
      <c r="X1327" s="153" t="s">
        <v>412</v>
      </c>
      <c r="Y1327" s="153" t="s">
        <v>339</v>
      </c>
      <c r="Z1327" s="154">
        <v>15000</v>
      </c>
      <c r="AA1327" s="154">
        <v>3.71</v>
      </c>
      <c r="AB1327" s="154">
        <v>100.83</v>
      </c>
      <c r="AD1327" s="154">
        <v>56.112000000000002</v>
      </c>
      <c r="AG1327" s="157" t="s">
        <v>15</v>
      </c>
      <c r="AH1327" s="155">
        <v>3.0000000000000001E-5</v>
      </c>
      <c r="AI1327" s="155">
        <f t="shared" si="20"/>
        <v>3.05024339842184E-3</v>
      </c>
      <c r="AJ1327" s="155">
        <v>7.7065952758471559E-5</v>
      </c>
    </row>
    <row r="1328" spans="1:36" s="160" customFormat="1">
      <c r="A1328" s="153" t="s">
        <v>1213</v>
      </c>
      <c r="B1328" s="160">
        <v>9301</v>
      </c>
      <c r="C1328" s="153" t="s">
        <v>3176</v>
      </c>
      <c r="D1328" s="153" t="s">
        <v>3177</v>
      </c>
      <c r="E1328" s="153" t="s">
        <v>80</v>
      </c>
      <c r="F1328" s="153" t="s">
        <v>3178</v>
      </c>
      <c r="G1328" s="153" t="s">
        <v>3179</v>
      </c>
      <c r="H1328" s="153" t="s">
        <v>321</v>
      </c>
      <c r="I1328" s="153" t="s">
        <v>755</v>
      </c>
      <c r="J1328" s="153" t="s">
        <v>205</v>
      </c>
      <c r="K1328" s="153" t="s">
        <v>224</v>
      </c>
      <c r="L1328" s="153" t="s">
        <v>325</v>
      </c>
      <c r="M1328" s="153" t="s">
        <v>314</v>
      </c>
      <c r="N1328" s="153" t="s">
        <v>488</v>
      </c>
      <c r="O1328" s="153" t="s">
        <v>339</v>
      </c>
      <c r="P1328" s="153" t="s">
        <v>2779</v>
      </c>
      <c r="Q1328" s="153" t="s">
        <v>433</v>
      </c>
      <c r="R1328" s="153" t="s">
        <v>407</v>
      </c>
      <c r="S1328" s="153" t="s">
        <v>1216</v>
      </c>
      <c r="T1328" s="154">
        <v>5.92</v>
      </c>
      <c r="U1328" s="153" t="s">
        <v>3180</v>
      </c>
      <c r="V1328" s="155">
        <v>6.166E-2</v>
      </c>
      <c r="W1328" s="155">
        <v>5.2850000000000001E-2</v>
      </c>
      <c r="X1328" s="153" t="s">
        <v>412</v>
      </c>
      <c r="Y1328" s="153" t="s">
        <v>339</v>
      </c>
      <c r="Z1328" s="154">
        <v>10000</v>
      </c>
      <c r="AA1328" s="154">
        <v>3.71</v>
      </c>
      <c r="AB1328" s="154">
        <v>115.922</v>
      </c>
      <c r="AD1328" s="154">
        <v>43.006999999999998</v>
      </c>
      <c r="AG1328" s="157" t="s">
        <v>15</v>
      </c>
      <c r="AH1328" s="155">
        <v>2.0000000000000002E-5</v>
      </c>
      <c r="AI1328" s="155">
        <f t="shared" si="20"/>
        <v>2.3378567478601381E-3</v>
      </c>
      <c r="AJ1328" s="155">
        <v>5.9067141258261797E-5</v>
      </c>
    </row>
    <row r="1329" spans="1:36" s="160" customFormat="1">
      <c r="A1329" s="153" t="s">
        <v>1213</v>
      </c>
      <c r="B1329" s="160">
        <v>9301</v>
      </c>
      <c r="C1329" s="153" t="s">
        <v>3158</v>
      </c>
      <c r="D1329" s="153" t="s">
        <v>3159</v>
      </c>
      <c r="E1329" s="153" t="s">
        <v>80</v>
      </c>
      <c r="F1329" s="153" t="s">
        <v>3201</v>
      </c>
      <c r="G1329" s="153" t="s">
        <v>3202</v>
      </c>
      <c r="H1329" s="153" t="s">
        <v>321</v>
      </c>
      <c r="I1329" s="153" t="s">
        <v>755</v>
      </c>
      <c r="J1329" s="153" t="s">
        <v>205</v>
      </c>
      <c r="K1329" s="153" t="s">
        <v>293</v>
      </c>
      <c r="L1329" s="153" t="s">
        <v>325</v>
      </c>
      <c r="M1329" s="153" t="s">
        <v>314</v>
      </c>
      <c r="N1329" s="153" t="s">
        <v>568</v>
      </c>
      <c r="O1329" s="153" t="s">
        <v>339</v>
      </c>
      <c r="P1329" s="153" t="s">
        <v>2070</v>
      </c>
      <c r="Q1329" s="153" t="s">
        <v>431</v>
      </c>
      <c r="R1329" s="153" t="s">
        <v>407</v>
      </c>
      <c r="S1329" s="153" t="s">
        <v>1218</v>
      </c>
      <c r="T1329" s="154">
        <v>0.88500000000000001</v>
      </c>
      <c r="U1329" s="153" t="s">
        <v>3203</v>
      </c>
      <c r="V1329" s="155">
        <v>4.2500000000000003E-2</v>
      </c>
      <c r="W1329" s="155">
        <v>6.7129999999999995E-2</v>
      </c>
      <c r="X1329" s="153" t="s">
        <v>412</v>
      </c>
      <c r="Y1329" s="153" t="s">
        <v>339</v>
      </c>
      <c r="Z1329" s="154">
        <v>10000</v>
      </c>
      <c r="AA1329" s="154">
        <v>4.1524000000000001</v>
      </c>
      <c r="AB1329" s="154">
        <v>97.453999999999994</v>
      </c>
      <c r="AD1329" s="154">
        <v>40.466999999999999</v>
      </c>
      <c r="AG1329" s="157" t="s">
        <v>15</v>
      </c>
      <c r="AH1329" s="155">
        <v>8.0000000000000007E-5</v>
      </c>
      <c r="AI1329" s="155">
        <f t="shared" si="20"/>
        <v>2.1997825706432956E-3</v>
      </c>
      <c r="AJ1329" s="155">
        <v>5.5578626858373757E-5</v>
      </c>
    </row>
    <row r="1330" spans="1:36" s="160" customFormat="1">
      <c r="A1330" s="153" t="s">
        <v>1213</v>
      </c>
      <c r="B1330" s="160">
        <v>9301</v>
      </c>
      <c r="C1330" s="153" t="s">
        <v>3185</v>
      </c>
      <c r="D1330" s="153" t="s">
        <v>3186</v>
      </c>
      <c r="E1330" s="153" t="s">
        <v>80</v>
      </c>
      <c r="F1330" s="153" t="s">
        <v>3187</v>
      </c>
      <c r="G1330" s="153" t="s">
        <v>3190</v>
      </c>
      <c r="H1330" s="153" t="s">
        <v>321</v>
      </c>
      <c r="I1330" s="153" t="s">
        <v>755</v>
      </c>
      <c r="J1330" s="153" t="s">
        <v>205</v>
      </c>
      <c r="K1330" s="153" t="s">
        <v>224</v>
      </c>
      <c r="L1330" s="153" t="s">
        <v>325</v>
      </c>
      <c r="M1330" s="153" t="s">
        <v>314</v>
      </c>
      <c r="N1330" s="153" t="s">
        <v>556</v>
      </c>
      <c r="O1330" s="153" t="s">
        <v>339</v>
      </c>
      <c r="P1330" s="153" t="s">
        <v>2779</v>
      </c>
      <c r="Q1330" s="153" t="s">
        <v>433</v>
      </c>
      <c r="R1330" s="153" t="s">
        <v>407</v>
      </c>
      <c r="S1330" s="153" t="s">
        <v>1216</v>
      </c>
      <c r="T1330" s="154">
        <v>3.1459999999999999</v>
      </c>
      <c r="U1330" s="153" t="s">
        <v>3189</v>
      </c>
      <c r="V1330" s="155">
        <v>5.0650000000000001E-2</v>
      </c>
      <c r="W1330" s="155">
        <v>4.394E-2</v>
      </c>
      <c r="X1330" s="153" t="s">
        <v>412</v>
      </c>
      <c r="Y1330" s="153" t="s">
        <v>339</v>
      </c>
      <c r="Z1330" s="154">
        <v>10000</v>
      </c>
      <c r="AA1330" s="154">
        <v>3.71</v>
      </c>
      <c r="AB1330" s="154">
        <v>106.107</v>
      </c>
      <c r="AD1330" s="154">
        <v>39.366</v>
      </c>
      <c r="AG1330" s="157" t="s">
        <v>15</v>
      </c>
      <c r="AH1330" s="155">
        <v>1.0000000000000001E-5</v>
      </c>
      <c r="AI1330" s="155">
        <f t="shared" si="20"/>
        <v>2.1399323072119002E-3</v>
      </c>
      <c r="AJ1330" s="155">
        <v>5.4066479474800243E-5</v>
      </c>
    </row>
    <row r="1331" spans="1:36" s="160" customFormat="1">
      <c r="A1331" s="153" t="s">
        <v>1213</v>
      </c>
      <c r="B1331" s="160">
        <v>9301</v>
      </c>
      <c r="C1331" s="153" t="s">
        <v>3214</v>
      </c>
      <c r="D1331" s="153" t="s">
        <v>3215</v>
      </c>
      <c r="E1331" s="153" t="s">
        <v>80</v>
      </c>
      <c r="F1331" s="153" t="s">
        <v>3216</v>
      </c>
      <c r="G1331" s="153" t="s">
        <v>3217</v>
      </c>
      <c r="H1331" s="153" t="s">
        <v>321</v>
      </c>
      <c r="I1331" s="153" t="s">
        <v>755</v>
      </c>
      <c r="J1331" s="153" t="s">
        <v>205</v>
      </c>
      <c r="K1331" s="153" t="s">
        <v>224</v>
      </c>
      <c r="L1331" s="153" t="s">
        <v>325</v>
      </c>
      <c r="M1331" s="153" t="s">
        <v>314</v>
      </c>
      <c r="N1331" s="153" t="s">
        <v>521</v>
      </c>
      <c r="O1331" s="153" t="s">
        <v>339</v>
      </c>
      <c r="P1331" s="153" t="s">
        <v>2779</v>
      </c>
      <c r="Q1331" s="153" t="s">
        <v>433</v>
      </c>
      <c r="R1331" s="153" t="s">
        <v>407</v>
      </c>
      <c r="S1331" s="153" t="s">
        <v>1216</v>
      </c>
      <c r="T1331" s="154">
        <v>3.2810000000000001</v>
      </c>
      <c r="U1331" s="153" t="s">
        <v>3218</v>
      </c>
      <c r="V1331" s="155">
        <v>4.6780000000000002E-2</v>
      </c>
      <c r="W1331" s="155">
        <v>4.5319999999999999E-2</v>
      </c>
      <c r="X1331" s="153" t="s">
        <v>412</v>
      </c>
      <c r="Y1331" s="153" t="s">
        <v>339</v>
      </c>
      <c r="Z1331" s="154">
        <v>10000</v>
      </c>
      <c r="AA1331" s="154">
        <v>3.71</v>
      </c>
      <c r="AB1331" s="154">
        <v>103.27200000000001</v>
      </c>
      <c r="AD1331" s="154">
        <v>38.314</v>
      </c>
      <c r="AG1331" s="157" t="s">
        <v>15</v>
      </c>
      <c r="AH1331" s="155">
        <v>2.0000000000000002E-5</v>
      </c>
      <c r="AI1331" s="155">
        <f t="shared" si="20"/>
        <v>2.0827456794827201E-3</v>
      </c>
      <c r="AJ1331" s="155">
        <v>5.2621630203665508E-5</v>
      </c>
    </row>
    <row r="1332" spans="1:36" s="160" customFormat="1">
      <c r="A1332" s="153" t="s">
        <v>1213</v>
      </c>
      <c r="B1332" s="160">
        <v>9301</v>
      </c>
      <c r="C1332" s="153" t="s">
        <v>3214</v>
      </c>
      <c r="D1332" s="153" t="s">
        <v>3215</v>
      </c>
      <c r="E1332" s="153" t="s">
        <v>80</v>
      </c>
      <c r="F1332" s="153" t="s">
        <v>3219</v>
      </c>
      <c r="G1332" s="153" t="s">
        <v>3220</v>
      </c>
      <c r="H1332" s="153" t="s">
        <v>321</v>
      </c>
      <c r="I1332" s="153" t="s">
        <v>755</v>
      </c>
      <c r="J1332" s="153" t="s">
        <v>205</v>
      </c>
      <c r="K1332" s="153" t="s">
        <v>224</v>
      </c>
      <c r="L1332" s="153" t="s">
        <v>325</v>
      </c>
      <c r="M1332" s="153" t="s">
        <v>314</v>
      </c>
      <c r="N1332" s="153" t="s">
        <v>521</v>
      </c>
      <c r="O1332" s="153" t="s">
        <v>339</v>
      </c>
      <c r="P1332" s="153" t="s">
        <v>2779</v>
      </c>
      <c r="Q1332" s="153" t="s">
        <v>433</v>
      </c>
      <c r="R1332" s="153" t="s">
        <v>407</v>
      </c>
      <c r="S1332" s="153" t="s">
        <v>1216</v>
      </c>
      <c r="T1332" s="154">
        <v>6.6790000000000003</v>
      </c>
      <c r="U1332" s="153" t="s">
        <v>3221</v>
      </c>
      <c r="V1332" s="155">
        <v>5.185E-2</v>
      </c>
      <c r="W1332" s="155">
        <v>5.1569999999999998E-2</v>
      </c>
      <c r="X1332" s="153" t="s">
        <v>412</v>
      </c>
      <c r="Y1332" s="153" t="s">
        <v>339</v>
      </c>
      <c r="Z1332" s="154">
        <v>10000</v>
      </c>
      <c r="AA1332" s="154">
        <v>3.71</v>
      </c>
      <c r="AB1332" s="154">
        <v>103.003</v>
      </c>
      <c r="AD1332" s="154">
        <v>38.213999999999999</v>
      </c>
      <c r="AG1332" s="157" t="s">
        <v>15</v>
      </c>
      <c r="AH1332" s="155">
        <v>1.0000000000000001E-5</v>
      </c>
      <c r="AI1332" s="155">
        <f t="shared" si="20"/>
        <v>2.0773096882537104E-3</v>
      </c>
      <c r="AJ1332" s="155">
        <v>5.2484287117055745E-5</v>
      </c>
    </row>
    <row r="1333" spans="1:36" s="160" customFormat="1">
      <c r="A1333" s="153" t="s">
        <v>1213</v>
      </c>
      <c r="B1333" s="160">
        <v>9301</v>
      </c>
      <c r="C1333" s="153" t="s">
        <v>3231</v>
      </c>
      <c r="D1333" s="153" t="s">
        <v>3232</v>
      </c>
      <c r="E1333" s="153" t="s">
        <v>80</v>
      </c>
      <c r="F1333" s="153" t="s">
        <v>3233</v>
      </c>
      <c r="G1333" s="153" t="s">
        <v>3234</v>
      </c>
      <c r="H1333" s="153" t="s">
        <v>321</v>
      </c>
      <c r="I1333" s="153" t="s">
        <v>755</v>
      </c>
      <c r="J1333" s="153" t="s">
        <v>205</v>
      </c>
      <c r="K1333" s="153" t="s">
        <v>224</v>
      </c>
      <c r="L1333" s="153" t="s">
        <v>325</v>
      </c>
      <c r="M1333" s="153" t="s">
        <v>314</v>
      </c>
      <c r="N1333" s="153" t="s">
        <v>548</v>
      </c>
      <c r="O1333" s="153" t="s">
        <v>339</v>
      </c>
      <c r="P1333" s="153" t="s">
        <v>2081</v>
      </c>
      <c r="Q1333" s="153" t="s">
        <v>433</v>
      </c>
      <c r="R1333" s="153" t="s">
        <v>407</v>
      </c>
      <c r="S1333" s="153" t="s">
        <v>1216</v>
      </c>
      <c r="T1333" s="154">
        <v>1.2909999999999999</v>
      </c>
      <c r="U1333" s="153" t="s">
        <v>3235</v>
      </c>
      <c r="V1333" s="155">
        <v>5.3629999999999997E-2</v>
      </c>
      <c r="W1333" s="155">
        <v>4.4389999999999999E-2</v>
      </c>
      <c r="X1333" s="153" t="s">
        <v>412</v>
      </c>
      <c r="Y1333" s="153" t="s">
        <v>339</v>
      </c>
      <c r="Z1333" s="154">
        <v>10000</v>
      </c>
      <c r="AA1333" s="154">
        <v>3.71</v>
      </c>
      <c r="AB1333" s="154">
        <v>101.11</v>
      </c>
      <c r="AD1333" s="154">
        <v>37.512</v>
      </c>
      <c r="AG1333" s="157" t="s">
        <v>15</v>
      </c>
      <c r="AH1333" s="155">
        <v>1.0000000000000001E-5</v>
      </c>
      <c r="AI1333" s="155">
        <f t="shared" si="20"/>
        <v>2.0391490298260631E-3</v>
      </c>
      <c r="AJ1333" s="155">
        <v>5.152013864905519E-5</v>
      </c>
    </row>
    <row r="1334" spans="1:36" s="160" customFormat="1">
      <c r="A1334" s="153" t="s">
        <v>1213</v>
      </c>
      <c r="B1334" s="160">
        <v>9301</v>
      </c>
      <c r="C1334" s="153" t="s">
        <v>3153</v>
      </c>
      <c r="D1334" s="153" t="s">
        <v>3154</v>
      </c>
      <c r="E1334" s="153" t="s">
        <v>80</v>
      </c>
      <c r="F1334" s="153" t="s">
        <v>3155</v>
      </c>
      <c r="G1334" s="153" t="s">
        <v>3156</v>
      </c>
      <c r="H1334" s="153" t="s">
        <v>321</v>
      </c>
      <c r="I1334" s="153" t="s">
        <v>755</v>
      </c>
      <c r="J1334" s="153" t="s">
        <v>205</v>
      </c>
      <c r="K1334" s="153" t="s">
        <v>224</v>
      </c>
      <c r="L1334" s="153" t="s">
        <v>325</v>
      </c>
      <c r="M1334" s="153" t="s">
        <v>314</v>
      </c>
      <c r="N1334" s="153" t="s">
        <v>534</v>
      </c>
      <c r="O1334" s="153" t="s">
        <v>339</v>
      </c>
      <c r="P1334" s="153" t="s">
        <v>2056</v>
      </c>
      <c r="Q1334" s="153" t="s">
        <v>433</v>
      </c>
      <c r="R1334" s="153" t="s">
        <v>407</v>
      </c>
      <c r="S1334" s="153" t="s">
        <v>1216</v>
      </c>
      <c r="T1334" s="154">
        <v>3.0000000000000001E-3</v>
      </c>
      <c r="U1334" s="153" t="s">
        <v>3157</v>
      </c>
      <c r="V1334" s="155">
        <v>6.8760000000000002E-2</v>
      </c>
      <c r="W1334" s="155">
        <v>-0.17002</v>
      </c>
      <c r="X1334" s="153" t="s">
        <v>412</v>
      </c>
      <c r="Y1334" s="153" t="s">
        <v>339</v>
      </c>
      <c r="Z1334" s="154">
        <v>10000</v>
      </c>
      <c r="AA1334" s="154">
        <v>3.71</v>
      </c>
      <c r="AB1334" s="154">
        <v>99.822000000000003</v>
      </c>
      <c r="AD1334" s="154">
        <v>37.033999999999999</v>
      </c>
      <c r="AG1334" s="157" t="s">
        <v>15</v>
      </c>
      <c r="AH1334" s="155">
        <v>1.0000000000000001E-5</v>
      </c>
      <c r="AI1334" s="155">
        <f t="shared" si="20"/>
        <v>2.0131649917513976E-3</v>
      </c>
      <c r="AJ1334" s="155">
        <v>5.0863638695060514E-5</v>
      </c>
    </row>
    <row r="1335" spans="1:36" s="160" customFormat="1">
      <c r="A1335" s="153" t="s">
        <v>1213</v>
      </c>
      <c r="B1335" s="160">
        <v>9301</v>
      </c>
      <c r="C1335" s="153" t="s">
        <v>3236</v>
      </c>
      <c r="D1335" s="153" t="s">
        <v>3237</v>
      </c>
      <c r="E1335" s="153" t="s">
        <v>80</v>
      </c>
      <c r="F1335" s="153" t="s">
        <v>3238</v>
      </c>
      <c r="G1335" s="153" t="s">
        <v>3239</v>
      </c>
      <c r="H1335" s="153" t="s">
        <v>321</v>
      </c>
      <c r="I1335" s="153" t="s">
        <v>755</v>
      </c>
      <c r="J1335" s="153" t="s">
        <v>205</v>
      </c>
      <c r="K1335" s="153" t="s">
        <v>224</v>
      </c>
      <c r="L1335" s="153" t="s">
        <v>325</v>
      </c>
      <c r="M1335" s="153" t="s">
        <v>314</v>
      </c>
      <c r="N1335" s="153" t="s">
        <v>545</v>
      </c>
      <c r="O1335" s="153" t="s">
        <v>339</v>
      </c>
      <c r="P1335" s="153" t="s">
        <v>3111</v>
      </c>
      <c r="Q1335" s="153" t="s">
        <v>433</v>
      </c>
      <c r="R1335" s="153" t="s">
        <v>407</v>
      </c>
      <c r="S1335" s="153" t="s">
        <v>1216</v>
      </c>
      <c r="T1335" s="154">
        <v>0.46800000000000003</v>
      </c>
      <c r="U1335" s="153" t="s">
        <v>3240</v>
      </c>
      <c r="V1335" s="155">
        <v>5.6340000000000001E-2</v>
      </c>
      <c r="W1335" s="155">
        <v>4.5859999999999998E-2</v>
      </c>
      <c r="X1335" s="153" t="s">
        <v>412</v>
      </c>
      <c r="Y1335" s="153" t="s">
        <v>339</v>
      </c>
      <c r="Z1335" s="154">
        <v>10000</v>
      </c>
      <c r="AA1335" s="154">
        <v>3.71</v>
      </c>
      <c r="AB1335" s="154">
        <v>99.426000000000002</v>
      </c>
      <c r="AD1335" s="154">
        <v>36.887</v>
      </c>
      <c r="AG1335" s="157" t="s">
        <v>15</v>
      </c>
      <c r="AH1335" s="155">
        <v>1.0000000000000001E-5</v>
      </c>
      <c r="AI1335" s="155">
        <f t="shared" si="20"/>
        <v>2.0051740846447536E-3</v>
      </c>
      <c r="AJ1335" s="155">
        <v>5.0661744357744159E-5</v>
      </c>
    </row>
    <row r="1336" spans="1:36" s="160" customFormat="1">
      <c r="A1336" s="153" t="s">
        <v>1213</v>
      </c>
      <c r="B1336" s="160">
        <v>9301</v>
      </c>
      <c r="C1336" s="153" t="s">
        <v>3284</v>
      </c>
      <c r="D1336" s="153" t="s">
        <v>3285</v>
      </c>
      <c r="E1336" s="153" t="s">
        <v>311</v>
      </c>
      <c r="F1336" s="153" t="s">
        <v>3286</v>
      </c>
      <c r="G1336" s="153" t="s">
        <v>3287</v>
      </c>
      <c r="H1336" s="153" t="s">
        <v>321</v>
      </c>
      <c r="I1336" s="153" t="s">
        <v>755</v>
      </c>
      <c r="J1336" s="153" t="s">
        <v>205</v>
      </c>
      <c r="K1336" s="153" t="s">
        <v>233</v>
      </c>
      <c r="L1336" s="153" t="s">
        <v>325</v>
      </c>
      <c r="M1336" s="153" t="s">
        <v>314</v>
      </c>
      <c r="N1336" s="153" t="s">
        <v>486</v>
      </c>
      <c r="O1336" s="153" t="s">
        <v>339</v>
      </c>
      <c r="P1336" s="153" t="s">
        <v>1890</v>
      </c>
      <c r="Q1336" s="153" t="s">
        <v>433</v>
      </c>
      <c r="R1336" s="153" t="s">
        <v>407</v>
      </c>
      <c r="S1336" s="153" t="s">
        <v>1216</v>
      </c>
      <c r="T1336" s="154">
        <v>6.1020000000000003</v>
      </c>
      <c r="U1336" s="153" t="s">
        <v>2174</v>
      </c>
      <c r="V1336" s="155">
        <v>8.0229999999999996E-2</v>
      </c>
      <c r="W1336" s="155">
        <v>9.35E-2</v>
      </c>
      <c r="X1336" s="153" t="s">
        <v>412</v>
      </c>
      <c r="Y1336" s="153" t="s">
        <v>339</v>
      </c>
      <c r="Z1336" s="154">
        <v>10000</v>
      </c>
      <c r="AA1336" s="154">
        <v>3.71</v>
      </c>
      <c r="AB1336" s="154">
        <v>94.460999999999999</v>
      </c>
      <c r="AD1336" s="154">
        <v>35.045000000000002</v>
      </c>
      <c r="AG1336" s="157" t="s">
        <v>15</v>
      </c>
      <c r="AH1336" s="155">
        <v>1.0000000000000001E-5</v>
      </c>
      <c r="AI1336" s="155">
        <f t="shared" si="20"/>
        <v>1.9050431262063977E-3</v>
      </c>
      <c r="AJ1336" s="155">
        <v>4.8131884702392282E-5</v>
      </c>
    </row>
    <row r="1337" spans="1:36" s="160" customFormat="1">
      <c r="A1337" s="153" t="s">
        <v>1213</v>
      </c>
      <c r="B1337" s="160">
        <v>9301</v>
      </c>
      <c r="C1337" s="153" t="s">
        <v>3140</v>
      </c>
      <c r="D1337" s="153" t="s">
        <v>3141</v>
      </c>
      <c r="E1337" s="153" t="s">
        <v>80</v>
      </c>
      <c r="F1337" s="153" t="s">
        <v>3142</v>
      </c>
      <c r="G1337" s="153" t="s">
        <v>3143</v>
      </c>
      <c r="H1337" s="153" t="s">
        <v>321</v>
      </c>
      <c r="I1337" s="153" t="s">
        <v>755</v>
      </c>
      <c r="J1337" s="153" t="s">
        <v>205</v>
      </c>
      <c r="K1337" s="153" t="s">
        <v>224</v>
      </c>
      <c r="L1337" s="153" t="s">
        <v>325</v>
      </c>
      <c r="M1337" s="153" t="s">
        <v>314</v>
      </c>
      <c r="N1337" s="153" t="s">
        <v>521</v>
      </c>
      <c r="O1337" s="153" t="s">
        <v>339</v>
      </c>
      <c r="P1337" s="153" t="s">
        <v>2779</v>
      </c>
      <c r="Q1337" s="153" t="s">
        <v>433</v>
      </c>
      <c r="R1337" s="153" t="s">
        <v>407</v>
      </c>
      <c r="S1337" s="153" t="s">
        <v>1216</v>
      </c>
      <c r="T1337" s="154">
        <v>6.3220000000000001</v>
      </c>
      <c r="U1337" s="153" t="s">
        <v>3144</v>
      </c>
      <c r="V1337" s="155">
        <v>6.7449999999999996E-2</v>
      </c>
      <c r="W1337" s="155">
        <v>4.7579999999999997E-2</v>
      </c>
      <c r="X1337" s="153" t="s">
        <v>412</v>
      </c>
      <c r="Y1337" s="153" t="s">
        <v>339</v>
      </c>
      <c r="Z1337" s="154">
        <v>10000</v>
      </c>
      <c r="AA1337" s="154">
        <v>3.71</v>
      </c>
      <c r="AB1337" s="154">
        <v>90.686000000000007</v>
      </c>
      <c r="AD1337" s="154">
        <v>33.645000000000003</v>
      </c>
      <c r="AG1337" s="157" t="s">
        <v>15</v>
      </c>
      <c r="AH1337" s="155">
        <v>1.0000000000000001E-5</v>
      </c>
      <c r="AI1337" s="155">
        <f t="shared" si="20"/>
        <v>1.8289392490002641E-3</v>
      </c>
      <c r="AJ1337" s="155">
        <v>4.6209081489855565E-5</v>
      </c>
    </row>
    <row r="1338" spans="1:36" s="160" customFormat="1">
      <c r="A1338" s="153" t="s">
        <v>1213</v>
      </c>
      <c r="B1338" s="160">
        <v>9301</v>
      </c>
      <c r="C1338" s="153" t="s">
        <v>3145</v>
      </c>
      <c r="D1338" s="153" t="s">
        <v>3146</v>
      </c>
      <c r="E1338" s="153" t="s">
        <v>80</v>
      </c>
      <c r="F1338" s="153" t="s">
        <v>3147</v>
      </c>
      <c r="G1338" s="153" t="s">
        <v>3148</v>
      </c>
      <c r="H1338" s="153" t="s">
        <v>321</v>
      </c>
      <c r="I1338" s="153" t="s">
        <v>755</v>
      </c>
      <c r="J1338" s="153" t="s">
        <v>205</v>
      </c>
      <c r="K1338" s="153" t="s">
        <v>224</v>
      </c>
      <c r="L1338" s="153" t="s">
        <v>325</v>
      </c>
      <c r="M1338" s="153" t="s">
        <v>314</v>
      </c>
      <c r="N1338" s="153" t="s">
        <v>512</v>
      </c>
      <c r="O1338" s="153" t="s">
        <v>339</v>
      </c>
      <c r="P1338" s="153" t="s">
        <v>3149</v>
      </c>
      <c r="Q1338" s="153" t="s">
        <v>431</v>
      </c>
      <c r="R1338" s="153" t="s">
        <v>407</v>
      </c>
      <c r="S1338" s="153" t="s">
        <v>1216</v>
      </c>
      <c r="T1338" s="154">
        <v>6.0430000000000001</v>
      </c>
      <c r="U1338" s="153" t="s">
        <v>1476</v>
      </c>
      <c r="V1338" s="155">
        <v>4.2610000000000002E-2</v>
      </c>
      <c r="W1338" s="155">
        <v>6.3539999999999999E-2</v>
      </c>
      <c r="X1338" s="153" t="s">
        <v>412</v>
      </c>
      <c r="Y1338" s="153" t="s">
        <v>339</v>
      </c>
      <c r="Z1338" s="154">
        <v>10000</v>
      </c>
      <c r="AA1338" s="154">
        <v>3.71</v>
      </c>
      <c r="AB1338" s="154">
        <v>88.944999999999993</v>
      </c>
      <c r="AD1338" s="154">
        <v>32.997999999999998</v>
      </c>
      <c r="AG1338" s="157" t="s">
        <v>15</v>
      </c>
      <c r="AH1338" s="155">
        <v>3.0000000000000001E-5</v>
      </c>
      <c r="AI1338" s="155">
        <f t="shared" si="20"/>
        <v>1.793768385748572E-3</v>
      </c>
      <c r="AJ1338" s="155">
        <v>4.532047171949038E-5</v>
      </c>
    </row>
    <row r="1339" spans="1:36" s="160" customFormat="1">
      <c r="A1339" s="153" t="s">
        <v>1213</v>
      </c>
      <c r="B1339" s="160">
        <v>9301</v>
      </c>
      <c r="C1339" s="153" t="s">
        <v>3196</v>
      </c>
      <c r="D1339" s="153" t="s">
        <v>3197</v>
      </c>
      <c r="E1339" s="153" t="s">
        <v>80</v>
      </c>
      <c r="F1339" s="153" t="s">
        <v>3198</v>
      </c>
      <c r="G1339" s="153" t="s">
        <v>3199</v>
      </c>
      <c r="H1339" s="153" t="s">
        <v>321</v>
      </c>
      <c r="I1339" s="153" t="s">
        <v>755</v>
      </c>
      <c r="J1339" s="153" t="s">
        <v>205</v>
      </c>
      <c r="K1339" s="153" t="s">
        <v>224</v>
      </c>
      <c r="L1339" s="153" t="s">
        <v>325</v>
      </c>
      <c r="M1339" s="153" t="s">
        <v>314</v>
      </c>
      <c r="N1339" s="153" t="s">
        <v>537</v>
      </c>
      <c r="O1339" s="153" t="s">
        <v>339</v>
      </c>
      <c r="P1339" s="153" t="s">
        <v>1876</v>
      </c>
      <c r="Q1339" s="153" t="s">
        <v>433</v>
      </c>
      <c r="R1339" s="153" t="s">
        <v>407</v>
      </c>
      <c r="S1339" s="153" t="s">
        <v>1216</v>
      </c>
      <c r="T1339" s="154">
        <v>3.069</v>
      </c>
      <c r="U1339" s="153" t="s">
        <v>3200</v>
      </c>
      <c r="V1339" s="155">
        <v>7.9500000000000001E-2</v>
      </c>
      <c r="W1339" s="155">
        <v>5.7549999999999997E-2</v>
      </c>
      <c r="X1339" s="153" t="s">
        <v>412</v>
      </c>
      <c r="Y1339" s="153" t="s">
        <v>339</v>
      </c>
      <c r="Z1339" s="154">
        <v>8000</v>
      </c>
      <c r="AA1339" s="154">
        <v>3.71</v>
      </c>
      <c r="AB1339" s="154">
        <v>109.217</v>
      </c>
      <c r="AD1339" s="154">
        <v>32.415999999999997</v>
      </c>
      <c r="AG1339" s="157" t="s">
        <v>15</v>
      </c>
      <c r="AH1339" s="155">
        <v>1.0000000000000001E-5</v>
      </c>
      <c r="AI1339" s="155">
        <f t="shared" si="20"/>
        <v>1.7621309167957363E-3</v>
      </c>
      <c r="AJ1339" s="155">
        <v>4.4521134955421542E-5</v>
      </c>
    </row>
    <row r="1340" spans="1:36" s="160" customFormat="1">
      <c r="A1340" s="153" t="s">
        <v>1213</v>
      </c>
      <c r="B1340" s="160">
        <v>9301</v>
      </c>
      <c r="C1340" s="153" t="s">
        <v>3269</v>
      </c>
      <c r="D1340" s="153" t="s">
        <v>3270</v>
      </c>
      <c r="E1340" s="153" t="s">
        <v>312</v>
      </c>
      <c r="F1340" s="153" t="s">
        <v>3271</v>
      </c>
      <c r="G1340" s="153" t="s">
        <v>3272</v>
      </c>
      <c r="H1340" s="153" t="s">
        <v>321</v>
      </c>
      <c r="I1340" s="153" t="s">
        <v>755</v>
      </c>
      <c r="J1340" s="153" t="s">
        <v>205</v>
      </c>
      <c r="K1340" s="153" t="s">
        <v>282</v>
      </c>
      <c r="L1340" s="153" t="s">
        <v>325</v>
      </c>
      <c r="M1340" s="153" t="s">
        <v>314</v>
      </c>
      <c r="N1340" s="153" t="s">
        <v>487</v>
      </c>
      <c r="O1340" s="153" t="s">
        <v>339</v>
      </c>
      <c r="P1340" s="153" t="s">
        <v>1876</v>
      </c>
      <c r="Q1340" s="153" t="s">
        <v>433</v>
      </c>
      <c r="R1340" s="153" t="s">
        <v>407</v>
      </c>
      <c r="S1340" s="153" t="s">
        <v>1216</v>
      </c>
      <c r="T1340" s="154">
        <v>4.2910000000000004</v>
      </c>
      <c r="U1340" s="153" t="s">
        <v>3273</v>
      </c>
      <c r="V1340" s="155">
        <v>4.487E-2</v>
      </c>
      <c r="W1340" s="155">
        <v>4.8959999999999997E-2</v>
      </c>
      <c r="X1340" s="153" t="s">
        <v>412</v>
      </c>
      <c r="Y1340" s="153" t="s">
        <v>339</v>
      </c>
      <c r="Z1340" s="154">
        <v>8000</v>
      </c>
      <c r="AA1340" s="154">
        <v>3.71</v>
      </c>
      <c r="AB1340" s="154">
        <v>100.753</v>
      </c>
      <c r="AD1340" s="154">
        <v>29.902999999999999</v>
      </c>
      <c r="AG1340" s="157" t="s">
        <v>15</v>
      </c>
      <c r="AH1340" s="155">
        <v>1.0000000000000001E-5</v>
      </c>
      <c r="AI1340" s="155">
        <f t="shared" si="20"/>
        <v>1.6255244572107265E-3</v>
      </c>
      <c r="AJ1340" s="155">
        <v>4.1069703188918141E-5</v>
      </c>
    </row>
    <row r="1341" spans="1:36" s="160" customFormat="1">
      <c r="A1341" s="153" t="s">
        <v>1213</v>
      </c>
      <c r="B1341" s="160">
        <v>9301</v>
      </c>
      <c r="C1341" s="153" t="s">
        <v>3196</v>
      </c>
      <c r="D1341" s="153" t="s">
        <v>3197</v>
      </c>
      <c r="E1341" s="153" t="s">
        <v>80</v>
      </c>
      <c r="F1341" s="153" t="s">
        <v>3298</v>
      </c>
      <c r="G1341" s="153" t="s">
        <v>3299</v>
      </c>
      <c r="H1341" s="153" t="s">
        <v>321</v>
      </c>
      <c r="I1341" s="153" t="s">
        <v>755</v>
      </c>
      <c r="J1341" s="153" t="s">
        <v>205</v>
      </c>
      <c r="K1341" s="153" t="s">
        <v>224</v>
      </c>
      <c r="L1341" s="153" t="s">
        <v>325</v>
      </c>
      <c r="M1341" s="153" t="s">
        <v>314</v>
      </c>
      <c r="N1341" s="153" t="s">
        <v>537</v>
      </c>
      <c r="O1341" s="153" t="s">
        <v>339</v>
      </c>
      <c r="P1341" s="153" t="s">
        <v>1876</v>
      </c>
      <c r="Q1341" s="153" t="s">
        <v>433</v>
      </c>
      <c r="R1341" s="153" t="s">
        <v>407</v>
      </c>
      <c r="S1341" s="153" t="s">
        <v>1216</v>
      </c>
      <c r="T1341" s="154">
        <v>5.0780000000000003</v>
      </c>
      <c r="U1341" s="153" t="s">
        <v>3300</v>
      </c>
      <c r="V1341" s="155">
        <v>6.6500000000000004E-2</v>
      </c>
      <c r="W1341" s="155">
        <v>6.2129999999999998E-2</v>
      </c>
      <c r="X1341" s="153" t="s">
        <v>412</v>
      </c>
      <c r="Y1341" s="153" t="s">
        <v>339</v>
      </c>
      <c r="Z1341" s="154">
        <v>6000</v>
      </c>
      <c r="AA1341" s="154">
        <v>3.71</v>
      </c>
      <c r="AB1341" s="154">
        <v>102.33799999999999</v>
      </c>
      <c r="AD1341" s="154">
        <v>22.78</v>
      </c>
      <c r="AG1341" s="157" t="s">
        <v>15</v>
      </c>
      <c r="AH1341" s="155">
        <v>1.0000000000000001E-5</v>
      </c>
      <c r="AI1341" s="155">
        <f t="shared" si="20"/>
        <v>1.238318801968376E-3</v>
      </c>
      <c r="AJ1341" s="155">
        <v>3.1286755129704553E-5</v>
      </c>
    </row>
    <row r="1342" spans="1:36" s="160" customFormat="1">
      <c r="A1342" s="153" t="s">
        <v>1213</v>
      </c>
      <c r="B1342" s="160">
        <v>9301</v>
      </c>
      <c r="C1342" s="153" t="s">
        <v>3293</v>
      </c>
      <c r="D1342" s="153" t="s">
        <v>3294</v>
      </c>
      <c r="E1342" s="153" t="s">
        <v>80</v>
      </c>
      <c r="F1342" s="153" t="s">
        <v>3295</v>
      </c>
      <c r="G1342" s="153" t="s">
        <v>3296</v>
      </c>
      <c r="H1342" s="153" t="s">
        <v>321</v>
      </c>
      <c r="I1342" s="153" t="s">
        <v>755</v>
      </c>
      <c r="J1342" s="153" t="s">
        <v>205</v>
      </c>
      <c r="K1342" s="153" t="s">
        <v>224</v>
      </c>
      <c r="L1342" s="153" t="s">
        <v>325</v>
      </c>
      <c r="M1342" s="153" t="s">
        <v>314</v>
      </c>
      <c r="N1342" s="153" t="s">
        <v>539</v>
      </c>
      <c r="O1342" s="153" t="s">
        <v>339</v>
      </c>
      <c r="P1342" s="153" t="s">
        <v>3111</v>
      </c>
      <c r="Q1342" s="153" t="s">
        <v>433</v>
      </c>
      <c r="R1342" s="153" t="s">
        <v>407</v>
      </c>
      <c r="S1342" s="153" t="s">
        <v>1218</v>
      </c>
      <c r="T1342" s="154">
        <v>3.6070000000000002</v>
      </c>
      <c r="U1342" s="153" t="s">
        <v>3297</v>
      </c>
      <c r="V1342" s="155">
        <v>3.6360000000000003E-2</v>
      </c>
      <c r="W1342" s="155">
        <v>2.733E-2</v>
      </c>
      <c r="X1342" s="153" t="s">
        <v>412</v>
      </c>
      <c r="Y1342" s="153" t="s">
        <v>339</v>
      </c>
      <c r="Z1342" s="154">
        <v>5000</v>
      </c>
      <c r="AA1342" s="154">
        <v>4.1524000000000001</v>
      </c>
      <c r="AB1342" s="154">
        <v>106.422</v>
      </c>
      <c r="AD1342" s="154">
        <v>22.094999999999999</v>
      </c>
      <c r="AG1342" s="157" t="s">
        <v>15</v>
      </c>
      <c r="AH1342" s="155">
        <v>1.0000000000000001E-5</v>
      </c>
      <c r="AI1342" s="155">
        <f t="shared" si="20"/>
        <v>1.2010822620496606E-3</v>
      </c>
      <c r="AJ1342" s="155">
        <v>3.034595498642766E-5</v>
      </c>
    </row>
    <row r="1343" spans="1:36" s="160" customFormat="1">
      <c r="A1343" s="153" t="s">
        <v>1213</v>
      </c>
      <c r="B1343" s="160">
        <v>9301</v>
      </c>
      <c r="C1343" s="153" t="s">
        <v>3265</v>
      </c>
      <c r="D1343" s="153" t="s">
        <v>3266</v>
      </c>
      <c r="E1343" s="153" t="s">
        <v>80</v>
      </c>
      <c r="F1343" s="153" t="s">
        <v>3267</v>
      </c>
      <c r="G1343" s="153" t="s">
        <v>3268</v>
      </c>
      <c r="H1343" s="153" t="s">
        <v>321</v>
      </c>
      <c r="I1343" s="153" t="s">
        <v>755</v>
      </c>
      <c r="J1343" s="153" t="s">
        <v>205</v>
      </c>
      <c r="K1343" s="153" t="s">
        <v>224</v>
      </c>
      <c r="L1343" s="153" t="s">
        <v>325</v>
      </c>
      <c r="M1343" s="153" t="s">
        <v>314</v>
      </c>
      <c r="N1343" s="153" t="s">
        <v>530</v>
      </c>
      <c r="O1343" s="153" t="s">
        <v>339</v>
      </c>
      <c r="P1343" s="153" t="s">
        <v>1876</v>
      </c>
      <c r="Q1343" s="153" t="s">
        <v>433</v>
      </c>
      <c r="R1343" s="153" t="s">
        <v>407</v>
      </c>
      <c r="S1343" s="153" t="s">
        <v>1216</v>
      </c>
      <c r="T1343" s="154">
        <v>3.1230000000000002</v>
      </c>
      <c r="U1343" s="153" t="s">
        <v>3213</v>
      </c>
      <c r="V1343" s="155">
        <v>5.7000000000000002E-2</v>
      </c>
      <c r="W1343" s="155">
        <v>4.4659999999999998E-2</v>
      </c>
      <c r="X1343" s="153" t="s">
        <v>412</v>
      </c>
      <c r="Y1343" s="153" t="s">
        <v>339</v>
      </c>
      <c r="Z1343" s="154">
        <v>5000</v>
      </c>
      <c r="AA1343" s="154">
        <v>3.71</v>
      </c>
      <c r="AB1343" s="154">
        <v>106.02200000000001</v>
      </c>
      <c r="AD1343" s="154">
        <v>19.667000000000002</v>
      </c>
      <c r="AG1343" s="157" t="s">
        <v>15</v>
      </c>
      <c r="AH1343" s="155">
        <v>1.0000000000000001E-5</v>
      </c>
      <c r="AI1343" s="155">
        <f t="shared" si="20"/>
        <v>1.0690963950093087E-3</v>
      </c>
      <c r="AJ1343" s="155">
        <v>2.701126484354256E-5</v>
      </c>
    </row>
    <row r="1344" spans="1:36" s="160" customFormat="1">
      <c r="A1344" s="153" t="s">
        <v>1213</v>
      </c>
      <c r="B1344" s="160">
        <v>9301</v>
      </c>
      <c r="C1344" s="153" t="s">
        <v>3209</v>
      </c>
      <c r="D1344" s="153" t="s">
        <v>3210</v>
      </c>
      <c r="E1344" s="153" t="s">
        <v>80</v>
      </c>
      <c r="F1344" s="153" t="s">
        <v>3211</v>
      </c>
      <c r="G1344" s="153" t="s">
        <v>3212</v>
      </c>
      <c r="H1344" s="153" t="s">
        <v>321</v>
      </c>
      <c r="I1344" s="153" t="s">
        <v>755</v>
      </c>
      <c r="J1344" s="153" t="s">
        <v>205</v>
      </c>
      <c r="K1344" s="153" t="s">
        <v>224</v>
      </c>
      <c r="L1344" s="153" t="s">
        <v>325</v>
      </c>
      <c r="M1344" s="153" t="s">
        <v>314</v>
      </c>
      <c r="N1344" s="153" t="s">
        <v>545</v>
      </c>
      <c r="O1344" s="153" t="s">
        <v>339</v>
      </c>
      <c r="P1344" s="153" t="s">
        <v>2612</v>
      </c>
      <c r="Q1344" s="153" t="s">
        <v>433</v>
      </c>
      <c r="R1344" s="153" t="s">
        <v>407</v>
      </c>
      <c r="S1344" s="153" t="s">
        <v>1216</v>
      </c>
      <c r="T1344" s="154">
        <v>3.1909999999999998</v>
      </c>
      <c r="U1344" s="153" t="s">
        <v>3213</v>
      </c>
      <c r="V1344" s="155">
        <v>4.1320000000000003E-2</v>
      </c>
      <c r="W1344" s="155">
        <v>3.7949999999999998E-2</v>
      </c>
      <c r="X1344" s="153" t="s">
        <v>412</v>
      </c>
      <c r="Y1344" s="153" t="s">
        <v>339</v>
      </c>
      <c r="Z1344" s="154">
        <v>5000</v>
      </c>
      <c r="AA1344" s="154">
        <v>3.71</v>
      </c>
      <c r="AB1344" s="154">
        <v>104.238</v>
      </c>
      <c r="AD1344" s="154">
        <v>19.335999999999999</v>
      </c>
      <c r="AG1344" s="157" t="s">
        <v>15</v>
      </c>
      <c r="AH1344" s="155">
        <v>0</v>
      </c>
      <c r="AI1344" s="155">
        <f t="shared" si="20"/>
        <v>1.0511032640412869E-3</v>
      </c>
      <c r="AJ1344" s="155">
        <v>2.6556659226864233E-5</v>
      </c>
    </row>
    <row r="1345" spans="1:36" s="160" customFormat="1">
      <c r="A1345" s="153" t="s">
        <v>1213</v>
      </c>
      <c r="B1345" s="160">
        <v>9301</v>
      </c>
      <c r="C1345" s="153" t="s">
        <v>3119</v>
      </c>
      <c r="D1345" s="153" t="s">
        <v>3120</v>
      </c>
      <c r="E1345" s="153" t="s">
        <v>80</v>
      </c>
      <c r="F1345" s="153" t="s">
        <v>3121</v>
      </c>
      <c r="G1345" s="153" t="s">
        <v>3122</v>
      </c>
      <c r="H1345" s="153" t="s">
        <v>321</v>
      </c>
      <c r="I1345" s="153" t="s">
        <v>755</v>
      </c>
      <c r="J1345" s="153" t="s">
        <v>205</v>
      </c>
      <c r="K1345" s="153" t="s">
        <v>224</v>
      </c>
      <c r="L1345" s="153" t="s">
        <v>325</v>
      </c>
      <c r="M1345" s="153" t="s">
        <v>314</v>
      </c>
      <c r="N1345" s="153" t="s">
        <v>521</v>
      </c>
      <c r="O1345" s="153" t="s">
        <v>339</v>
      </c>
      <c r="P1345" s="153" t="s">
        <v>3123</v>
      </c>
      <c r="Q1345" s="153" t="s">
        <v>431</v>
      </c>
      <c r="R1345" s="153" t="s">
        <v>407</v>
      </c>
      <c r="S1345" s="153" t="s">
        <v>1216</v>
      </c>
      <c r="T1345" s="154">
        <v>2.8159999999999998</v>
      </c>
      <c r="U1345" s="153" t="s">
        <v>3124</v>
      </c>
      <c r="V1345" s="155">
        <v>4.1070000000000002E-2</v>
      </c>
      <c r="W1345" s="155">
        <v>3.7620000000000001E-2</v>
      </c>
      <c r="X1345" s="153" t="s">
        <v>412</v>
      </c>
      <c r="Y1345" s="153" t="s">
        <v>339</v>
      </c>
      <c r="Z1345" s="154">
        <v>5000</v>
      </c>
      <c r="AA1345" s="154">
        <v>3.71</v>
      </c>
      <c r="AB1345" s="154">
        <v>103.593</v>
      </c>
      <c r="AD1345" s="154">
        <v>19.216999999999999</v>
      </c>
      <c r="AG1345" s="157" t="s">
        <v>15</v>
      </c>
      <c r="AH1345" s="155">
        <v>0</v>
      </c>
      <c r="AI1345" s="155">
        <f t="shared" si="20"/>
        <v>1.0446344344787657E-3</v>
      </c>
      <c r="AJ1345" s="155">
        <v>2.6393220953798612E-5</v>
      </c>
    </row>
    <row r="1346" spans="1:36" s="160" customFormat="1">
      <c r="A1346" s="153" t="s">
        <v>1213</v>
      </c>
      <c r="B1346" s="160">
        <v>9301</v>
      </c>
      <c r="C1346" s="153" t="s">
        <v>3191</v>
      </c>
      <c r="D1346" s="153" t="s">
        <v>3192</v>
      </c>
      <c r="E1346" s="153" t="s">
        <v>80</v>
      </c>
      <c r="F1346" s="153" t="s">
        <v>3193</v>
      </c>
      <c r="G1346" s="153" t="s">
        <v>3194</v>
      </c>
      <c r="H1346" s="153" t="s">
        <v>321</v>
      </c>
      <c r="I1346" s="153" t="s">
        <v>755</v>
      </c>
      <c r="J1346" s="153" t="s">
        <v>205</v>
      </c>
      <c r="K1346" s="153" t="s">
        <v>245</v>
      </c>
      <c r="L1346" s="153" t="s">
        <v>325</v>
      </c>
      <c r="M1346" s="153" t="s">
        <v>364</v>
      </c>
      <c r="N1346" s="153" t="s">
        <v>568</v>
      </c>
      <c r="O1346" s="153" t="s">
        <v>339</v>
      </c>
      <c r="P1346" s="153" t="s">
        <v>2661</v>
      </c>
      <c r="Q1346" s="153" t="s">
        <v>431</v>
      </c>
      <c r="R1346" s="153" t="s">
        <v>407</v>
      </c>
      <c r="S1346" s="153" t="s">
        <v>1218</v>
      </c>
      <c r="T1346" s="154">
        <v>3.2010000000000001</v>
      </c>
      <c r="U1346" s="153" t="s">
        <v>3195</v>
      </c>
      <c r="V1346" s="155">
        <v>3.687E-2</v>
      </c>
      <c r="W1346" s="155">
        <v>4.095E-2</v>
      </c>
      <c r="X1346" s="153" t="s">
        <v>412</v>
      </c>
      <c r="Y1346" s="153" t="s">
        <v>339</v>
      </c>
      <c r="Z1346" s="154">
        <v>5000</v>
      </c>
      <c r="AA1346" s="154">
        <v>4.1524000000000001</v>
      </c>
      <c r="AB1346" s="154">
        <v>92.247</v>
      </c>
      <c r="AD1346" s="154">
        <v>19.152000000000001</v>
      </c>
      <c r="AG1346" s="157" t="s">
        <v>15</v>
      </c>
      <c r="AH1346" s="155">
        <v>1.0000000000000001E-5</v>
      </c>
      <c r="AI1346" s="155">
        <f t="shared" si="20"/>
        <v>1.0411010401799095E-3</v>
      </c>
      <c r="AJ1346" s="155">
        <v>2.6303947947502269E-5</v>
      </c>
    </row>
    <row r="1347" spans="1:36" s="160" customFormat="1">
      <c r="A1347" s="153" t="s">
        <v>1213</v>
      </c>
      <c r="B1347" s="160">
        <v>9301</v>
      </c>
      <c r="C1347" s="153" t="s">
        <v>3222</v>
      </c>
      <c r="D1347" s="153" t="s">
        <v>3223</v>
      </c>
      <c r="E1347" s="153" t="s">
        <v>80</v>
      </c>
      <c r="F1347" s="153" t="s">
        <v>3224</v>
      </c>
      <c r="G1347" s="153" t="s">
        <v>3225</v>
      </c>
      <c r="H1347" s="153" t="s">
        <v>321</v>
      </c>
      <c r="I1347" s="153" t="s">
        <v>755</v>
      </c>
      <c r="J1347" s="153" t="s">
        <v>205</v>
      </c>
      <c r="K1347" s="153" t="s">
        <v>224</v>
      </c>
      <c r="L1347" s="153" t="s">
        <v>325</v>
      </c>
      <c r="M1347" s="153" t="s">
        <v>314</v>
      </c>
      <c r="N1347" s="153" t="s">
        <v>546</v>
      </c>
      <c r="O1347" s="153" t="s">
        <v>339</v>
      </c>
      <c r="P1347" s="153" t="s">
        <v>1876</v>
      </c>
      <c r="Q1347" s="153" t="s">
        <v>421</v>
      </c>
      <c r="R1347" s="153" t="s">
        <v>407</v>
      </c>
      <c r="S1347" s="153" t="s">
        <v>1216</v>
      </c>
      <c r="T1347" s="154">
        <v>3.879</v>
      </c>
      <c r="U1347" s="153" t="s">
        <v>3226</v>
      </c>
      <c r="V1347" s="155">
        <v>5.0869999999999999E-2</v>
      </c>
      <c r="W1347" s="155">
        <v>4.3400000000000001E-2</v>
      </c>
      <c r="X1347" s="153" t="s">
        <v>412</v>
      </c>
      <c r="Y1347" s="153" t="s">
        <v>339</v>
      </c>
      <c r="Z1347" s="154">
        <v>5000</v>
      </c>
      <c r="AA1347" s="154">
        <v>3.71</v>
      </c>
      <c r="AB1347" s="154">
        <v>102.44199999999999</v>
      </c>
      <c r="AD1347" s="154">
        <v>19.003</v>
      </c>
      <c r="AG1347" s="157" t="s">
        <v>15</v>
      </c>
      <c r="AH1347" s="155">
        <v>1.0000000000000001E-5</v>
      </c>
      <c r="AI1347" s="155">
        <f t="shared" ref="AI1347:AI1410" si="21">AD1347/SUMIF(B:B,B1347,AD:AD)</f>
        <v>1.0330014132486852E-3</v>
      </c>
      <c r="AJ1347" s="155">
        <v>2.6099306748453717E-5</v>
      </c>
    </row>
    <row r="1348" spans="1:36" s="160" customFormat="1">
      <c r="A1348" s="153" t="s">
        <v>1213</v>
      </c>
      <c r="B1348" s="160">
        <v>9301</v>
      </c>
      <c r="C1348" s="153" t="s">
        <v>3166</v>
      </c>
      <c r="D1348" s="153" t="s">
        <v>3167</v>
      </c>
      <c r="E1348" s="153" t="s">
        <v>80</v>
      </c>
      <c r="F1348" s="153" t="s">
        <v>3168</v>
      </c>
      <c r="G1348" s="153" t="s">
        <v>3169</v>
      </c>
      <c r="H1348" s="153" t="s">
        <v>321</v>
      </c>
      <c r="I1348" s="153" t="s">
        <v>755</v>
      </c>
      <c r="J1348" s="153" t="s">
        <v>205</v>
      </c>
      <c r="K1348" s="153" t="s">
        <v>224</v>
      </c>
      <c r="L1348" s="153" t="s">
        <v>325</v>
      </c>
      <c r="M1348" s="153" t="s">
        <v>314</v>
      </c>
      <c r="N1348" s="153" t="s">
        <v>509</v>
      </c>
      <c r="O1348" s="153" t="s">
        <v>339</v>
      </c>
      <c r="P1348" s="153" t="s">
        <v>2779</v>
      </c>
      <c r="Q1348" s="153" t="s">
        <v>433</v>
      </c>
      <c r="R1348" s="153" t="s">
        <v>407</v>
      </c>
      <c r="S1348" s="153" t="s">
        <v>1216</v>
      </c>
      <c r="T1348" s="154">
        <v>4.875</v>
      </c>
      <c r="U1348" s="153" t="s">
        <v>3170</v>
      </c>
      <c r="V1348" s="155">
        <v>4.4589999999999998E-2</v>
      </c>
      <c r="W1348" s="155">
        <v>4.2259999999999999E-2</v>
      </c>
      <c r="X1348" s="153" t="s">
        <v>412</v>
      </c>
      <c r="Y1348" s="153" t="s">
        <v>339</v>
      </c>
      <c r="Z1348" s="154">
        <v>5000</v>
      </c>
      <c r="AA1348" s="154">
        <v>3.71</v>
      </c>
      <c r="AB1348" s="154">
        <v>101.521</v>
      </c>
      <c r="AD1348" s="154">
        <v>18.832000000000001</v>
      </c>
      <c r="AG1348" s="157" t="s">
        <v>15</v>
      </c>
      <c r="AH1348" s="155">
        <v>1.0000000000000001E-5</v>
      </c>
      <c r="AI1348" s="155">
        <f t="shared" si="21"/>
        <v>1.023705868247079E-3</v>
      </c>
      <c r="AJ1348" s="155">
        <v>2.5864450070351019E-5</v>
      </c>
    </row>
    <row r="1349" spans="1:36" s="160" customFormat="1">
      <c r="A1349" s="153" t="s">
        <v>1213</v>
      </c>
      <c r="B1349" s="160">
        <v>9301</v>
      </c>
      <c r="C1349" s="153" t="s">
        <v>3227</v>
      </c>
      <c r="D1349" s="153" t="s">
        <v>3228</v>
      </c>
      <c r="E1349" s="153" t="s">
        <v>80</v>
      </c>
      <c r="F1349" s="153" t="s">
        <v>3229</v>
      </c>
      <c r="G1349" s="153" t="s">
        <v>3230</v>
      </c>
      <c r="H1349" s="153" t="s">
        <v>321</v>
      </c>
      <c r="I1349" s="153" t="s">
        <v>755</v>
      </c>
      <c r="J1349" s="153" t="s">
        <v>205</v>
      </c>
      <c r="K1349" s="153" t="s">
        <v>301</v>
      </c>
      <c r="L1349" s="153" t="s">
        <v>325</v>
      </c>
      <c r="M1349" s="153" t="s">
        <v>314</v>
      </c>
      <c r="N1349" s="153" t="s">
        <v>546</v>
      </c>
      <c r="O1349" s="153" t="s">
        <v>339</v>
      </c>
      <c r="P1349" s="153" t="s">
        <v>2612</v>
      </c>
      <c r="Q1349" s="153" t="s">
        <v>433</v>
      </c>
      <c r="R1349" s="153" t="s">
        <v>407</v>
      </c>
      <c r="S1349" s="153" t="s">
        <v>1216</v>
      </c>
      <c r="T1349" s="154">
        <v>2.5219999999999998</v>
      </c>
      <c r="U1349" s="153" t="s">
        <v>2246</v>
      </c>
      <c r="V1349" s="155">
        <v>3.9320000000000001E-2</v>
      </c>
      <c r="W1349" s="155">
        <v>4.1730000000000003E-2</v>
      </c>
      <c r="X1349" s="153" t="s">
        <v>412</v>
      </c>
      <c r="Y1349" s="153" t="s">
        <v>339</v>
      </c>
      <c r="Z1349" s="154">
        <v>5000</v>
      </c>
      <c r="AA1349" s="154">
        <v>3.71</v>
      </c>
      <c r="AB1349" s="154">
        <v>101.327</v>
      </c>
      <c r="AD1349" s="154">
        <v>18.795999999999999</v>
      </c>
      <c r="AG1349" s="157" t="s">
        <v>15</v>
      </c>
      <c r="AH1349" s="155">
        <v>1.0000000000000001E-5</v>
      </c>
      <c r="AI1349" s="155">
        <f t="shared" si="21"/>
        <v>1.0217489114046354E-3</v>
      </c>
      <c r="AJ1349" s="155">
        <v>2.58150065591715E-5</v>
      </c>
    </row>
    <row r="1350" spans="1:36" s="160" customFormat="1">
      <c r="A1350" s="153" t="s">
        <v>1213</v>
      </c>
      <c r="B1350" s="160">
        <v>9301</v>
      </c>
      <c r="C1350" s="153" t="s">
        <v>3132</v>
      </c>
      <c r="D1350" s="153" t="s">
        <v>3133</v>
      </c>
      <c r="E1350" s="153" t="s">
        <v>80</v>
      </c>
      <c r="F1350" s="153" t="s">
        <v>3134</v>
      </c>
      <c r="G1350" s="153" t="s">
        <v>3135</v>
      </c>
      <c r="H1350" s="153" t="s">
        <v>321</v>
      </c>
      <c r="I1350" s="153" t="s">
        <v>755</v>
      </c>
      <c r="J1350" s="153" t="s">
        <v>205</v>
      </c>
      <c r="K1350" s="153" t="s">
        <v>224</v>
      </c>
      <c r="L1350" s="153" t="s">
        <v>325</v>
      </c>
      <c r="M1350" s="153" t="s">
        <v>314</v>
      </c>
      <c r="N1350" s="153" t="s">
        <v>534</v>
      </c>
      <c r="O1350" s="153" t="s">
        <v>339</v>
      </c>
      <c r="P1350" s="153" t="s">
        <v>2779</v>
      </c>
      <c r="Q1350" s="153" t="s">
        <v>433</v>
      </c>
      <c r="R1350" s="153" t="s">
        <v>407</v>
      </c>
      <c r="S1350" s="153" t="s">
        <v>1216</v>
      </c>
      <c r="T1350" s="154">
        <v>3.7450000000000001</v>
      </c>
      <c r="U1350" s="153" t="s">
        <v>3136</v>
      </c>
      <c r="V1350" s="155">
        <v>4.5839999999999999E-2</v>
      </c>
      <c r="W1350" s="155">
        <v>4.684E-2</v>
      </c>
      <c r="X1350" s="153" t="s">
        <v>412</v>
      </c>
      <c r="Y1350" s="153" t="s">
        <v>339</v>
      </c>
      <c r="Z1350" s="154">
        <v>5000</v>
      </c>
      <c r="AA1350" s="154">
        <v>3.71</v>
      </c>
      <c r="AB1350" s="154">
        <v>99.855999999999995</v>
      </c>
      <c r="AD1350" s="154">
        <v>18.523</v>
      </c>
      <c r="AG1350" s="157" t="s">
        <v>15</v>
      </c>
      <c r="AH1350" s="155">
        <v>0</v>
      </c>
      <c r="AI1350" s="155">
        <f t="shared" si="21"/>
        <v>1.0069086553494394E-3</v>
      </c>
      <c r="AJ1350" s="155">
        <v>2.5440059932726842E-5</v>
      </c>
    </row>
    <row r="1351" spans="1:36" s="160" customFormat="1">
      <c r="A1351" s="153" t="s">
        <v>1213</v>
      </c>
      <c r="B1351" s="160">
        <v>9301</v>
      </c>
      <c r="C1351" s="153" t="s">
        <v>3171</v>
      </c>
      <c r="D1351" s="153" t="s">
        <v>3172</v>
      </c>
      <c r="E1351" s="153" t="s">
        <v>80</v>
      </c>
      <c r="F1351" s="153" t="s">
        <v>3173</v>
      </c>
      <c r="G1351" s="153" t="s">
        <v>3174</v>
      </c>
      <c r="H1351" s="153" t="s">
        <v>321</v>
      </c>
      <c r="I1351" s="153" t="s">
        <v>755</v>
      </c>
      <c r="J1351" s="153" t="s">
        <v>205</v>
      </c>
      <c r="K1351" s="153" t="s">
        <v>224</v>
      </c>
      <c r="L1351" s="153" t="s">
        <v>325</v>
      </c>
      <c r="M1351" s="153" t="s">
        <v>314</v>
      </c>
      <c r="N1351" s="153" t="s">
        <v>550</v>
      </c>
      <c r="O1351" s="153" t="s">
        <v>339</v>
      </c>
      <c r="P1351" s="153" t="s">
        <v>2081</v>
      </c>
      <c r="Q1351" s="153" t="s">
        <v>433</v>
      </c>
      <c r="R1351" s="153" t="s">
        <v>407</v>
      </c>
      <c r="S1351" s="153" t="s">
        <v>1216</v>
      </c>
      <c r="T1351" s="154">
        <v>4.556</v>
      </c>
      <c r="U1351" s="153" t="s">
        <v>3175</v>
      </c>
      <c r="V1351" s="155">
        <v>4.4350000000000001E-2</v>
      </c>
      <c r="W1351" s="155">
        <v>4.3130000000000002E-2</v>
      </c>
      <c r="X1351" s="153" t="s">
        <v>412</v>
      </c>
      <c r="Y1351" s="153" t="s">
        <v>339</v>
      </c>
      <c r="Z1351" s="154">
        <v>5000</v>
      </c>
      <c r="AA1351" s="154">
        <v>3.71</v>
      </c>
      <c r="AB1351" s="154">
        <v>99.834000000000003</v>
      </c>
      <c r="AD1351" s="154">
        <v>18.518999999999998</v>
      </c>
      <c r="AG1351" s="157" t="s">
        <v>15</v>
      </c>
      <c r="AH1351" s="155">
        <v>0</v>
      </c>
      <c r="AI1351" s="155">
        <f t="shared" si="21"/>
        <v>1.0066912157002789E-3</v>
      </c>
      <c r="AJ1351" s="155">
        <v>2.543456620926245E-5</v>
      </c>
    </row>
    <row r="1352" spans="1:36" s="160" customFormat="1">
      <c r="A1352" s="153" t="s">
        <v>1213</v>
      </c>
      <c r="B1352" s="160">
        <v>9301</v>
      </c>
      <c r="C1352" s="153" t="s">
        <v>3274</v>
      </c>
      <c r="D1352" s="153" t="s">
        <v>3275</v>
      </c>
      <c r="E1352" s="153" t="s">
        <v>312</v>
      </c>
      <c r="F1352" s="153" t="s">
        <v>3276</v>
      </c>
      <c r="G1352" s="153" t="s">
        <v>3277</v>
      </c>
      <c r="H1352" s="153" t="s">
        <v>321</v>
      </c>
      <c r="I1352" s="153" t="s">
        <v>755</v>
      </c>
      <c r="J1352" s="153" t="s">
        <v>205</v>
      </c>
      <c r="K1352" s="153" t="s">
        <v>224</v>
      </c>
      <c r="L1352" s="153" t="s">
        <v>325</v>
      </c>
      <c r="M1352" s="153" t="s">
        <v>314</v>
      </c>
      <c r="N1352" s="153" t="s">
        <v>537</v>
      </c>
      <c r="O1352" s="153" t="s">
        <v>339</v>
      </c>
      <c r="P1352" s="153" t="s">
        <v>1876</v>
      </c>
      <c r="Q1352" s="153" t="s">
        <v>433</v>
      </c>
      <c r="R1352" s="153" t="s">
        <v>407</v>
      </c>
      <c r="S1352" s="153" t="s">
        <v>1216</v>
      </c>
      <c r="T1352" s="154">
        <v>4.2300000000000004</v>
      </c>
      <c r="U1352" s="153" t="s">
        <v>3278</v>
      </c>
      <c r="V1352" s="155">
        <v>5.4539999999999998E-2</v>
      </c>
      <c r="W1352" s="155">
        <v>5.8470000000000001E-2</v>
      </c>
      <c r="X1352" s="153" t="s">
        <v>412</v>
      </c>
      <c r="Y1352" s="153" t="s">
        <v>339</v>
      </c>
      <c r="Z1352" s="154">
        <v>5000</v>
      </c>
      <c r="AA1352" s="154">
        <v>3.71</v>
      </c>
      <c r="AB1352" s="154">
        <v>99.81</v>
      </c>
      <c r="AD1352" s="154">
        <v>18.515000000000001</v>
      </c>
      <c r="AG1352" s="157" t="s">
        <v>15</v>
      </c>
      <c r="AH1352" s="155">
        <v>1.0000000000000001E-5</v>
      </c>
      <c r="AI1352" s="155">
        <f t="shared" si="21"/>
        <v>1.0064737760511187E-3</v>
      </c>
      <c r="AJ1352" s="155">
        <v>2.5429072485798061E-5</v>
      </c>
    </row>
    <row r="1353" spans="1:36" s="160" customFormat="1">
      <c r="A1353" s="153" t="s">
        <v>1213</v>
      </c>
      <c r="B1353" s="160">
        <v>9301</v>
      </c>
      <c r="C1353" s="153" t="s">
        <v>3279</v>
      </c>
      <c r="D1353" s="153" t="s">
        <v>3280</v>
      </c>
      <c r="E1353" s="153" t="s">
        <v>80</v>
      </c>
      <c r="F1353" s="153" t="s">
        <v>3281</v>
      </c>
      <c r="G1353" s="153" t="s">
        <v>3282</v>
      </c>
      <c r="H1353" s="153" t="s">
        <v>321</v>
      </c>
      <c r="I1353" s="153" t="s">
        <v>755</v>
      </c>
      <c r="J1353" s="153" t="s">
        <v>205</v>
      </c>
      <c r="K1353" s="153" t="s">
        <v>224</v>
      </c>
      <c r="L1353" s="153" t="s">
        <v>325</v>
      </c>
      <c r="M1353" s="153" t="s">
        <v>314</v>
      </c>
      <c r="N1353" s="153" t="s">
        <v>486</v>
      </c>
      <c r="O1353" s="153" t="s">
        <v>339</v>
      </c>
      <c r="P1353" s="153" t="s">
        <v>1876</v>
      </c>
      <c r="Q1353" s="153" t="s">
        <v>433</v>
      </c>
      <c r="R1353" s="153" t="s">
        <v>407</v>
      </c>
      <c r="S1353" s="153" t="s">
        <v>1216</v>
      </c>
      <c r="T1353" s="154">
        <v>5.1849999999999996</v>
      </c>
      <c r="U1353" s="153" t="s">
        <v>3283</v>
      </c>
      <c r="V1353" s="155">
        <v>4.4999999999999998E-2</v>
      </c>
      <c r="W1353" s="155">
        <v>4.9250000000000002E-2</v>
      </c>
      <c r="X1353" s="153" t="s">
        <v>412</v>
      </c>
      <c r="Y1353" s="153" t="s">
        <v>339</v>
      </c>
      <c r="Z1353" s="154">
        <v>5000</v>
      </c>
      <c r="AA1353" s="154">
        <v>3.71</v>
      </c>
      <c r="AB1353" s="154">
        <f>(AD1353-(AC1353*AA1353))*1000/AA1353/Z1353*100</f>
        <v>97.481239892183297</v>
      </c>
      <c r="AC1353" s="154">
        <v>0.113</v>
      </c>
      <c r="AD1353" s="154">
        <v>18.501999999999999</v>
      </c>
      <c r="AG1353" s="157" t="s">
        <v>15</v>
      </c>
      <c r="AH1353" s="155">
        <v>2.0000000000000002E-5</v>
      </c>
      <c r="AI1353" s="155">
        <f t="shared" si="21"/>
        <v>1.0057670971913473E-3</v>
      </c>
      <c r="AJ1353" s="155">
        <v>2.5411217884538788E-5</v>
      </c>
    </row>
    <row r="1354" spans="1:36" s="160" customFormat="1">
      <c r="A1354" s="153" t="s">
        <v>1213</v>
      </c>
      <c r="B1354" s="160">
        <v>9301</v>
      </c>
      <c r="C1354" s="153" t="s">
        <v>3241</v>
      </c>
      <c r="D1354" s="153" t="s">
        <v>3242</v>
      </c>
      <c r="E1354" s="153" t="s">
        <v>80</v>
      </c>
      <c r="F1354" s="153" t="s">
        <v>3243</v>
      </c>
      <c r="G1354" s="153" t="s">
        <v>3244</v>
      </c>
      <c r="H1354" s="153" t="s">
        <v>321</v>
      </c>
      <c r="I1354" s="153" t="s">
        <v>755</v>
      </c>
      <c r="J1354" s="153" t="s">
        <v>205</v>
      </c>
      <c r="K1354" s="153" t="s">
        <v>224</v>
      </c>
      <c r="L1354" s="153" t="s">
        <v>325</v>
      </c>
      <c r="M1354" s="153" t="s">
        <v>314</v>
      </c>
      <c r="N1354" s="153" t="s">
        <v>525</v>
      </c>
      <c r="O1354" s="153" t="s">
        <v>339</v>
      </c>
      <c r="P1354" s="153" t="s">
        <v>2779</v>
      </c>
      <c r="Q1354" s="153" t="s">
        <v>433</v>
      </c>
      <c r="R1354" s="153" t="s">
        <v>407</v>
      </c>
      <c r="S1354" s="153" t="s">
        <v>1216</v>
      </c>
      <c r="T1354" s="154">
        <v>4.907</v>
      </c>
      <c r="U1354" s="153" t="s">
        <v>3245</v>
      </c>
      <c r="V1354" s="155">
        <v>4.6580000000000003E-2</v>
      </c>
      <c r="W1354" s="155">
        <v>4.2130000000000001E-2</v>
      </c>
      <c r="X1354" s="153" t="s">
        <v>412</v>
      </c>
      <c r="Y1354" s="153" t="s">
        <v>339</v>
      </c>
      <c r="Z1354" s="154">
        <v>5000</v>
      </c>
      <c r="AA1354" s="154">
        <v>3.71</v>
      </c>
      <c r="AB1354" s="154">
        <f>(AD1354-(AC1354*AA1354))*1000/AA1354/Z1354*100</f>
        <v>97.462318059299193</v>
      </c>
      <c r="AC1354" s="154">
        <v>9.4E-2</v>
      </c>
      <c r="AD1354" s="154">
        <v>18.428000000000001</v>
      </c>
      <c r="AG1354" s="157" t="s">
        <v>15</v>
      </c>
      <c r="AH1354" s="155">
        <v>1.0000000000000001E-5</v>
      </c>
      <c r="AI1354" s="155">
        <f t="shared" si="21"/>
        <v>1.0017444636818804E-3</v>
      </c>
      <c r="AJ1354" s="155">
        <v>2.5309584000447567E-5</v>
      </c>
    </row>
    <row r="1355" spans="1:36" s="160" customFormat="1">
      <c r="A1355" s="153" t="s">
        <v>1213</v>
      </c>
      <c r="B1355" s="160">
        <v>9301</v>
      </c>
      <c r="C1355" s="153" t="s">
        <v>3246</v>
      </c>
      <c r="D1355" s="153" t="s">
        <v>3247</v>
      </c>
      <c r="E1355" s="153" t="s">
        <v>80</v>
      </c>
      <c r="F1355" s="153" t="s">
        <v>3248</v>
      </c>
      <c r="G1355" s="153" t="s">
        <v>3249</v>
      </c>
      <c r="H1355" s="153" t="s">
        <v>321</v>
      </c>
      <c r="I1355" s="153" t="s">
        <v>755</v>
      </c>
      <c r="J1355" s="153" t="s">
        <v>205</v>
      </c>
      <c r="K1355" s="153" t="s">
        <v>224</v>
      </c>
      <c r="L1355" s="153" t="s">
        <v>325</v>
      </c>
      <c r="M1355" s="153" t="s">
        <v>314</v>
      </c>
      <c r="N1355" s="153" t="s">
        <v>544</v>
      </c>
      <c r="O1355" s="153" t="s">
        <v>339</v>
      </c>
      <c r="P1355" s="153" t="s">
        <v>2779</v>
      </c>
      <c r="Q1355" s="153" t="s">
        <v>433</v>
      </c>
      <c r="R1355" s="153" t="s">
        <v>407</v>
      </c>
      <c r="S1355" s="153" t="s">
        <v>1216</v>
      </c>
      <c r="T1355" s="154">
        <v>2.8929999999999998</v>
      </c>
      <c r="U1355" s="153" t="s">
        <v>3250</v>
      </c>
      <c r="V1355" s="155">
        <v>4.53E-2</v>
      </c>
      <c r="W1355" s="155">
        <v>4.1520000000000001E-2</v>
      </c>
      <c r="X1355" s="153" t="s">
        <v>412</v>
      </c>
      <c r="Y1355" s="153" t="s">
        <v>339</v>
      </c>
      <c r="Z1355" s="154">
        <v>5000</v>
      </c>
      <c r="AA1355" s="154">
        <v>3.71</v>
      </c>
      <c r="AB1355" s="154">
        <v>98.495999999999995</v>
      </c>
      <c r="AD1355" s="154">
        <v>18.271000000000001</v>
      </c>
      <c r="AG1355" s="157" t="s">
        <v>15</v>
      </c>
      <c r="AH1355" s="155">
        <v>0</v>
      </c>
      <c r="AI1355" s="155">
        <f t="shared" si="21"/>
        <v>9.932099574523354E-4</v>
      </c>
      <c r="AJ1355" s="155">
        <v>2.5093955354470235E-5</v>
      </c>
    </row>
    <row r="1356" spans="1:36" s="160" customFormat="1">
      <c r="A1356" s="153" t="s">
        <v>1213</v>
      </c>
      <c r="B1356" s="160">
        <v>9301</v>
      </c>
      <c r="C1356" s="153" t="s">
        <v>3251</v>
      </c>
      <c r="D1356" s="153" t="s">
        <v>3252</v>
      </c>
      <c r="E1356" s="153" t="s">
        <v>80</v>
      </c>
      <c r="F1356" s="153" t="s">
        <v>3253</v>
      </c>
      <c r="G1356" s="153" t="s">
        <v>3254</v>
      </c>
      <c r="H1356" s="153" t="s">
        <v>321</v>
      </c>
      <c r="I1356" s="153" t="s">
        <v>755</v>
      </c>
      <c r="J1356" s="153" t="s">
        <v>205</v>
      </c>
      <c r="K1356" s="153" t="s">
        <v>224</v>
      </c>
      <c r="L1356" s="153" t="s">
        <v>325</v>
      </c>
      <c r="M1356" s="153" t="s">
        <v>314</v>
      </c>
      <c r="N1356" s="153" t="s">
        <v>525</v>
      </c>
      <c r="O1356" s="153" t="s">
        <v>339</v>
      </c>
      <c r="P1356" s="153" t="s">
        <v>1876</v>
      </c>
      <c r="Q1356" s="153" t="s">
        <v>421</v>
      </c>
      <c r="R1356" s="153" t="s">
        <v>407</v>
      </c>
      <c r="S1356" s="153" t="s">
        <v>1216</v>
      </c>
      <c r="T1356" s="154">
        <v>5.0810000000000004</v>
      </c>
      <c r="U1356" s="153" t="s">
        <v>1865</v>
      </c>
      <c r="V1356" s="155">
        <v>4.1959999999999997E-2</v>
      </c>
      <c r="W1356" s="155">
        <v>4.1410000000000002E-2</v>
      </c>
      <c r="X1356" s="153" t="s">
        <v>412</v>
      </c>
      <c r="Y1356" s="153" t="s">
        <v>339</v>
      </c>
      <c r="Z1356" s="154">
        <v>5000</v>
      </c>
      <c r="AA1356" s="154">
        <v>3.71</v>
      </c>
      <c r="AB1356" s="154">
        <v>97.903000000000006</v>
      </c>
      <c r="AD1356" s="154">
        <v>18.161000000000001</v>
      </c>
      <c r="AG1356" s="157" t="s">
        <v>15</v>
      </c>
      <c r="AH1356" s="155">
        <v>0</v>
      </c>
      <c r="AI1356" s="155">
        <f t="shared" si="21"/>
        <v>9.8723036710042489E-4</v>
      </c>
      <c r="AJ1356" s="155">
        <v>2.4942877959199495E-5</v>
      </c>
    </row>
    <row r="1357" spans="1:36" s="160" customFormat="1">
      <c r="A1357" s="153" t="s">
        <v>1213</v>
      </c>
      <c r="B1357" s="160">
        <v>9301</v>
      </c>
      <c r="C1357" s="153" t="s">
        <v>3255</v>
      </c>
      <c r="D1357" s="153" t="s">
        <v>3256</v>
      </c>
      <c r="E1357" s="153" t="s">
        <v>80</v>
      </c>
      <c r="F1357" s="153" t="s">
        <v>3257</v>
      </c>
      <c r="G1357" s="153" t="s">
        <v>3258</v>
      </c>
      <c r="H1357" s="153" t="s">
        <v>321</v>
      </c>
      <c r="I1357" s="153" t="s">
        <v>755</v>
      </c>
      <c r="J1357" s="153" t="s">
        <v>205</v>
      </c>
      <c r="K1357" s="153" t="s">
        <v>224</v>
      </c>
      <c r="L1357" s="153" t="s">
        <v>325</v>
      </c>
      <c r="M1357" s="153" t="s">
        <v>314</v>
      </c>
      <c r="N1357" s="153" t="s">
        <v>521</v>
      </c>
      <c r="O1357" s="153" t="s">
        <v>339</v>
      </c>
      <c r="P1357" s="153" t="s">
        <v>2081</v>
      </c>
      <c r="Q1357" s="153" t="s">
        <v>433</v>
      </c>
      <c r="R1357" s="153" t="s">
        <v>407</v>
      </c>
      <c r="S1357" s="153" t="s">
        <v>1216</v>
      </c>
      <c r="T1357" s="154">
        <v>4.9649999999999999</v>
      </c>
      <c r="U1357" s="153" t="s">
        <v>3259</v>
      </c>
      <c r="V1357" s="155">
        <v>4.6699999999999998E-2</v>
      </c>
      <c r="W1357" s="155">
        <v>4.2709999999999998E-2</v>
      </c>
      <c r="X1357" s="153" t="s">
        <v>412</v>
      </c>
      <c r="Y1357" s="153" t="s">
        <v>339</v>
      </c>
      <c r="Z1357" s="154">
        <v>5000</v>
      </c>
      <c r="AA1357" s="154">
        <v>3.71</v>
      </c>
      <c r="AB1357" s="154">
        <v>92.314999999999998</v>
      </c>
      <c r="AD1357" s="154">
        <v>17.123999999999999</v>
      </c>
      <c r="AG1357" s="157" t="s">
        <v>15</v>
      </c>
      <c r="AH1357" s="155">
        <v>1.0000000000000001E-5</v>
      </c>
      <c r="AI1357" s="155">
        <f t="shared" si="21"/>
        <v>9.3085913805559574E-4</v>
      </c>
      <c r="AJ1357" s="155">
        <v>2.3518630151056221E-5</v>
      </c>
    </row>
    <row r="1358" spans="1:36" s="160" customFormat="1">
      <c r="A1358" s="153" t="s">
        <v>1213</v>
      </c>
      <c r="B1358" s="160">
        <v>9301</v>
      </c>
      <c r="C1358" s="153" t="s">
        <v>3288</v>
      </c>
      <c r="D1358" s="153" t="s">
        <v>3289</v>
      </c>
      <c r="E1358" s="153" t="s">
        <v>80</v>
      </c>
      <c r="F1358" s="153" t="s">
        <v>3290</v>
      </c>
      <c r="G1358" s="153" t="s">
        <v>3291</v>
      </c>
      <c r="H1358" s="153" t="s">
        <v>321</v>
      </c>
      <c r="I1358" s="153" t="s">
        <v>755</v>
      </c>
      <c r="J1358" s="153" t="s">
        <v>205</v>
      </c>
      <c r="K1358" s="153" t="s">
        <v>233</v>
      </c>
      <c r="L1358" s="153" t="s">
        <v>325</v>
      </c>
      <c r="M1358" s="153" t="s">
        <v>314</v>
      </c>
      <c r="N1358" s="153" t="s">
        <v>503</v>
      </c>
      <c r="O1358" s="153" t="s">
        <v>339</v>
      </c>
      <c r="P1358" s="153" t="s">
        <v>2612</v>
      </c>
      <c r="Q1358" s="153" t="s">
        <v>433</v>
      </c>
      <c r="R1358" s="153" t="s">
        <v>407</v>
      </c>
      <c r="S1358" s="153" t="s">
        <v>1216</v>
      </c>
      <c r="T1358" s="154">
        <v>5.0460000000000003</v>
      </c>
      <c r="U1358" s="153" t="s">
        <v>3292</v>
      </c>
      <c r="V1358" s="155">
        <v>2.921E-2</v>
      </c>
      <c r="W1358" s="155">
        <v>5.0610000000000002E-2</v>
      </c>
      <c r="X1358" s="153" t="s">
        <v>412</v>
      </c>
      <c r="Y1358" s="153" t="s">
        <v>339</v>
      </c>
      <c r="Z1358" s="154">
        <v>5000</v>
      </c>
      <c r="AA1358" s="154">
        <v>3.71</v>
      </c>
      <c r="AB1358" s="154">
        <v>85.248000000000005</v>
      </c>
      <c r="AD1358" s="154">
        <v>15.813000000000001</v>
      </c>
      <c r="AG1358" s="157" t="s">
        <v>15</v>
      </c>
      <c r="AH1358" s="155">
        <v>1.0000000000000001E-5</v>
      </c>
      <c r="AI1358" s="155">
        <f t="shared" si="21"/>
        <v>8.5959329304328058E-4</v>
      </c>
      <c r="AJ1358" s="155">
        <v>2.1718062285602201E-5</v>
      </c>
    </row>
    <row r="1359" spans="1:36" s="160" customFormat="1">
      <c r="A1359" s="153" t="s">
        <v>1213</v>
      </c>
      <c r="B1359" s="160">
        <v>9301</v>
      </c>
      <c r="C1359" s="153" t="s">
        <v>2089</v>
      </c>
      <c r="D1359" s="153" t="s">
        <v>2090</v>
      </c>
      <c r="E1359" s="153" t="s">
        <v>309</v>
      </c>
      <c r="F1359" s="153" t="s">
        <v>3301</v>
      </c>
      <c r="G1359" s="153" t="s">
        <v>3302</v>
      </c>
      <c r="H1359" s="153" t="s">
        <v>321</v>
      </c>
      <c r="I1359" s="153" t="s">
        <v>755</v>
      </c>
      <c r="J1359" s="153" t="s">
        <v>205</v>
      </c>
      <c r="K1359" s="153" t="s">
        <v>204</v>
      </c>
      <c r="L1359" s="153" t="s">
        <v>325</v>
      </c>
      <c r="M1359" s="153" t="s">
        <v>314</v>
      </c>
      <c r="N1359" s="153" t="s">
        <v>534</v>
      </c>
      <c r="O1359" s="153" t="s">
        <v>339</v>
      </c>
      <c r="P1359" s="153" t="s">
        <v>1890</v>
      </c>
      <c r="Q1359" s="153" t="s">
        <v>433</v>
      </c>
      <c r="R1359" s="153" t="s">
        <v>407</v>
      </c>
      <c r="S1359" s="153" t="s">
        <v>1218</v>
      </c>
      <c r="T1359" s="154">
        <v>5.32</v>
      </c>
      <c r="U1359" s="153" t="s">
        <v>3303</v>
      </c>
      <c r="V1359" s="155">
        <v>7.3660000000000003E-2</v>
      </c>
      <c r="W1359" s="155">
        <v>4.607E-2</v>
      </c>
      <c r="X1359" s="153" t="s">
        <v>412</v>
      </c>
      <c r="Y1359" s="153" t="s">
        <v>339</v>
      </c>
      <c r="Z1359" s="154">
        <v>1000</v>
      </c>
      <c r="AA1359" s="154">
        <v>4.1524000000000001</v>
      </c>
      <c r="AB1359" s="154">
        <v>118.607</v>
      </c>
      <c r="AD1359" s="154">
        <v>4.9249999999999998</v>
      </c>
      <c r="AG1359" s="157" t="s">
        <v>15</v>
      </c>
      <c r="AH1359" s="155">
        <v>0</v>
      </c>
      <c r="AI1359" s="155">
        <f t="shared" si="21"/>
        <v>2.6772256802872044E-4</v>
      </c>
      <c r="AJ1359" s="155">
        <v>6.764147015530945E-6</v>
      </c>
    </row>
    <row r="1360" spans="1:36" s="160" customFormat="1">
      <c r="A1360" s="153" t="s">
        <v>1213</v>
      </c>
      <c r="B1360" s="160">
        <v>9301</v>
      </c>
      <c r="C1360" s="153" t="s">
        <v>2089</v>
      </c>
      <c r="D1360" s="153" t="s">
        <v>2090</v>
      </c>
      <c r="E1360" s="153" t="s">
        <v>309</v>
      </c>
      <c r="F1360" s="153" t="s">
        <v>3304</v>
      </c>
      <c r="G1360" s="153" t="s">
        <v>3305</v>
      </c>
      <c r="H1360" s="153" t="s">
        <v>321</v>
      </c>
      <c r="I1360" s="153" t="s">
        <v>755</v>
      </c>
      <c r="J1360" s="153" t="s">
        <v>205</v>
      </c>
      <c r="K1360" s="153" t="s">
        <v>204</v>
      </c>
      <c r="L1360" s="153" t="s">
        <v>325</v>
      </c>
      <c r="M1360" s="153" t="s">
        <v>314</v>
      </c>
      <c r="N1360" s="153" t="s">
        <v>534</v>
      </c>
      <c r="O1360" s="153" t="s">
        <v>339</v>
      </c>
      <c r="P1360" s="153" t="s">
        <v>1890</v>
      </c>
      <c r="Q1360" s="153" t="s">
        <v>433</v>
      </c>
      <c r="R1360" s="153" t="s">
        <v>407</v>
      </c>
      <c r="S1360" s="153" t="s">
        <v>1218</v>
      </c>
      <c r="T1360" s="154">
        <v>3.9969999999999999</v>
      </c>
      <c r="U1360" s="153" t="s">
        <v>3306</v>
      </c>
      <c r="V1360" s="155">
        <v>6.762E-2</v>
      </c>
      <c r="W1360" s="155">
        <v>4.3929999999999997E-2</v>
      </c>
      <c r="X1360" s="153" t="s">
        <v>412</v>
      </c>
      <c r="Y1360" s="153" t="s">
        <v>339</v>
      </c>
      <c r="Z1360" s="154">
        <v>1000</v>
      </c>
      <c r="AA1360" s="154">
        <v>4.1524000000000001</v>
      </c>
      <c r="AB1360" s="154">
        <v>112.438</v>
      </c>
      <c r="AD1360" s="154">
        <v>4.6689999999999996</v>
      </c>
      <c r="AG1360" s="157" t="s">
        <v>15</v>
      </c>
      <c r="AH1360" s="155">
        <v>0</v>
      </c>
      <c r="AI1360" s="155">
        <f t="shared" si="21"/>
        <v>2.5380643048245597E-4</v>
      </c>
      <c r="AJ1360" s="155">
        <v>6.4125487138099456E-6</v>
      </c>
    </row>
    <row r="1361" spans="1:36" s="160" customFormat="1">
      <c r="A1361" s="153" t="s">
        <v>1213</v>
      </c>
      <c r="B1361" s="160">
        <v>9302</v>
      </c>
      <c r="C1361" s="153" t="s">
        <v>2273</v>
      </c>
      <c r="D1361" s="153" t="s">
        <v>2274</v>
      </c>
      <c r="E1361" s="153" t="s">
        <v>309</v>
      </c>
      <c r="F1361" s="153" t="s">
        <v>2275</v>
      </c>
      <c r="G1361" s="153" t="s">
        <v>2276</v>
      </c>
      <c r="H1361" s="153" t="s">
        <v>321</v>
      </c>
      <c r="I1361" s="153" t="s">
        <v>754</v>
      </c>
      <c r="J1361" s="153" t="s">
        <v>204</v>
      </c>
      <c r="K1361" s="153" t="s">
        <v>204</v>
      </c>
      <c r="L1361" s="153" t="s">
        <v>325</v>
      </c>
      <c r="M1361" s="153" t="s">
        <v>340</v>
      </c>
      <c r="N1361" s="153" t="s">
        <v>477</v>
      </c>
      <c r="O1361" s="153" t="s">
        <v>339</v>
      </c>
      <c r="P1361" s="153" t="s">
        <v>1215</v>
      </c>
      <c r="Q1361" s="153" t="s">
        <v>413</v>
      </c>
      <c r="R1361" s="153" t="s">
        <v>407</v>
      </c>
      <c r="S1361" s="153" t="s">
        <v>1212</v>
      </c>
      <c r="T1361" s="154">
        <v>1.72</v>
      </c>
      <c r="U1361" s="153" t="s">
        <v>1528</v>
      </c>
      <c r="V1361" s="155">
        <v>-6.5700000000000003E-3</v>
      </c>
      <c r="W1361" s="155">
        <v>1.9699999999999999E-2</v>
      </c>
      <c r="X1361" s="153" t="s">
        <v>412</v>
      </c>
      <c r="Y1361" s="153" t="s">
        <v>339</v>
      </c>
      <c r="Z1361" s="154">
        <v>15216541.199999999</v>
      </c>
      <c r="AA1361" s="154">
        <v>1</v>
      </c>
      <c r="AB1361" s="154">
        <v>110.07</v>
      </c>
      <c r="AD1361" s="154">
        <v>16748.847000000002</v>
      </c>
      <c r="AG1361" s="157" t="s">
        <v>15</v>
      </c>
      <c r="AH1361" s="155">
        <v>1.7770000000000001E-2</v>
      </c>
      <c r="AI1361" s="155">
        <f t="shared" si="21"/>
        <v>2.2666721762405626E-2</v>
      </c>
      <c r="AJ1361" s="155">
        <v>5.0093555563743616E-3</v>
      </c>
    </row>
    <row r="1362" spans="1:36" s="160" customFormat="1">
      <c r="A1362" s="153" t="s">
        <v>1213</v>
      </c>
      <c r="B1362" s="160">
        <v>9302</v>
      </c>
      <c r="C1362" s="153" t="s">
        <v>1600</v>
      </c>
      <c r="D1362" s="153" t="s">
        <v>1601</v>
      </c>
      <c r="E1362" s="153" t="s">
        <v>309</v>
      </c>
      <c r="F1362" s="153" t="s">
        <v>1954</v>
      </c>
      <c r="G1362" s="153" t="s">
        <v>1955</v>
      </c>
      <c r="H1362" s="153" t="s">
        <v>321</v>
      </c>
      <c r="I1362" s="153" t="s">
        <v>754</v>
      </c>
      <c r="J1362" s="153" t="s">
        <v>204</v>
      </c>
      <c r="K1362" s="153" t="s">
        <v>204</v>
      </c>
      <c r="L1362" s="153" t="s">
        <v>325</v>
      </c>
      <c r="M1362" s="153" t="s">
        <v>340</v>
      </c>
      <c r="N1362" s="153" t="s">
        <v>448</v>
      </c>
      <c r="O1362" s="153" t="s">
        <v>339</v>
      </c>
      <c r="P1362" s="153" t="s">
        <v>1215</v>
      </c>
      <c r="Q1362" s="153" t="s">
        <v>413</v>
      </c>
      <c r="R1362" s="153" t="s">
        <v>407</v>
      </c>
      <c r="S1362" s="153" t="s">
        <v>1212</v>
      </c>
      <c r="T1362" s="154">
        <v>3.02</v>
      </c>
      <c r="U1362" s="153" t="s">
        <v>1956</v>
      </c>
      <c r="V1362" s="155">
        <v>1.7500000000000002E-2</v>
      </c>
      <c r="W1362" s="155">
        <v>2.35E-2</v>
      </c>
      <c r="X1362" s="153" t="s">
        <v>412</v>
      </c>
      <c r="Y1362" s="153" t="s">
        <v>339</v>
      </c>
      <c r="Z1362" s="154">
        <v>13790453.560000001</v>
      </c>
      <c r="AA1362" s="154">
        <v>1</v>
      </c>
      <c r="AB1362" s="154">
        <v>114.28</v>
      </c>
      <c r="AD1362" s="154">
        <v>15759.73</v>
      </c>
      <c r="AG1362" s="157" t="s">
        <v>15</v>
      </c>
      <c r="AH1362" s="155">
        <v>5.3E-3</v>
      </c>
      <c r="AI1362" s="155">
        <f t="shared" si="21"/>
        <v>2.1328119778074084E-2</v>
      </c>
      <c r="AJ1362" s="155">
        <v>4.7135239245101289E-3</v>
      </c>
    </row>
    <row r="1363" spans="1:36" s="160" customFormat="1">
      <c r="A1363" s="153" t="s">
        <v>1213</v>
      </c>
      <c r="B1363" s="160">
        <v>9302</v>
      </c>
      <c r="C1363" s="153" t="s">
        <v>2263</v>
      </c>
      <c r="D1363" s="153" t="s">
        <v>2264</v>
      </c>
      <c r="E1363" s="153" t="s">
        <v>309</v>
      </c>
      <c r="F1363" s="153" t="s">
        <v>2265</v>
      </c>
      <c r="G1363" s="153" t="s">
        <v>2266</v>
      </c>
      <c r="H1363" s="153" t="s">
        <v>321</v>
      </c>
      <c r="I1363" s="153" t="s">
        <v>754</v>
      </c>
      <c r="J1363" s="153" t="s">
        <v>204</v>
      </c>
      <c r="K1363" s="153" t="s">
        <v>204</v>
      </c>
      <c r="L1363" s="153" t="s">
        <v>325</v>
      </c>
      <c r="M1363" s="153" t="s">
        <v>340</v>
      </c>
      <c r="N1363" s="153" t="s">
        <v>436</v>
      </c>
      <c r="O1363" s="153" t="s">
        <v>339</v>
      </c>
      <c r="P1363" s="153" t="s">
        <v>1215</v>
      </c>
      <c r="Q1363" s="153" t="s">
        <v>413</v>
      </c>
      <c r="R1363" s="153" t="s">
        <v>407</v>
      </c>
      <c r="S1363" s="153" t="s">
        <v>1212</v>
      </c>
      <c r="T1363" s="154">
        <v>3.27</v>
      </c>
      <c r="U1363" s="153" t="s">
        <v>2267</v>
      </c>
      <c r="V1363" s="155">
        <v>5.0000000000000001E-4</v>
      </c>
      <c r="W1363" s="155">
        <v>2.3400000000000001E-2</v>
      </c>
      <c r="X1363" s="153" t="s">
        <v>412</v>
      </c>
      <c r="Y1363" s="153" t="s">
        <v>339</v>
      </c>
      <c r="Z1363" s="154">
        <v>13163309.68</v>
      </c>
      <c r="AA1363" s="154">
        <v>1</v>
      </c>
      <c r="AB1363" s="154">
        <v>106.4</v>
      </c>
      <c r="AD1363" s="154">
        <v>14005.761</v>
      </c>
      <c r="AG1363" s="157" t="s">
        <v>15</v>
      </c>
      <c r="AH1363" s="155">
        <v>1.274E-2</v>
      </c>
      <c r="AI1363" s="155">
        <f t="shared" si="21"/>
        <v>1.8954420424149316E-2</v>
      </c>
      <c r="AJ1363" s="155">
        <v>4.188935315165356E-3</v>
      </c>
    </row>
    <row r="1364" spans="1:36" s="160" customFormat="1">
      <c r="A1364" s="153" t="s">
        <v>1213</v>
      </c>
      <c r="B1364" s="160">
        <v>9302</v>
      </c>
      <c r="C1364" s="153" t="s">
        <v>455</v>
      </c>
      <c r="D1364" s="153" t="s">
        <v>2106</v>
      </c>
      <c r="E1364" s="153" t="s">
        <v>309</v>
      </c>
      <c r="F1364" s="153" t="s">
        <v>2255</v>
      </c>
      <c r="G1364" s="153" t="s">
        <v>2256</v>
      </c>
      <c r="H1364" s="153" t="s">
        <v>321</v>
      </c>
      <c r="I1364" s="153" t="s">
        <v>754</v>
      </c>
      <c r="J1364" s="153" t="s">
        <v>204</v>
      </c>
      <c r="K1364" s="153" t="s">
        <v>204</v>
      </c>
      <c r="L1364" s="153" t="s">
        <v>325</v>
      </c>
      <c r="M1364" s="153" t="s">
        <v>340</v>
      </c>
      <c r="N1364" s="153" t="s">
        <v>440</v>
      </c>
      <c r="O1364" s="153" t="s">
        <v>339</v>
      </c>
      <c r="P1364" s="153" t="s">
        <v>1923</v>
      </c>
      <c r="Q1364" s="153" t="s">
        <v>415</v>
      </c>
      <c r="R1364" s="153" t="s">
        <v>407</v>
      </c>
      <c r="S1364" s="153" t="s">
        <v>1212</v>
      </c>
      <c r="T1364" s="154">
        <v>5.8</v>
      </c>
      <c r="U1364" s="153" t="s">
        <v>2257</v>
      </c>
      <c r="V1364" s="155">
        <v>3.29E-3</v>
      </c>
      <c r="W1364" s="155">
        <v>2.92E-2</v>
      </c>
      <c r="X1364" s="153" t="s">
        <v>412</v>
      </c>
      <c r="Y1364" s="153" t="s">
        <v>339</v>
      </c>
      <c r="Z1364" s="154">
        <v>11679816</v>
      </c>
      <c r="AA1364" s="154">
        <v>1</v>
      </c>
      <c r="AB1364" s="154">
        <v>111.74</v>
      </c>
      <c r="AD1364" s="154">
        <v>13051.026</v>
      </c>
      <c r="AG1364" s="157" t="s">
        <v>15</v>
      </c>
      <c r="AH1364" s="155">
        <v>3.0000000000000001E-3</v>
      </c>
      <c r="AI1364" s="155">
        <f t="shared" si="21"/>
        <v>1.7662348641427177E-2</v>
      </c>
      <c r="AJ1364" s="155">
        <v>3.9033868784810232E-3</v>
      </c>
    </row>
    <row r="1365" spans="1:36" s="160" customFormat="1">
      <c r="A1365" s="153" t="s">
        <v>1213</v>
      </c>
      <c r="B1365" s="160">
        <v>9302</v>
      </c>
      <c r="C1365" s="153" t="s">
        <v>1512</v>
      </c>
      <c r="D1365" s="153" t="s">
        <v>1513</v>
      </c>
      <c r="E1365" s="153" t="s">
        <v>309</v>
      </c>
      <c r="F1365" s="153" t="s">
        <v>2186</v>
      </c>
      <c r="G1365" s="153" t="s">
        <v>2187</v>
      </c>
      <c r="H1365" s="153" t="s">
        <v>321</v>
      </c>
      <c r="I1365" s="153" t="s">
        <v>754</v>
      </c>
      <c r="J1365" s="153" t="s">
        <v>204</v>
      </c>
      <c r="K1365" s="153" t="s">
        <v>204</v>
      </c>
      <c r="L1365" s="153" t="s">
        <v>325</v>
      </c>
      <c r="M1365" s="153" t="s">
        <v>340</v>
      </c>
      <c r="N1365" s="153" t="s">
        <v>448</v>
      </c>
      <c r="O1365" s="153" t="s">
        <v>339</v>
      </c>
      <c r="P1365" s="153" t="s">
        <v>1215</v>
      </c>
      <c r="Q1365" s="153" t="s">
        <v>413</v>
      </c>
      <c r="R1365" s="153" t="s">
        <v>407</v>
      </c>
      <c r="S1365" s="153" t="s">
        <v>1212</v>
      </c>
      <c r="T1365" s="154">
        <v>1.72</v>
      </c>
      <c r="U1365" s="153" t="s">
        <v>2188</v>
      </c>
      <c r="V1365" s="155">
        <v>8.2500000000000004E-3</v>
      </c>
      <c r="W1365" s="155">
        <v>2.1399999999999999E-2</v>
      </c>
      <c r="X1365" s="153" t="s">
        <v>412</v>
      </c>
      <c r="Y1365" s="153" t="s">
        <v>339</v>
      </c>
      <c r="Z1365" s="154">
        <v>11354815</v>
      </c>
      <c r="AA1365" s="154">
        <v>1</v>
      </c>
      <c r="AB1365" s="154">
        <v>110.39</v>
      </c>
      <c r="AD1365" s="154">
        <v>12534.58</v>
      </c>
      <c r="AG1365" s="157" t="s">
        <v>15</v>
      </c>
      <c r="AH1365" s="155">
        <v>3.7799999999999999E-3</v>
      </c>
      <c r="AI1365" s="155">
        <f t="shared" si="21"/>
        <v>1.6963426632807279E-2</v>
      </c>
      <c r="AJ1365" s="155">
        <v>3.7489248047832147E-3</v>
      </c>
    </row>
    <row r="1366" spans="1:36" s="160" customFormat="1">
      <c r="A1366" s="153" t="s">
        <v>1213</v>
      </c>
      <c r="B1366" s="160">
        <v>9302</v>
      </c>
      <c r="C1366" s="153" t="s">
        <v>1573</v>
      </c>
      <c r="D1366" s="153" t="s">
        <v>1574</v>
      </c>
      <c r="E1366" s="153" t="s">
        <v>309</v>
      </c>
      <c r="F1366" s="153" t="s">
        <v>2696</v>
      </c>
      <c r="G1366" s="153" t="s">
        <v>2697</v>
      </c>
      <c r="H1366" s="153" t="s">
        <v>321</v>
      </c>
      <c r="I1366" s="153" t="s">
        <v>754</v>
      </c>
      <c r="J1366" s="153" t="s">
        <v>204</v>
      </c>
      <c r="K1366" s="153" t="s">
        <v>204</v>
      </c>
      <c r="L1366" s="153" t="s">
        <v>325</v>
      </c>
      <c r="M1366" s="153" t="s">
        <v>340</v>
      </c>
      <c r="N1366" s="153" t="s">
        <v>448</v>
      </c>
      <c r="O1366" s="153" t="s">
        <v>339</v>
      </c>
      <c r="P1366" s="153" t="s">
        <v>1215</v>
      </c>
      <c r="Q1366" s="153" t="s">
        <v>413</v>
      </c>
      <c r="R1366" s="153" t="s">
        <v>407</v>
      </c>
      <c r="S1366" s="153" t="s">
        <v>1212</v>
      </c>
      <c r="T1366" s="154">
        <v>2.58</v>
      </c>
      <c r="U1366" s="153" t="s">
        <v>1561</v>
      </c>
      <c r="V1366" s="155">
        <v>1.448E-2</v>
      </c>
      <c r="W1366" s="155">
        <v>2.2599999999999999E-2</v>
      </c>
      <c r="X1366" s="153" t="s">
        <v>412</v>
      </c>
      <c r="Y1366" s="153" t="s">
        <v>339</v>
      </c>
      <c r="Z1366" s="154">
        <v>11412215</v>
      </c>
      <c r="AA1366" s="154">
        <v>1</v>
      </c>
      <c r="AB1366" s="154">
        <v>102.67</v>
      </c>
      <c r="AD1366" s="154">
        <v>11716.921</v>
      </c>
      <c r="AG1366" s="157" t="s">
        <v>15</v>
      </c>
      <c r="AH1366" s="155">
        <v>6.1799999999999997E-3</v>
      </c>
      <c r="AI1366" s="155">
        <f t="shared" si="21"/>
        <v>1.5856863951237209E-2</v>
      </c>
      <c r="AJ1366" s="155">
        <v>3.5043739616792387E-3</v>
      </c>
    </row>
    <row r="1367" spans="1:36" s="160" customFormat="1">
      <c r="A1367" s="153" t="s">
        <v>1213</v>
      </c>
      <c r="B1367" s="160">
        <v>9302</v>
      </c>
      <c r="C1367" s="153" t="s">
        <v>2273</v>
      </c>
      <c r="D1367" s="153" t="s">
        <v>2274</v>
      </c>
      <c r="E1367" s="153" t="s">
        <v>309</v>
      </c>
      <c r="F1367" s="153" t="s">
        <v>2303</v>
      </c>
      <c r="G1367" s="153" t="s">
        <v>2304</v>
      </c>
      <c r="H1367" s="153" t="s">
        <v>321</v>
      </c>
      <c r="I1367" s="153" t="s">
        <v>754</v>
      </c>
      <c r="J1367" s="153" t="s">
        <v>204</v>
      </c>
      <c r="K1367" s="153" t="s">
        <v>204</v>
      </c>
      <c r="L1367" s="153" t="s">
        <v>325</v>
      </c>
      <c r="M1367" s="153" t="s">
        <v>340</v>
      </c>
      <c r="N1367" s="153" t="s">
        <v>477</v>
      </c>
      <c r="O1367" s="153" t="s">
        <v>339</v>
      </c>
      <c r="P1367" s="153" t="s">
        <v>1215</v>
      </c>
      <c r="Q1367" s="153" t="s">
        <v>413</v>
      </c>
      <c r="R1367" s="153" t="s">
        <v>407</v>
      </c>
      <c r="S1367" s="153" t="s">
        <v>1212</v>
      </c>
      <c r="T1367" s="154">
        <v>11.44</v>
      </c>
      <c r="U1367" s="153" t="s">
        <v>2305</v>
      </c>
      <c r="V1367" s="155">
        <v>1.6809999999999999E-2</v>
      </c>
      <c r="W1367" s="155">
        <v>3.2899999999999999E-2</v>
      </c>
      <c r="X1367" s="153" t="s">
        <v>412</v>
      </c>
      <c r="Y1367" s="153" t="s">
        <v>339</v>
      </c>
      <c r="Z1367" s="154">
        <v>10776386.26</v>
      </c>
      <c r="AA1367" s="154">
        <v>1</v>
      </c>
      <c r="AB1367" s="154">
        <v>99.37</v>
      </c>
      <c r="AD1367" s="154">
        <v>10708.495000000001</v>
      </c>
      <c r="AG1367" s="157" t="s">
        <v>15</v>
      </c>
      <c r="AH1367" s="155">
        <v>2.3700000000000001E-3</v>
      </c>
      <c r="AI1367" s="155">
        <f t="shared" si="21"/>
        <v>1.4492130512572707E-2</v>
      </c>
      <c r="AJ1367" s="155">
        <v>3.2027672668248188E-3</v>
      </c>
    </row>
    <row r="1368" spans="1:36" s="160" customFormat="1">
      <c r="A1368" s="153" t="s">
        <v>1213</v>
      </c>
      <c r="B1368" s="160">
        <v>9302</v>
      </c>
      <c r="C1368" s="153" t="s">
        <v>455</v>
      </c>
      <c r="D1368" s="153" t="s">
        <v>2106</v>
      </c>
      <c r="E1368" s="153" t="s">
        <v>309</v>
      </c>
      <c r="F1368" s="153" t="s">
        <v>2160</v>
      </c>
      <c r="G1368" s="153" t="s">
        <v>2161</v>
      </c>
      <c r="H1368" s="153" t="s">
        <v>321</v>
      </c>
      <c r="I1368" s="153" t="s">
        <v>754</v>
      </c>
      <c r="J1368" s="153" t="s">
        <v>204</v>
      </c>
      <c r="K1368" s="153" t="s">
        <v>204</v>
      </c>
      <c r="L1368" s="153" t="s">
        <v>325</v>
      </c>
      <c r="M1368" s="153" t="s">
        <v>340</v>
      </c>
      <c r="N1368" s="153" t="s">
        <v>440</v>
      </c>
      <c r="O1368" s="153" t="s">
        <v>339</v>
      </c>
      <c r="P1368" s="153" t="s">
        <v>1923</v>
      </c>
      <c r="Q1368" s="153" t="s">
        <v>415</v>
      </c>
      <c r="R1368" s="153" t="s">
        <v>407</v>
      </c>
      <c r="S1368" s="153" t="s">
        <v>1212</v>
      </c>
      <c r="T1368" s="154">
        <v>0.9</v>
      </c>
      <c r="U1368" s="153" t="s">
        <v>2162</v>
      </c>
      <c r="V1368" s="155">
        <v>1.059E-2</v>
      </c>
      <c r="W1368" s="155">
        <v>2.6100000000000002E-2</v>
      </c>
      <c r="X1368" s="153" t="s">
        <v>412</v>
      </c>
      <c r="Y1368" s="153" t="s">
        <v>339</v>
      </c>
      <c r="Z1368" s="154">
        <v>8897475</v>
      </c>
      <c r="AA1368" s="154">
        <v>1</v>
      </c>
      <c r="AB1368" s="154">
        <v>119.4</v>
      </c>
      <c r="AD1368" s="154">
        <v>10623.584999999999</v>
      </c>
      <c r="AG1368" s="157" t="s">
        <v>15</v>
      </c>
      <c r="AH1368" s="155">
        <v>3.0100000000000001E-3</v>
      </c>
      <c r="AI1368" s="155">
        <f t="shared" si="21"/>
        <v>1.4377219238689442E-2</v>
      </c>
      <c r="AJ1368" s="155">
        <v>3.1773718243629135E-3</v>
      </c>
    </row>
    <row r="1369" spans="1:36" s="160" customFormat="1">
      <c r="A1369" s="153" t="s">
        <v>1213</v>
      </c>
      <c r="B1369" s="160">
        <v>9302</v>
      </c>
      <c r="C1369" s="153" t="s">
        <v>2263</v>
      </c>
      <c r="D1369" s="153" t="s">
        <v>2264</v>
      </c>
      <c r="E1369" s="153" t="s">
        <v>309</v>
      </c>
      <c r="F1369" s="153" t="s">
        <v>2855</v>
      </c>
      <c r="G1369" s="153" t="s">
        <v>2856</v>
      </c>
      <c r="H1369" s="153" t="s">
        <v>321</v>
      </c>
      <c r="I1369" s="153" t="s">
        <v>755</v>
      </c>
      <c r="J1369" s="153" t="s">
        <v>204</v>
      </c>
      <c r="K1369" s="153" t="s">
        <v>204</v>
      </c>
      <c r="L1369" s="153" t="s">
        <v>325</v>
      </c>
      <c r="M1369" s="153" t="s">
        <v>340</v>
      </c>
      <c r="N1369" s="153" t="s">
        <v>436</v>
      </c>
      <c r="O1369" s="153" t="s">
        <v>339</v>
      </c>
      <c r="P1369" s="153" t="s">
        <v>1215</v>
      </c>
      <c r="Q1369" s="153" t="s">
        <v>413</v>
      </c>
      <c r="R1369" s="153" t="s">
        <v>407</v>
      </c>
      <c r="S1369" s="153" t="s">
        <v>1212</v>
      </c>
      <c r="T1369" s="154">
        <v>1.46</v>
      </c>
      <c r="U1369" s="153" t="s">
        <v>2857</v>
      </c>
      <c r="V1369" s="155">
        <v>1.7600000000000001E-3</v>
      </c>
      <c r="W1369" s="155">
        <v>6.3500000000000001E-2</v>
      </c>
      <c r="X1369" s="153" t="s">
        <v>412</v>
      </c>
      <c r="Y1369" s="153" t="s">
        <v>339</v>
      </c>
      <c r="Z1369" s="154">
        <v>9498343</v>
      </c>
      <c r="AA1369" s="154">
        <v>1</v>
      </c>
      <c r="AB1369" s="154">
        <v>108</v>
      </c>
      <c r="AD1369" s="154">
        <v>10258.209999999999</v>
      </c>
      <c r="AG1369" s="157" t="s">
        <v>15</v>
      </c>
      <c r="AH1369" s="155">
        <v>5.13E-3</v>
      </c>
      <c r="AI1369" s="155">
        <f t="shared" si="21"/>
        <v>1.3882746188458644E-2</v>
      </c>
      <c r="AJ1369" s="155">
        <v>3.0680930610898186E-3</v>
      </c>
    </row>
    <row r="1370" spans="1:36" s="160" customFormat="1">
      <c r="A1370" s="153" t="s">
        <v>1213</v>
      </c>
      <c r="B1370" s="160">
        <v>9302</v>
      </c>
      <c r="C1370" s="153" t="s">
        <v>1807</v>
      </c>
      <c r="D1370" s="153" t="s">
        <v>1808</v>
      </c>
      <c r="E1370" s="153" t="s">
        <v>309</v>
      </c>
      <c r="F1370" s="153" t="s">
        <v>2295</v>
      </c>
      <c r="G1370" s="153" t="s">
        <v>2296</v>
      </c>
      <c r="H1370" s="153" t="s">
        <v>321</v>
      </c>
      <c r="I1370" s="153" t="s">
        <v>754</v>
      </c>
      <c r="J1370" s="153" t="s">
        <v>204</v>
      </c>
      <c r="K1370" s="153" t="s">
        <v>204</v>
      </c>
      <c r="L1370" s="153" t="s">
        <v>325</v>
      </c>
      <c r="M1370" s="153" t="s">
        <v>340</v>
      </c>
      <c r="N1370" s="153" t="s">
        <v>464</v>
      </c>
      <c r="O1370" s="153" t="s">
        <v>339</v>
      </c>
      <c r="P1370" s="153" t="s">
        <v>1923</v>
      </c>
      <c r="Q1370" s="153" t="s">
        <v>415</v>
      </c>
      <c r="R1370" s="153" t="s">
        <v>407</v>
      </c>
      <c r="S1370" s="153" t="s">
        <v>1212</v>
      </c>
      <c r="T1370" s="154">
        <v>2.89</v>
      </c>
      <c r="U1370" s="153" t="s">
        <v>2297</v>
      </c>
      <c r="V1370" s="155">
        <v>1.9130000000000001E-2</v>
      </c>
      <c r="W1370" s="155">
        <v>2.8199999999999999E-2</v>
      </c>
      <c r="X1370" s="153" t="s">
        <v>412</v>
      </c>
      <c r="Y1370" s="153" t="s">
        <v>339</v>
      </c>
      <c r="Z1370" s="154">
        <v>9097060.8399999999</v>
      </c>
      <c r="AA1370" s="154">
        <v>1</v>
      </c>
      <c r="AB1370" s="154">
        <v>112.38</v>
      </c>
      <c r="AD1370" s="154">
        <v>10223.277</v>
      </c>
      <c r="AG1370" s="157" t="s">
        <v>15</v>
      </c>
      <c r="AH1370" s="155">
        <v>3.4299999999999999E-3</v>
      </c>
      <c r="AI1370" s="155">
        <f t="shared" si="21"/>
        <v>1.3835470301866205E-2</v>
      </c>
      <c r="AJ1370" s="155">
        <v>3.0576450691981488E-3</v>
      </c>
    </row>
    <row r="1371" spans="1:36" s="160" customFormat="1">
      <c r="A1371" s="153" t="s">
        <v>1213</v>
      </c>
      <c r="B1371" s="160">
        <v>9302</v>
      </c>
      <c r="C1371" s="153" t="s">
        <v>1512</v>
      </c>
      <c r="D1371" s="153" t="s">
        <v>1513</v>
      </c>
      <c r="E1371" s="153" t="s">
        <v>309</v>
      </c>
      <c r="F1371" s="153" t="s">
        <v>2220</v>
      </c>
      <c r="G1371" s="153" t="s">
        <v>2221</v>
      </c>
      <c r="H1371" s="153" t="s">
        <v>321</v>
      </c>
      <c r="I1371" s="153" t="s">
        <v>951</v>
      </c>
      <c r="J1371" s="153" t="s">
        <v>204</v>
      </c>
      <c r="K1371" s="153" t="s">
        <v>204</v>
      </c>
      <c r="L1371" s="153" t="s">
        <v>325</v>
      </c>
      <c r="M1371" s="153" t="s">
        <v>340</v>
      </c>
      <c r="N1371" s="153" t="s">
        <v>448</v>
      </c>
      <c r="O1371" s="153" t="s">
        <v>339</v>
      </c>
      <c r="P1371" s="153" t="s">
        <v>1215</v>
      </c>
      <c r="Q1371" s="153" t="s">
        <v>413</v>
      </c>
      <c r="R1371" s="153" t="s">
        <v>407</v>
      </c>
      <c r="S1371" s="153" t="s">
        <v>1212</v>
      </c>
      <c r="T1371" s="154">
        <v>0.68</v>
      </c>
      <c r="U1371" s="153" t="s">
        <v>2222</v>
      </c>
      <c r="V1371" s="155">
        <v>2.1010000000000001E-2</v>
      </c>
      <c r="W1371" s="155">
        <v>4.4600000000000001E-2</v>
      </c>
      <c r="X1371" s="153" t="s">
        <v>412</v>
      </c>
      <c r="Y1371" s="153" t="s">
        <v>339</v>
      </c>
      <c r="Z1371" s="154">
        <v>10111121</v>
      </c>
      <c r="AA1371" s="154">
        <v>1</v>
      </c>
      <c r="AB1371" s="154">
        <v>99.95</v>
      </c>
      <c r="AD1371" s="154">
        <v>10106.065000000001</v>
      </c>
      <c r="AG1371" s="157" t="s">
        <v>15</v>
      </c>
      <c r="AH1371" s="155">
        <v>3.98E-3</v>
      </c>
      <c r="AI1371" s="155">
        <f t="shared" si="21"/>
        <v>1.3676843753351249E-2</v>
      </c>
      <c r="AJ1371" s="155">
        <v>3.0225885316661175E-3</v>
      </c>
    </row>
    <row r="1372" spans="1:36" s="160" customFormat="1">
      <c r="A1372" s="153" t="s">
        <v>1213</v>
      </c>
      <c r="B1372" s="160">
        <v>9302</v>
      </c>
      <c r="C1372" s="153" t="s">
        <v>2323</v>
      </c>
      <c r="D1372" s="153" t="s">
        <v>2324</v>
      </c>
      <c r="E1372" s="153" t="s">
        <v>309</v>
      </c>
      <c r="F1372" s="153" t="s">
        <v>2325</v>
      </c>
      <c r="G1372" s="153" t="s">
        <v>2326</v>
      </c>
      <c r="H1372" s="153" t="s">
        <v>321</v>
      </c>
      <c r="I1372" s="153" t="s">
        <v>754</v>
      </c>
      <c r="J1372" s="153" t="s">
        <v>204</v>
      </c>
      <c r="K1372" s="153" t="s">
        <v>204</v>
      </c>
      <c r="L1372" s="153" t="s">
        <v>325</v>
      </c>
      <c r="M1372" s="153" t="s">
        <v>340</v>
      </c>
      <c r="N1372" s="153" t="s">
        <v>448</v>
      </c>
      <c r="O1372" s="153" t="s">
        <v>339</v>
      </c>
      <c r="P1372" s="153" t="s">
        <v>1215</v>
      </c>
      <c r="Q1372" s="153" t="s">
        <v>413</v>
      </c>
      <c r="R1372" s="153" t="s">
        <v>407</v>
      </c>
      <c r="S1372" s="153" t="s">
        <v>1212</v>
      </c>
      <c r="T1372" s="154">
        <v>2.73</v>
      </c>
      <c r="U1372" s="153" t="s">
        <v>2327</v>
      </c>
      <c r="V1372" s="155">
        <v>1.4999999999999999E-2</v>
      </c>
      <c r="W1372" s="155">
        <v>2.24E-2</v>
      </c>
      <c r="X1372" s="153" t="s">
        <v>412</v>
      </c>
      <c r="Y1372" s="153" t="s">
        <v>339</v>
      </c>
      <c r="Z1372" s="154">
        <v>8569624.5600000005</v>
      </c>
      <c r="AA1372" s="154">
        <v>1</v>
      </c>
      <c r="AB1372" s="154">
        <v>114.19</v>
      </c>
      <c r="AD1372" s="154">
        <v>9785.6540000000005</v>
      </c>
      <c r="AG1372" s="157" t="s">
        <v>15</v>
      </c>
      <c r="AH1372" s="155">
        <v>3.0700000000000002E-2</v>
      </c>
      <c r="AI1372" s="155">
        <f t="shared" si="21"/>
        <v>1.3243221845728943E-2</v>
      </c>
      <c r="AJ1372" s="155">
        <v>2.926757897881388E-3</v>
      </c>
    </row>
    <row r="1373" spans="1:36" s="160" customFormat="1">
      <c r="A1373" s="153" t="s">
        <v>1213</v>
      </c>
      <c r="B1373" s="160">
        <v>9302</v>
      </c>
      <c r="C1373" s="153" t="s">
        <v>1512</v>
      </c>
      <c r="D1373" s="153" t="s">
        <v>1513</v>
      </c>
      <c r="E1373" s="153" t="s">
        <v>309</v>
      </c>
      <c r="F1373" s="153" t="s">
        <v>1901</v>
      </c>
      <c r="G1373" s="153" t="s">
        <v>1902</v>
      </c>
      <c r="H1373" s="153" t="s">
        <v>321</v>
      </c>
      <c r="I1373" s="153" t="s">
        <v>754</v>
      </c>
      <c r="J1373" s="153" t="s">
        <v>204</v>
      </c>
      <c r="K1373" s="153" t="s">
        <v>204</v>
      </c>
      <c r="L1373" s="153" t="s">
        <v>325</v>
      </c>
      <c r="M1373" s="153" t="s">
        <v>340</v>
      </c>
      <c r="N1373" s="153" t="s">
        <v>448</v>
      </c>
      <c r="O1373" s="153" t="s">
        <v>339</v>
      </c>
      <c r="P1373" s="153" t="s">
        <v>1215</v>
      </c>
      <c r="Q1373" s="153" t="s">
        <v>413</v>
      </c>
      <c r="R1373" s="153" t="s">
        <v>407</v>
      </c>
      <c r="S1373" s="153" t="s">
        <v>1212</v>
      </c>
      <c r="T1373" s="154">
        <v>4.05</v>
      </c>
      <c r="U1373" s="153" t="s">
        <v>1903</v>
      </c>
      <c r="V1373" s="155">
        <v>-7.3699999999999998E-3</v>
      </c>
      <c r="W1373" s="155">
        <v>2.5000000000000001E-2</v>
      </c>
      <c r="X1373" s="153" t="s">
        <v>412</v>
      </c>
      <c r="Y1373" s="153" t="s">
        <v>339</v>
      </c>
      <c r="Z1373" s="154">
        <v>9378768</v>
      </c>
      <c r="AA1373" s="154">
        <v>1</v>
      </c>
      <c r="AB1373" s="154">
        <v>102.41</v>
      </c>
      <c r="AD1373" s="154">
        <v>9604.7960000000003</v>
      </c>
      <c r="AG1373" s="157" t="s">
        <v>15</v>
      </c>
      <c r="AH1373" s="155">
        <v>2.7799999999999999E-3</v>
      </c>
      <c r="AI1373" s="155">
        <f t="shared" si="21"/>
        <v>1.2998461238356676E-2</v>
      </c>
      <c r="AJ1373" s="155">
        <v>2.8726656951635079E-3</v>
      </c>
    </row>
    <row r="1374" spans="1:36" s="160" customFormat="1">
      <c r="A1374" s="153" t="s">
        <v>1213</v>
      </c>
      <c r="B1374" s="160">
        <v>9302</v>
      </c>
      <c r="C1374" s="153" t="s">
        <v>2250</v>
      </c>
      <c r="D1374" s="153" t="s">
        <v>2251</v>
      </c>
      <c r="E1374" s="153" t="s">
        <v>309</v>
      </c>
      <c r="F1374" s="153" t="s">
        <v>2252</v>
      </c>
      <c r="G1374" s="153" t="s">
        <v>2253</v>
      </c>
      <c r="H1374" s="153" t="s">
        <v>321</v>
      </c>
      <c r="I1374" s="153" t="s">
        <v>754</v>
      </c>
      <c r="J1374" s="153" t="s">
        <v>204</v>
      </c>
      <c r="K1374" s="153" t="s">
        <v>204</v>
      </c>
      <c r="L1374" s="153" t="s">
        <v>325</v>
      </c>
      <c r="M1374" s="153" t="s">
        <v>340</v>
      </c>
      <c r="N1374" s="153" t="s">
        <v>448</v>
      </c>
      <c r="O1374" s="153" t="s">
        <v>339</v>
      </c>
      <c r="P1374" s="153" t="s">
        <v>1215</v>
      </c>
      <c r="Q1374" s="153" t="s">
        <v>413</v>
      </c>
      <c r="R1374" s="153" t="s">
        <v>407</v>
      </c>
      <c r="S1374" s="153" t="s">
        <v>1212</v>
      </c>
      <c r="T1374" s="154">
        <v>0.94</v>
      </c>
      <c r="U1374" s="153" t="s">
        <v>2254</v>
      </c>
      <c r="V1374" s="155">
        <v>5.5399999999999998E-3</v>
      </c>
      <c r="W1374" s="155">
        <v>1.9699999999999999E-2</v>
      </c>
      <c r="X1374" s="153" t="s">
        <v>412</v>
      </c>
      <c r="Y1374" s="153" t="s">
        <v>339</v>
      </c>
      <c r="Z1374" s="154">
        <v>7969685</v>
      </c>
      <c r="AA1374" s="154">
        <v>1</v>
      </c>
      <c r="AB1374" s="154">
        <v>112.67</v>
      </c>
      <c r="AD1374" s="154">
        <v>8979.4439999999995</v>
      </c>
      <c r="AG1374" s="157" t="s">
        <v>15</v>
      </c>
      <c r="AH1374" s="155">
        <v>5.3099999999999996E-3</v>
      </c>
      <c r="AI1374" s="155">
        <f t="shared" si="21"/>
        <v>1.2152153442508765E-2</v>
      </c>
      <c r="AJ1374" s="155">
        <v>2.6856312971604798E-3</v>
      </c>
    </row>
    <row r="1375" spans="1:36" s="160" customFormat="1">
      <c r="A1375" s="153" t="s">
        <v>1213</v>
      </c>
      <c r="B1375" s="160">
        <v>9302</v>
      </c>
      <c r="C1375" s="153" t="s">
        <v>1893</v>
      </c>
      <c r="D1375" s="153" t="s">
        <v>1894</v>
      </c>
      <c r="E1375" s="153" t="s">
        <v>309</v>
      </c>
      <c r="F1375" s="153" t="s">
        <v>2619</v>
      </c>
      <c r="G1375" s="153" t="s">
        <v>2620</v>
      </c>
      <c r="H1375" s="153" t="s">
        <v>321</v>
      </c>
      <c r="I1375" s="153" t="s">
        <v>754</v>
      </c>
      <c r="J1375" s="153" t="s">
        <v>204</v>
      </c>
      <c r="K1375" s="153" t="s">
        <v>204</v>
      </c>
      <c r="L1375" s="153" t="s">
        <v>325</v>
      </c>
      <c r="M1375" s="153" t="s">
        <v>340</v>
      </c>
      <c r="N1375" s="153" t="s">
        <v>464</v>
      </c>
      <c r="O1375" s="153" t="s">
        <v>339</v>
      </c>
      <c r="P1375" s="153" t="s">
        <v>1566</v>
      </c>
      <c r="Q1375" s="153" t="s">
        <v>413</v>
      </c>
      <c r="R1375" s="153" t="s">
        <v>407</v>
      </c>
      <c r="S1375" s="153" t="s">
        <v>1212</v>
      </c>
      <c r="T1375" s="154">
        <v>1.72</v>
      </c>
      <c r="U1375" s="153" t="s">
        <v>1343</v>
      </c>
      <c r="V1375" s="155">
        <v>1.303E-2</v>
      </c>
      <c r="W1375" s="155">
        <v>2.4199999999999999E-2</v>
      </c>
      <c r="X1375" s="153" t="s">
        <v>412</v>
      </c>
      <c r="Y1375" s="153" t="s">
        <v>339</v>
      </c>
      <c r="Z1375" s="154">
        <v>7416382</v>
      </c>
      <c r="AA1375" s="154">
        <v>1</v>
      </c>
      <c r="AB1375" s="154">
        <v>113.95</v>
      </c>
      <c r="AD1375" s="154">
        <v>8450.9670000000006</v>
      </c>
      <c r="AG1375" s="157" t="s">
        <v>15</v>
      </c>
      <c r="AH1375" s="155">
        <v>9.1900000000000003E-3</v>
      </c>
      <c r="AI1375" s="155">
        <f t="shared" si="21"/>
        <v>1.1436949517317328E-2</v>
      </c>
      <c r="AJ1375" s="155">
        <v>2.5275709126835037E-3</v>
      </c>
    </row>
    <row r="1376" spans="1:36" s="160" customFormat="1">
      <c r="A1376" s="153" t="s">
        <v>1213</v>
      </c>
      <c r="B1376" s="160">
        <v>9302</v>
      </c>
      <c r="C1376" s="153" t="s">
        <v>1512</v>
      </c>
      <c r="D1376" s="153" t="s">
        <v>1513</v>
      </c>
      <c r="E1376" s="153" t="s">
        <v>309</v>
      </c>
      <c r="F1376" s="153" t="s">
        <v>1898</v>
      </c>
      <c r="G1376" s="153" t="s">
        <v>1899</v>
      </c>
      <c r="H1376" s="153" t="s">
        <v>321</v>
      </c>
      <c r="I1376" s="153" t="s">
        <v>754</v>
      </c>
      <c r="J1376" s="153" t="s">
        <v>204</v>
      </c>
      <c r="K1376" s="153" t="s">
        <v>204</v>
      </c>
      <c r="L1376" s="153" t="s">
        <v>325</v>
      </c>
      <c r="M1376" s="153" t="s">
        <v>340</v>
      </c>
      <c r="N1376" s="153" t="s">
        <v>448</v>
      </c>
      <c r="O1376" s="153" t="s">
        <v>339</v>
      </c>
      <c r="P1376" s="153" t="s">
        <v>1215</v>
      </c>
      <c r="Q1376" s="153" t="s">
        <v>413</v>
      </c>
      <c r="R1376" s="153" t="s">
        <v>407</v>
      </c>
      <c r="S1376" s="153" t="s">
        <v>1212</v>
      </c>
      <c r="T1376" s="154">
        <v>3.43</v>
      </c>
      <c r="U1376" s="153" t="s">
        <v>1900</v>
      </c>
      <c r="V1376" s="155">
        <v>1.4019999999999999E-2</v>
      </c>
      <c r="W1376" s="155">
        <v>2.4799999999999999E-2</v>
      </c>
      <c r="X1376" s="153" t="s">
        <v>412</v>
      </c>
      <c r="Y1376" s="153" t="s">
        <v>339</v>
      </c>
      <c r="Z1376" s="154">
        <v>8222078.4299999997</v>
      </c>
      <c r="AA1376" s="154">
        <v>1</v>
      </c>
      <c r="AB1376" s="154">
        <v>102.63</v>
      </c>
      <c r="AD1376" s="154">
        <v>8438.3189999999995</v>
      </c>
      <c r="AG1376" s="157" t="s">
        <v>15</v>
      </c>
      <c r="AH1376" s="155">
        <v>3.16E-3</v>
      </c>
      <c r="AI1376" s="155">
        <f t="shared" si="21"/>
        <v>1.1419832595964418E-2</v>
      </c>
      <c r="AJ1376" s="155">
        <v>2.5237880654775421E-3</v>
      </c>
    </row>
    <row r="1377" spans="1:36" s="160" customFormat="1">
      <c r="A1377" s="153" t="s">
        <v>1213</v>
      </c>
      <c r="B1377" s="160">
        <v>9302</v>
      </c>
      <c r="C1377" s="153" t="s">
        <v>1600</v>
      </c>
      <c r="D1377" s="153" t="s">
        <v>1601</v>
      </c>
      <c r="E1377" s="153" t="s">
        <v>309</v>
      </c>
      <c r="F1377" s="153" t="s">
        <v>2380</v>
      </c>
      <c r="G1377" s="153" t="s">
        <v>2381</v>
      </c>
      <c r="H1377" s="153" t="s">
        <v>321</v>
      </c>
      <c r="I1377" s="153" t="s">
        <v>951</v>
      </c>
      <c r="J1377" s="153" t="s">
        <v>204</v>
      </c>
      <c r="K1377" s="153" t="s">
        <v>204</v>
      </c>
      <c r="L1377" s="153" t="s">
        <v>325</v>
      </c>
      <c r="M1377" s="153" t="s">
        <v>340</v>
      </c>
      <c r="N1377" s="153" t="s">
        <v>448</v>
      </c>
      <c r="O1377" s="153" t="s">
        <v>339</v>
      </c>
      <c r="P1377" s="153" t="s">
        <v>1215</v>
      </c>
      <c r="Q1377" s="153" t="s">
        <v>413</v>
      </c>
      <c r="R1377" s="153" t="s">
        <v>407</v>
      </c>
      <c r="S1377" s="153" t="s">
        <v>1212</v>
      </c>
      <c r="T1377" s="154">
        <v>0.65</v>
      </c>
      <c r="U1377" s="153" t="s">
        <v>2382</v>
      </c>
      <c r="V1377" s="155">
        <v>4.4979999999999999E-2</v>
      </c>
      <c r="W1377" s="155">
        <v>4.4499999999999998E-2</v>
      </c>
      <c r="X1377" s="153" t="s">
        <v>412</v>
      </c>
      <c r="Y1377" s="153" t="s">
        <v>339</v>
      </c>
      <c r="Z1377" s="154">
        <v>7819042</v>
      </c>
      <c r="AA1377" s="154">
        <v>1</v>
      </c>
      <c r="AB1377" s="154">
        <v>100.87</v>
      </c>
      <c r="AD1377" s="154">
        <v>7887.0680000000002</v>
      </c>
      <c r="AG1377" s="157" t="s">
        <v>15</v>
      </c>
      <c r="AH1377" s="155">
        <v>6.4799999999999996E-3</v>
      </c>
      <c r="AI1377" s="155">
        <f t="shared" si="21"/>
        <v>1.0673807927027634E-2</v>
      </c>
      <c r="AJ1377" s="155">
        <v>2.3589162829717424E-3</v>
      </c>
    </row>
    <row r="1378" spans="1:36" s="160" customFormat="1">
      <c r="A1378" s="153" t="s">
        <v>1213</v>
      </c>
      <c r="B1378" s="160">
        <v>9302</v>
      </c>
      <c r="C1378" s="153" t="s">
        <v>2858</v>
      </c>
      <c r="D1378" s="153" t="s">
        <v>2859</v>
      </c>
      <c r="E1378" s="153" t="s">
        <v>309</v>
      </c>
      <c r="F1378" s="153" t="s">
        <v>2860</v>
      </c>
      <c r="G1378" s="153" t="s">
        <v>2861</v>
      </c>
      <c r="H1378" s="153" t="s">
        <v>321</v>
      </c>
      <c r="I1378" s="153" t="s">
        <v>754</v>
      </c>
      <c r="J1378" s="153" t="s">
        <v>204</v>
      </c>
      <c r="K1378" s="153" t="s">
        <v>204</v>
      </c>
      <c r="L1378" s="153" t="s">
        <v>325</v>
      </c>
      <c r="M1378" s="153" t="s">
        <v>340</v>
      </c>
      <c r="N1378" s="153" t="s">
        <v>477</v>
      </c>
      <c r="O1378" s="153" t="s">
        <v>339</v>
      </c>
      <c r="P1378" s="153" t="s">
        <v>1811</v>
      </c>
      <c r="Q1378" s="153" t="s">
        <v>413</v>
      </c>
      <c r="R1378" s="153" t="s">
        <v>407</v>
      </c>
      <c r="S1378" s="153" t="s">
        <v>1212</v>
      </c>
      <c r="T1378" s="154">
        <v>3.63</v>
      </c>
      <c r="U1378" s="153" t="s">
        <v>1555</v>
      </c>
      <c r="V1378" s="155">
        <v>3.47E-3</v>
      </c>
      <c r="W1378" s="155">
        <v>2.3300000000000001E-2</v>
      </c>
      <c r="X1378" s="153" t="s">
        <v>412</v>
      </c>
      <c r="Y1378" s="153" t="s">
        <v>339</v>
      </c>
      <c r="Z1378" s="154">
        <v>7157757.9500000002</v>
      </c>
      <c r="AA1378" s="154">
        <v>1</v>
      </c>
      <c r="AB1378" s="154">
        <v>107.45</v>
      </c>
      <c r="AD1378" s="154">
        <v>7691.0110000000004</v>
      </c>
      <c r="AG1378" s="157" t="s">
        <v>15</v>
      </c>
      <c r="AH1378" s="155">
        <v>0.10224999999999999</v>
      </c>
      <c r="AI1378" s="155">
        <f t="shared" si="21"/>
        <v>1.0408478052763934E-2</v>
      </c>
      <c r="AJ1378" s="155">
        <v>2.3002782631536566E-3</v>
      </c>
    </row>
    <row r="1379" spans="1:36" s="160" customFormat="1">
      <c r="A1379" s="153" t="s">
        <v>1213</v>
      </c>
      <c r="B1379" s="160">
        <v>9302</v>
      </c>
      <c r="C1379" s="153" t="s">
        <v>1691</v>
      </c>
      <c r="D1379" s="153" t="s">
        <v>1692</v>
      </c>
      <c r="E1379" s="153" t="s">
        <v>309</v>
      </c>
      <c r="F1379" s="153" t="s">
        <v>2864</v>
      </c>
      <c r="G1379" s="153" t="s">
        <v>2865</v>
      </c>
      <c r="H1379" s="153" t="s">
        <v>321</v>
      </c>
      <c r="I1379" s="153" t="s">
        <v>754</v>
      </c>
      <c r="J1379" s="153" t="s">
        <v>204</v>
      </c>
      <c r="K1379" s="153" t="s">
        <v>204</v>
      </c>
      <c r="L1379" s="153" t="s">
        <v>325</v>
      </c>
      <c r="M1379" s="153" t="s">
        <v>340</v>
      </c>
      <c r="N1379" s="153" t="s">
        <v>464</v>
      </c>
      <c r="O1379" s="153" t="s">
        <v>339</v>
      </c>
      <c r="P1379" s="153" t="s">
        <v>1538</v>
      </c>
      <c r="Q1379" s="153" t="s">
        <v>413</v>
      </c>
      <c r="R1379" s="153" t="s">
        <v>407</v>
      </c>
      <c r="S1379" s="153" t="s">
        <v>1212</v>
      </c>
      <c r="T1379" s="154">
        <v>3.48</v>
      </c>
      <c r="U1379" s="153" t="s">
        <v>2257</v>
      </c>
      <c r="V1379" s="155">
        <v>1.555E-2</v>
      </c>
      <c r="W1379" s="155">
        <v>2.8899999999999999E-2</v>
      </c>
      <c r="X1379" s="153" t="s">
        <v>412</v>
      </c>
      <c r="Y1379" s="153" t="s">
        <v>339</v>
      </c>
      <c r="Z1379" s="154">
        <v>6296361.96</v>
      </c>
      <c r="AA1379" s="154">
        <v>1</v>
      </c>
      <c r="AB1379" s="154">
        <v>119.87</v>
      </c>
      <c r="AD1379" s="154">
        <v>7547.4489999999996</v>
      </c>
      <c r="AG1379" s="157" t="s">
        <v>15</v>
      </c>
      <c r="AH1379" s="155">
        <v>7.3099999999999997E-3</v>
      </c>
      <c r="AI1379" s="155">
        <f t="shared" si="21"/>
        <v>1.0214191251430416E-2</v>
      </c>
      <c r="AJ1379" s="155">
        <v>2.2573407939425389E-3</v>
      </c>
    </row>
    <row r="1380" spans="1:36" s="160" customFormat="1">
      <c r="A1380" s="153" t="s">
        <v>1213</v>
      </c>
      <c r="B1380" s="160">
        <v>9302</v>
      </c>
      <c r="C1380" s="153" t="s">
        <v>1807</v>
      </c>
      <c r="D1380" s="153" t="s">
        <v>1808</v>
      </c>
      <c r="E1380" s="153" t="s">
        <v>309</v>
      </c>
      <c r="F1380" s="153" t="s">
        <v>1921</v>
      </c>
      <c r="G1380" s="153" t="s">
        <v>1922</v>
      </c>
      <c r="H1380" s="153" t="s">
        <v>321</v>
      </c>
      <c r="I1380" s="153" t="s">
        <v>754</v>
      </c>
      <c r="J1380" s="153" t="s">
        <v>204</v>
      </c>
      <c r="K1380" s="153" t="s">
        <v>204</v>
      </c>
      <c r="L1380" s="153" t="s">
        <v>325</v>
      </c>
      <c r="M1380" s="153" t="s">
        <v>340</v>
      </c>
      <c r="N1380" s="153" t="s">
        <v>464</v>
      </c>
      <c r="O1380" s="153" t="s">
        <v>339</v>
      </c>
      <c r="P1380" s="153" t="s">
        <v>1923</v>
      </c>
      <c r="Q1380" s="153" t="s">
        <v>415</v>
      </c>
      <c r="R1380" s="153" t="s">
        <v>407</v>
      </c>
      <c r="S1380" s="153" t="s">
        <v>1212</v>
      </c>
      <c r="T1380" s="154">
        <v>2.5499999999999998</v>
      </c>
      <c r="U1380" s="153" t="s">
        <v>1744</v>
      </c>
      <c r="V1380" s="155">
        <v>8.6199999999999992E-3</v>
      </c>
      <c r="W1380" s="155">
        <v>2.7099999999999999E-2</v>
      </c>
      <c r="X1380" s="153" t="s">
        <v>412</v>
      </c>
      <c r="Y1380" s="153" t="s">
        <v>339</v>
      </c>
      <c r="Z1380" s="154">
        <v>6550024.1799999997</v>
      </c>
      <c r="AA1380" s="154">
        <v>1</v>
      </c>
      <c r="AB1380" s="154">
        <v>113.19</v>
      </c>
      <c r="AD1380" s="154">
        <v>7413.9719999999998</v>
      </c>
      <c r="AG1380" s="157" t="s">
        <v>15</v>
      </c>
      <c r="AH1380" s="155">
        <v>2.5200000000000001E-3</v>
      </c>
      <c r="AI1380" s="155">
        <f t="shared" si="21"/>
        <v>1.0033552785947948E-2</v>
      </c>
      <c r="AJ1380" s="155">
        <v>2.2174196130040433E-3</v>
      </c>
    </row>
    <row r="1381" spans="1:36" s="160" customFormat="1">
      <c r="A1381" s="153" t="s">
        <v>1213</v>
      </c>
      <c r="B1381" s="160">
        <v>9302</v>
      </c>
      <c r="C1381" s="153" t="s">
        <v>1904</v>
      </c>
      <c r="D1381" s="153" t="s">
        <v>1905</v>
      </c>
      <c r="E1381" s="153" t="s">
        <v>309</v>
      </c>
      <c r="F1381" s="153" t="s">
        <v>1906</v>
      </c>
      <c r="G1381" s="153" t="s">
        <v>1907</v>
      </c>
      <c r="H1381" s="153" t="s">
        <v>321</v>
      </c>
      <c r="I1381" s="153" t="s">
        <v>754</v>
      </c>
      <c r="J1381" s="153" t="s">
        <v>204</v>
      </c>
      <c r="K1381" s="153" t="s">
        <v>204</v>
      </c>
      <c r="L1381" s="153" t="s">
        <v>325</v>
      </c>
      <c r="M1381" s="153" t="s">
        <v>340</v>
      </c>
      <c r="N1381" s="153" t="s">
        <v>448</v>
      </c>
      <c r="O1381" s="153" t="s">
        <v>339</v>
      </c>
      <c r="P1381" s="153" t="s">
        <v>1215</v>
      </c>
      <c r="Q1381" s="153" t="s">
        <v>413</v>
      </c>
      <c r="R1381" s="153" t="s">
        <v>407</v>
      </c>
      <c r="S1381" s="153" t="s">
        <v>1212</v>
      </c>
      <c r="T1381" s="154">
        <v>3.98</v>
      </c>
      <c r="U1381" s="153" t="s">
        <v>1908</v>
      </c>
      <c r="V1381" s="155">
        <v>-3.8E-3</v>
      </c>
      <c r="W1381" s="155">
        <v>2.52E-2</v>
      </c>
      <c r="X1381" s="153" t="s">
        <v>412</v>
      </c>
      <c r="Y1381" s="153" t="s">
        <v>339</v>
      </c>
      <c r="Z1381" s="154">
        <v>7202903.2699999996</v>
      </c>
      <c r="AA1381" s="154">
        <v>1</v>
      </c>
      <c r="AB1381" s="154">
        <v>102.6</v>
      </c>
      <c r="AD1381" s="154">
        <v>7390.1790000000001</v>
      </c>
      <c r="AG1381" s="157" t="s">
        <v>15</v>
      </c>
      <c r="AH1381" s="155">
        <v>1.98E-3</v>
      </c>
      <c r="AI1381" s="155">
        <f t="shared" si="21"/>
        <v>1.0001352998649581E-2</v>
      </c>
      <c r="AJ1381" s="155">
        <v>2.2103034457387496E-3</v>
      </c>
    </row>
    <row r="1382" spans="1:36" s="160" customFormat="1">
      <c r="A1382" s="153" t="s">
        <v>1213</v>
      </c>
      <c r="B1382" s="160">
        <v>9302</v>
      </c>
      <c r="C1382" s="153" t="s">
        <v>2385</v>
      </c>
      <c r="D1382" s="153" t="s">
        <v>2386</v>
      </c>
      <c r="E1382" s="153" t="s">
        <v>309</v>
      </c>
      <c r="F1382" s="153" t="s">
        <v>2387</v>
      </c>
      <c r="G1382" s="153" t="s">
        <v>2388</v>
      </c>
      <c r="H1382" s="153" t="s">
        <v>321</v>
      </c>
      <c r="I1382" s="153" t="s">
        <v>754</v>
      </c>
      <c r="J1382" s="153" t="s">
        <v>204</v>
      </c>
      <c r="K1382" s="153" t="s">
        <v>204</v>
      </c>
      <c r="L1382" s="153" t="s">
        <v>325</v>
      </c>
      <c r="M1382" s="153" t="s">
        <v>340</v>
      </c>
      <c r="N1382" s="153" t="s">
        <v>464</v>
      </c>
      <c r="O1382" s="153" t="s">
        <v>339</v>
      </c>
      <c r="P1382" s="153" t="s">
        <v>1211</v>
      </c>
      <c r="Q1382" s="153" t="s">
        <v>415</v>
      </c>
      <c r="R1382" s="153" t="s">
        <v>407</v>
      </c>
      <c r="S1382" s="153" t="s">
        <v>1212</v>
      </c>
      <c r="T1382" s="154">
        <v>1.46</v>
      </c>
      <c r="U1382" s="153" t="s">
        <v>1659</v>
      </c>
      <c r="V1382" s="155">
        <v>8.6099999999999996E-3</v>
      </c>
      <c r="W1382" s="155">
        <v>2.1899999999999999E-2</v>
      </c>
      <c r="X1382" s="153" t="s">
        <v>412</v>
      </c>
      <c r="Y1382" s="153" t="s">
        <v>339</v>
      </c>
      <c r="Z1382" s="154">
        <v>6176630.8200000003</v>
      </c>
      <c r="AA1382" s="154">
        <v>1</v>
      </c>
      <c r="AB1382" s="154">
        <v>114.36</v>
      </c>
      <c r="AD1382" s="154">
        <v>7063.5950000000003</v>
      </c>
      <c r="AG1382" s="157" t="s">
        <v>15</v>
      </c>
      <c r="AH1382" s="155">
        <v>5.1999999999999998E-3</v>
      </c>
      <c r="AI1382" s="155">
        <f t="shared" si="21"/>
        <v>9.5593769832227598E-3</v>
      </c>
      <c r="AJ1382" s="155">
        <v>2.1126265504263163E-3</v>
      </c>
    </row>
    <row r="1383" spans="1:36" s="160" customFormat="1">
      <c r="A1383" s="153" t="s">
        <v>1213</v>
      </c>
      <c r="B1383" s="160">
        <v>9302</v>
      </c>
      <c r="C1383" s="153" t="s">
        <v>2336</v>
      </c>
      <c r="D1383" s="153" t="s">
        <v>2337</v>
      </c>
      <c r="E1383" s="153" t="s">
        <v>309</v>
      </c>
      <c r="F1383" s="153" t="s">
        <v>2796</v>
      </c>
      <c r="G1383" s="153" t="s">
        <v>2797</v>
      </c>
      <c r="H1383" s="153" t="s">
        <v>321</v>
      </c>
      <c r="I1383" s="153" t="s">
        <v>754</v>
      </c>
      <c r="J1383" s="153" t="s">
        <v>204</v>
      </c>
      <c r="K1383" s="153" t="s">
        <v>204</v>
      </c>
      <c r="L1383" s="153" t="s">
        <v>325</v>
      </c>
      <c r="M1383" s="153" t="s">
        <v>340</v>
      </c>
      <c r="N1383" s="153" t="s">
        <v>464</v>
      </c>
      <c r="O1383" s="153" t="s">
        <v>339</v>
      </c>
      <c r="P1383" s="153" t="s">
        <v>1982</v>
      </c>
      <c r="Q1383" s="153" t="s">
        <v>415</v>
      </c>
      <c r="R1383" s="153" t="s">
        <v>407</v>
      </c>
      <c r="S1383" s="153" t="s">
        <v>1212</v>
      </c>
      <c r="T1383" s="154">
        <v>2.91</v>
      </c>
      <c r="U1383" s="153" t="s">
        <v>2798</v>
      </c>
      <c r="V1383" s="155">
        <v>1.4160000000000001E-2</v>
      </c>
      <c r="W1383" s="155">
        <v>2.76E-2</v>
      </c>
      <c r="X1383" s="153" t="s">
        <v>412</v>
      </c>
      <c r="Y1383" s="153" t="s">
        <v>339</v>
      </c>
      <c r="Z1383" s="154">
        <v>6032442.9400000004</v>
      </c>
      <c r="AA1383" s="154">
        <v>1</v>
      </c>
      <c r="AB1383" s="154">
        <v>114.46</v>
      </c>
      <c r="AD1383" s="154">
        <v>6904.7340000000004</v>
      </c>
      <c r="AG1383" s="157" t="s">
        <v>15</v>
      </c>
      <c r="AH1383" s="155">
        <v>5.2700000000000004E-3</v>
      </c>
      <c r="AI1383" s="155">
        <f t="shared" si="21"/>
        <v>9.3443855819700331E-3</v>
      </c>
      <c r="AJ1383" s="155">
        <v>2.0651133554558691E-3</v>
      </c>
    </row>
    <row r="1384" spans="1:36" s="160" customFormat="1">
      <c r="A1384" s="153" t="s">
        <v>1213</v>
      </c>
      <c r="B1384" s="160">
        <v>9302</v>
      </c>
      <c r="C1384" s="153" t="s">
        <v>1600</v>
      </c>
      <c r="D1384" s="153" t="s">
        <v>1601</v>
      </c>
      <c r="E1384" s="153" t="s">
        <v>309</v>
      </c>
      <c r="F1384" s="153" t="s">
        <v>2353</v>
      </c>
      <c r="G1384" s="153" t="s">
        <v>2354</v>
      </c>
      <c r="H1384" s="153" t="s">
        <v>321</v>
      </c>
      <c r="I1384" s="153" t="s">
        <v>754</v>
      </c>
      <c r="J1384" s="153" t="s">
        <v>204</v>
      </c>
      <c r="K1384" s="153" t="s">
        <v>204</v>
      </c>
      <c r="L1384" s="153" t="s">
        <v>325</v>
      </c>
      <c r="M1384" s="153" t="s">
        <v>340</v>
      </c>
      <c r="N1384" s="153" t="s">
        <v>448</v>
      </c>
      <c r="O1384" s="153" t="s">
        <v>339</v>
      </c>
      <c r="P1384" s="153" t="s">
        <v>1215</v>
      </c>
      <c r="Q1384" s="153" t="s">
        <v>413</v>
      </c>
      <c r="R1384" s="153" t="s">
        <v>407</v>
      </c>
      <c r="S1384" s="153" t="s">
        <v>1212</v>
      </c>
      <c r="T1384" s="154">
        <v>2.04</v>
      </c>
      <c r="U1384" s="153" t="s">
        <v>2355</v>
      </c>
      <c r="V1384" s="155">
        <v>6.0000000000000001E-3</v>
      </c>
      <c r="W1384" s="155">
        <v>2.07E-2</v>
      </c>
      <c r="X1384" s="153" t="s">
        <v>412</v>
      </c>
      <c r="Y1384" s="153" t="s">
        <v>339</v>
      </c>
      <c r="Z1384" s="154">
        <v>5982341.3099999996</v>
      </c>
      <c r="AA1384" s="154">
        <v>1</v>
      </c>
      <c r="AB1384" s="154">
        <v>113.24</v>
      </c>
      <c r="AD1384" s="154">
        <v>6774.4030000000002</v>
      </c>
      <c r="AG1384" s="157" t="s">
        <v>15</v>
      </c>
      <c r="AH1384" s="155">
        <v>6.7200000000000003E-3</v>
      </c>
      <c r="AI1384" s="155">
        <f t="shared" si="21"/>
        <v>9.1680046935413498E-3</v>
      </c>
      <c r="AJ1384" s="155">
        <v>2.0261331009334038E-3</v>
      </c>
    </row>
    <row r="1385" spans="1:36" s="160" customFormat="1">
      <c r="A1385" s="153" t="s">
        <v>1213</v>
      </c>
      <c r="B1385" s="160">
        <v>9302</v>
      </c>
      <c r="C1385" s="153" t="s">
        <v>1573</v>
      </c>
      <c r="D1385" s="153" t="s">
        <v>1574</v>
      </c>
      <c r="E1385" s="153" t="s">
        <v>309</v>
      </c>
      <c r="F1385" s="153" t="s">
        <v>2310</v>
      </c>
      <c r="G1385" s="153" t="s">
        <v>2311</v>
      </c>
      <c r="H1385" s="153" t="s">
        <v>321</v>
      </c>
      <c r="I1385" s="153" t="s">
        <v>754</v>
      </c>
      <c r="J1385" s="153" t="s">
        <v>204</v>
      </c>
      <c r="K1385" s="153" t="s">
        <v>204</v>
      </c>
      <c r="L1385" s="153" t="s">
        <v>325</v>
      </c>
      <c r="M1385" s="153" t="s">
        <v>340</v>
      </c>
      <c r="N1385" s="153" t="s">
        <v>448</v>
      </c>
      <c r="O1385" s="153" t="s">
        <v>339</v>
      </c>
      <c r="P1385" s="153" t="s">
        <v>1215</v>
      </c>
      <c r="Q1385" s="153" t="s">
        <v>413</v>
      </c>
      <c r="R1385" s="153" t="s">
        <v>407</v>
      </c>
      <c r="S1385" s="153" t="s">
        <v>1212</v>
      </c>
      <c r="T1385" s="154">
        <v>1.74</v>
      </c>
      <c r="U1385" s="153" t="s">
        <v>1833</v>
      </c>
      <c r="V1385" s="155">
        <v>-4.8700000000000002E-3</v>
      </c>
      <c r="W1385" s="155">
        <v>2.0400000000000001E-2</v>
      </c>
      <c r="X1385" s="153" t="s">
        <v>412</v>
      </c>
      <c r="Y1385" s="153" t="s">
        <v>339</v>
      </c>
      <c r="Z1385" s="154">
        <v>5671529.5</v>
      </c>
      <c r="AA1385" s="154">
        <v>1</v>
      </c>
      <c r="AB1385" s="154">
        <v>113.2</v>
      </c>
      <c r="AD1385" s="154">
        <v>6420.1710000000003</v>
      </c>
      <c r="AG1385" s="157" t="s">
        <v>15</v>
      </c>
      <c r="AH1385" s="155">
        <v>3.7299999999999998E-3</v>
      </c>
      <c r="AI1385" s="155">
        <f t="shared" si="21"/>
        <v>8.688611802595456E-3</v>
      </c>
      <c r="AJ1385" s="155">
        <v>1.9201870595464594E-3</v>
      </c>
    </row>
    <row r="1386" spans="1:36" s="160" customFormat="1">
      <c r="A1386" s="153" t="s">
        <v>1213</v>
      </c>
      <c r="B1386" s="160">
        <v>9302</v>
      </c>
      <c r="C1386" s="153" t="s">
        <v>1512</v>
      </c>
      <c r="D1386" s="153" t="s">
        <v>1513</v>
      </c>
      <c r="E1386" s="153" t="s">
        <v>309</v>
      </c>
      <c r="F1386" s="153" t="s">
        <v>2531</v>
      </c>
      <c r="G1386" s="153" t="s">
        <v>2532</v>
      </c>
      <c r="H1386" s="153" t="s">
        <v>321</v>
      </c>
      <c r="I1386" s="153" t="s">
        <v>754</v>
      </c>
      <c r="J1386" s="153" t="s">
        <v>204</v>
      </c>
      <c r="K1386" s="153" t="s">
        <v>204</v>
      </c>
      <c r="L1386" s="153" t="s">
        <v>325</v>
      </c>
      <c r="M1386" s="153" t="s">
        <v>340</v>
      </c>
      <c r="N1386" s="153" t="s">
        <v>448</v>
      </c>
      <c r="O1386" s="153" t="s">
        <v>339</v>
      </c>
      <c r="P1386" s="153" t="s">
        <v>1215</v>
      </c>
      <c r="Q1386" s="153" t="s">
        <v>413</v>
      </c>
      <c r="R1386" s="153" t="s">
        <v>407</v>
      </c>
      <c r="S1386" s="153" t="s">
        <v>1212</v>
      </c>
      <c r="T1386" s="154">
        <v>3.48</v>
      </c>
      <c r="U1386" s="153" t="s">
        <v>2533</v>
      </c>
      <c r="V1386" s="155">
        <v>1.3050000000000001E-2</v>
      </c>
      <c r="W1386" s="155">
        <v>2.4500000000000001E-2</v>
      </c>
      <c r="X1386" s="153" t="s">
        <v>412</v>
      </c>
      <c r="Y1386" s="153" t="s">
        <v>339</v>
      </c>
      <c r="Z1386" s="154">
        <v>6077801.7999999998</v>
      </c>
      <c r="AA1386" s="154">
        <v>1</v>
      </c>
      <c r="AB1386" s="154">
        <v>105.53</v>
      </c>
      <c r="AD1386" s="154">
        <v>6413.9040000000005</v>
      </c>
      <c r="AG1386" s="157" t="s">
        <v>15</v>
      </c>
      <c r="AH1386" s="155">
        <v>5.6499999999999996E-3</v>
      </c>
      <c r="AI1386" s="155">
        <f t="shared" si="21"/>
        <v>8.6801304817448327E-3</v>
      </c>
      <c r="AJ1386" s="155">
        <v>1.9183126838791793E-3</v>
      </c>
    </row>
    <row r="1387" spans="1:36" s="160" customFormat="1">
      <c r="A1387" s="153" t="s">
        <v>1213</v>
      </c>
      <c r="B1387" s="160">
        <v>9302</v>
      </c>
      <c r="C1387" s="153" t="s">
        <v>1512</v>
      </c>
      <c r="D1387" s="153" t="s">
        <v>1513</v>
      </c>
      <c r="E1387" s="153" t="s">
        <v>309</v>
      </c>
      <c r="F1387" s="153" t="s">
        <v>2103</v>
      </c>
      <c r="G1387" s="153" t="s">
        <v>2104</v>
      </c>
      <c r="H1387" s="153" t="s">
        <v>321</v>
      </c>
      <c r="I1387" s="153" t="s">
        <v>754</v>
      </c>
      <c r="J1387" s="153" t="s">
        <v>204</v>
      </c>
      <c r="K1387" s="153" t="s">
        <v>204</v>
      </c>
      <c r="L1387" s="153" t="s">
        <v>325</v>
      </c>
      <c r="M1387" s="153" t="s">
        <v>340</v>
      </c>
      <c r="N1387" s="153" t="s">
        <v>448</v>
      </c>
      <c r="O1387" s="153" t="s">
        <v>339</v>
      </c>
      <c r="P1387" s="153" t="s">
        <v>1215</v>
      </c>
      <c r="Q1387" s="153" t="s">
        <v>413</v>
      </c>
      <c r="R1387" s="153" t="s">
        <v>407</v>
      </c>
      <c r="S1387" s="153" t="s">
        <v>1212</v>
      </c>
      <c r="T1387" s="154">
        <v>4.38</v>
      </c>
      <c r="U1387" s="153" t="s">
        <v>2105</v>
      </c>
      <c r="V1387" s="155">
        <v>1.77E-2</v>
      </c>
      <c r="W1387" s="155">
        <v>2.5700000000000001E-2</v>
      </c>
      <c r="X1387" s="153" t="s">
        <v>412</v>
      </c>
      <c r="Y1387" s="153" t="s">
        <v>339</v>
      </c>
      <c r="Z1387" s="154">
        <v>6250000</v>
      </c>
      <c r="AA1387" s="154">
        <v>1</v>
      </c>
      <c r="AB1387" s="154">
        <v>102.5</v>
      </c>
      <c r="AD1387" s="154">
        <v>6406.25</v>
      </c>
      <c r="AG1387" s="157" t="s">
        <v>15</v>
      </c>
      <c r="AH1387" s="155">
        <v>2.31E-3</v>
      </c>
      <c r="AI1387" s="155">
        <f t="shared" si="21"/>
        <v>8.6697720917989773E-3</v>
      </c>
      <c r="AJ1387" s="155">
        <v>1.9160234751098538E-3</v>
      </c>
    </row>
    <row r="1388" spans="1:36" s="160" customFormat="1">
      <c r="A1388" s="153" t="s">
        <v>1213</v>
      </c>
      <c r="B1388" s="160">
        <v>9302</v>
      </c>
      <c r="C1388" s="153" t="s">
        <v>2203</v>
      </c>
      <c r="D1388" s="153" t="s">
        <v>2204</v>
      </c>
      <c r="E1388" s="153" t="s">
        <v>309</v>
      </c>
      <c r="F1388" s="153" t="s">
        <v>2733</v>
      </c>
      <c r="G1388" s="153" t="s">
        <v>2734</v>
      </c>
      <c r="H1388" s="153" t="s">
        <v>321</v>
      </c>
      <c r="I1388" s="153" t="s">
        <v>951</v>
      </c>
      <c r="J1388" s="153" t="s">
        <v>204</v>
      </c>
      <c r="K1388" s="153" t="s">
        <v>204</v>
      </c>
      <c r="L1388" s="153" t="s">
        <v>325</v>
      </c>
      <c r="M1388" s="153" t="s">
        <v>340</v>
      </c>
      <c r="N1388" s="153" t="s">
        <v>459</v>
      </c>
      <c r="O1388" s="153" t="s">
        <v>339</v>
      </c>
      <c r="P1388" s="153" t="s">
        <v>1811</v>
      </c>
      <c r="Q1388" s="153" t="s">
        <v>413</v>
      </c>
      <c r="R1388" s="153" t="s">
        <v>407</v>
      </c>
      <c r="S1388" s="153" t="s">
        <v>1212</v>
      </c>
      <c r="T1388" s="154">
        <v>1.69</v>
      </c>
      <c r="U1388" s="153" t="s">
        <v>1572</v>
      </c>
      <c r="V1388" s="155">
        <v>2.6249999999999999E-2</v>
      </c>
      <c r="W1388" s="155">
        <v>4.6899999999999997E-2</v>
      </c>
      <c r="X1388" s="153" t="s">
        <v>412</v>
      </c>
      <c r="Y1388" s="153" t="s">
        <v>339</v>
      </c>
      <c r="Z1388" s="154">
        <v>6537419.0499999998</v>
      </c>
      <c r="AA1388" s="154">
        <v>1</v>
      </c>
      <c r="AB1388" s="154">
        <v>97.33</v>
      </c>
      <c r="AD1388" s="154">
        <v>6362.87</v>
      </c>
      <c r="AG1388" s="157" t="s">
        <v>15</v>
      </c>
      <c r="AH1388" s="155">
        <v>1.8069999999999999E-2</v>
      </c>
      <c r="AI1388" s="155">
        <f t="shared" si="21"/>
        <v>8.6110646243504323E-3</v>
      </c>
      <c r="AJ1388" s="155">
        <v>1.9030490987820075E-3</v>
      </c>
    </row>
    <row r="1389" spans="1:36" s="160" customFormat="1">
      <c r="A1389" s="153" t="s">
        <v>1213</v>
      </c>
      <c r="B1389" s="160">
        <v>9302</v>
      </c>
      <c r="C1389" s="153" t="s">
        <v>1556</v>
      </c>
      <c r="D1389" s="153" t="s">
        <v>1557</v>
      </c>
      <c r="E1389" s="153" t="s">
        <v>311</v>
      </c>
      <c r="F1389" s="153" t="s">
        <v>2862</v>
      </c>
      <c r="G1389" s="153" t="s">
        <v>2863</v>
      </c>
      <c r="H1389" s="153" t="s">
        <v>321</v>
      </c>
      <c r="I1389" s="153" t="s">
        <v>951</v>
      </c>
      <c r="J1389" s="153" t="s">
        <v>204</v>
      </c>
      <c r="K1389" s="153" t="s">
        <v>224</v>
      </c>
      <c r="L1389" s="153" t="s">
        <v>325</v>
      </c>
      <c r="M1389" s="153" t="s">
        <v>340</v>
      </c>
      <c r="N1389" s="153" t="s">
        <v>465</v>
      </c>
      <c r="O1389" s="153" t="s">
        <v>339</v>
      </c>
      <c r="P1389" s="153" t="s">
        <v>1521</v>
      </c>
      <c r="Q1389" s="153" t="s">
        <v>413</v>
      </c>
      <c r="R1389" s="153" t="s">
        <v>407</v>
      </c>
      <c r="S1389" s="153" t="s">
        <v>1212</v>
      </c>
      <c r="T1389" s="154">
        <v>0.17</v>
      </c>
      <c r="U1389" s="153" t="s">
        <v>1503</v>
      </c>
      <c r="V1389" s="155">
        <v>4.1869999999999997E-2</v>
      </c>
      <c r="W1389" s="155">
        <v>5.8900000000000001E-2</v>
      </c>
      <c r="X1389" s="153" t="s">
        <v>412</v>
      </c>
      <c r="Y1389" s="153" t="s">
        <v>339</v>
      </c>
      <c r="Z1389" s="154">
        <v>5978224.9000000004</v>
      </c>
      <c r="AA1389" s="154">
        <v>1</v>
      </c>
      <c r="AB1389" s="154">
        <v>100.98</v>
      </c>
      <c r="AD1389" s="154">
        <v>6036.8119999999999</v>
      </c>
      <c r="AG1389" s="157" t="s">
        <v>15</v>
      </c>
      <c r="AH1389" s="155">
        <v>1.5440000000000001E-2</v>
      </c>
      <c r="AI1389" s="155">
        <f t="shared" si="21"/>
        <v>8.1698004606497038E-3</v>
      </c>
      <c r="AJ1389" s="155">
        <v>1.8055295230165645E-3</v>
      </c>
    </row>
    <row r="1390" spans="1:36" s="160" customFormat="1">
      <c r="A1390" s="153" t="s">
        <v>1213</v>
      </c>
      <c r="B1390" s="160">
        <v>9302</v>
      </c>
      <c r="C1390" s="153" t="s">
        <v>1512</v>
      </c>
      <c r="D1390" s="153" t="s">
        <v>1513</v>
      </c>
      <c r="E1390" s="153" t="s">
        <v>309</v>
      </c>
      <c r="F1390" s="153" t="s">
        <v>2632</v>
      </c>
      <c r="G1390" s="153" t="s">
        <v>2633</v>
      </c>
      <c r="H1390" s="153" t="s">
        <v>321</v>
      </c>
      <c r="I1390" s="153" t="s">
        <v>754</v>
      </c>
      <c r="J1390" s="153" t="s">
        <v>204</v>
      </c>
      <c r="K1390" s="153" t="s">
        <v>204</v>
      </c>
      <c r="L1390" s="153" t="s">
        <v>325</v>
      </c>
      <c r="M1390" s="153" t="s">
        <v>340</v>
      </c>
      <c r="N1390" s="153" t="s">
        <v>448</v>
      </c>
      <c r="O1390" s="153" t="s">
        <v>339</v>
      </c>
      <c r="P1390" s="153" t="s">
        <v>1211</v>
      </c>
      <c r="Q1390" s="153" t="s">
        <v>415</v>
      </c>
      <c r="R1390" s="153" t="s">
        <v>407</v>
      </c>
      <c r="S1390" s="153" t="s">
        <v>1212</v>
      </c>
      <c r="T1390" s="154">
        <v>2.16</v>
      </c>
      <c r="U1390" s="153" t="s">
        <v>2634</v>
      </c>
      <c r="V1390" s="155">
        <v>5.0000000000000001E-3</v>
      </c>
      <c r="W1390" s="155">
        <v>2.1399999999999999E-2</v>
      </c>
      <c r="X1390" s="153" t="s">
        <v>412</v>
      </c>
      <c r="Y1390" s="153" t="s">
        <v>339</v>
      </c>
      <c r="Z1390" s="154">
        <v>5355685</v>
      </c>
      <c r="AA1390" s="154">
        <v>1</v>
      </c>
      <c r="AB1390" s="154">
        <v>110.72</v>
      </c>
      <c r="AD1390" s="154">
        <v>5929.8140000000003</v>
      </c>
      <c r="AG1390" s="157" t="s">
        <v>15</v>
      </c>
      <c r="AH1390" s="155">
        <v>7.0200000000000002E-3</v>
      </c>
      <c r="AI1390" s="155">
        <f t="shared" si="21"/>
        <v>8.0249968275916284E-3</v>
      </c>
      <c r="AJ1390" s="155">
        <v>1.7735278559274244E-3</v>
      </c>
    </row>
    <row r="1391" spans="1:36" s="160" customFormat="1">
      <c r="A1391" s="153" t="s">
        <v>1213</v>
      </c>
      <c r="B1391" s="160">
        <v>9302</v>
      </c>
      <c r="C1391" s="153" t="s">
        <v>1573</v>
      </c>
      <c r="D1391" s="153" t="s">
        <v>1574</v>
      </c>
      <c r="E1391" s="153" t="s">
        <v>309</v>
      </c>
      <c r="F1391" s="153" t="s">
        <v>2534</v>
      </c>
      <c r="G1391" s="153" t="s">
        <v>2535</v>
      </c>
      <c r="H1391" s="153" t="s">
        <v>321</v>
      </c>
      <c r="I1391" s="153" t="s">
        <v>951</v>
      </c>
      <c r="J1391" s="153" t="s">
        <v>204</v>
      </c>
      <c r="K1391" s="153" t="s">
        <v>204</v>
      </c>
      <c r="L1391" s="153" t="s">
        <v>325</v>
      </c>
      <c r="M1391" s="153" t="s">
        <v>340</v>
      </c>
      <c r="N1391" s="153" t="s">
        <v>448</v>
      </c>
      <c r="O1391" s="153" t="s">
        <v>339</v>
      </c>
      <c r="P1391" s="153" t="s">
        <v>1215</v>
      </c>
      <c r="Q1391" s="153" t="s">
        <v>413</v>
      </c>
      <c r="R1391" s="153" t="s">
        <v>407</v>
      </c>
      <c r="S1391" s="153" t="s">
        <v>1212</v>
      </c>
      <c r="T1391" s="154">
        <v>0.41</v>
      </c>
      <c r="U1391" s="153" t="s">
        <v>1392</v>
      </c>
      <c r="V1391" s="155">
        <v>1.7049999999999999E-2</v>
      </c>
      <c r="W1391" s="155">
        <v>4.4299999999999999E-2</v>
      </c>
      <c r="X1391" s="153" t="s">
        <v>412</v>
      </c>
      <c r="Y1391" s="153" t="s">
        <v>339</v>
      </c>
      <c r="Z1391" s="154">
        <v>5877143</v>
      </c>
      <c r="AA1391" s="154">
        <v>1</v>
      </c>
      <c r="AB1391" s="154">
        <v>100.22</v>
      </c>
      <c r="AD1391" s="154">
        <v>5890.0730000000003</v>
      </c>
      <c r="AG1391" s="157" t="s">
        <v>15</v>
      </c>
      <c r="AH1391" s="155">
        <v>6.96E-3</v>
      </c>
      <c r="AI1391" s="155">
        <f t="shared" si="21"/>
        <v>7.9712141290237942E-3</v>
      </c>
      <c r="AJ1391" s="155">
        <v>1.7616418557050884E-3</v>
      </c>
    </row>
    <row r="1392" spans="1:36" s="160" customFormat="1">
      <c r="A1392" s="153" t="s">
        <v>1213</v>
      </c>
      <c r="B1392" s="160">
        <v>9302</v>
      </c>
      <c r="C1392" s="153" t="s">
        <v>1861</v>
      </c>
      <c r="D1392" s="153" t="s">
        <v>1862</v>
      </c>
      <c r="E1392" s="153" t="s">
        <v>309</v>
      </c>
      <c r="F1392" s="153" t="s">
        <v>1995</v>
      </c>
      <c r="G1392" s="153" t="s">
        <v>1996</v>
      </c>
      <c r="H1392" s="153" t="s">
        <v>321</v>
      </c>
      <c r="I1392" s="153" t="s">
        <v>754</v>
      </c>
      <c r="J1392" s="153" t="s">
        <v>204</v>
      </c>
      <c r="K1392" s="153" t="s">
        <v>204</v>
      </c>
      <c r="L1392" s="153" t="s">
        <v>325</v>
      </c>
      <c r="M1392" s="153" t="s">
        <v>340</v>
      </c>
      <c r="N1392" s="153" t="s">
        <v>464</v>
      </c>
      <c r="O1392" s="153" t="s">
        <v>339</v>
      </c>
      <c r="P1392" s="153" t="s">
        <v>1538</v>
      </c>
      <c r="Q1392" s="153" t="s">
        <v>413</v>
      </c>
      <c r="R1392" s="153" t="s">
        <v>407</v>
      </c>
      <c r="S1392" s="153" t="s">
        <v>1212</v>
      </c>
      <c r="T1392" s="154">
        <v>1.5</v>
      </c>
      <c r="U1392" s="153" t="s">
        <v>1997</v>
      </c>
      <c r="V1392" s="155">
        <v>1.387E-2</v>
      </c>
      <c r="W1392" s="155">
        <v>2.53E-2</v>
      </c>
      <c r="X1392" s="153" t="s">
        <v>412</v>
      </c>
      <c r="Y1392" s="153" t="s">
        <v>339</v>
      </c>
      <c r="Z1392" s="154">
        <v>4977875.41</v>
      </c>
      <c r="AA1392" s="154">
        <v>1</v>
      </c>
      <c r="AB1392" s="154">
        <v>117.88</v>
      </c>
      <c r="AD1392" s="154">
        <v>5867.92</v>
      </c>
      <c r="AG1392" s="157" t="s">
        <v>15</v>
      </c>
      <c r="AH1392" s="155">
        <v>4.1700000000000001E-3</v>
      </c>
      <c r="AI1392" s="155">
        <f t="shared" si="21"/>
        <v>7.9412338033809267E-3</v>
      </c>
      <c r="AJ1392" s="155">
        <v>1.7550161904494226E-3</v>
      </c>
    </row>
    <row r="1393" spans="1:36" s="160" customFormat="1">
      <c r="A1393" s="153" t="s">
        <v>1213</v>
      </c>
      <c r="B1393" s="160">
        <v>9302</v>
      </c>
      <c r="C1393" s="153" t="s">
        <v>1705</v>
      </c>
      <c r="D1393" s="153" t="s">
        <v>1706</v>
      </c>
      <c r="E1393" s="153" t="s">
        <v>311</v>
      </c>
      <c r="F1393" s="153" t="s">
        <v>1707</v>
      </c>
      <c r="G1393" s="153" t="s">
        <v>1708</v>
      </c>
      <c r="H1393" s="153" t="s">
        <v>321</v>
      </c>
      <c r="I1393" s="153" t="s">
        <v>951</v>
      </c>
      <c r="J1393" s="153" t="s">
        <v>204</v>
      </c>
      <c r="K1393" s="153" t="s">
        <v>224</v>
      </c>
      <c r="L1393" s="153" t="s">
        <v>325</v>
      </c>
      <c r="M1393" s="153" t="s">
        <v>340</v>
      </c>
      <c r="N1393" s="153" t="s">
        <v>443</v>
      </c>
      <c r="O1393" s="153" t="s">
        <v>339</v>
      </c>
      <c r="P1393" s="153" t="s">
        <v>1544</v>
      </c>
      <c r="Q1393" s="153" t="s">
        <v>415</v>
      </c>
      <c r="R1393" s="153" t="s">
        <v>407</v>
      </c>
      <c r="S1393" s="153" t="s">
        <v>1212</v>
      </c>
      <c r="T1393" s="154">
        <v>0.96</v>
      </c>
      <c r="U1393" s="153" t="s">
        <v>1709</v>
      </c>
      <c r="V1393" s="155">
        <v>5.5169999999999997E-2</v>
      </c>
      <c r="W1393" s="155">
        <v>6.4100000000000004E-2</v>
      </c>
      <c r="X1393" s="153" t="s">
        <v>412</v>
      </c>
      <c r="Y1393" s="153" t="s">
        <v>339</v>
      </c>
      <c r="Z1393" s="154">
        <v>5928864.4199999999</v>
      </c>
      <c r="AA1393" s="154">
        <v>1</v>
      </c>
      <c r="AB1393" s="154">
        <v>98.68</v>
      </c>
      <c r="AD1393" s="154">
        <v>5850.6030000000001</v>
      </c>
      <c r="AG1393" s="157" t="s">
        <v>15</v>
      </c>
      <c r="AH1393" s="155">
        <v>9.3900000000000008E-3</v>
      </c>
      <c r="AI1393" s="155">
        <f t="shared" si="21"/>
        <v>7.9177981829612297E-3</v>
      </c>
      <c r="AJ1393" s="155">
        <v>1.7498369079489773E-3</v>
      </c>
    </row>
    <row r="1394" spans="1:36" s="160" customFormat="1">
      <c r="A1394" s="153" t="s">
        <v>1213</v>
      </c>
      <c r="B1394" s="160">
        <v>9302</v>
      </c>
      <c r="C1394" s="153" t="s">
        <v>1512</v>
      </c>
      <c r="D1394" s="153" t="s">
        <v>1513</v>
      </c>
      <c r="E1394" s="153" t="s">
        <v>309</v>
      </c>
      <c r="F1394" s="153" t="s">
        <v>2474</v>
      </c>
      <c r="G1394" s="153" t="s">
        <v>2475</v>
      </c>
      <c r="H1394" s="153" t="s">
        <v>321</v>
      </c>
      <c r="I1394" s="153" t="s">
        <v>754</v>
      </c>
      <c r="J1394" s="153" t="s">
        <v>204</v>
      </c>
      <c r="K1394" s="153" t="s">
        <v>204</v>
      </c>
      <c r="L1394" s="153" t="s">
        <v>325</v>
      </c>
      <c r="M1394" s="153" t="s">
        <v>340</v>
      </c>
      <c r="N1394" s="153" t="s">
        <v>448</v>
      </c>
      <c r="O1394" s="153" t="s">
        <v>339</v>
      </c>
      <c r="P1394" s="153" t="s">
        <v>1215</v>
      </c>
      <c r="Q1394" s="153" t="s">
        <v>413</v>
      </c>
      <c r="R1394" s="153" t="s">
        <v>407</v>
      </c>
      <c r="S1394" s="153" t="s">
        <v>1212</v>
      </c>
      <c r="T1394" s="154">
        <v>2.96</v>
      </c>
      <c r="U1394" s="153" t="s">
        <v>2476</v>
      </c>
      <c r="V1394" s="155">
        <v>-8.9999999999999998E-4</v>
      </c>
      <c r="W1394" s="155">
        <v>2.2599999999999999E-2</v>
      </c>
      <c r="X1394" s="153" t="s">
        <v>412</v>
      </c>
      <c r="Y1394" s="153" t="s">
        <v>339</v>
      </c>
      <c r="Z1394" s="154">
        <v>5085856</v>
      </c>
      <c r="AA1394" s="154">
        <v>1</v>
      </c>
      <c r="AB1394" s="154">
        <v>113.04</v>
      </c>
      <c r="AD1394" s="154">
        <v>5749.0519999999997</v>
      </c>
      <c r="AG1394" s="157" t="s">
        <v>15</v>
      </c>
      <c r="AH1394" s="155">
        <v>1.6900000000000001E-3</v>
      </c>
      <c r="AI1394" s="155">
        <f t="shared" si="21"/>
        <v>7.7803661399260243E-3</v>
      </c>
      <c r="AJ1394" s="155">
        <v>1.7194643655223032E-3</v>
      </c>
    </row>
    <row r="1395" spans="1:36" s="160" customFormat="1">
      <c r="A1395" s="153" t="s">
        <v>1213</v>
      </c>
      <c r="B1395" s="160">
        <v>9302</v>
      </c>
      <c r="C1395" s="153" t="s">
        <v>2250</v>
      </c>
      <c r="D1395" s="153" t="s">
        <v>2251</v>
      </c>
      <c r="E1395" s="153" t="s">
        <v>309</v>
      </c>
      <c r="F1395" s="153" t="s">
        <v>2635</v>
      </c>
      <c r="G1395" s="153" t="s">
        <v>2636</v>
      </c>
      <c r="H1395" s="153" t="s">
        <v>321</v>
      </c>
      <c r="I1395" s="153" t="s">
        <v>754</v>
      </c>
      <c r="J1395" s="153" t="s">
        <v>204</v>
      </c>
      <c r="K1395" s="153" t="s">
        <v>204</v>
      </c>
      <c r="L1395" s="153" t="s">
        <v>325</v>
      </c>
      <c r="M1395" s="153" t="s">
        <v>340</v>
      </c>
      <c r="N1395" s="153" t="s">
        <v>448</v>
      </c>
      <c r="O1395" s="153" t="s">
        <v>339</v>
      </c>
      <c r="P1395" s="153" t="s">
        <v>1215</v>
      </c>
      <c r="Q1395" s="153" t="s">
        <v>413</v>
      </c>
      <c r="R1395" s="153" t="s">
        <v>407</v>
      </c>
      <c r="S1395" s="153" t="s">
        <v>1212</v>
      </c>
      <c r="T1395" s="154">
        <v>2.17</v>
      </c>
      <c r="U1395" s="153" t="s">
        <v>2637</v>
      </c>
      <c r="V1395" s="155">
        <v>-1.184E-2</v>
      </c>
      <c r="W1395" s="155">
        <v>2.0799999999999999E-2</v>
      </c>
      <c r="X1395" s="153" t="s">
        <v>412</v>
      </c>
      <c r="Y1395" s="153" t="s">
        <v>339</v>
      </c>
      <c r="Z1395" s="154">
        <v>5238010</v>
      </c>
      <c r="AA1395" s="154">
        <v>1</v>
      </c>
      <c r="AB1395" s="154">
        <v>107.91</v>
      </c>
      <c r="AD1395" s="154">
        <v>5652.3370000000004</v>
      </c>
      <c r="AG1395" s="157" t="s">
        <v>15</v>
      </c>
      <c r="AH1395" s="155">
        <v>1.1220000000000001E-2</v>
      </c>
      <c r="AI1395" s="155">
        <f t="shared" si="21"/>
        <v>7.6494788021139919E-3</v>
      </c>
      <c r="AJ1395" s="155">
        <v>1.6905382058508497E-3</v>
      </c>
    </row>
    <row r="1396" spans="1:36" s="160" customFormat="1">
      <c r="A1396" s="153" t="s">
        <v>1213</v>
      </c>
      <c r="B1396" s="160">
        <v>9302</v>
      </c>
      <c r="C1396" s="153" t="s">
        <v>1573</v>
      </c>
      <c r="D1396" s="153" t="s">
        <v>1574</v>
      </c>
      <c r="E1396" s="153" t="s">
        <v>309</v>
      </c>
      <c r="F1396" s="153" t="s">
        <v>2277</v>
      </c>
      <c r="G1396" s="153" t="s">
        <v>2278</v>
      </c>
      <c r="H1396" s="153" t="s">
        <v>321</v>
      </c>
      <c r="I1396" s="153" t="s">
        <v>754</v>
      </c>
      <c r="J1396" s="153" t="s">
        <v>204</v>
      </c>
      <c r="K1396" s="153" t="s">
        <v>204</v>
      </c>
      <c r="L1396" s="153" t="s">
        <v>325</v>
      </c>
      <c r="M1396" s="153" t="s">
        <v>340</v>
      </c>
      <c r="N1396" s="153" t="s">
        <v>448</v>
      </c>
      <c r="O1396" s="153" t="s">
        <v>339</v>
      </c>
      <c r="P1396" s="153" t="s">
        <v>1215</v>
      </c>
      <c r="Q1396" s="153" t="s">
        <v>413</v>
      </c>
      <c r="R1396" s="153" t="s">
        <v>407</v>
      </c>
      <c r="S1396" s="153" t="s">
        <v>1212</v>
      </c>
      <c r="T1396" s="154">
        <v>3.14</v>
      </c>
      <c r="U1396" s="153" t="s">
        <v>2279</v>
      </c>
      <c r="V1396" s="155">
        <v>-1.021E-2</v>
      </c>
      <c r="W1396" s="155">
        <v>2.3099999999999999E-2</v>
      </c>
      <c r="X1396" s="153" t="s">
        <v>412</v>
      </c>
      <c r="Y1396" s="153" t="s">
        <v>339</v>
      </c>
      <c r="Z1396" s="154">
        <v>5281278</v>
      </c>
      <c r="AA1396" s="154">
        <v>1</v>
      </c>
      <c r="AB1396" s="154">
        <v>105.15</v>
      </c>
      <c r="AD1396" s="154">
        <v>5553.2640000000001</v>
      </c>
      <c r="AG1396" s="157" t="s">
        <v>15</v>
      </c>
      <c r="AH1396" s="155">
        <v>1.6800000000000001E-3</v>
      </c>
      <c r="AI1396" s="155">
        <f t="shared" si="21"/>
        <v>7.5154003115070374E-3</v>
      </c>
      <c r="AJ1396" s="155">
        <v>1.66090679999726E-3</v>
      </c>
    </row>
    <row r="1397" spans="1:36" s="160" customFormat="1">
      <c r="A1397" s="153" t="s">
        <v>1213</v>
      </c>
      <c r="B1397" s="160">
        <v>9302</v>
      </c>
      <c r="C1397" s="153" t="s">
        <v>1600</v>
      </c>
      <c r="D1397" s="153" t="s">
        <v>1601</v>
      </c>
      <c r="E1397" s="153" t="s">
        <v>309</v>
      </c>
      <c r="F1397" s="153" t="s">
        <v>2333</v>
      </c>
      <c r="G1397" s="153" t="s">
        <v>2334</v>
      </c>
      <c r="H1397" s="153" t="s">
        <v>321</v>
      </c>
      <c r="I1397" s="153" t="s">
        <v>754</v>
      </c>
      <c r="J1397" s="153" t="s">
        <v>204</v>
      </c>
      <c r="K1397" s="153" t="s">
        <v>204</v>
      </c>
      <c r="L1397" s="153" t="s">
        <v>325</v>
      </c>
      <c r="M1397" s="153" t="s">
        <v>340</v>
      </c>
      <c r="N1397" s="153" t="s">
        <v>448</v>
      </c>
      <c r="O1397" s="153" t="s">
        <v>339</v>
      </c>
      <c r="P1397" s="153" t="s">
        <v>1215</v>
      </c>
      <c r="Q1397" s="153" t="s">
        <v>413</v>
      </c>
      <c r="R1397" s="153" t="s">
        <v>407</v>
      </c>
      <c r="S1397" s="153" t="s">
        <v>1212</v>
      </c>
      <c r="T1397" s="154">
        <v>3.56</v>
      </c>
      <c r="U1397" s="153" t="s">
        <v>2335</v>
      </c>
      <c r="V1397" s="155">
        <v>-6.6499999999999997E-3</v>
      </c>
      <c r="W1397" s="155">
        <v>2.4E-2</v>
      </c>
      <c r="X1397" s="153" t="s">
        <v>412</v>
      </c>
      <c r="Y1397" s="153" t="s">
        <v>339</v>
      </c>
      <c r="Z1397" s="154">
        <v>5239616.22</v>
      </c>
      <c r="AA1397" s="154">
        <v>1</v>
      </c>
      <c r="AB1397" s="154">
        <v>103.73</v>
      </c>
      <c r="AD1397" s="154">
        <v>5435.0540000000001</v>
      </c>
      <c r="AG1397" s="157" t="s">
        <v>15</v>
      </c>
      <c r="AH1397" s="155">
        <v>4.6600000000000001E-3</v>
      </c>
      <c r="AI1397" s="155">
        <f t="shared" si="21"/>
        <v>7.3554231393748917E-3</v>
      </c>
      <c r="AJ1397" s="155">
        <v>1.6255517740471745E-3</v>
      </c>
    </row>
    <row r="1398" spans="1:36" s="160" customFormat="1">
      <c r="A1398" s="153" t="s">
        <v>1213</v>
      </c>
      <c r="B1398" s="160">
        <v>9302</v>
      </c>
      <c r="C1398" s="153" t="s">
        <v>1909</v>
      </c>
      <c r="D1398" s="153" t="s">
        <v>1910</v>
      </c>
      <c r="E1398" s="153" t="s">
        <v>309</v>
      </c>
      <c r="F1398" s="153" t="s">
        <v>1911</v>
      </c>
      <c r="G1398" s="153" t="s">
        <v>1912</v>
      </c>
      <c r="H1398" s="153" t="s">
        <v>321</v>
      </c>
      <c r="I1398" s="153" t="s">
        <v>754</v>
      </c>
      <c r="J1398" s="153" t="s">
        <v>204</v>
      </c>
      <c r="K1398" s="153" t="s">
        <v>204</v>
      </c>
      <c r="L1398" s="153" t="s">
        <v>325</v>
      </c>
      <c r="M1398" s="153" t="s">
        <v>340</v>
      </c>
      <c r="N1398" s="153" t="s">
        <v>464</v>
      </c>
      <c r="O1398" s="153" t="s">
        <v>339</v>
      </c>
      <c r="Q1398" s="153" t="s">
        <v>410</v>
      </c>
      <c r="R1398" s="153" t="s">
        <v>410</v>
      </c>
      <c r="S1398" s="153" t="s">
        <v>1212</v>
      </c>
      <c r="T1398" s="154">
        <v>4.2</v>
      </c>
      <c r="U1398" s="153" t="s">
        <v>1913</v>
      </c>
      <c r="V1398" s="155">
        <v>1.7250000000000001E-2</v>
      </c>
      <c r="W1398" s="155">
        <v>3.0300000000000001E-2</v>
      </c>
      <c r="X1398" s="153" t="s">
        <v>412</v>
      </c>
      <c r="Y1398" s="153" t="s">
        <v>339</v>
      </c>
      <c r="Z1398" s="154">
        <v>5195512</v>
      </c>
      <c r="AA1398" s="154">
        <v>1</v>
      </c>
      <c r="AB1398" s="154">
        <v>104.57</v>
      </c>
      <c r="AD1398" s="154">
        <v>5432.9470000000001</v>
      </c>
      <c r="AG1398" s="157" t="s">
        <v>15</v>
      </c>
      <c r="AH1398" s="155">
        <v>7.8899999999999994E-3</v>
      </c>
      <c r="AI1398" s="155">
        <f t="shared" si="21"/>
        <v>7.3525716724796852E-3</v>
      </c>
      <c r="AJ1398" s="155">
        <v>1.6249215985994388E-3</v>
      </c>
    </row>
    <row r="1399" spans="1:36" s="160" customFormat="1">
      <c r="A1399" s="153" t="s">
        <v>1213</v>
      </c>
      <c r="B1399" s="160">
        <v>9302</v>
      </c>
      <c r="C1399" s="153" t="s">
        <v>1909</v>
      </c>
      <c r="D1399" s="153" t="s">
        <v>1910</v>
      </c>
      <c r="E1399" s="153" t="s">
        <v>309</v>
      </c>
      <c r="F1399" s="153" t="s">
        <v>2870</v>
      </c>
      <c r="G1399" s="153" t="s">
        <v>2871</v>
      </c>
      <c r="H1399" s="153" t="s">
        <v>321</v>
      </c>
      <c r="I1399" s="153" t="s">
        <v>754</v>
      </c>
      <c r="J1399" s="153" t="s">
        <v>204</v>
      </c>
      <c r="K1399" s="153" t="s">
        <v>204</v>
      </c>
      <c r="L1399" s="153" t="s">
        <v>325</v>
      </c>
      <c r="M1399" s="153" t="s">
        <v>340</v>
      </c>
      <c r="N1399" s="153" t="s">
        <v>464</v>
      </c>
      <c r="O1399" s="153" t="s">
        <v>339</v>
      </c>
      <c r="Q1399" s="153" t="s">
        <v>410</v>
      </c>
      <c r="R1399" s="153" t="s">
        <v>410</v>
      </c>
      <c r="S1399" s="153" t="s">
        <v>1212</v>
      </c>
      <c r="T1399" s="154">
        <v>2.78</v>
      </c>
      <c r="U1399" s="153" t="s">
        <v>1528</v>
      </c>
      <c r="V1399" s="155">
        <v>1.4370000000000001E-2</v>
      </c>
      <c r="W1399" s="155">
        <v>2.7099999999999999E-2</v>
      </c>
      <c r="X1399" s="153" t="s">
        <v>412</v>
      </c>
      <c r="Y1399" s="153" t="s">
        <v>339</v>
      </c>
      <c r="Z1399" s="154">
        <v>4691533.7300000004</v>
      </c>
      <c r="AA1399" s="154">
        <v>1</v>
      </c>
      <c r="AB1399" s="154">
        <v>115.62</v>
      </c>
      <c r="AD1399" s="154">
        <v>5424.3509999999997</v>
      </c>
      <c r="AG1399" s="157" t="s">
        <v>15</v>
      </c>
      <c r="AH1399" s="155">
        <v>8.6700000000000006E-3</v>
      </c>
      <c r="AI1399" s="155">
        <f t="shared" si="21"/>
        <v>7.340938445412195E-3</v>
      </c>
      <c r="AJ1399" s="155">
        <v>1.6223506502611683E-3</v>
      </c>
    </row>
    <row r="1400" spans="1:36" s="160" customFormat="1">
      <c r="A1400" s="153" t="s">
        <v>1213</v>
      </c>
      <c r="B1400" s="160">
        <v>9302</v>
      </c>
      <c r="C1400" s="153" t="s">
        <v>1600</v>
      </c>
      <c r="D1400" s="153" t="s">
        <v>1601</v>
      </c>
      <c r="E1400" s="153" t="s">
        <v>309</v>
      </c>
      <c r="F1400" s="153" t="s">
        <v>1957</v>
      </c>
      <c r="G1400" s="153" t="s">
        <v>1958</v>
      </c>
      <c r="H1400" s="153" t="s">
        <v>321</v>
      </c>
      <c r="I1400" s="153" t="s">
        <v>754</v>
      </c>
      <c r="J1400" s="153" t="s">
        <v>204</v>
      </c>
      <c r="K1400" s="153" t="s">
        <v>204</v>
      </c>
      <c r="L1400" s="153" t="s">
        <v>325</v>
      </c>
      <c r="M1400" s="153" t="s">
        <v>340</v>
      </c>
      <c r="N1400" s="153" t="s">
        <v>448</v>
      </c>
      <c r="O1400" s="153" t="s">
        <v>339</v>
      </c>
      <c r="P1400" s="153" t="s">
        <v>1215</v>
      </c>
      <c r="Q1400" s="153" t="s">
        <v>413</v>
      </c>
      <c r="R1400" s="153" t="s">
        <v>407</v>
      </c>
      <c r="S1400" s="153" t="s">
        <v>1212</v>
      </c>
      <c r="T1400" s="154">
        <v>3.91</v>
      </c>
      <c r="U1400" s="153" t="s">
        <v>1959</v>
      </c>
      <c r="V1400" s="155">
        <v>1.312E-2</v>
      </c>
      <c r="W1400" s="155">
        <v>2.4799999999999999E-2</v>
      </c>
      <c r="X1400" s="153" t="s">
        <v>412</v>
      </c>
      <c r="Y1400" s="153" t="s">
        <v>339</v>
      </c>
      <c r="Z1400" s="154">
        <v>5101980.0999999996</v>
      </c>
      <c r="AA1400" s="154">
        <v>1</v>
      </c>
      <c r="AB1400" s="154">
        <v>103.84</v>
      </c>
      <c r="AD1400" s="154">
        <v>5297.8959999999997</v>
      </c>
      <c r="AG1400" s="157" t="s">
        <v>15</v>
      </c>
      <c r="AH1400" s="155">
        <v>2.8300000000000001E-3</v>
      </c>
      <c r="AI1400" s="155">
        <f t="shared" si="21"/>
        <v>7.1698030651400485E-3</v>
      </c>
      <c r="AJ1400" s="155">
        <v>1.5845296553663366E-3</v>
      </c>
    </row>
    <row r="1401" spans="1:36" s="160" customFormat="1">
      <c r="A1401" s="153" t="s">
        <v>1213</v>
      </c>
      <c r="B1401" s="160">
        <v>9302</v>
      </c>
      <c r="C1401" s="153" t="s">
        <v>2517</v>
      </c>
      <c r="D1401" s="153" t="s">
        <v>2518</v>
      </c>
      <c r="E1401" s="153" t="s">
        <v>309</v>
      </c>
      <c r="F1401" s="153" t="s">
        <v>2519</v>
      </c>
      <c r="G1401" s="153" t="s">
        <v>2520</v>
      </c>
      <c r="H1401" s="153" t="s">
        <v>321</v>
      </c>
      <c r="I1401" s="153" t="s">
        <v>951</v>
      </c>
      <c r="J1401" s="153" t="s">
        <v>204</v>
      </c>
      <c r="K1401" s="153" t="s">
        <v>204</v>
      </c>
      <c r="L1401" s="153" t="s">
        <v>325</v>
      </c>
      <c r="M1401" s="153" t="s">
        <v>340</v>
      </c>
      <c r="N1401" s="153" t="s">
        <v>464</v>
      </c>
      <c r="O1401" s="153" t="s">
        <v>339</v>
      </c>
      <c r="P1401" s="153" t="s">
        <v>1211</v>
      </c>
      <c r="Q1401" s="153" t="s">
        <v>415</v>
      </c>
      <c r="R1401" s="153" t="s">
        <v>407</v>
      </c>
      <c r="S1401" s="153" t="s">
        <v>1212</v>
      </c>
      <c r="T1401" s="154">
        <v>1.94</v>
      </c>
      <c r="U1401" s="153" t="s">
        <v>2521</v>
      </c>
      <c r="V1401" s="155">
        <v>2.8559999999999999E-2</v>
      </c>
      <c r="W1401" s="155">
        <v>4.8599999999999997E-2</v>
      </c>
      <c r="X1401" s="153" t="s">
        <v>412</v>
      </c>
      <c r="Y1401" s="153" t="s">
        <v>339</v>
      </c>
      <c r="Z1401" s="154">
        <v>5522420.1500000004</v>
      </c>
      <c r="AA1401" s="154">
        <v>1</v>
      </c>
      <c r="AB1401" s="154">
        <v>93.75</v>
      </c>
      <c r="AD1401" s="154">
        <v>5177.2690000000002</v>
      </c>
      <c r="AG1401" s="157" t="s">
        <v>15</v>
      </c>
      <c r="AH1401" s="155">
        <v>1.5779999999999999E-2</v>
      </c>
      <c r="AI1401" s="155">
        <f t="shared" si="21"/>
        <v>7.0065548937265961E-3</v>
      </c>
      <c r="AJ1401" s="155">
        <v>1.5484517371252321E-3</v>
      </c>
    </row>
    <row r="1402" spans="1:36" s="160" customFormat="1">
      <c r="A1402" s="153" t="s">
        <v>1213</v>
      </c>
      <c r="B1402" s="160">
        <v>9302</v>
      </c>
      <c r="C1402" s="153" t="s">
        <v>2391</v>
      </c>
      <c r="D1402" s="153" t="s">
        <v>2392</v>
      </c>
      <c r="E1402" s="153" t="s">
        <v>309</v>
      </c>
      <c r="F1402" s="153" t="s">
        <v>2909</v>
      </c>
      <c r="G1402" s="153" t="s">
        <v>2910</v>
      </c>
      <c r="H1402" s="153" t="s">
        <v>321</v>
      </c>
      <c r="I1402" s="153" t="s">
        <v>754</v>
      </c>
      <c r="J1402" s="153" t="s">
        <v>204</v>
      </c>
      <c r="K1402" s="153" t="s">
        <v>204</v>
      </c>
      <c r="L1402" s="153" t="s">
        <v>327</v>
      </c>
      <c r="M1402" s="153" t="s">
        <v>340</v>
      </c>
      <c r="N1402" s="153" t="s">
        <v>464</v>
      </c>
      <c r="O1402" s="153" t="s">
        <v>339</v>
      </c>
      <c r="P1402" s="153" t="s">
        <v>1538</v>
      </c>
      <c r="Q1402" s="153" t="s">
        <v>413</v>
      </c>
      <c r="R1402" s="153" t="s">
        <v>407</v>
      </c>
      <c r="S1402" s="153" t="s">
        <v>1212</v>
      </c>
      <c r="T1402" s="154">
        <v>1.1599999999999999</v>
      </c>
      <c r="U1402" s="153" t="s">
        <v>2530</v>
      </c>
      <c r="V1402" s="155">
        <v>1.3140000000000001E-2</v>
      </c>
      <c r="W1402" s="155">
        <v>2.4500000000000001E-2</v>
      </c>
      <c r="X1402" s="153" t="s">
        <v>412</v>
      </c>
      <c r="Y1402" s="153" t="s">
        <v>339</v>
      </c>
      <c r="Z1402" s="154">
        <v>935000</v>
      </c>
      <c r="AA1402" s="154">
        <v>1</v>
      </c>
      <c r="AB1402" s="154">
        <f>AD1402*1000/Z1402*100</f>
        <v>115.77499371730802</v>
      </c>
      <c r="AD1402" s="154">
        <f>1082496.19125683/1000</f>
        <v>1082.4961912568301</v>
      </c>
      <c r="AG1402" s="157" t="s">
        <v>15</v>
      </c>
      <c r="AH1402" s="155">
        <v>1.0410000000000001E-2</v>
      </c>
      <c r="AI1402" s="155">
        <f t="shared" si="21"/>
        <v>1.4649748711706777E-3</v>
      </c>
      <c r="AJ1402" s="155">
        <v>3.2376009586967296E-4</v>
      </c>
    </row>
    <row r="1403" spans="1:36" s="160" customFormat="1">
      <c r="A1403" s="153" t="s">
        <v>1213</v>
      </c>
      <c r="B1403" s="160">
        <v>9302</v>
      </c>
      <c r="C1403" s="153" t="s">
        <v>455</v>
      </c>
      <c r="D1403" s="153" t="s">
        <v>2106</v>
      </c>
      <c r="E1403" s="153" t="s">
        <v>309</v>
      </c>
      <c r="F1403" s="153" t="s">
        <v>2289</v>
      </c>
      <c r="G1403" s="153" t="s">
        <v>2290</v>
      </c>
      <c r="H1403" s="153" t="s">
        <v>321</v>
      </c>
      <c r="I1403" s="153" t="s">
        <v>754</v>
      </c>
      <c r="J1403" s="153" t="s">
        <v>204</v>
      </c>
      <c r="K1403" s="153" t="s">
        <v>204</v>
      </c>
      <c r="L1403" s="153" t="s">
        <v>325</v>
      </c>
      <c r="M1403" s="153" t="s">
        <v>340</v>
      </c>
      <c r="N1403" s="153" t="s">
        <v>440</v>
      </c>
      <c r="O1403" s="153" t="s">
        <v>339</v>
      </c>
      <c r="P1403" s="153" t="s">
        <v>1923</v>
      </c>
      <c r="Q1403" s="153" t="s">
        <v>415</v>
      </c>
      <c r="R1403" s="153" t="s">
        <v>407</v>
      </c>
      <c r="S1403" s="153" t="s">
        <v>1212</v>
      </c>
      <c r="T1403" s="154">
        <v>3.44</v>
      </c>
      <c r="U1403" s="153" t="s">
        <v>2291</v>
      </c>
      <c r="V1403" s="155">
        <v>1.8870000000000001E-2</v>
      </c>
      <c r="W1403" s="155">
        <v>2.5700000000000001E-2</v>
      </c>
      <c r="X1403" s="153" t="s">
        <v>412</v>
      </c>
      <c r="Y1403" s="153" t="s">
        <v>339</v>
      </c>
      <c r="Z1403" s="154">
        <v>4087793.09</v>
      </c>
      <c r="AA1403" s="154">
        <v>1</v>
      </c>
      <c r="AB1403" s="154">
        <v>121.2</v>
      </c>
      <c r="AC1403" s="154">
        <v>91.385000000000005</v>
      </c>
      <c r="AD1403" s="154">
        <v>5045.7910000000002</v>
      </c>
      <c r="AG1403" s="157" t="s">
        <v>15</v>
      </c>
      <c r="AH1403" s="155">
        <v>1.6000000000000001E-3</v>
      </c>
      <c r="AI1403" s="155">
        <f t="shared" si="21"/>
        <v>6.8286217354693399E-3</v>
      </c>
      <c r="AJ1403" s="155">
        <v>1.5091284302826183E-3</v>
      </c>
    </row>
    <row r="1404" spans="1:36" s="160" customFormat="1">
      <c r="A1404" s="153" t="s">
        <v>1213</v>
      </c>
      <c r="B1404" s="160">
        <v>9302</v>
      </c>
      <c r="C1404" s="153" t="s">
        <v>2391</v>
      </c>
      <c r="D1404" s="153" t="s">
        <v>2392</v>
      </c>
      <c r="E1404" s="153" t="s">
        <v>309</v>
      </c>
      <c r="F1404" s="153" t="s">
        <v>2393</v>
      </c>
      <c r="G1404" s="153" t="s">
        <v>2394</v>
      </c>
      <c r="H1404" s="153" t="s">
        <v>321</v>
      </c>
      <c r="I1404" s="153" t="s">
        <v>754</v>
      </c>
      <c r="J1404" s="153" t="s">
        <v>204</v>
      </c>
      <c r="K1404" s="153" t="s">
        <v>204</v>
      </c>
      <c r="L1404" s="153" t="s">
        <v>325</v>
      </c>
      <c r="M1404" s="153" t="s">
        <v>340</v>
      </c>
      <c r="N1404" s="153" t="s">
        <v>464</v>
      </c>
      <c r="O1404" s="153" t="s">
        <v>339</v>
      </c>
      <c r="P1404" s="153" t="s">
        <v>1538</v>
      </c>
      <c r="Q1404" s="153" t="s">
        <v>413</v>
      </c>
      <c r="R1404" s="153" t="s">
        <v>407</v>
      </c>
      <c r="S1404" s="153" t="s">
        <v>1212</v>
      </c>
      <c r="T1404" s="154">
        <v>2.23</v>
      </c>
      <c r="U1404" s="153" t="s">
        <v>2395</v>
      </c>
      <c r="V1404" s="155">
        <v>8.9700000000000005E-3</v>
      </c>
      <c r="W1404" s="155">
        <v>2.6599999999999999E-2</v>
      </c>
      <c r="X1404" s="153" t="s">
        <v>412</v>
      </c>
      <c r="Y1404" s="153" t="s">
        <v>339</v>
      </c>
      <c r="Z1404" s="154">
        <v>4453024.29</v>
      </c>
      <c r="AA1404" s="154">
        <v>1</v>
      </c>
      <c r="AB1404" s="154">
        <v>112.91</v>
      </c>
      <c r="AD1404" s="154">
        <v>5027.91</v>
      </c>
      <c r="AG1404" s="157" t="s">
        <v>15</v>
      </c>
      <c r="AH1404" s="155">
        <v>3.5300000000000002E-3</v>
      </c>
      <c r="AI1404" s="155">
        <f t="shared" si="21"/>
        <v>6.8044228367729947E-3</v>
      </c>
      <c r="AJ1404" s="155">
        <v>1.5037804629447157E-3</v>
      </c>
    </row>
    <row r="1405" spans="1:36" s="160" customFormat="1">
      <c r="A1405" s="153" t="s">
        <v>1213</v>
      </c>
      <c r="B1405" s="160">
        <v>9302</v>
      </c>
      <c r="C1405" s="153" t="s">
        <v>2424</v>
      </c>
      <c r="D1405" s="153" t="s">
        <v>2425</v>
      </c>
      <c r="E1405" s="153" t="s">
        <v>309</v>
      </c>
      <c r="F1405" s="153" t="s">
        <v>2426</v>
      </c>
      <c r="G1405" s="153" t="s">
        <v>2427</v>
      </c>
      <c r="H1405" s="153" t="s">
        <v>321</v>
      </c>
      <c r="I1405" s="153" t="s">
        <v>754</v>
      </c>
      <c r="J1405" s="153" t="s">
        <v>204</v>
      </c>
      <c r="K1405" s="153" t="s">
        <v>204</v>
      </c>
      <c r="L1405" s="153" t="s">
        <v>325</v>
      </c>
      <c r="M1405" s="153" t="s">
        <v>340</v>
      </c>
      <c r="N1405" s="153" t="s">
        <v>477</v>
      </c>
      <c r="O1405" s="153" t="s">
        <v>339</v>
      </c>
      <c r="P1405" s="153" t="s">
        <v>1923</v>
      </c>
      <c r="Q1405" s="153" t="s">
        <v>415</v>
      </c>
      <c r="R1405" s="153" t="s">
        <v>407</v>
      </c>
      <c r="S1405" s="153" t="s">
        <v>1212</v>
      </c>
      <c r="T1405" s="154">
        <v>5.47</v>
      </c>
      <c r="U1405" s="153" t="s">
        <v>2177</v>
      </c>
      <c r="V1405" s="155">
        <v>2.0699999999999998E-3</v>
      </c>
      <c r="W1405" s="155">
        <v>2.7400000000000001E-2</v>
      </c>
      <c r="X1405" s="153" t="s">
        <v>412</v>
      </c>
      <c r="Y1405" s="153" t="s">
        <v>339</v>
      </c>
      <c r="Z1405" s="154">
        <v>4312985.82</v>
      </c>
      <c r="AA1405" s="154">
        <v>1</v>
      </c>
      <c r="AB1405" s="154">
        <v>116.33</v>
      </c>
      <c r="AD1405" s="154">
        <v>5017.2960000000003</v>
      </c>
      <c r="AG1405" s="157" t="s">
        <v>15</v>
      </c>
      <c r="AH1405" s="155">
        <v>2.9299999999999999E-3</v>
      </c>
      <c r="AI1405" s="155">
        <f t="shared" si="21"/>
        <v>6.790058589205018E-3</v>
      </c>
      <c r="AJ1405" s="155">
        <v>1.5006059578653299E-3</v>
      </c>
    </row>
    <row r="1406" spans="1:36" s="160" customFormat="1">
      <c r="A1406" s="153" t="s">
        <v>1213</v>
      </c>
      <c r="B1406" s="160">
        <v>9302</v>
      </c>
      <c r="C1406" s="153" t="s">
        <v>1691</v>
      </c>
      <c r="D1406" s="153" t="s">
        <v>1692</v>
      </c>
      <c r="E1406" s="153" t="s">
        <v>309</v>
      </c>
      <c r="F1406" s="153" t="s">
        <v>2133</v>
      </c>
      <c r="G1406" s="153" t="s">
        <v>2134</v>
      </c>
      <c r="H1406" s="153" t="s">
        <v>321</v>
      </c>
      <c r="I1406" s="153" t="s">
        <v>754</v>
      </c>
      <c r="J1406" s="153" t="s">
        <v>204</v>
      </c>
      <c r="K1406" s="153" t="s">
        <v>204</v>
      </c>
      <c r="L1406" s="153" t="s">
        <v>325</v>
      </c>
      <c r="M1406" s="153" t="s">
        <v>340</v>
      </c>
      <c r="N1406" s="153" t="s">
        <v>464</v>
      </c>
      <c r="O1406" s="153" t="s">
        <v>339</v>
      </c>
      <c r="P1406" s="153" t="s">
        <v>1538</v>
      </c>
      <c r="Q1406" s="153" t="s">
        <v>413</v>
      </c>
      <c r="R1406" s="153" t="s">
        <v>407</v>
      </c>
      <c r="S1406" s="153" t="s">
        <v>1212</v>
      </c>
      <c r="T1406" s="154">
        <v>2.14</v>
      </c>
      <c r="U1406" s="153" t="s">
        <v>2135</v>
      </c>
      <c r="V1406" s="155">
        <v>2.0469999999999999E-2</v>
      </c>
      <c r="W1406" s="155">
        <v>2.63E-2</v>
      </c>
      <c r="X1406" s="153" t="s">
        <v>412</v>
      </c>
      <c r="Y1406" s="153" t="s">
        <v>339</v>
      </c>
      <c r="Z1406" s="154">
        <v>4147888.93</v>
      </c>
      <c r="AA1406" s="154">
        <v>1</v>
      </c>
      <c r="AB1406" s="154">
        <v>119.57</v>
      </c>
      <c r="AD1406" s="154">
        <v>4959.6310000000003</v>
      </c>
      <c r="AG1406" s="157" t="s">
        <v>15</v>
      </c>
      <c r="AH1406" s="155">
        <v>4.3099999999999996E-3</v>
      </c>
      <c r="AI1406" s="155">
        <f t="shared" si="21"/>
        <v>6.7120187987388972E-3</v>
      </c>
      <c r="AJ1406" s="155">
        <v>1.4833591295816679E-3</v>
      </c>
    </row>
    <row r="1407" spans="1:36" s="160" customFormat="1">
      <c r="A1407" s="153" t="s">
        <v>1213</v>
      </c>
      <c r="B1407" s="160">
        <v>9302</v>
      </c>
      <c r="C1407" s="153" t="s">
        <v>2385</v>
      </c>
      <c r="D1407" s="153" t="s">
        <v>2386</v>
      </c>
      <c r="E1407" s="153" t="s">
        <v>309</v>
      </c>
      <c r="F1407" s="153" t="s">
        <v>2400</v>
      </c>
      <c r="G1407" s="153" t="s">
        <v>2401</v>
      </c>
      <c r="H1407" s="153" t="s">
        <v>321</v>
      </c>
      <c r="I1407" s="153" t="s">
        <v>754</v>
      </c>
      <c r="J1407" s="153" t="s">
        <v>204</v>
      </c>
      <c r="K1407" s="153" t="s">
        <v>204</v>
      </c>
      <c r="L1407" s="153" t="s">
        <v>325</v>
      </c>
      <c r="M1407" s="153" t="s">
        <v>340</v>
      </c>
      <c r="N1407" s="153" t="s">
        <v>464</v>
      </c>
      <c r="O1407" s="153" t="s">
        <v>339</v>
      </c>
      <c r="P1407" s="153" t="s">
        <v>1211</v>
      </c>
      <c r="Q1407" s="153" t="s">
        <v>415</v>
      </c>
      <c r="R1407" s="153" t="s">
        <v>407</v>
      </c>
      <c r="S1407" s="153" t="s">
        <v>1212</v>
      </c>
      <c r="T1407" s="154">
        <v>4.99</v>
      </c>
      <c r="U1407" s="153" t="s">
        <v>2227</v>
      </c>
      <c r="V1407" s="155">
        <v>4.6899999999999997E-3</v>
      </c>
      <c r="W1407" s="155">
        <v>2.7E-2</v>
      </c>
      <c r="X1407" s="153" t="s">
        <v>412</v>
      </c>
      <c r="Y1407" s="153" t="s">
        <v>339</v>
      </c>
      <c r="Z1407" s="154">
        <v>4407652</v>
      </c>
      <c r="AA1407" s="154">
        <v>1</v>
      </c>
      <c r="AB1407" s="154">
        <v>111.02</v>
      </c>
      <c r="AD1407" s="154">
        <v>4893.375</v>
      </c>
      <c r="AG1407" s="157" t="s">
        <v>15</v>
      </c>
      <c r="AH1407" s="155">
        <v>2.0799999999999998E-3</v>
      </c>
      <c r="AI1407" s="155">
        <f t="shared" si="21"/>
        <v>6.6223525478566747E-3</v>
      </c>
      <c r="AJ1407" s="155">
        <v>1.4635428483926916E-3</v>
      </c>
    </row>
    <row r="1408" spans="1:36" s="160" customFormat="1">
      <c r="A1408" s="153" t="s">
        <v>1213</v>
      </c>
      <c r="B1408" s="160">
        <v>9302</v>
      </c>
      <c r="C1408" s="153" t="s">
        <v>455</v>
      </c>
      <c r="D1408" s="153" t="s">
        <v>2106</v>
      </c>
      <c r="E1408" s="153" t="s">
        <v>309</v>
      </c>
      <c r="F1408" s="153" t="s">
        <v>2433</v>
      </c>
      <c r="G1408" s="153" t="s">
        <v>2434</v>
      </c>
      <c r="H1408" s="153" t="s">
        <v>321</v>
      </c>
      <c r="I1408" s="153" t="s">
        <v>754</v>
      </c>
      <c r="J1408" s="153" t="s">
        <v>204</v>
      </c>
      <c r="K1408" s="153" t="s">
        <v>204</v>
      </c>
      <c r="L1408" s="153" t="s">
        <v>325</v>
      </c>
      <c r="M1408" s="153" t="s">
        <v>340</v>
      </c>
      <c r="N1408" s="153" t="s">
        <v>440</v>
      </c>
      <c r="O1408" s="153" t="s">
        <v>339</v>
      </c>
      <c r="P1408" s="153" t="s">
        <v>1923</v>
      </c>
      <c r="Q1408" s="153" t="s">
        <v>415</v>
      </c>
      <c r="R1408" s="153" t="s">
        <v>407</v>
      </c>
      <c r="S1408" s="153" t="s">
        <v>1212</v>
      </c>
      <c r="T1408" s="154">
        <v>7.64</v>
      </c>
      <c r="U1408" s="153" t="s">
        <v>2435</v>
      </c>
      <c r="V1408" s="155">
        <v>2.894E-2</v>
      </c>
      <c r="W1408" s="155">
        <v>3.2599999999999997E-2</v>
      </c>
      <c r="X1408" s="153" t="s">
        <v>412</v>
      </c>
      <c r="Y1408" s="153" t="s">
        <v>339</v>
      </c>
      <c r="Z1408" s="154">
        <v>4668614</v>
      </c>
      <c r="AA1408" s="154">
        <v>1</v>
      </c>
      <c r="AB1408" s="154">
        <v>103.71</v>
      </c>
      <c r="AD1408" s="154">
        <v>4841.82</v>
      </c>
      <c r="AG1408" s="157" t="s">
        <v>15</v>
      </c>
      <c r="AH1408" s="155">
        <v>1.14E-3</v>
      </c>
      <c r="AI1408" s="155">
        <f t="shared" si="21"/>
        <v>6.5525816053875708E-3</v>
      </c>
      <c r="AJ1408" s="155">
        <v>1.4481234391814856E-3</v>
      </c>
    </row>
    <row r="1409" spans="1:36" s="160" customFormat="1">
      <c r="A1409" s="153" t="s">
        <v>1213</v>
      </c>
      <c r="B1409" s="160">
        <v>9302</v>
      </c>
      <c r="C1409" s="153" t="s">
        <v>2866</v>
      </c>
      <c r="D1409" s="153" t="s">
        <v>2867</v>
      </c>
      <c r="E1409" s="153" t="s">
        <v>309</v>
      </c>
      <c r="F1409" s="153" t="s">
        <v>2868</v>
      </c>
      <c r="G1409" s="153" t="s">
        <v>2869</v>
      </c>
      <c r="H1409" s="153" t="s">
        <v>321</v>
      </c>
      <c r="I1409" s="153" t="s">
        <v>754</v>
      </c>
      <c r="J1409" s="153" t="s">
        <v>204</v>
      </c>
      <c r="K1409" s="153" t="s">
        <v>204</v>
      </c>
      <c r="L1409" s="153" t="s">
        <v>325</v>
      </c>
      <c r="M1409" s="153" t="s">
        <v>340</v>
      </c>
      <c r="N1409" s="153" t="s">
        <v>464</v>
      </c>
      <c r="O1409" s="153" t="s">
        <v>339</v>
      </c>
      <c r="P1409" s="153" t="s">
        <v>1554</v>
      </c>
      <c r="Q1409" s="153" t="s">
        <v>413</v>
      </c>
      <c r="R1409" s="153" t="s">
        <v>407</v>
      </c>
      <c r="S1409" s="153" t="s">
        <v>1212</v>
      </c>
      <c r="T1409" s="154">
        <v>2.4900000000000002</v>
      </c>
      <c r="U1409" s="153" t="s">
        <v>1343</v>
      </c>
      <c r="V1409" s="155">
        <v>5.3899999999999998E-3</v>
      </c>
      <c r="W1409" s="155">
        <v>3.1899999999999998E-2</v>
      </c>
      <c r="X1409" s="153" t="s">
        <v>412</v>
      </c>
      <c r="Y1409" s="153" t="s">
        <v>339</v>
      </c>
      <c r="Z1409" s="154">
        <v>4510613</v>
      </c>
      <c r="AA1409" s="154">
        <v>1</v>
      </c>
      <c r="AB1409" s="154">
        <v>103.74</v>
      </c>
      <c r="AD1409" s="154">
        <v>4679.3100000000004</v>
      </c>
      <c r="AG1409" s="157" t="s">
        <v>15</v>
      </c>
      <c r="AH1409" s="155">
        <v>8.8699999999999994E-3</v>
      </c>
      <c r="AI1409" s="155">
        <f t="shared" si="21"/>
        <v>6.3326519019513564E-3</v>
      </c>
      <c r="AJ1409" s="155">
        <v>1.399518877239616E-3</v>
      </c>
    </row>
    <row r="1410" spans="1:36" s="160" customFormat="1">
      <c r="A1410" s="153" t="s">
        <v>1213</v>
      </c>
      <c r="B1410" s="160">
        <v>9302</v>
      </c>
      <c r="C1410" s="153" t="s">
        <v>2866</v>
      </c>
      <c r="D1410" s="153" t="s">
        <v>2867</v>
      </c>
      <c r="E1410" s="153" t="s">
        <v>309</v>
      </c>
      <c r="F1410" s="153" t="s">
        <v>2881</v>
      </c>
      <c r="G1410" s="153" t="s">
        <v>2882</v>
      </c>
      <c r="H1410" s="153" t="s">
        <v>321</v>
      </c>
      <c r="I1410" s="153" t="s">
        <v>754</v>
      </c>
      <c r="J1410" s="153" t="s">
        <v>204</v>
      </c>
      <c r="K1410" s="153" t="s">
        <v>204</v>
      </c>
      <c r="L1410" s="153" t="s">
        <v>325</v>
      </c>
      <c r="M1410" s="153" t="s">
        <v>340</v>
      </c>
      <c r="N1410" s="153" t="s">
        <v>464</v>
      </c>
      <c r="O1410" s="153" t="s">
        <v>339</v>
      </c>
      <c r="P1410" s="153" t="s">
        <v>1554</v>
      </c>
      <c r="Q1410" s="153" t="s">
        <v>413</v>
      </c>
      <c r="R1410" s="153" t="s">
        <v>407</v>
      </c>
      <c r="S1410" s="153" t="s">
        <v>1212</v>
      </c>
      <c r="T1410" s="154">
        <v>1.25</v>
      </c>
      <c r="U1410" s="153" t="s">
        <v>1777</v>
      </c>
      <c r="V1410" s="155">
        <v>6.3E-3</v>
      </c>
      <c r="W1410" s="155">
        <v>1.6500000000000001E-2</v>
      </c>
      <c r="X1410" s="153" t="s">
        <v>412</v>
      </c>
      <c r="Y1410" s="153" t="s">
        <v>339</v>
      </c>
      <c r="Z1410" s="154">
        <v>4119612</v>
      </c>
      <c r="AA1410" s="154">
        <v>1</v>
      </c>
      <c r="AB1410" s="154">
        <v>113.17</v>
      </c>
      <c r="AD1410" s="154">
        <v>4662.165</v>
      </c>
      <c r="AG1410" s="157" t="s">
        <v>15</v>
      </c>
      <c r="AH1410" s="155">
        <v>7.1599999999999997E-3</v>
      </c>
      <c r="AI1410" s="155">
        <f t="shared" si="21"/>
        <v>6.3094490543394314E-3</v>
      </c>
      <c r="AJ1410" s="155">
        <v>1.3943910376328634E-3</v>
      </c>
    </row>
    <row r="1411" spans="1:36" s="160" customFormat="1">
      <c r="A1411" s="153" t="s">
        <v>1213</v>
      </c>
      <c r="B1411" s="160">
        <v>9302</v>
      </c>
      <c r="C1411" s="153" t="s">
        <v>1973</v>
      </c>
      <c r="D1411" s="153" t="s">
        <v>1974</v>
      </c>
      <c r="E1411" s="153" t="s">
        <v>309</v>
      </c>
      <c r="F1411" s="153" t="s">
        <v>1984</v>
      </c>
      <c r="G1411" s="153" t="s">
        <v>1985</v>
      </c>
      <c r="H1411" s="153" t="s">
        <v>321</v>
      </c>
      <c r="I1411" s="153" t="s">
        <v>754</v>
      </c>
      <c r="J1411" s="153" t="s">
        <v>204</v>
      </c>
      <c r="K1411" s="153" t="s">
        <v>204</v>
      </c>
      <c r="L1411" s="153" t="s">
        <v>325</v>
      </c>
      <c r="M1411" s="153" t="s">
        <v>340</v>
      </c>
      <c r="N1411" s="153" t="s">
        <v>464</v>
      </c>
      <c r="O1411" s="153" t="s">
        <v>339</v>
      </c>
      <c r="P1411" s="153" t="s">
        <v>1538</v>
      </c>
      <c r="Q1411" s="153" t="s">
        <v>413</v>
      </c>
      <c r="R1411" s="153" t="s">
        <v>407</v>
      </c>
      <c r="S1411" s="153" t="s">
        <v>1212</v>
      </c>
      <c r="T1411" s="154">
        <v>1.89</v>
      </c>
      <c r="U1411" s="153" t="s">
        <v>1522</v>
      </c>
      <c r="V1411" s="155">
        <v>2.4E-2</v>
      </c>
      <c r="W1411" s="155">
        <v>2.4899999999999999E-2</v>
      </c>
      <c r="X1411" s="153" t="s">
        <v>412</v>
      </c>
      <c r="Y1411" s="153" t="s">
        <v>339</v>
      </c>
      <c r="Z1411" s="154">
        <v>4017674.55</v>
      </c>
      <c r="AA1411" s="154">
        <v>1</v>
      </c>
      <c r="AB1411" s="154">
        <v>115.87</v>
      </c>
      <c r="AD1411" s="154">
        <v>4655.28</v>
      </c>
      <c r="AG1411" s="157" t="s">
        <v>15</v>
      </c>
      <c r="AH1411" s="155">
        <v>7.4700000000000001E-3</v>
      </c>
      <c r="AI1411" s="155">
        <f t="shared" ref="AI1411:AI1474" si="22">AD1411/SUMIF(B:B,B1411,AD:AD)</f>
        <v>6.3001313753771621E-3</v>
      </c>
      <c r="AJ1411" s="155">
        <v>1.3923318264521989E-3</v>
      </c>
    </row>
    <row r="1412" spans="1:36" s="160" customFormat="1">
      <c r="A1412" s="153" t="s">
        <v>1213</v>
      </c>
      <c r="B1412" s="160">
        <v>9302</v>
      </c>
      <c r="C1412" s="153" t="s">
        <v>1904</v>
      </c>
      <c r="D1412" s="153" t="s">
        <v>1905</v>
      </c>
      <c r="E1412" s="153" t="s">
        <v>309</v>
      </c>
      <c r="F1412" s="153" t="s">
        <v>2489</v>
      </c>
      <c r="G1412" s="153" t="s">
        <v>2490</v>
      </c>
      <c r="H1412" s="153" t="s">
        <v>321</v>
      </c>
      <c r="I1412" s="153" t="s">
        <v>951</v>
      </c>
      <c r="J1412" s="153" t="s">
        <v>204</v>
      </c>
      <c r="K1412" s="153" t="s">
        <v>204</v>
      </c>
      <c r="L1412" s="153" t="s">
        <v>325</v>
      </c>
      <c r="M1412" s="153" t="s">
        <v>340</v>
      </c>
      <c r="N1412" s="153" t="s">
        <v>448</v>
      </c>
      <c r="O1412" s="153" t="s">
        <v>339</v>
      </c>
      <c r="P1412" s="153" t="s">
        <v>1215</v>
      </c>
      <c r="Q1412" s="153" t="s">
        <v>413</v>
      </c>
      <c r="R1412" s="153" t="s">
        <v>407</v>
      </c>
      <c r="S1412" s="153" t="s">
        <v>1212</v>
      </c>
      <c r="T1412" s="154">
        <v>0.18</v>
      </c>
      <c r="U1412" s="153" t="s">
        <v>1461</v>
      </c>
      <c r="V1412" s="155">
        <v>1.789E-2</v>
      </c>
      <c r="W1412" s="155">
        <v>4.58E-2</v>
      </c>
      <c r="X1412" s="153" t="s">
        <v>412</v>
      </c>
      <c r="Y1412" s="153" t="s">
        <v>339</v>
      </c>
      <c r="Z1412" s="154">
        <v>4596554.67</v>
      </c>
      <c r="AA1412" s="154">
        <v>1</v>
      </c>
      <c r="AB1412" s="154">
        <v>101.06</v>
      </c>
      <c r="AD1412" s="154">
        <v>4645.2780000000002</v>
      </c>
      <c r="AG1412" s="157" t="s">
        <v>15</v>
      </c>
      <c r="AH1412" s="155">
        <v>1.6639999999999999E-2</v>
      </c>
      <c r="AI1412" s="155">
        <f t="shared" si="22"/>
        <v>6.2865953659391651E-3</v>
      </c>
      <c r="AJ1412" s="155">
        <v>1.3893403623666501E-3</v>
      </c>
    </row>
    <row r="1413" spans="1:36" s="160" customFormat="1">
      <c r="A1413" s="153" t="s">
        <v>1213</v>
      </c>
      <c r="B1413" s="160">
        <v>9302</v>
      </c>
      <c r="C1413" s="153" t="s">
        <v>2876</v>
      </c>
      <c r="D1413" s="153" t="s">
        <v>2877</v>
      </c>
      <c r="E1413" s="153" t="s">
        <v>309</v>
      </c>
      <c r="F1413" s="153" t="s">
        <v>2878</v>
      </c>
      <c r="G1413" s="153" t="s">
        <v>2879</v>
      </c>
      <c r="H1413" s="153" t="s">
        <v>321</v>
      </c>
      <c r="I1413" s="153" t="s">
        <v>951</v>
      </c>
      <c r="J1413" s="153" t="s">
        <v>204</v>
      </c>
      <c r="K1413" s="153" t="s">
        <v>204</v>
      </c>
      <c r="L1413" s="153" t="s">
        <v>325</v>
      </c>
      <c r="M1413" s="153" t="s">
        <v>340</v>
      </c>
      <c r="N1413" s="153" t="s">
        <v>436</v>
      </c>
      <c r="O1413" s="153" t="s">
        <v>339</v>
      </c>
      <c r="P1413" s="153" t="s">
        <v>1211</v>
      </c>
      <c r="Q1413" s="153" t="s">
        <v>415</v>
      </c>
      <c r="R1413" s="153" t="s">
        <v>407</v>
      </c>
      <c r="S1413" s="153" t="s">
        <v>1212</v>
      </c>
      <c r="T1413" s="154">
        <v>2.3199999999999998</v>
      </c>
      <c r="U1413" s="153" t="s">
        <v>2880</v>
      </c>
      <c r="V1413" s="155">
        <v>1.9609999999999999E-2</v>
      </c>
      <c r="W1413" s="155">
        <v>5.1999999999999998E-2</v>
      </c>
      <c r="X1413" s="153" t="s">
        <v>412</v>
      </c>
      <c r="Y1413" s="153" t="s">
        <v>339</v>
      </c>
      <c r="Z1413" s="154">
        <v>4680877</v>
      </c>
      <c r="AA1413" s="154">
        <v>1</v>
      </c>
      <c r="AB1413" s="154">
        <v>96.67</v>
      </c>
      <c r="AD1413" s="154">
        <v>4525.0039999999999</v>
      </c>
      <c r="AG1413" s="157" t="s">
        <v>15</v>
      </c>
      <c r="AH1413" s="155">
        <v>4.2630000000000001E-2</v>
      </c>
      <c r="AI1413" s="155">
        <f t="shared" si="22"/>
        <v>6.1238249201137542E-3</v>
      </c>
      <c r="AJ1413" s="155">
        <v>1.3533680216922519E-3</v>
      </c>
    </row>
    <row r="1414" spans="1:36" s="160" customFormat="1">
      <c r="A1414" s="153" t="s">
        <v>1213</v>
      </c>
      <c r="B1414" s="160">
        <v>9302</v>
      </c>
      <c r="C1414" s="153" t="s">
        <v>2463</v>
      </c>
      <c r="D1414" s="153" t="s">
        <v>2464</v>
      </c>
      <c r="E1414" s="153" t="s">
        <v>309</v>
      </c>
      <c r="F1414" s="153" t="s">
        <v>2465</v>
      </c>
      <c r="G1414" s="153" t="s">
        <v>2466</v>
      </c>
      <c r="H1414" s="153" t="s">
        <v>321</v>
      </c>
      <c r="I1414" s="153" t="s">
        <v>754</v>
      </c>
      <c r="J1414" s="153" t="s">
        <v>204</v>
      </c>
      <c r="K1414" s="153" t="s">
        <v>204</v>
      </c>
      <c r="L1414" s="153" t="s">
        <v>325</v>
      </c>
      <c r="M1414" s="153" t="s">
        <v>340</v>
      </c>
      <c r="N1414" s="153" t="s">
        <v>465</v>
      </c>
      <c r="O1414" s="153" t="s">
        <v>339</v>
      </c>
      <c r="P1414" s="153" t="s">
        <v>1554</v>
      </c>
      <c r="Q1414" s="153" t="s">
        <v>413</v>
      </c>
      <c r="R1414" s="153" t="s">
        <v>407</v>
      </c>
      <c r="S1414" s="153" t="s">
        <v>1212</v>
      </c>
      <c r="T1414" s="154">
        <v>3.56</v>
      </c>
      <c r="U1414" s="153" t="s">
        <v>1669</v>
      </c>
      <c r="V1414" s="155">
        <v>4.3090000000000003E-2</v>
      </c>
      <c r="W1414" s="155">
        <v>5.1200000000000002E-2</v>
      </c>
      <c r="X1414" s="153" t="s">
        <v>412</v>
      </c>
      <c r="Y1414" s="153" t="s">
        <v>339</v>
      </c>
      <c r="Z1414" s="154">
        <v>3999584.12</v>
      </c>
      <c r="AA1414" s="154">
        <v>1</v>
      </c>
      <c r="AB1414" s="154">
        <v>100.76</v>
      </c>
      <c r="AD1414" s="154">
        <v>4029.9810000000002</v>
      </c>
      <c r="AG1414" s="157" t="s">
        <v>15</v>
      </c>
      <c r="AH1414" s="155">
        <v>3.5599999999999998E-3</v>
      </c>
      <c r="AI1414" s="155">
        <f t="shared" si="22"/>
        <v>5.4538953060339727E-3</v>
      </c>
      <c r="AJ1414" s="155">
        <v>1.2053132800385067E-3</v>
      </c>
    </row>
    <row r="1415" spans="1:36" s="160" customFormat="1">
      <c r="A1415" s="153" t="s">
        <v>1213</v>
      </c>
      <c r="B1415" s="160">
        <v>9302</v>
      </c>
      <c r="C1415" s="153" t="s">
        <v>1674</v>
      </c>
      <c r="D1415" s="153" t="s">
        <v>1675</v>
      </c>
      <c r="E1415" s="153" t="s">
        <v>309</v>
      </c>
      <c r="F1415" s="153" t="s">
        <v>1676</v>
      </c>
      <c r="G1415" s="153" t="s">
        <v>1677</v>
      </c>
      <c r="H1415" s="153" t="s">
        <v>321</v>
      </c>
      <c r="I1415" s="153" t="s">
        <v>754</v>
      </c>
      <c r="J1415" s="153" t="s">
        <v>204</v>
      </c>
      <c r="K1415" s="153" t="s">
        <v>204</v>
      </c>
      <c r="L1415" s="153" t="s">
        <v>325</v>
      </c>
      <c r="M1415" s="153" t="s">
        <v>340</v>
      </c>
      <c r="N1415" s="153" t="s">
        <v>464</v>
      </c>
      <c r="O1415" s="153" t="s">
        <v>339</v>
      </c>
      <c r="P1415" s="153" t="s">
        <v>1538</v>
      </c>
      <c r="Q1415" s="153" t="s">
        <v>413</v>
      </c>
      <c r="R1415" s="153" t="s">
        <v>407</v>
      </c>
      <c r="S1415" s="153" t="s">
        <v>1212</v>
      </c>
      <c r="T1415" s="154">
        <v>1.43</v>
      </c>
      <c r="U1415" s="153" t="s">
        <v>1678</v>
      </c>
      <c r="V1415" s="155">
        <v>5.9500000000000004E-3</v>
      </c>
      <c r="W1415" s="155">
        <v>2.58E-2</v>
      </c>
      <c r="X1415" s="153" t="s">
        <v>412</v>
      </c>
      <c r="Y1415" s="153" t="s">
        <v>339</v>
      </c>
      <c r="Z1415" s="154">
        <v>3497028.24</v>
      </c>
      <c r="AA1415" s="154">
        <v>1</v>
      </c>
      <c r="AB1415" s="154">
        <v>115.21</v>
      </c>
      <c r="AD1415" s="154">
        <v>4028.9259999999999</v>
      </c>
      <c r="AG1415" s="157" t="s">
        <v>15</v>
      </c>
      <c r="AH1415" s="155">
        <v>7.11E-3</v>
      </c>
      <c r="AI1415" s="155">
        <f t="shared" si="22"/>
        <v>5.4524675425909521E-3</v>
      </c>
      <c r="AJ1415" s="155">
        <v>1.204997743684752E-3</v>
      </c>
    </row>
    <row r="1416" spans="1:36" s="160" customFormat="1">
      <c r="A1416" s="153" t="s">
        <v>1213</v>
      </c>
      <c r="B1416" s="160">
        <v>9302</v>
      </c>
      <c r="C1416" s="153" t="s">
        <v>1924</v>
      </c>
      <c r="D1416" s="153" t="s">
        <v>1925</v>
      </c>
      <c r="E1416" s="153" t="s">
        <v>309</v>
      </c>
      <c r="F1416" s="153" t="s">
        <v>1926</v>
      </c>
      <c r="G1416" s="153" t="s">
        <v>1927</v>
      </c>
      <c r="H1416" s="153" t="s">
        <v>321</v>
      </c>
      <c r="I1416" s="153" t="s">
        <v>754</v>
      </c>
      <c r="J1416" s="153" t="s">
        <v>204</v>
      </c>
      <c r="K1416" s="153" t="s">
        <v>204</v>
      </c>
      <c r="L1416" s="153" t="s">
        <v>327</v>
      </c>
      <c r="M1416" s="153" t="s">
        <v>340</v>
      </c>
      <c r="N1416" s="153" t="s">
        <v>441</v>
      </c>
      <c r="O1416" s="153" t="s">
        <v>339</v>
      </c>
      <c r="Q1416" s="153" t="s">
        <v>410</v>
      </c>
      <c r="R1416" s="153" t="s">
        <v>410</v>
      </c>
      <c r="S1416" s="153" t="s">
        <v>1212</v>
      </c>
      <c r="T1416" s="154">
        <v>2.09</v>
      </c>
      <c r="U1416" s="153" t="s">
        <v>1528</v>
      </c>
      <c r="V1416" s="155">
        <v>4.1770000000000002E-2</v>
      </c>
      <c r="W1416" s="155">
        <v>5.04E-2</v>
      </c>
      <c r="X1416" s="153" t="s">
        <v>412</v>
      </c>
      <c r="Y1416" s="153" t="s">
        <v>339</v>
      </c>
      <c r="Z1416" s="154">
        <v>1285000</v>
      </c>
      <c r="AA1416" s="154">
        <v>1</v>
      </c>
      <c r="AB1416" s="154">
        <f>AD1416*1000/Z1416*100</f>
        <v>106.64387191426925</v>
      </c>
      <c r="AD1416" s="154">
        <f>1370373.75409836/1000</f>
        <v>1370.37375409836</v>
      </c>
      <c r="AG1416" s="157" t="s">
        <v>15</v>
      </c>
      <c r="AH1416" s="155">
        <v>9.6600000000000002E-3</v>
      </c>
      <c r="AI1416" s="155">
        <f t="shared" si="22"/>
        <v>1.8545682932473377E-3</v>
      </c>
      <c r="AJ1416" s="155">
        <v>4.0986041483346354E-4</v>
      </c>
    </row>
    <row r="1417" spans="1:36" s="160" customFormat="1">
      <c r="A1417" s="153" t="s">
        <v>1213</v>
      </c>
      <c r="B1417" s="160">
        <v>9302</v>
      </c>
      <c r="C1417" s="153" t="s">
        <v>2373</v>
      </c>
      <c r="D1417" s="153" t="s">
        <v>2374</v>
      </c>
      <c r="E1417" s="153" t="s">
        <v>309</v>
      </c>
      <c r="F1417" s="153" t="s">
        <v>2375</v>
      </c>
      <c r="G1417" s="153" t="s">
        <v>2376</v>
      </c>
      <c r="H1417" s="153" t="s">
        <v>321</v>
      </c>
      <c r="I1417" s="153" t="s">
        <v>755</v>
      </c>
      <c r="J1417" s="153" t="s">
        <v>204</v>
      </c>
      <c r="K1417" s="153" t="s">
        <v>204</v>
      </c>
      <c r="L1417" s="153" t="s">
        <v>325</v>
      </c>
      <c r="M1417" s="153" t="s">
        <v>340</v>
      </c>
      <c r="N1417" s="153" t="s">
        <v>454</v>
      </c>
      <c r="O1417" s="153" t="s">
        <v>339</v>
      </c>
      <c r="P1417" s="153" t="s">
        <v>1544</v>
      </c>
      <c r="Q1417" s="153" t="s">
        <v>415</v>
      </c>
      <c r="R1417" s="153" t="s">
        <v>407</v>
      </c>
      <c r="S1417" s="153" t="s">
        <v>1212</v>
      </c>
      <c r="T1417" s="154">
        <v>2.97</v>
      </c>
      <c r="U1417" s="153" t="s">
        <v>2377</v>
      </c>
      <c r="V1417" s="155">
        <v>4.861E-2</v>
      </c>
      <c r="W1417" s="155">
        <v>7.6100000000000001E-2</v>
      </c>
      <c r="X1417" s="153" t="s">
        <v>412</v>
      </c>
      <c r="Y1417" s="153" t="s">
        <v>339</v>
      </c>
      <c r="Z1417" s="154">
        <v>3991505.44</v>
      </c>
      <c r="AA1417" s="154">
        <v>1</v>
      </c>
      <c r="AB1417" s="154">
        <v>97.95</v>
      </c>
      <c r="AD1417" s="154">
        <v>3909.68</v>
      </c>
      <c r="AG1417" s="157" t="s">
        <v>15</v>
      </c>
      <c r="AH1417" s="155">
        <v>2.9499999999999999E-3</v>
      </c>
      <c r="AI1417" s="155">
        <f t="shared" si="22"/>
        <v>5.2910883202910639E-3</v>
      </c>
      <c r="AJ1417" s="155">
        <v>1.1693328640261453E-3</v>
      </c>
    </row>
    <row r="1418" spans="1:36" s="160" customFormat="1">
      <c r="A1418" s="153" t="s">
        <v>1213</v>
      </c>
      <c r="B1418" s="160">
        <v>9302</v>
      </c>
      <c r="C1418" s="153" t="s">
        <v>1986</v>
      </c>
      <c r="D1418" s="153" t="s">
        <v>1987</v>
      </c>
      <c r="E1418" s="153" t="s">
        <v>309</v>
      </c>
      <c r="F1418" s="153" t="s">
        <v>2504</v>
      </c>
      <c r="G1418" s="153" t="s">
        <v>2505</v>
      </c>
      <c r="H1418" s="153" t="s">
        <v>321</v>
      </c>
      <c r="I1418" s="153" t="s">
        <v>951</v>
      </c>
      <c r="J1418" s="153" t="s">
        <v>204</v>
      </c>
      <c r="K1418" s="153" t="s">
        <v>204</v>
      </c>
      <c r="L1418" s="153" t="s">
        <v>325</v>
      </c>
      <c r="M1418" s="153" t="s">
        <v>340</v>
      </c>
      <c r="N1418" s="153" t="s">
        <v>484</v>
      </c>
      <c r="O1418" s="153" t="s">
        <v>339</v>
      </c>
      <c r="P1418" s="153" t="s">
        <v>1538</v>
      </c>
      <c r="Q1418" s="153" t="s">
        <v>413</v>
      </c>
      <c r="R1418" s="153" t="s">
        <v>407</v>
      </c>
      <c r="S1418" s="153" t="s">
        <v>1212</v>
      </c>
      <c r="T1418" s="154">
        <v>0.65</v>
      </c>
      <c r="U1418" s="153" t="s">
        <v>2372</v>
      </c>
      <c r="V1418" s="155">
        <v>4.9180000000000001E-2</v>
      </c>
      <c r="W1418" s="155">
        <v>5.0500000000000003E-2</v>
      </c>
      <c r="X1418" s="153" t="s">
        <v>412</v>
      </c>
      <c r="Y1418" s="153" t="s">
        <v>339</v>
      </c>
      <c r="Z1418" s="154">
        <v>3860482</v>
      </c>
      <c r="AA1418" s="154">
        <v>1</v>
      </c>
      <c r="AB1418" s="154">
        <v>100.35</v>
      </c>
      <c r="AD1418" s="154">
        <v>3873.9940000000001</v>
      </c>
      <c r="AG1418" s="157" t="s">
        <v>15</v>
      </c>
      <c r="AH1418" s="155">
        <v>3.62E-3</v>
      </c>
      <c r="AI1418" s="155">
        <f t="shared" si="22"/>
        <v>5.2427933759994832E-3</v>
      </c>
      <c r="AJ1418" s="155">
        <v>1.1586596599312739E-3</v>
      </c>
    </row>
    <row r="1419" spans="1:36" s="160" customFormat="1">
      <c r="A1419" s="153" t="s">
        <v>1213</v>
      </c>
      <c r="B1419" s="160">
        <v>9302</v>
      </c>
      <c r="C1419" s="153" t="s">
        <v>2491</v>
      </c>
      <c r="D1419" s="153" t="s">
        <v>2492</v>
      </c>
      <c r="E1419" s="153" t="s">
        <v>311</v>
      </c>
      <c r="F1419" s="153" t="s">
        <v>2506</v>
      </c>
      <c r="G1419" s="153" t="s">
        <v>2507</v>
      </c>
      <c r="H1419" s="153" t="s">
        <v>321</v>
      </c>
      <c r="I1419" s="153" t="s">
        <v>951</v>
      </c>
      <c r="J1419" s="153" t="s">
        <v>204</v>
      </c>
      <c r="K1419" s="153" t="s">
        <v>224</v>
      </c>
      <c r="L1419" s="153" t="s">
        <v>325</v>
      </c>
      <c r="M1419" s="153" t="s">
        <v>340</v>
      </c>
      <c r="N1419" s="153" t="s">
        <v>465</v>
      </c>
      <c r="O1419" s="153" t="s">
        <v>339</v>
      </c>
      <c r="P1419" s="153" t="s">
        <v>1521</v>
      </c>
      <c r="Q1419" s="153" t="s">
        <v>413</v>
      </c>
      <c r="R1419" s="153" t="s">
        <v>407</v>
      </c>
      <c r="S1419" s="153" t="s">
        <v>1212</v>
      </c>
      <c r="T1419" s="154">
        <v>0.88</v>
      </c>
      <c r="U1419" s="153" t="s">
        <v>1289</v>
      </c>
      <c r="V1419" s="155">
        <v>4.7419999999999997E-2</v>
      </c>
      <c r="W1419" s="155">
        <v>8.5699999999999998E-2</v>
      </c>
      <c r="X1419" s="153" t="s">
        <v>412</v>
      </c>
      <c r="Y1419" s="153" t="s">
        <v>339</v>
      </c>
      <c r="Z1419" s="154">
        <v>3912266.31</v>
      </c>
      <c r="AA1419" s="154">
        <v>1</v>
      </c>
      <c r="AB1419" s="154">
        <v>98.47</v>
      </c>
      <c r="AD1419" s="154">
        <v>3852.4090000000001</v>
      </c>
      <c r="AG1419" s="157" t="s">
        <v>15</v>
      </c>
      <c r="AH1419" s="155">
        <v>1.3780000000000001E-2</v>
      </c>
      <c r="AI1419" s="155">
        <f t="shared" si="22"/>
        <v>5.2135817419543739E-3</v>
      </c>
      <c r="AJ1419" s="155">
        <v>1.1522038758594304E-3</v>
      </c>
    </row>
    <row r="1420" spans="1:36" s="160" customFormat="1">
      <c r="A1420" s="153" t="s">
        <v>1213</v>
      </c>
      <c r="B1420" s="160">
        <v>9302</v>
      </c>
      <c r="C1420" s="153" t="s">
        <v>1904</v>
      </c>
      <c r="D1420" s="153" t="s">
        <v>1905</v>
      </c>
      <c r="E1420" s="153" t="s">
        <v>309</v>
      </c>
      <c r="F1420" s="153" t="s">
        <v>2097</v>
      </c>
      <c r="G1420" s="153" t="s">
        <v>2098</v>
      </c>
      <c r="H1420" s="153" t="s">
        <v>321</v>
      </c>
      <c r="I1420" s="153" t="s">
        <v>754</v>
      </c>
      <c r="J1420" s="153" t="s">
        <v>204</v>
      </c>
      <c r="K1420" s="153" t="s">
        <v>204</v>
      </c>
      <c r="L1420" s="153" t="s">
        <v>325</v>
      </c>
      <c r="M1420" s="153" t="s">
        <v>340</v>
      </c>
      <c r="N1420" s="153" t="s">
        <v>448</v>
      </c>
      <c r="O1420" s="153" t="s">
        <v>339</v>
      </c>
      <c r="P1420" s="153" t="s">
        <v>1215</v>
      </c>
      <c r="Q1420" s="153" t="s">
        <v>413</v>
      </c>
      <c r="R1420" s="153" t="s">
        <v>407</v>
      </c>
      <c r="S1420" s="153" t="s">
        <v>1212</v>
      </c>
      <c r="T1420" s="154">
        <v>5.05</v>
      </c>
      <c r="U1420" s="153" t="s">
        <v>2099</v>
      </c>
      <c r="V1420" s="155">
        <v>1.4630000000000001E-2</v>
      </c>
      <c r="W1420" s="155">
        <v>2.58E-2</v>
      </c>
      <c r="X1420" s="153" t="s">
        <v>412</v>
      </c>
      <c r="Y1420" s="153" t="s">
        <v>339</v>
      </c>
      <c r="Z1420" s="154">
        <v>3710000</v>
      </c>
      <c r="AA1420" s="154">
        <v>1</v>
      </c>
      <c r="AB1420" s="154">
        <v>102.7</v>
      </c>
      <c r="AD1420" s="154">
        <v>3810.17</v>
      </c>
      <c r="AG1420" s="157" t="s">
        <v>15</v>
      </c>
      <c r="AH1420" s="155">
        <v>1.2999999999999999E-3</v>
      </c>
      <c r="AI1420" s="155">
        <f t="shared" si="22"/>
        <v>5.1564184243527355E-3</v>
      </c>
      <c r="AJ1420" s="155">
        <v>1.1395707573321852E-3</v>
      </c>
    </row>
    <row r="1421" spans="1:36" s="160" customFormat="1">
      <c r="A1421" s="153" t="s">
        <v>1213</v>
      </c>
      <c r="B1421" s="160">
        <v>9302</v>
      </c>
      <c r="C1421" s="153" t="s">
        <v>1573</v>
      </c>
      <c r="D1421" s="153" t="s">
        <v>1574</v>
      </c>
      <c r="E1421" s="153" t="s">
        <v>309</v>
      </c>
      <c r="F1421" s="153" t="s">
        <v>2094</v>
      </c>
      <c r="G1421" s="153" t="s">
        <v>2095</v>
      </c>
      <c r="H1421" s="153" t="s">
        <v>321</v>
      </c>
      <c r="I1421" s="153" t="s">
        <v>754</v>
      </c>
      <c r="J1421" s="153" t="s">
        <v>204</v>
      </c>
      <c r="K1421" s="153" t="s">
        <v>204</v>
      </c>
      <c r="L1421" s="153" t="s">
        <v>325</v>
      </c>
      <c r="M1421" s="153" t="s">
        <v>340</v>
      </c>
      <c r="N1421" s="153" t="s">
        <v>448</v>
      </c>
      <c r="O1421" s="153" t="s">
        <v>339</v>
      </c>
      <c r="P1421" s="153" t="s">
        <v>1215</v>
      </c>
      <c r="Q1421" s="153" t="s">
        <v>413</v>
      </c>
      <c r="R1421" s="153" t="s">
        <v>407</v>
      </c>
      <c r="S1421" s="153" t="s">
        <v>1212</v>
      </c>
      <c r="T1421" s="154">
        <v>5.04</v>
      </c>
      <c r="U1421" s="153" t="s">
        <v>2096</v>
      </c>
      <c r="V1421" s="155">
        <v>2.0969999999999999E-2</v>
      </c>
      <c r="W1421" s="155">
        <v>2.5899999999999999E-2</v>
      </c>
      <c r="X1421" s="153" t="s">
        <v>412</v>
      </c>
      <c r="Y1421" s="153" t="s">
        <v>339</v>
      </c>
      <c r="Z1421" s="154">
        <v>3730000</v>
      </c>
      <c r="AA1421" s="154">
        <v>1</v>
      </c>
      <c r="AB1421" s="154">
        <v>101.35</v>
      </c>
      <c r="AD1421" s="154">
        <v>3780.355</v>
      </c>
      <c r="AG1421" s="157" t="s">
        <v>15</v>
      </c>
      <c r="AH1421" s="155">
        <v>1.0499999999999999E-3</v>
      </c>
      <c r="AI1421" s="155">
        <f t="shared" si="22"/>
        <v>5.1160688821217911E-3</v>
      </c>
      <c r="AJ1421" s="155">
        <v>1.1306534906144641E-3</v>
      </c>
    </row>
    <row r="1422" spans="1:36" s="160" customFormat="1">
      <c r="A1422" s="153" t="s">
        <v>1213</v>
      </c>
      <c r="B1422" s="160">
        <v>9302</v>
      </c>
      <c r="C1422" s="153" t="s">
        <v>2897</v>
      </c>
      <c r="D1422" s="153" t="s">
        <v>2898</v>
      </c>
      <c r="E1422" s="153" t="s">
        <v>309</v>
      </c>
      <c r="F1422" s="153" t="s">
        <v>2899</v>
      </c>
      <c r="G1422" s="153" t="s">
        <v>2900</v>
      </c>
      <c r="H1422" s="153" t="s">
        <v>321</v>
      </c>
      <c r="I1422" s="153" t="s">
        <v>951</v>
      </c>
      <c r="J1422" s="153" t="s">
        <v>204</v>
      </c>
      <c r="K1422" s="153" t="s">
        <v>204</v>
      </c>
      <c r="L1422" s="153" t="s">
        <v>325</v>
      </c>
      <c r="M1422" s="153" t="s">
        <v>340</v>
      </c>
      <c r="N1422" s="153" t="s">
        <v>447</v>
      </c>
      <c r="O1422" s="153" t="s">
        <v>339</v>
      </c>
      <c r="P1422" s="153" t="s">
        <v>1614</v>
      </c>
      <c r="Q1422" s="153" t="s">
        <v>415</v>
      </c>
      <c r="R1422" s="153" t="s">
        <v>407</v>
      </c>
      <c r="S1422" s="153" t="s">
        <v>1212</v>
      </c>
      <c r="T1422" s="154">
        <v>1.21</v>
      </c>
      <c r="U1422" s="153" t="s">
        <v>1659</v>
      </c>
      <c r="V1422" s="155">
        <v>5.6669999999999998E-2</v>
      </c>
      <c r="W1422" s="155">
        <v>5.8400000000000001E-2</v>
      </c>
      <c r="X1422" s="153" t="s">
        <v>412</v>
      </c>
      <c r="Y1422" s="153" t="s">
        <v>339</v>
      </c>
      <c r="Z1422" s="154">
        <v>3915415</v>
      </c>
      <c r="AA1422" s="154">
        <v>1</v>
      </c>
      <c r="AB1422" s="154">
        <v>96.06</v>
      </c>
      <c r="AD1422" s="154">
        <v>3761.1480000000001</v>
      </c>
      <c r="AG1422" s="157" t="s">
        <v>15</v>
      </c>
      <c r="AH1422" s="155">
        <v>1.119E-2</v>
      </c>
      <c r="AI1422" s="155">
        <f t="shared" si="22"/>
        <v>5.090075467477158E-3</v>
      </c>
      <c r="AJ1422" s="155">
        <v>1.1249089344565818E-3</v>
      </c>
    </row>
    <row r="1423" spans="1:36" s="160" customFormat="1">
      <c r="A1423" s="153" t="s">
        <v>1213</v>
      </c>
      <c r="B1423" s="160">
        <v>9302</v>
      </c>
      <c r="C1423" s="153" t="s">
        <v>1674</v>
      </c>
      <c r="D1423" s="153" t="s">
        <v>1675</v>
      </c>
      <c r="E1423" s="153" t="s">
        <v>309</v>
      </c>
      <c r="F1423" s="153" t="s">
        <v>2477</v>
      </c>
      <c r="G1423" s="153" t="s">
        <v>2478</v>
      </c>
      <c r="H1423" s="153" t="s">
        <v>321</v>
      </c>
      <c r="I1423" s="153" t="s">
        <v>754</v>
      </c>
      <c r="J1423" s="153" t="s">
        <v>204</v>
      </c>
      <c r="K1423" s="153" t="s">
        <v>204</v>
      </c>
      <c r="L1423" s="153" t="s">
        <v>325</v>
      </c>
      <c r="M1423" s="153" t="s">
        <v>340</v>
      </c>
      <c r="N1423" s="153" t="s">
        <v>464</v>
      </c>
      <c r="O1423" s="153" t="s">
        <v>339</v>
      </c>
      <c r="P1423" s="153" t="s">
        <v>1538</v>
      </c>
      <c r="Q1423" s="153" t="s">
        <v>413</v>
      </c>
      <c r="R1423" s="153" t="s">
        <v>407</v>
      </c>
      <c r="S1423" s="153" t="s">
        <v>1212</v>
      </c>
      <c r="T1423" s="154">
        <v>1.1100000000000001</v>
      </c>
      <c r="U1423" s="153" t="s">
        <v>2369</v>
      </c>
      <c r="V1423" s="155">
        <v>5.7600000000000004E-3</v>
      </c>
      <c r="W1423" s="155">
        <v>2.4199999999999999E-2</v>
      </c>
      <c r="X1423" s="153" t="s">
        <v>412</v>
      </c>
      <c r="Y1423" s="153" t="s">
        <v>339</v>
      </c>
      <c r="Z1423" s="154">
        <v>3265766.97</v>
      </c>
      <c r="AA1423" s="154">
        <v>1</v>
      </c>
      <c r="AB1423" s="154">
        <v>111.51</v>
      </c>
      <c r="AD1423" s="154">
        <v>3641.6570000000002</v>
      </c>
      <c r="AG1423" s="157" t="s">
        <v>15</v>
      </c>
      <c r="AH1423" s="155">
        <v>1.0370000000000001E-2</v>
      </c>
      <c r="AI1423" s="155">
        <f t="shared" si="22"/>
        <v>4.928364679259222E-3</v>
      </c>
      <c r="AJ1423" s="155">
        <v>1.089170778583122E-3</v>
      </c>
    </row>
    <row r="1424" spans="1:36" s="160" customFormat="1">
      <c r="A1424" s="153" t="s">
        <v>1213</v>
      </c>
      <c r="B1424" s="160">
        <v>9302</v>
      </c>
      <c r="C1424" s="153" t="s">
        <v>1825</v>
      </c>
      <c r="D1424" s="153" t="s">
        <v>1826</v>
      </c>
      <c r="E1424" s="153" t="s">
        <v>309</v>
      </c>
      <c r="F1424" s="153" t="s">
        <v>2891</v>
      </c>
      <c r="G1424" s="153" t="s">
        <v>2892</v>
      </c>
      <c r="H1424" s="153" t="s">
        <v>321</v>
      </c>
      <c r="I1424" s="153" t="s">
        <v>951</v>
      </c>
      <c r="J1424" s="153" t="s">
        <v>204</v>
      </c>
      <c r="K1424" s="153" t="s">
        <v>204</v>
      </c>
      <c r="L1424" s="153" t="s">
        <v>325</v>
      </c>
      <c r="M1424" s="153" t="s">
        <v>340</v>
      </c>
      <c r="N1424" s="153" t="s">
        <v>441</v>
      </c>
      <c r="O1424" s="153" t="s">
        <v>339</v>
      </c>
      <c r="Q1424" s="153" t="s">
        <v>410</v>
      </c>
      <c r="R1424" s="153" t="s">
        <v>410</v>
      </c>
      <c r="S1424" s="153" t="s">
        <v>1212</v>
      </c>
      <c r="T1424" s="154">
        <v>0.74</v>
      </c>
      <c r="U1424" s="153" t="s">
        <v>1848</v>
      </c>
      <c r="V1424" s="155">
        <v>3.4369999999999998E-2</v>
      </c>
      <c r="W1424" s="155">
        <v>6.2899999999999998E-2</v>
      </c>
      <c r="X1424" s="153" t="s">
        <v>412</v>
      </c>
      <c r="Y1424" s="153" t="s">
        <v>339</v>
      </c>
      <c r="Z1424" s="154">
        <v>3673760.9</v>
      </c>
      <c r="AA1424" s="154">
        <v>1</v>
      </c>
      <c r="AB1424" s="154">
        <v>99</v>
      </c>
      <c r="AD1424" s="154">
        <v>3637.0230000000001</v>
      </c>
      <c r="AG1424" s="157" t="s">
        <v>15</v>
      </c>
      <c r="AH1424" s="155">
        <v>2.5649999999999999E-2</v>
      </c>
      <c r="AI1424" s="155">
        <f t="shared" si="22"/>
        <v>4.9220933467521554E-3</v>
      </c>
      <c r="AJ1424" s="155">
        <v>1.0877848113193312E-3</v>
      </c>
    </row>
    <row r="1425" spans="1:36" s="160" customFormat="1">
      <c r="A1425" s="153" t="s">
        <v>1213</v>
      </c>
      <c r="B1425" s="160">
        <v>9302</v>
      </c>
      <c r="C1425" s="153" t="s">
        <v>1512</v>
      </c>
      <c r="D1425" s="153" t="s">
        <v>1513</v>
      </c>
      <c r="E1425" s="153" t="s">
        <v>309</v>
      </c>
      <c r="F1425" s="153" t="s">
        <v>3002</v>
      </c>
      <c r="G1425" s="153" t="s">
        <v>3003</v>
      </c>
      <c r="H1425" s="153" t="s">
        <v>321</v>
      </c>
      <c r="I1425" s="153" t="s">
        <v>754</v>
      </c>
      <c r="J1425" s="153" t="s">
        <v>204</v>
      </c>
      <c r="K1425" s="153" t="s">
        <v>204</v>
      </c>
      <c r="L1425" s="153" t="s">
        <v>325</v>
      </c>
      <c r="M1425" s="153" t="s">
        <v>340</v>
      </c>
      <c r="N1425" s="153" t="s">
        <v>448</v>
      </c>
      <c r="O1425" s="153" t="s">
        <v>339</v>
      </c>
      <c r="P1425" s="153" t="s">
        <v>1211</v>
      </c>
      <c r="Q1425" s="153" t="s">
        <v>415</v>
      </c>
      <c r="R1425" s="153" t="s">
        <v>407</v>
      </c>
      <c r="S1425" s="153" t="s">
        <v>1212</v>
      </c>
      <c r="T1425" s="154">
        <v>0.42</v>
      </c>
      <c r="U1425" s="153" t="s">
        <v>2049</v>
      </c>
      <c r="V1425" s="155">
        <v>9.4999999999999998E-3</v>
      </c>
      <c r="W1425" s="155">
        <v>2.6599999999999999E-2</v>
      </c>
      <c r="X1425" s="153" t="s">
        <v>412</v>
      </c>
      <c r="Y1425" s="153" t="s">
        <v>339</v>
      </c>
      <c r="Z1425" s="154">
        <v>3101462.89</v>
      </c>
      <c r="AA1425" s="154">
        <v>1</v>
      </c>
      <c r="AB1425" s="154">
        <v>116.08</v>
      </c>
      <c r="AD1425" s="154">
        <v>3600.1779999999999</v>
      </c>
      <c r="AG1425" s="157" t="s">
        <v>15</v>
      </c>
      <c r="AH1425" s="155">
        <v>1.9300000000000001E-2</v>
      </c>
      <c r="AI1425" s="155">
        <f t="shared" si="22"/>
        <v>4.8722298926686686E-3</v>
      </c>
      <c r="AJ1425" s="155">
        <v>1.0767649658652164E-3</v>
      </c>
    </row>
    <row r="1426" spans="1:36" s="160" customFormat="1">
      <c r="A1426" s="153" t="s">
        <v>1213</v>
      </c>
      <c r="B1426" s="160">
        <v>9302</v>
      </c>
      <c r="C1426" s="153" t="s">
        <v>2385</v>
      </c>
      <c r="D1426" s="153" t="s">
        <v>2386</v>
      </c>
      <c r="E1426" s="153" t="s">
        <v>309</v>
      </c>
      <c r="F1426" s="153" t="s">
        <v>2539</v>
      </c>
      <c r="G1426" s="153" t="s">
        <v>2540</v>
      </c>
      <c r="H1426" s="153" t="s">
        <v>321</v>
      </c>
      <c r="I1426" s="153" t="s">
        <v>951</v>
      </c>
      <c r="J1426" s="153" t="s">
        <v>204</v>
      </c>
      <c r="K1426" s="153" t="s">
        <v>204</v>
      </c>
      <c r="L1426" s="153" t="s">
        <v>325</v>
      </c>
      <c r="M1426" s="153" t="s">
        <v>340</v>
      </c>
      <c r="N1426" s="153" t="s">
        <v>464</v>
      </c>
      <c r="O1426" s="153" t="s">
        <v>339</v>
      </c>
      <c r="P1426" s="153" t="s">
        <v>1211</v>
      </c>
      <c r="Q1426" s="153" t="s">
        <v>415</v>
      </c>
      <c r="R1426" s="153" t="s">
        <v>407</v>
      </c>
      <c r="S1426" s="153" t="s">
        <v>1212</v>
      </c>
      <c r="T1426" s="154">
        <v>0.25</v>
      </c>
      <c r="U1426" s="153" t="s">
        <v>2541</v>
      </c>
      <c r="V1426" s="155">
        <v>2.299E-2</v>
      </c>
      <c r="W1426" s="155">
        <v>4.5199999999999997E-2</v>
      </c>
      <c r="X1426" s="153" t="s">
        <v>412</v>
      </c>
      <c r="Y1426" s="153" t="s">
        <v>339</v>
      </c>
      <c r="Z1426" s="154">
        <v>3542365.92</v>
      </c>
      <c r="AA1426" s="154">
        <v>1</v>
      </c>
      <c r="AB1426" s="154">
        <v>99.71</v>
      </c>
      <c r="AD1426" s="154">
        <v>3532.0929999999998</v>
      </c>
      <c r="AG1426" s="157" t="s">
        <v>15</v>
      </c>
      <c r="AH1426" s="155">
        <v>3.4009999999999999E-2</v>
      </c>
      <c r="AI1426" s="155">
        <f t="shared" si="22"/>
        <v>4.7800884007084526E-3</v>
      </c>
      <c r="AJ1426" s="155">
        <v>1.0564016553008685E-3</v>
      </c>
    </row>
    <row r="1427" spans="1:36" s="160" customFormat="1">
      <c r="A1427" s="153" t="s">
        <v>1213</v>
      </c>
      <c r="B1427" s="160">
        <v>9302</v>
      </c>
      <c r="C1427" s="153" t="s">
        <v>2396</v>
      </c>
      <c r="D1427" s="153" t="s">
        <v>2397</v>
      </c>
      <c r="E1427" s="153" t="s">
        <v>309</v>
      </c>
      <c r="F1427" s="153" t="s">
        <v>2398</v>
      </c>
      <c r="G1427" s="153" t="s">
        <v>2399</v>
      </c>
      <c r="H1427" s="153" t="s">
        <v>321</v>
      </c>
      <c r="I1427" s="153" t="s">
        <v>754</v>
      </c>
      <c r="J1427" s="153" t="s">
        <v>204</v>
      </c>
      <c r="K1427" s="153" t="s">
        <v>204</v>
      </c>
      <c r="L1427" s="153" t="s">
        <v>325</v>
      </c>
      <c r="M1427" s="153" t="s">
        <v>340</v>
      </c>
      <c r="N1427" s="153" t="s">
        <v>451</v>
      </c>
      <c r="O1427" s="153" t="s">
        <v>339</v>
      </c>
      <c r="P1427" s="153" t="s">
        <v>1521</v>
      </c>
      <c r="Q1427" s="153" t="s">
        <v>413</v>
      </c>
      <c r="R1427" s="153" t="s">
        <v>407</v>
      </c>
      <c r="S1427" s="153" t="s">
        <v>1212</v>
      </c>
      <c r="T1427" s="154">
        <v>4.7</v>
      </c>
      <c r="U1427" s="153" t="s">
        <v>2174</v>
      </c>
      <c r="V1427" s="155">
        <v>2.9610000000000001E-2</v>
      </c>
      <c r="W1427" s="155">
        <v>3.6700000000000003E-2</v>
      </c>
      <c r="X1427" s="153" t="s">
        <v>412</v>
      </c>
      <c r="Y1427" s="153" t="s">
        <v>339</v>
      </c>
      <c r="Z1427" s="154">
        <v>3604500</v>
      </c>
      <c r="AA1427" s="154">
        <v>1</v>
      </c>
      <c r="AB1427" s="154">
        <v>97.72</v>
      </c>
      <c r="AD1427" s="154">
        <v>3522.317</v>
      </c>
      <c r="AG1427" s="157" t="s">
        <v>15</v>
      </c>
      <c r="AH1427" s="155">
        <v>3.82E-3</v>
      </c>
      <c r="AI1427" s="155">
        <f t="shared" si="22"/>
        <v>4.7668582439132252E-3</v>
      </c>
      <c r="AJ1427" s="155">
        <v>1.0534777847849388E-3</v>
      </c>
    </row>
    <row r="1428" spans="1:36" s="160" customFormat="1">
      <c r="A1428" s="153" t="s">
        <v>1213</v>
      </c>
      <c r="B1428" s="160">
        <v>9302</v>
      </c>
      <c r="C1428" s="153" t="s">
        <v>2883</v>
      </c>
      <c r="D1428" s="153">
        <v>53368</v>
      </c>
      <c r="E1428" s="153" t="s">
        <v>311</v>
      </c>
      <c r="F1428" s="153" t="s">
        <v>2885</v>
      </c>
      <c r="G1428" s="153" t="s">
        <v>2886</v>
      </c>
      <c r="H1428" s="153" t="s">
        <v>321</v>
      </c>
      <c r="I1428" s="153" t="s">
        <v>755</v>
      </c>
      <c r="J1428" s="153" t="s">
        <v>204</v>
      </c>
      <c r="K1428" s="153" t="s">
        <v>204</v>
      </c>
      <c r="L1428" s="153" t="s">
        <v>325</v>
      </c>
      <c r="M1428" s="153" t="s">
        <v>340</v>
      </c>
      <c r="N1428" s="153" t="s">
        <v>480</v>
      </c>
      <c r="O1428" s="153" t="s">
        <v>339</v>
      </c>
      <c r="P1428" s="153" t="s">
        <v>1566</v>
      </c>
      <c r="Q1428" s="153" t="s">
        <v>413</v>
      </c>
      <c r="R1428" s="153" t="s">
        <v>407</v>
      </c>
      <c r="S1428" s="153" t="s">
        <v>1212</v>
      </c>
      <c r="T1428" s="154">
        <v>0.73</v>
      </c>
      <c r="U1428" s="153" t="s">
        <v>1749</v>
      </c>
      <c r="V1428" s="155">
        <v>3.107E-2</v>
      </c>
      <c r="W1428" s="155">
        <v>7.2599999999999998E-2</v>
      </c>
      <c r="X1428" s="153" t="s">
        <v>412</v>
      </c>
      <c r="Y1428" s="153" t="s">
        <v>339</v>
      </c>
      <c r="Z1428" s="154">
        <v>3346161.1</v>
      </c>
      <c r="AA1428" s="154">
        <v>1</v>
      </c>
      <c r="AB1428" s="154">
        <v>103.4</v>
      </c>
      <c r="AD1428" s="154">
        <v>3459.931</v>
      </c>
      <c r="AG1428" s="157" t="s">
        <v>15</v>
      </c>
      <c r="AH1428" s="155">
        <v>2.3900000000000001E-2</v>
      </c>
      <c r="AI1428" s="155">
        <f t="shared" si="22"/>
        <v>4.6824293812058734E-3</v>
      </c>
      <c r="AJ1428" s="155">
        <v>1.0348189687040487E-3</v>
      </c>
    </row>
    <row r="1429" spans="1:36" s="160" customFormat="1">
      <c r="A1429" s="153" t="s">
        <v>1213</v>
      </c>
      <c r="B1429" s="160">
        <v>9302</v>
      </c>
      <c r="C1429" s="153" t="s">
        <v>2228</v>
      </c>
      <c r="D1429" s="153" t="s">
        <v>2229</v>
      </c>
      <c r="E1429" s="153" t="s">
        <v>309</v>
      </c>
      <c r="F1429" s="153" t="s">
        <v>2449</v>
      </c>
      <c r="G1429" s="153" t="s">
        <v>2450</v>
      </c>
      <c r="H1429" s="153" t="s">
        <v>321</v>
      </c>
      <c r="I1429" s="153" t="s">
        <v>952</v>
      </c>
      <c r="J1429" s="153" t="s">
        <v>204</v>
      </c>
      <c r="K1429" s="153" t="s">
        <v>204</v>
      </c>
      <c r="L1429" s="153" t="s">
        <v>325</v>
      </c>
      <c r="M1429" s="153" t="s">
        <v>340</v>
      </c>
      <c r="N1429" s="153" t="s">
        <v>441</v>
      </c>
      <c r="O1429" s="153" t="s">
        <v>339</v>
      </c>
      <c r="P1429" s="153" t="s">
        <v>1614</v>
      </c>
      <c r="Q1429" s="153" t="s">
        <v>415</v>
      </c>
      <c r="R1429" s="153" t="s">
        <v>407</v>
      </c>
      <c r="S1429" s="153" t="s">
        <v>1212</v>
      </c>
      <c r="T1429" s="154">
        <v>3.86</v>
      </c>
      <c r="U1429" s="153" t="s">
        <v>2451</v>
      </c>
      <c r="V1429" s="155">
        <v>1.9619999999999999E-2</v>
      </c>
      <c r="W1429" s="155">
        <v>5.9400000000000001E-2</v>
      </c>
      <c r="X1429" s="153" t="s">
        <v>412</v>
      </c>
      <c r="Y1429" s="153" t="s">
        <v>339</v>
      </c>
      <c r="Z1429" s="154">
        <v>4189800</v>
      </c>
      <c r="AA1429" s="154">
        <v>1</v>
      </c>
      <c r="AB1429" s="154">
        <v>82.4</v>
      </c>
      <c r="AD1429" s="154">
        <v>3452.395</v>
      </c>
      <c r="AG1429" s="157" t="s">
        <v>15</v>
      </c>
      <c r="AH1429" s="155">
        <v>7.8799999999999999E-3</v>
      </c>
      <c r="AI1429" s="155">
        <f t="shared" si="22"/>
        <v>4.6722306842327931E-3</v>
      </c>
      <c r="AJ1429" s="155">
        <v>1.0325650521524892E-3</v>
      </c>
    </row>
    <row r="1430" spans="1:36" s="160" customFormat="1">
      <c r="A1430" s="153" t="s">
        <v>1213</v>
      </c>
      <c r="B1430" s="160">
        <v>9302</v>
      </c>
      <c r="C1430" s="153" t="s">
        <v>2343</v>
      </c>
      <c r="D1430" s="153" t="s">
        <v>2344</v>
      </c>
      <c r="E1430" s="153" t="s">
        <v>309</v>
      </c>
      <c r="F1430" s="153" t="s">
        <v>2931</v>
      </c>
      <c r="G1430" s="153" t="s">
        <v>2932</v>
      </c>
      <c r="H1430" s="153" t="s">
        <v>321</v>
      </c>
      <c r="I1430" s="153" t="s">
        <v>951</v>
      </c>
      <c r="J1430" s="153" t="s">
        <v>204</v>
      </c>
      <c r="K1430" s="153" t="s">
        <v>204</v>
      </c>
      <c r="L1430" s="153" t="s">
        <v>325</v>
      </c>
      <c r="M1430" s="153" t="s">
        <v>340</v>
      </c>
      <c r="N1430" s="153" t="s">
        <v>476</v>
      </c>
      <c r="O1430" s="153" t="s">
        <v>339</v>
      </c>
      <c r="P1430" s="153" t="s">
        <v>1566</v>
      </c>
      <c r="Q1430" s="153" t="s">
        <v>413</v>
      </c>
      <c r="R1430" s="153" t="s">
        <v>407</v>
      </c>
      <c r="S1430" s="153" t="s">
        <v>1212</v>
      </c>
      <c r="T1430" s="154">
        <v>1.33</v>
      </c>
      <c r="U1430" s="153" t="s">
        <v>2933</v>
      </c>
      <c r="V1430" s="155">
        <v>3.6089999999999997E-2</v>
      </c>
      <c r="W1430" s="155">
        <v>5.2200000000000003E-2</v>
      </c>
      <c r="X1430" s="153" t="s">
        <v>412</v>
      </c>
      <c r="Y1430" s="153" t="s">
        <v>339</v>
      </c>
      <c r="Z1430" s="154">
        <v>3507174.82</v>
      </c>
      <c r="AA1430" s="154">
        <v>1</v>
      </c>
      <c r="AB1430" s="154">
        <v>97.05</v>
      </c>
      <c r="AD1430" s="154">
        <v>3403.7130000000002</v>
      </c>
      <c r="AG1430" s="157" t="s">
        <v>15</v>
      </c>
      <c r="AH1430" s="155">
        <v>8.5100000000000002E-3</v>
      </c>
      <c r="AI1430" s="155">
        <f t="shared" si="22"/>
        <v>4.6063478596516487E-3</v>
      </c>
      <c r="AJ1430" s="155">
        <v>1.0180049187179061E-3</v>
      </c>
    </row>
    <row r="1431" spans="1:36" s="160" customFormat="1">
      <c r="A1431" s="153" t="s">
        <v>1213</v>
      </c>
      <c r="B1431" s="160">
        <v>9302</v>
      </c>
      <c r="C1431" s="153" t="s">
        <v>2872</v>
      </c>
      <c r="D1431" s="153" t="s">
        <v>2873</v>
      </c>
      <c r="E1431" s="153" t="s">
        <v>309</v>
      </c>
      <c r="F1431" s="153" t="s">
        <v>2874</v>
      </c>
      <c r="G1431" s="153" t="s">
        <v>2875</v>
      </c>
      <c r="H1431" s="153" t="s">
        <v>321</v>
      </c>
      <c r="I1431" s="153" t="s">
        <v>952</v>
      </c>
      <c r="J1431" s="153" t="s">
        <v>204</v>
      </c>
      <c r="K1431" s="153" t="s">
        <v>204</v>
      </c>
      <c r="L1431" s="153" t="s">
        <v>325</v>
      </c>
      <c r="M1431" s="153" t="s">
        <v>340</v>
      </c>
      <c r="N1431" s="153" t="s">
        <v>441</v>
      </c>
      <c r="O1431" s="153" t="s">
        <v>339</v>
      </c>
      <c r="Q1431" s="153" t="s">
        <v>410</v>
      </c>
      <c r="R1431" s="153" t="s">
        <v>410</v>
      </c>
      <c r="S1431" s="153" t="s">
        <v>1212</v>
      </c>
      <c r="T1431" s="154">
        <v>1.71</v>
      </c>
      <c r="U1431" s="153" t="s">
        <v>1833</v>
      </c>
      <c r="V1431" s="155">
        <v>6.651E-2</v>
      </c>
      <c r="W1431" s="155">
        <v>6.83E-2</v>
      </c>
      <c r="X1431" s="153" t="s">
        <v>412</v>
      </c>
      <c r="Y1431" s="153" t="s">
        <v>339</v>
      </c>
      <c r="Z1431" s="154">
        <v>3567938</v>
      </c>
      <c r="AA1431" s="154">
        <v>1</v>
      </c>
      <c r="AB1431" s="154">
        <v>93.8</v>
      </c>
      <c r="AD1431" s="154">
        <v>3346.7260000000001</v>
      </c>
      <c r="AG1431" s="157" t="s">
        <v>15</v>
      </c>
      <c r="AH1431" s="155">
        <v>1.0659999999999999E-2</v>
      </c>
      <c r="AI1431" s="155">
        <f t="shared" si="22"/>
        <v>4.5292256271138379E-3</v>
      </c>
      <c r="AJ1431" s="155">
        <v>1.0009608711431025E-3</v>
      </c>
    </row>
    <row r="1432" spans="1:36" s="160" customFormat="1">
      <c r="A1432" s="153" t="s">
        <v>1213</v>
      </c>
      <c r="B1432" s="160">
        <v>9302</v>
      </c>
      <c r="C1432" s="153" t="s">
        <v>1861</v>
      </c>
      <c r="D1432" s="153" t="s">
        <v>1862</v>
      </c>
      <c r="E1432" s="153" t="s">
        <v>309</v>
      </c>
      <c r="F1432" s="153" t="s">
        <v>2458</v>
      </c>
      <c r="G1432" s="153" t="s">
        <v>2459</v>
      </c>
      <c r="H1432" s="153" t="s">
        <v>321</v>
      </c>
      <c r="I1432" s="153" t="s">
        <v>754</v>
      </c>
      <c r="J1432" s="153" t="s">
        <v>204</v>
      </c>
      <c r="K1432" s="153" t="s">
        <v>204</v>
      </c>
      <c r="L1432" s="153" t="s">
        <v>325</v>
      </c>
      <c r="M1432" s="153" t="s">
        <v>340</v>
      </c>
      <c r="N1432" s="153" t="s">
        <v>464</v>
      </c>
      <c r="O1432" s="153" t="s">
        <v>339</v>
      </c>
      <c r="P1432" s="153" t="s">
        <v>1538</v>
      </c>
      <c r="Q1432" s="153" t="s">
        <v>413</v>
      </c>
      <c r="R1432" s="153" t="s">
        <v>407</v>
      </c>
      <c r="S1432" s="153" t="s">
        <v>1212</v>
      </c>
      <c r="T1432" s="154">
        <v>0.76</v>
      </c>
      <c r="U1432" s="153" t="s">
        <v>2460</v>
      </c>
      <c r="V1432" s="155">
        <v>-7.1599999999999997E-3</v>
      </c>
      <c r="W1432" s="155">
        <v>2.52E-2</v>
      </c>
      <c r="X1432" s="153" t="s">
        <v>412</v>
      </c>
      <c r="Y1432" s="153" t="s">
        <v>339</v>
      </c>
      <c r="Z1432" s="154">
        <v>2774314.27</v>
      </c>
      <c r="AA1432" s="154">
        <v>1</v>
      </c>
      <c r="AB1432" s="154">
        <v>117</v>
      </c>
      <c r="AD1432" s="154">
        <v>3245.9479999999999</v>
      </c>
      <c r="AG1432" s="157" t="s">
        <v>15</v>
      </c>
      <c r="AH1432" s="155">
        <v>3.6099999999999999E-3</v>
      </c>
      <c r="AI1432" s="155">
        <f t="shared" si="22"/>
        <v>4.3928397083833302E-3</v>
      </c>
      <c r="AJ1432" s="155">
        <v>9.7081952265145428E-4</v>
      </c>
    </row>
    <row r="1433" spans="1:36" s="160" customFormat="1">
      <c r="A1433" s="153" t="s">
        <v>1213</v>
      </c>
      <c r="B1433" s="160">
        <v>9302</v>
      </c>
      <c r="C1433" s="153" t="s">
        <v>2993</v>
      </c>
      <c r="D1433" s="153" t="s">
        <v>2994</v>
      </c>
      <c r="E1433" s="153" t="s">
        <v>309</v>
      </c>
      <c r="F1433" s="153" t="s">
        <v>2995</v>
      </c>
      <c r="G1433" s="153" t="s">
        <v>2996</v>
      </c>
      <c r="H1433" s="153" t="s">
        <v>321</v>
      </c>
      <c r="I1433" s="153" t="s">
        <v>755</v>
      </c>
      <c r="J1433" s="153" t="s">
        <v>204</v>
      </c>
      <c r="K1433" s="153" t="s">
        <v>204</v>
      </c>
      <c r="L1433" s="153" t="s">
        <v>325</v>
      </c>
      <c r="M1433" s="153" t="s">
        <v>340</v>
      </c>
      <c r="N1433" s="153" t="s">
        <v>454</v>
      </c>
      <c r="O1433" s="153" t="s">
        <v>339</v>
      </c>
      <c r="P1433" s="153" t="s">
        <v>1982</v>
      </c>
      <c r="Q1433" s="153" t="s">
        <v>415</v>
      </c>
      <c r="R1433" s="153" t="s">
        <v>407</v>
      </c>
      <c r="S1433" s="153" t="s">
        <v>1212</v>
      </c>
      <c r="T1433" s="154">
        <v>2.74</v>
      </c>
      <c r="U1433" s="153" t="s">
        <v>2377</v>
      </c>
      <c r="V1433" s="155">
        <v>4.5089999999999998E-2</v>
      </c>
      <c r="W1433" s="155">
        <v>7.0000000000000007E-2</v>
      </c>
      <c r="X1433" s="153" t="s">
        <v>412</v>
      </c>
      <c r="Y1433" s="153" t="s">
        <v>339</v>
      </c>
      <c r="Z1433" s="154">
        <v>3163060.49</v>
      </c>
      <c r="AA1433" s="154">
        <v>1</v>
      </c>
      <c r="AB1433" s="154">
        <v>101.15</v>
      </c>
      <c r="AD1433" s="154">
        <v>3199.4360000000001</v>
      </c>
      <c r="AG1433" s="157" t="s">
        <v>15</v>
      </c>
      <c r="AH1433" s="155">
        <v>1.1780000000000001E-2</v>
      </c>
      <c r="AI1433" s="155">
        <f t="shared" si="22"/>
        <v>4.329893610504891E-3</v>
      </c>
      <c r="AJ1433" s="155">
        <v>9.5690840711985488E-4</v>
      </c>
    </row>
    <row r="1434" spans="1:36" s="160" customFormat="1">
      <c r="A1434" s="153" t="s">
        <v>1213</v>
      </c>
      <c r="B1434" s="160">
        <v>9302</v>
      </c>
      <c r="C1434" s="153" t="s">
        <v>2893</v>
      </c>
      <c r="D1434" s="153" t="s">
        <v>2894</v>
      </c>
      <c r="E1434" s="153" t="s">
        <v>309</v>
      </c>
      <c r="F1434" s="153" t="s">
        <v>2895</v>
      </c>
      <c r="G1434" s="153" t="s">
        <v>2896</v>
      </c>
      <c r="H1434" s="153" t="s">
        <v>321</v>
      </c>
      <c r="I1434" s="153" t="s">
        <v>754</v>
      </c>
      <c r="J1434" s="153" t="s">
        <v>204</v>
      </c>
      <c r="K1434" s="153" t="s">
        <v>204</v>
      </c>
      <c r="L1434" s="153" t="s">
        <v>329</v>
      </c>
      <c r="M1434" s="153" t="s">
        <v>340</v>
      </c>
      <c r="N1434" s="153" t="s">
        <v>447</v>
      </c>
      <c r="O1434" s="153" t="s">
        <v>339</v>
      </c>
      <c r="Q1434" s="153" t="s">
        <v>410</v>
      </c>
      <c r="R1434" s="153" t="s">
        <v>410</v>
      </c>
      <c r="S1434" s="153" t="s">
        <v>1212</v>
      </c>
      <c r="T1434" s="154">
        <v>3.44</v>
      </c>
      <c r="U1434" s="153" t="s">
        <v>1654</v>
      </c>
      <c r="V1434" s="155">
        <v>4.9299999999999997E-2</v>
      </c>
      <c r="W1434" s="155">
        <v>3.8899999999999997E-2</v>
      </c>
      <c r="X1434" s="153" t="s">
        <v>412</v>
      </c>
      <c r="Y1434" s="153" t="s">
        <v>339</v>
      </c>
      <c r="Z1434" s="154">
        <v>3285900</v>
      </c>
      <c r="AA1434" s="154">
        <v>1</v>
      </c>
      <c r="AB1434" s="154">
        <v>96.1</v>
      </c>
      <c r="AD1434" s="154">
        <v>3157.75</v>
      </c>
      <c r="AG1434" s="157" t="s">
        <v>15</v>
      </c>
      <c r="AH1434" s="155">
        <v>2.6970000000000001E-2</v>
      </c>
      <c r="AI1434" s="155">
        <f t="shared" si="22"/>
        <v>4.2734786845468444E-3</v>
      </c>
      <c r="AJ1434" s="155">
        <v>9.4444068347756345E-4</v>
      </c>
    </row>
    <row r="1435" spans="1:36" s="160" customFormat="1">
      <c r="A1435" s="153" t="s">
        <v>1213</v>
      </c>
      <c r="B1435" s="160">
        <v>9302</v>
      </c>
      <c r="C1435" s="153" t="s">
        <v>2887</v>
      </c>
      <c r="D1435" s="153" t="s">
        <v>2888</v>
      </c>
      <c r="E1435" s="153" t="s">
        <v>311</v>
      </c>
      <c r="F1435" s="153" t="s">
        <v>2889</v>
      </c>
      <c r="G1435" s="153" t="s">
        <v>2890</v>
      </c>
      <c r="H1435" s="153" t="s">
        <v>321</v>
      </c>
      <c r="I1435" s="153" t="s">
        <v>951</v>
      </c>
      <c r="J1435" s="153" t="s">
        <v>204</v>
      </c>
      <c r="K1435" s="153" t="s">
        <v>204</v>
      </c>
      <c r="L1435" s="153" t="s">
        <v>325</v>
      </c>
      <c r="M1435" s="153" t="s">
        <v>340</v>
      </c>
      <c r="N1435" s="153" t="s">
        <v>465</v>
      </c>
      <c r="O1435" s="153" t="s">
        <v>339</v>
      </c>
      <c r="P1435" s="153" t="s">
        <v>1586</v>
      </c>
      <c r="Q1435" s="153" t="s">
        <v>415</v>
      </c>
      <c r="R1435" s="153" t="s">
        <v>407</v>
      </c>
      <c r="S1435" s="153" t="s">
        <v>1212</v>
      </c>
      <c r="T1435" s="154">
        <v>2.81</v>
      </c>
      <c r="U1435" s="153" t="s">
        <v>1528</v>
      </c>
      <c r="V1435" s="155">
        <v>8.3349999999999994E-2</v>
      </c>
      <c r="W1435" s="155">
        <v>7.6600000000000001E-2</v>
      </c>
      <c r="X1435" s="153" t="s">
        <v>412</v>
      </c>
      <c r="Y1435" s="153" t="s">
        <v>339</v>
      </c>
      <c r="Z1435" s="154">
        <v>2993000</v>
      </c>
      <c r="AA1435" s="154">
        <v>1</v>
      </c>
      <c r="AB1435" s="154">
        <v>102.7</v>
      </c>
      <c r="AD1435" s="154">
        <v>3073.8110000000001</v>
      </c>
      <c r="AG1435" s="157" t="s">
        <v>15</v>
      </c>
      <c r="AH1435" s="155">
        <v>1.6809999999999999E-2</v>
      </c>
      <c r="AI1435" s="155">
        <f t="shared" si="22"/>
        <v>4.1598814943632715E-3</v>
      </c>
      <c r="AJ1435" s="155">
        <v>9.1933565409574943E-4</v>
      </c>
    </row>
    <row r="1436" spans="1:36" s="160" customFormat="1">
      <c r="A1436" s="153" t="s">
        <v>1213</v>
      </c>
      <c r="B1436" s="160">
        <v>9302</v>
      </c>
      <c r="C1436" s="153" t="s">
        <v>2428</v>
      </c>
      <c r="D1436" s="153" t="s">
        <v>2429</v>
      </c>
      <c r="E1436" s="153" t="s">
        <v>309</v>
      </c>
      <c r="F1436" s="153" t="s">
        <v>2430</v>
      </c>
      <c r="G1436" s="153" t="s">
        <v>2431</v>
      </c>
      <c r="H1436" s="153" t="s">
        <v>321</v>
      </c>
      <c r="I1436" s="153" t="s">
        <v>755</v>
      </c>
      <c r="J1436" s="153" t="s">
        <v>204</v>
      </c>
      <c r="K1436" s="153" t="s">
        <v>204</v>
      </c>
      <c r="L1436" s="153" t="s">
        <v>325</v>
      </c>
      <c r="M1436" s="153" t="s">
        <v>340</v>
      </c>
      <c r="N1436" s="153" t="s">
        <v>454</v>
      </c>
      <c r="O1436" s="153" t="s">
        <v>339</v>
      </c>
      <c r="P1436" s="153" t="s">
        <v>1538</v>
      </c>
      <c r="Q1436" s="153" t="s">
        <v>413</v>
      </c>
      <c r="R1436" s="153" t="s">
        <v>407</v>
      </c>
      <c r="S1436" s="153" t="s">
        <v>1212</v>
      </c>
      <c r="T1436" s="154">
        <v>0.5</v>
      </c>
      <c r="U1436" s="153" t="s">
        <v>2432</v>
      </c>
      <c r="V1436" s="155">
        <v>3.9489999999999997E-2</v>
      </c>
      <c r="W1436" s="155">
        <v>8.8599999999999998E-2</v>
      </c>
      <c r="X1436" s="153" t="s">
        <v>412</v>
      </c>
      <c r="Y1436" s="153" t="s">
        <v>339</v>
      </c>
      <c r="Z1436" s="154">
        <v>2983483.54</v>
      </c>
      <c r="AA1436" s="154">
        <v>1</v>
      </c>
      <c r="AB1436" s="154">
        <v>102.3</v>
      </c>
      <c r="AD1436" s="154">
        <v>3052.1039999999998</v>
      </c>
      <c r="AG1436" s="157" t="s">
        <v>15</v>
      </c>
      <c r="AH1436" s="155">
        <v>5.9199999999999999E-3</v>
      </c>
      <c r="AI1436" s="155">
        <f t="shared" si="22"/>
        <v>4.1305047540242772E-3</v>
      </c>
      <c r="AJ1436" s="155">
        <v>9.1284338145977521E-4</v>
      </c>
    </row>
    <row r="1437" spans="1:36" s="160" customFormat="1">
      <c r="A1437" s="153" t="s">
        <v>1213</v>
      </c>
      <c r="B1437" s="160">
        <v>9302</v>
      </c>
      <c r="C1437" s="153" t="s">
        <v>2893</v>
      </c>
      <c r="D1437" s="153" t="s">
        <v>2894</v>
      </c>
      <c r="E1437" s="153" t="s">
        <v>309</v>
      </c>
      <c r="F1437" s="153" t="s">
        <v>2938</v>
      </c>
      <c r="G1437" s="153" t="s">
        <v>2939</v>
      </c>
      <c r="H1437" s="153" t="s">
        <v>321</v>
      </c>
      <c r="I1437" s="153" t="s">
        <v>754</v>
      </c>
      <c r="J1437" s="153" t="s">
        <v>204</v>
      </c>
      <c r="K1437" s="153" t="s">
        <v>204</v>
      </c>
      <c r="L1437" s="153" t="s">
        <v>329</v>
      </c>
      <c r="M1437" s="153" t="s">
        <v>340</v>
      </c>
      <c r="N1437" s="153" t="s">
        <v>447</v>
      </c>
      <c r="O1437" s="153" t="s">
        <v>339</v>
      </c>
      <c r="Q1437" s="153" t="s">
        <v>410</v>
      </c>
      <c r="R1437" s="153" t="s">
        <v>410</v>
      </c>
      <c r="S1437" s="153" t="s">
        <v>1212</v>
      </c>
      <c r="T1437" s="154">
        <v>1.6</v>
      </c>
      <c r="U1437" s="153" t="s">
        <v>2071</v>
      </c>
      <c r="V1437" s="155">
        <v>3.1949999999999999E-2</v>
      </c>
      <c r="W1437" s="155">
        <v>-3.7000000000000002E-3</v>
      </c>
      <c r="X1437" s="153" t="s">
        <v>412</v>
      </c>
      <c r="Y1437" s="153" t="s">
        <v>339</v>
      </c>
      <c r="Z1437" s="154">
        <v>2909370.82</v>
      </c>
      <c r="AA1437" s="154">
        <v>1</v>
      </c>
      <c r="AB1437" s="154">
        <v>103.4</v>
      </c>
      <c r="AD1437" s="154">
        <v>3008.2890000000002</v>
      </c>
      <c r="AG1437" s="157" t="s">
        <v>15</v>
      </c>
      <c r="AH1437" s="155">
        <v>2.1899999999999999E-2</v>
      </c>
      <c r="AI1437" s="155">
        <f t="shared" si="22"/>
        <v>4.0712085879049146E-3</v>
      </c>
      <c r="AJ1437" s="155">
        <v>8.9973890246474104E-4</v>
      </c>
    </row>
    <row r="1438" spans="1:36" s="160" customFormat="1">
      <c r="A1438" s="153" t="s">
        <v>1213</v>
      </c>
      <c r="B1438" s="160">
        <v>9302</v>
      </c>
      <c r="C1438" s="153" t="s">
        <v>1909</v>
      </c>
      <c r="D1438" s="153" t="s">
        <v>1910</v>
      </c>
      <c r="E1438" s="153" t="s">
        <v>309</v>
      </c>
      <c r="F1438" s="153" t="s">
        <v>2925</v>
      </c>
      <c r="G1438" s="153" t="s">
        <v>2926</v>
      </c>
      <c r="H1438" s="153" t="s">
        <v>321</v>
      </c>
      <c r="I1438" s="153" t="s">
        <v>754</v>
      </c>
      <c r="J1438" s="153" t="s">
        <v>204</v>
      </c>
      <c r="K1438" s="153" t="s">
        <v>204</v>
      </c>
      <c r="L1438" s="153" t="s">
        <v>325</v>
      </c>
      <c r="M1438" s="153" t="s">
        <v>340</v>
      </c>
      <c r="N1438" s="153" t="s">
        <v>464</v>
      </c>
      <c r="O1438" s="153" t="s">
        <v>339</v>
      </c>
      <c r="Q1438" s="153" t="s">
        <v>410</v>
      </c>
      <c r="R1438" s="153" t="s">
        <v>410</v>
      </c>
      <c r="S1438" s="153" t="s">
        <v>1212</v>
      </c>
      <c r="T1438" s="154">
        <v>5.66</v>
      </c>
      <c r="U1438" s="153" t="s">
        <v>2227</v>
      </c>
      <c r="V1438" s="155">
        <v>3.1150000000000001E-2</v>
      </c>
      <c r="W1438" s="155">
        <v>3.44E-2</v>
      </c>
      <c r="X1438" s="153" t="s">
        <v>412</v>
      </c>
      <c r="Y1438" s="153" t="s">
        <v>339</v>
      </c>
      <c r="Z1438" s="154">
        <v>2716000</v>
      </c>
      <c r="AA1438" s="154">
        <v>1</v>
      </c>
      <c r="AB1438" s="154">
        <v>107.36</v>
      </c>
      <c r="AD1438" s="154">
        <v>2915.8980000000001</v>
      </c>
      <c r="AG1438" s="157" t="s">
        <v>15</v>
      </c>
      <c r="AH1438" s="155">
        <v>6.3499999999999997E-3</v>
      </c>
      <c r="AI1438" s="155">
        <f t="shared" si="22"/>
        <v>3.9461730502138468E-3</v>
      </c>
      <c r="AJ1438" s="155">
        <v>8.7210599321379471E-4</v>
      </c>
    </row>
    <row r="1439" spans="1:36" s="160" customFormat="1">
      <c r="A1439" s="153" t="s">
        <v>1213</v>
      </c>
      <c r="B1439" s="160">
        <v>9302</v>
      </c>
      <c r="C1439" s="153" t="s">
        <v>3320</v>
      </c>
      <c r="D1439" s="153" t="s">
        <v>3321</v>
      </c>
      <c r="E1439" s="153" t="s">
        <v>309</v>
      </c>
      <c r="F1439" s="153" t="s">
        <v>3322</v>
      </c>
      <c r="G1439" s="153" t="s">
        <v>3323</v>
      </c>
      <c r="H1439" s="153" t="s">
        <v>321</v>
      </c>
      <c r="I1439" s="153" t="s">
        <v>754</v>
      </c>
      <c r="J1439" s="153" t="s">
        <v>204</v>
      </c>
      <c r="K1439" s="153" t="s">
        <v>204</v>
      </c>
      <c r="L1439" s="153" t="s">
        <v>325</v>
      </c>
      <c r="M1439" s="153" t="s">
        <v>340</v>
      </c>
      <c r="N1439" s="153" t="s">
        <v>441</v>
      </c>
      <c r="O1439" s="153" t="s">
        <v>339</v>
      </c>
      <c r="Q1439" s="153" t="s">
        <v>410</v>
      </c>
      <c r="R1439" s="153" t="s">
        <v>410</v>
      </c>
      <c r="S1439" s="153" t="s">
        <v>1212</v>
      </c>
      <c r="T1439" s="154">
        <v>4.49</v>
      </c>
      <c r="U1439" s="153" t="s">
        <v>1641</v>
      </c>
      <c r="V1439" s="155">
        <v>4.5990000000000003E-2</v>
      </c>
      <c r="W1439" s="155">
        <v>4.1500000000000002E-2</v>
      </c>
      <c r="X1439" s="153" t="s">
        <v>412</v>
      </c>
      <c r="Y1439" s="153" t="s">
        <v>339</v>
      </c>
      <c r="Z1439" s="154">
        <v>2725000.78</v>
      </c>
      <c r="AA1439" s="154">
        <v>1</v>
      </c>
      <c r="AB1439" s="154">
        <v>106.76</v>
      </c>
      <c r="AD1439" s="154">
        <v>2909.2109999999998</v>
      </c>
      <c r="AG1439" s="157" t="s">
        <v>15</v>
      </c>
      <c r="AH1439" s="155">
        <v>4.9699999999999996E-3</v>
      </c>
      <c r="AI1439" s="155">
        <f t="shared" si="22"/>
        <v>3.9371233306465707E-3</v>
      </c>
      <c r="AJ1439" s="155">
        <v>8.7010600117819507E-4</v>
      </c>
    </row>
    <row r="1440" spans="1:36" s="160" customFormat="1">
      <c r="A1440" s="153" t="s">
        <v>1213</v>
      </c>
      <c r="B1440" s="160">
        <v>9302</v>
      </c>
      <c r="C1440" s="153" t="s">
        <v>1534</v>
      </c>
      <c r="D1440" s="153" t="s">
        <v>1535</v>
      </c>
      <c r="E1440" s="153" t="s">
        <v>309</v>
      </c>
      <c r="F1440" s="153" t="s">
        <v>2913</v>
      </c>
      <c r="G1440" s="153" t="s">
        <v>2914</v>
      </c>
      <c r="H1440" s="153" t="s">
        <v>321</v>
      </c>
      <c r="I1440" s="153" t="s">
        <v>951</v>
      </c>
      <c r="J1440" s="153" t="s">
        <v>204</v>
      </c>
      <c r="K1440" s="153" t="s">
        <v>204</v>
      </c>
      <c r="L1440" s="153" t="s">
        <v>325</v>
      </c>
      <c r="M1440" s="153" t="s">
        <v>340</v>
      </c>
      <c r="N1440" s="153" t="s">
        <v>464</v>
      </c>
      <c r="O1440" s="153" t="s">
        <v>339</v>
      </c>
      <c r="P1440" s="153" t="s">
        <v>1538</v>
      </c>
      <c r="Q1440" s="153" t="s">
        <v>413</v>
      </c>
      <c r="R1440" s="153" t="s">
        <v>407</v>
      </c>
      <c r="S1440" s="153" t="s">
        <v>1212</v>
      </c>
      <c r="T1440" s="154">
        <v>0.74</v>
      </c>
      <c r="U1440" s="153" t="s">
        <v>2915</v>
      </c>
      <c r="V1440" s="155">
        <v>5.1869999999999999E-2</v>
      </c>
      <c r="W1440" s="155">
        <v>5.45E-2</v>
      </c>
      <c r="X1440" s="153" t="s">
        <v>412</v>
      </c>
      <c r="Y1440" s="153" t="s">
        <v>339</v>
      </c>
      <c r="Z1440" s="154">
        <v>2840329</v>
      </c>
      <c r="AA1440" s="154">
        <v>1</v>
      </c>
      <c r="AB1440" s="154">
        <v>101</v>
      </c>
      <c r="AD1440" s="154">
        <v>2868.732</v>
      </c>
      <c r="AG1440" s="157" t="s">
        <v>15</v>
      </c>
      <c r="AH1440" s="155">
        <v>6.5399999999999998E-3</v>
      </c>
      <c r="AI1440" s="155">
        <f t="shared" si="22"/>
        <v>3.8823418743337622E-3</v>
      </c>
      <c r="AJ1440" s="155">
        <v>8.5799927505152639E-4</v>
      </c>
    </row>
    <row r="1441" spans="1:36" s="160" customFormat="1">
      <c r="A1441" s="153" t="s">
        <v>1213</v>
      </c>
      <c r="B1441" s="160">
        <v>9302</v>
      </c>
      <c r="C1441" s="153" t="s">
        <v>2298</v>
      </c>
      <c r="D1441" s="153" t="s">
        <v>2299</v>
      </c>
      <c r="E1441" s="153" t="s">
        <v>309</v>
      </c>
      <c r="F1441" s="153" t="s">
        <v>2949</v>
      </c>
      <c r="G1441" s="153" t="s">
        <v>2950</v>
      </c>
      <c r="H1441" s="153" t="s">
        <v>321</v>
      </c>
      <c r="I1441" s="153" t="s">
        <v>951</v>
      </c>
      <c r="J1441" s="153" t="s">
        <v>204</v>
      </c>
      <c r="K1441" s="153" t="s">
        <v>204</v>
      </c>
      <c r="L1441" s="153" t="s">
        <v>325</v>
      </c>
      <c r="M1441" s="153" t="s">
        <v>340</v>
      </c>
      <c r="N1441" s="153" t="s">
        <v>462</v>
      </c>
      <c r="O1441" s="153" t="s">
        <v>339</v>
      </c>
      <c r="P1441" s="153" t="s">
        <v>1566</v>
      </c>
      <c r="Q1441" s="153" t="s">
        <v>413</v>
      </c>
      <c r="R1441" s="153" t="s">
        <v>407</v>
      </c>
      <c r="S1441" s="153" t="s">
        <v>1212</v>
      </c>
      <c r="T1441" s="154">
        <v>2.0299999999999998</v>
      </c>
      <c r="U1441" s="153" t="s">
        <v>1654</v>
      </c>
      <c r="V1441" s="155">
        <v>3.8780000000000002E-2</v>
      </c>
      <c r="W1441" s="155">
        <v>5.7000000000000002E-2</v>
      </c>
      <c r="X1441" s="153" t="s">
        <v>412</v>
      </c>
      <c r="Y1441" s="153" t="s">
        <v>339</v>
      </c>
      <c r="Z1441" s="154">
        <v>2864053.74</v>
      </c>
      <c r="AA1441" s="154">
        <v>1</v>
      </c>
      <c r="AB1441" s="154">
        <v>93.26</v>
      </c>
      <c r="AC1441" s="154">
        <v>195.023</v>
      </c>
      <c r="AD1441" s="154">
        <v>2866.0390000000002</v>
      </c>
      <c r="AG1441" s="157" t="s">
        <v>15</v>
      </c>
      <c r="AH1441" s="155">
        <v>3.3E-3</v>
      </c>
      <c r="AI1441" s="155">
        <f t="shared" si="22"/>
        <v>3.8786973558957976E-3</v>
      </c>
      <c r="AJ1441" s="155">
        <v>8.5719383486132614E-4</v>
      </c>
    </row>
    <row r="1442" spans="1:36" s="160" customFormat="1">
      <c r="A1442" s="153" t="s">
        <v>1213</v>
      </c>
      <c r="B1442" s="160">
        <v>9302</v>
      </c>
      <c r="C1442" s="153" t="s">
        <v>1893</v>
      </c>
      <c r="D1442" s="153" t="s">
        <v>1894</v>
      </c>
      <c r="E1442" s="153" t="s">
        <v>309</v>
      </c>
      <c r="F1442" s="153" t="s">
        <v>2919</v>
      </c>
      <c r="G1442" s="153" t="s">
        <v>2920</v>
      </c>
      <c r="H1442" s="153" t="s">
        <v>321</v>
      </c>
      <c r="I1442" s="153" t="s">
        <v>951</v>
      </c>
      <c r="J1442" s="153" t="s">
        <v>204</v>
      </c>
      <c r="K1442" s="153" t="s">
        <v>204</v>
      </c>
      <c r="L1442" s="153" t="s">
        <v>325</v>
      </c>
      <c r="M1442" s="153" t="s">
        <v>340</v>
      </c>
      <c r="N1442" s="153" t="s">
        <v>464</v>
      </c>
      <c r="O1442" s="153" t="s">
        <v>339</v>
      </c>
      <c r="P1442" s="153" t="s">
        <v>1560</v>
      </c>
      <c r="Q1442" s="153" t="s">
        <v>413</v>
      </c>
      <c r="R1442" s="153" t="s">
        <v>407</v>
      </c>
      <c r="S1442" s="153" t="s">
        <v>1212</v>
      </c>
      <c r="T1442" s="154">
        <v>0.79</v>
      </c>
      <c r="U1442" s="153" t="s">
        <v>2667</v>
      </c>
      <c r="V1442" s="155">
        <v>6.0000000000000001E-3</v>
      </c>
      <c r="W1442" s="155">
        <v>5.3400000000000003E-2</v>
      </c>
      <c r="X1442" s="153" t="s">
        <v>412</v>
      </c>
      <c r="Y1442" s="153" t="s">
        <v>339</v>
      </c>
      <c r="Z1442" s="154">
        <v>282000</v>
      </c>
      <c r="AA1442" s="154">
        <v>1</v>
      </c>
      <c r="AB1442" s="154">
        <v>1009</v>
      </c>
      <c r="AD1442" s="154">
        <v>2845.38</v>
      </c>
      <c r="AG1442" s="157" t="s">
        <v>15</v>
      </c>
      <c r="AH1442" s="155">
        <v>1.5299999999999999E-3</v>
      </c>
      <c r="AI1442" s="155">
        <f t="shared" si="22"/>
        <v>3.8507389056878791E-3</v>
      </c>
      <c r="AJ1442" s="155">
        <v>8.5101500497296789E-4</v>
      </c>
    </row>
    <row r="1443" spans="1:36" s="160" customFormat="1">
      <c r="A1443" s="153" t="s">
        <v>1213</v>
      </c>
      <c r="B1443" s="160">
        <v>9302</v>
      </c>
      <c r="C1443" s="153" t="s">
        <v>1947</v>
      </c>
      <c r="D1443" s="153" t="s">
        <v>1948</v>
      </c>
      <c r="E1443" s="153" t="s">
        <v>309</v>
      </c>
      <c r="F1443" s="153" t="s">
        <v>1949</v>
      </c>
      <c r="G1443" s="153" t="s">
        <v>1950</v>
      </c>
      <c r="H1443" s="153" t="s">
        <v>321</v>
      </c>
      <c r="I1443" s="153" t="s">
        <v>754</v>
      </c>
      <c r="J1443" s="153" t="s">
        <v>204</v>
      </c>
      <c r="K1443" s="153" t="s">
        <v>204</v>
      </c>
      <c r="L1443" s="153" t="s">
        <v>325</v>
      </c>
      <c r="M1443" s="153" t="s">
        <v>340</v>
      </c>
      <c r="N1443" s="153" t="s">
        <v>464</v>
      </c>
      <c r="O1443" s="153" t="s">
        <v>339</v>
      </c>
      <c r="Q1443" s="153" t="s">
        <v>410</v>
      </c>
      <c r="R1443" s="153" t="s">
        <v>410</v>
      </c>
      <c r="S1443" s="153" t="s">
        <v>1212</v>
      </c>
      <c r="T1443" s="154">
        <v>2.37</v>
      </c>
      <c r="U1443" s="153" t="s">
        <v>1951</v>
      </c>
      <c r="V1443" s="155">
        <v>2.8119999999999999E-2</v>
      </c>
      <c r="W1443" s="155">
        <v>3.5400000000000001E-2</v>
      </c>
      <c r="X1443" s="153" t="s">
        <v>412</v>
      </c>
      <c r="Y1443" s="153" t="s">
        <v>339</v>
      </c>
      <c r="Z1443" s="154">
        <v>2576559.35</v>
      </c>
      <c r="AA1443" s="154">
        <v>1</v>
      </c>
      <c r="AB1443" s="154">
        <v>106.58</v>
      </c>
      <c r="AC1443" s="154">
        <v>72.31</v>
      </c>
      <c r="AD1443" s="154">
        <v>2818.4059999999999</v>
      </c>
      <c r="AG1443" s="157" t="s">
        <v>15</v>
      </c>
      <c r="AH1443" s="155">
        <v>4.5100000000000001E-3</v>
      </c>
      <c r="AI1443" s="155">
        <f t="shared" si="22"/>
        <v>3.8142341747760063E-3</v>
      </c>
      <c r="AJ1443" s="155">
        <v>8.4294744326095022E-4</v>
      </c>
    </row>
    <row r="1444" spans="1:36" s="160" customFormat="1">
      <c r="A1444" s="153" t="s">
        <v>1213</v>
      </c>
      <c r="B1444" s="160">
        <v>9302</v>
      </c>
      <c r="C1444" s="153" t="s">
        <v>2463</v>
      </c>
      <c r="D1444" s="153" t="s">
        <v>2464</v>
      </c>
      <c r="E1444" s="153" t="s">
        <v>309</v>
      </c>
      <c r="F1444" s="153" t="s">
        <v>2472</v>
      </c>
      <c r="G1444" s="153" t="s">
        <v>2473</v>
      </c>
      <c r="H1444" s="153" t="s">
        <v>321</v>
      </c>
      <c r="I1444" s="153" t="s">
        <v>754</v>
      </c>
      <c r="J1444" s="153" t="s">
        <v>204</v>
      </c>
      <c r="K1444" s="153" t="s">
        <v>204</v>
      </c>
      <c r="L1444" s="153" t="s">
        <v>327</v>
      </c>
      <c r="M1444" s="153" t="s">
        <v>340</v>
      </c>
      <c r="N1444" s="153" t="s">
        <v>465</v>
      </c>
      <c r="O1444" s="153" t="s">
        <v>339</v>
      </c>
      <c r="P1444" s="153" t="s">
        <v>1554</v>
      </c>
      <c r="Q1444" s="153" t="s">
        <v>413</v>
      </c>
      <c r="R1444" s="153" t="s">
        <v>407</v>
      </c>
      <c r="S1444" s="153" t="s">
        <v>1212</v>
      </c>
      <c r="T1444" s="154">
        <v>2.23</v>
      </c>
      <c r="U1444" s="153" t="s">
        <v>1744</v>
      </c>
      <c r="V1444" s="155">
        <v>5.0470000000000001E-2</v>
      </c>
      <c r="W1444" s="155">
        <v>4.3999999999999997E-2</v>
      </c>
      <c r="X1444" s="153" t="s">
        <v>412</v>
      </c>
      <c r="Y1444" s="153" t="s">
        <v>339</v>
      </c>
      <c r="Z1444" s="154">
        <v>2425000</v>
      </c>
      <c r="AA1444" s="154">
        <v>1</v>
      </c>
      <c r="AB1444" s="154">
        <f>AD1444*1000/Z1444*100</f>
        <v>114.27228865979382</v>
      </c>
      <c r="AD1444" s="154">
        <f>2790.205-19.102</f>
        <v>2771.1030000000001</v>
      </c>
      <c r="AG1444" s="157" t="s">
        <v>15</v>
      </c>
      <c r="AH1444" s="155">
        <v>1.5100000000000001E-3</v>
      </c>
      <c r="AI1444" s="155">
        <f t="shared" si="22"/>
        <v>3.750217592647871E-3</v>
      </c>
      <c r="AJ1444" s="155">
        <v>8.2879975023568257E-4</v>
      </c>
    </row>
    <row r="1445" spans="1:36" s="160" customFormat="1">
      <c r="A1445" s="153" t="s">
        <v>1213</v>
      </c>
      <c r="B1445" s="160">
        <v>9302</v>
      </c>
      <c r="C1445" s="153" t="s">
        <v>1687</v>
      </c>
      <c r="D1445" s="153" t="s">
        <v>1688</v>
      </c>
      <c r="E1445" s="153" t="s">
        <v>309</v>
      </c>
      <c r="F1445" s="153" t="s">
        <v>2956</v>
      </c>
      <c r="G1445" s="153" t="s">
        <v>2957</v>
      </c>
      <c r="H1445" s="153" t="s">
        <v>321</v>
      </c>
      <c r="I1445" s="153" t="s">
        <v>951</v>
      </c>
      <c r="J1445" s="153" t="s">
        <v>204</v>
      </c>
      <c r="K1445" s="153" t="s">
        <v>204</v>
      </c>
      <c r="L1445" s="153" t="s">
        <v>325</v>
      </c>
      <c r="M1445" s="153" t="s">
        <v>340</v>
      </c>
      <c r="N1445" s="153" t="s">
        <v>465</v>
      </c>
      <c r="O1445" s="153" t="s">
        <v>339</v>
      </c>
      <c r="P1445" s="153" t="s">
        <v>1614</v>
      </c>
      <c r="Q1445" s="153" t="s">
        <v>415</v>
      </c>
      <c r="R1445" s="153" t="s">
        <v>407</v>
      </c>
      <c r="S1445" s="153" t="s">
        <v>1212</v>
      </c>
      <c r="T1445" s="154">
        <v>2.65</v>
      </c>
      <c r="U1445" s="153" t="s">
        <v>2613</v>
      </c>
      <c r="V1445" s="155">
        <v>4.4299999999999999E-2</v>
      </c>
      <c r="W1445" s="155">
        <v>5.6399999999999999E-2</v>
      </c>
      <c r="X1445" s="153" t="s">
        <v>412</v>
      </c>
      <c r="Y1445" s="153" t="s">
        <v>339</v>
      </c>
      <c r="Z1445" s="154">
        <v>2965982.1</v>
      </c>
      <c r="AA1445" s="154">
        <v>1</v>
      </c>
      <c r="AB1445" s="154">
        <v>91.94</v>
      </c>
      <c r="AD1445" s="154">
        <v>2726.924</v>
      </c>
      <c r="AG1445" s="157" t="s">
        <v>15</v>
      </c>
      <c r="AH1445" s="155">
        <v>3.9899999999999996E-3</v>
      </c>
      <c r="AI1445" s="155">
        <f t="shared" si="22"/>
        <v>3.6904288143074083E-3</v>
      </c>
      <c r="AJ1445" s="155">
        <v>8.155864037214381E-4</v>
      </c>
    </row>
    <row r="1446" spans="1:36" s="160" customFormat="1">
      <c r="A1446" s="153" t="s">
        <v>1213</v>
      </c>
      <c r="B1446" s="160">
        <v>9302</v>
      </c>
      <c r="C1446" s="153" t="s">
        <v>2921</v>
      </c>
      <c r="D1446" s="153" t="s">
        <v>2922</v>
      </c>
      <c r="E1446" s="153" t="s">
        <v>309</v>
      </c>
      <c r="F1446" s="153" t="s">
        <v>2923</v>
      </c>
      <c r="G1446" s="153" t="s">
        <v>2924</v>
      </c>
      <c r="H1446" s="153" t="s">
        <v>321</v>
      </c>
      <c r="I1446" s="153" t="s">
        <v>951</v>
      </c>
      <c r="J1446" s="153" t="s">
        <v>204</v>
      </c>
      <c r="K1446" s="153" t="s">
        <v>204</v>
      </c>
      <c r="L1446" s="153" t="s">
        <v>325</v>
      </c>
      <c r="M1446" s="153" t="s">
        <v>340</v>
      </c>
      <c r="N1446" s="153" t="s">
        <v>447</v>
      </c>
      <c r="O1446" s="153" t="s">
        <v>339</v>
      </c>
      <c r="P1446" s="153" t="s">
        <v>1554</v>
      </c>
      <c r="Q1446" s="153" t="s">
        <v>413</v>
      </c>
      <c r="R1446" s="153" t="s">
        <v>407</v>
      </c>
      <c r="S1446" s="153" t="s">
        <v>1212</v>
      </c>
      <c r="T1446" s="154">
        <v>0.73</v>
      </c>
      <c r="U1446" s="153" t="s">
        <v>1777</v>
      </c>
      <c r="V1446" s="155">
        <v>4.7440000000000003E-2</v>
      </c>
      <c r="W1446" s="155">
        <v>6.2899999999999998E-2</v>
      </c>
      <c r="X1446" s="153" t="s">
        <v>412</v>
      </c>
      <c r="Y1446" s="153" t="s">
        <v>339</v>
      </c>
      <c r="Z1446" s="154">
        <v>2688548</v>
      </c>
      <c r="AA1446" s="154">
        <v>1</v>
      </c>
      <c r="AB1446" s="154">
        <v>100.35</v>
      </c>
      <c r="AD1446" s="154">
        <v>2697.9580000000001</v>
      </c>
      <c r="AG1446" s="157" t="s">
        <v>15</v>
      </c>
      <c r="AH1446" s="155">
        <v>4.0739999999999998E-2</v>
      </c>
      <c r="AI1446" s="155">
        <f t="shared" si="22"/>
        <v>3.6512282494822693E-3</v>
      </c>
      <c r="AJ1446" s="155">
        <v>8.0692306151967702E-4</v>
      </c>
    </row>
    <row r="1447" spans="1:36" s="160" customFormat="1">
      <c r="A1447" s="153" t="s">
        <v>1213</v>
      </c>
      <c r="B1447" s="160">
        <v>9302</v>
      </c>
      <c r="C1447" s="153" t="s">
        <v>1670</v>
      </c>
      <c r="D1447" s="153" t="s">
        <v>1671</v>
      </c>
      <c r="E1447" s="153" t="s">
        <v>309</v>
      </c>
      <c r="F1447" s="153" t="s">
        <v>2936</v>
      </c>
      <c r="G1447" s="153" t="s">
        <v>2937</v>
      </c>
      <c r="H1447" s="153" t="s">
        <v>321</v>
      </c>
      <c r="I1447" s="153" t="s">
        <v>951</v>
      </c>
      <c r="J1447" s="153" t="s">
        <v>204</v>
      </c>
      <c r="K1447" s="153" t="s">
        <v>204</v>
      </c>
      <c r="L1447" s="153" t="s">
        <v>325</v>
      </c>
      <c r="M1447" s="153" t="s">
        <v>340</v>
      </c>
      <c r="N1447" s="153" t="s">
        <v>465</v>
      </c>
      <c r="O1447" s="153" t="s">
        <v>339</v>
      </c>
      <c r="P1447" s="153" t="s">
        <v>1614</v>
      </c>
      <c r="Q1447" s="153" t="s">
        <v>415</v>
      </c>
      <c r="R1447" s="153" t="s">
        <v>407</v>
      </c>
      <c r="S1447" s="153" t="s">
        <v>1212</v>
      </c>
      <c r="T1447" s="154">
        <v>1.58</v>
      </c>
      <c r="U1447" s="153" t="s">
        <v>1522</v>
      </c>
      <c r="V1447" s="155">
        <v>5.1429999999999997E-2</v>
      </c>
      <c r="W1447" s="155">
        <v>5.6800000000000003E-2</v>
      </c>
      <c r="X1447" s="153" t="s">
        <v>412</v>
      </c>
      <c r="Y1447" s="153" t="s">
        <v>339</v>
      </c>
      <c r="Z1447" s="154">
        <v>2716832.41</v>
      </c>
      <c r="AA1447" s="154">
        <v>1</v>
      </c>
      <c r="AB1447" s="154">
        <v>99.08</v>
      </c>
      <c r="AD1447" s="154">
        <v>2691.8380000000002</v>
      </c>
      <c r="AG1447" s="157" t="s">
        <v>15</v>
      </c>
      <c r="AH1447" s="155">
        <v>9.6600000000000002E-3</v>
      </c>
      <c r="AI1447" s="155">
        <f t="shared" si="22"/>
        <v>3.6429458681824746E-3</v>
      </c>
      <c r="AJ1447" s="155">
        <v>8.0509265158130875E-4</v>
      </c>
    </row>
    <row r="1448" spans="1:36" s="160" customFormat="1">
      <c r="A1448" s="153" t="s">
        <v>1213</v>
      </c>
      <c r="B1448" s="160">
        <v>9302</v>
      </c>
      <c r="C1448" s="153" t="s">
        <v>2866</v>
      </c>
      <c r="D1448" s="153" t="s">
        <v>2867</v>
      </c>
      <c r="E1448" s="153" t="s">
        <v>309</v>
      </c>
      <c r="F1448" s="153" t="s">
        <v>2965</v>
      </c>
      <c r="G1448" s="153" t="s">
        <v>2966</v>
      </c>
      <c r="H1448" s="153" t="s">
        <v>321</v>
      </c>
      <c r="I1448" s="153" t="s">
        <v>754</v>
      </c>
      <c r="J1448" s="153" t="s">
        <v>204</v>
      </c>
      <c r="K1448" s="153" t="s">
        <v>204</v>
      </c>
      <c r="L1448" s="153" t="s">
        <v>327</v>
      </c>
      <c r="M1448" s="153" t="s">
        <v>340</v>
      </c>
      <c r="N1448" s="153" t="s">
        <v>464</v>
      </c>
      <c r="O1448" s="153" t="s">
        <v>339</v>
      </c>
      <c r="P1448" s="153" t="s">
        <v>1554</v>
      </c>
      <c r="Q1448" s="153" t="s">
        <v>413</v>
      </c>
      <c r="R1448" s="153" t="s">
        <v>407</v>
      </c>
      <c r="S1448" s="153" t="s">
        <v>1212</v>
      </c>
      <c r="T1448" s="154">
        <v>2.2400000000000002</v>
      </c>
      <c r="U1448" s="153" t="s">
        <v>1659</v>
      </c>
      <c r="V1448" s="155">
        <v>3.7900000000000003E-2</v>
      </c>
      <c r="W1448" s="155">
        <v>3.1699999999999999E-2</v>
      </c>
      <c r="X1448" s="153" t="s">
        <v>412</v>
      </c>
      <c r="Y1448" s="153" t="s">
        <v>339</v>
      </c>
      <c r="Z1448" s="154">
        <v>1900000</v>
      </c>
      <c r="AA1448" s="154">
        <v>1</v>
      </c>
      <c r="AB1448" s="154">
        <f>AD1448*1000/Z1448*100</f>
        <v>96.444644808743163</v>
      </c>
      <c r="AD1448" s="154">
        <f>1832448.25136612/1000</f>
        <v>1832.4482513661201</v>
      </c>
      <c r="AG1448" s="157" t="s">
        <v>15</v>
      </c>
      <c r="AH1448" s="155">
        <v>8.3700000000000007E-3</v>
      </c>
      <c r="AI1448" s="155">
        <f t="shared" si="22"/>
        <v>2.4799077009732412E-3</v>
      </c>
      <c r="AJ1448" s="155">
        <v>5.4806070111867132E-4</v>
      </c>
    </row>
    <row r="1449" spans="1:36" s="160" customFormat="1">
      <c r="A1449" s="153" t="s">
        <v>1213</v>
      </c>
      <c r="B1449" s="160">
        <v>9302</v>
      </c>
      <c r="C1449" s="153" t="s">
        <v>2927</v>
      </c>
      <c r="D1449" s="153" t="s">
        <v>2928</v>
      </c>
      <c r="E1449" s="153" t="s">
        <v>309</v>
      </c>
      <c r="F1449" s="153" t="s">
        <v>2929</v>
      </c>
      <c r="G1449" s="153" t="s">
        <v>2930</v>
      </c>
      <c r="H1449" s="153" t="s">
        <v>321</v>
      </c>
      <c r="I1449" s="153" t="s">
        <v>951</v>
      </c>
      <c r="J1449" s="153" t="s">
        <v>204</v>
      </c>
      <c r="K1449" s="153" t="s">
        <v>204</v>
      </c>
      <c r="L1449" s="153" t="s">
        <v>325</v>
      </c>
      <c r="M1449" s="153" t="s">
        <v>314</v>
      </c>
      <c r="N1449" s="153" t="s">
        <v>451</v>
      </c>
      <c r="O1449" s="153" t="s">
        <v>339</v>
      </c>
      <c r="Q1449" s="153" t="s">
        <v>410</v>
      </c>
      <c r="R1449" s="153" t="s">
        <v>410</v>
      </c>
      <c r="S1449" s="153" t="s">
        <v>1212</v>
      </c>
      <c r="T1449" s="154">
        <v>2.2000000000000002</v>
      </c>
      <c r="U1449" s="153" t="s">
        <v>1572</v>
      </c>
      <c r="V1449" s="155">
        <v>7.8780000000000003E-2</v>
      </c>
      <c r="W1449" s="155">
        <v>7.1400000000000005E-2</v>
      </c>
      <c r="X1449" s="153" t="s">
        <v>412</v>
      </c>
      <c r="Y1449" s="153" t="s">
        <v>339</v>
      </c>
      <c r="Z1449" s="154">
        <v>2565402.52</v>
      </c>
      <c r="AA1449" s="154">
        <v>1</v>
      </c>
      <c r="AB1449" s="154">
        <v>104.77</v>
      </c>
      <c r="AD1449" s="154">
        <v>2687.7719999999999</v>
      </c>
      <c r="AG1449" s="157" t="s">
        <v>15</v>
      </c>
      <c r="AH1449" s="155">
        <v>3.1859999999999999E-2</v>
      </c>
      <c r="AI1449" s="155">
        <f t="shared" si="22"/>
        <v>3.6374432272731662E-3</v>
      </c>
      <c r="AJ1449" s="155">
        <v>8.0387656550134033E-4</v>
      </c>
    </row>
    <row r="1450" spans="1:36" s="160" customFormat="1">
      <c r="A1450" s="153" t="s">
        <v>1213</v>
      </c>
      <c r="B1450" s="160">
        <v>9302</v>
      </c>
      <c r="C1450" s="153" t="s">
        <v>1904</v>
      </c>
      <c r="D1450" s="153" t="s">
        <v>1905</v>
      </c>
      <c r="E1450" s="153" t="s">
        <v>309</v>
      </c>
      <c r="F1450" s="153" t="s">
        <v>2916</v>
      </c>
      <c r="G1450" s="153" t="s">
        <v>2917</v>
      </c>
      <c r="H1450" s="153" t="s">
        <v>321</v>
      </c>
      <c r="I1450" s="153" t="s">
        <v>951</v>
      </c>
      <c r="J1450" s="153" t="s">
        <v>204</v>
      </c>
      <c r="K1450" s="153" t="s">
        <v>204</v>
      </c>
      <c r="L1450" s="153" t="s">
        <v>325</v>
      </c>
      <c r="M1450" s="153" t="s">
        <v>340</v>
      </c>
      <c r="N1450" s="153" t="s">
        <v>448</v>
      </c>
      <c r="O1450" s="153" t="s">
        <v>339</v>
      </c>
      <c r="P1450" s="153" t="s">
        <v>1211</v>
      </c>
      <c r="Q1450" s="153" t="s">
        <v>415</v>
      </c>
      <c r="R1450" s="153" t="s">
        <v>407</v>
      </c>
      <c r="S1450" s="153" t="s">
        <v>1212</v>
      </c>
      <c r="T1450" s="154">
        <v>0.94</v>
      </c>
      <c r="U1450" s="153" t="s">
        <v>2918</v>
      </c>
      <c r="V1450" s="155">
        <v>5.0000000000000001E-4</v>
      </c>
      <c r="W1450" s="155">
        <v>4.6399999999999997E-2</v>
      </c>
      <c r="X1450" s="153" t="s">
        <v>412</v>
      </c>
      <c r="Y1450" s="153" t="s">
        <v>339</v>
      </c>
      <c r="Z1450" s="154">
        <v>264400</v>
      </c>
      <c r="AA1450" s="154">
        <v>1</v>
      </c>
      <c r="AB1450" s="154">
        <v>1001.72</v>
      </c>
      <c r="AD1450" s="154">
        <v>2648.5479999999998</v>
      </c>
      <c r="AG1450" s="157" t="s">
        <v>15</v>
      </c>
      <c r="AH1450" s="155">
        <v>2.3000000000000001E-4</v>
      </c>
      <c r="AI1450" s="155">
        <f t="shared" si="22"/>
        <v>3.5843602004589263E-3</v>
      </c>
      <c r="AJ1450" s="155">
        <v>7.9214519304667355E-4</v>
      </c>
    </row>
    <row r="1451" spans="1:36" s="160" customFormat="1">
      <c r="A1451" s="153" t="s">
        <v>1213</v>
      </c>
      <c r="B1451" s="160">
        <v>9302</v>
      </c>
      <c r="C1451" s="153" t="s">
        <v>2315</v>
      </c>
      <c r="D1451" s="153" t="s">
        <v>2316</v>
      </c>
      <c r="E1451" s="153" t="s">
        <v>309</v>
      </c>
      <c r="F1451" s="153" t="s">
        <v>3307</v>
      </c>
      <c r="G1451" s="153" t="s">
        <v>3308</v>
      </c>
      <c r="H1451" s="153" t="s">
        <v>321</v>
      </c>
      <c r="I1451" s="153" t="s">
        <v>951</v>
      </c>
      <c r="J1451" s="153" t="s">
        <v>204</v>
      </c>
      <c r="K1451" s="153" t="s">
        <v>204</v>
      </c>
      <c r="L1451" s="153" t="s">
        <v>325</v>
      </c>
      <c r="M1451" s="153" t="s">
        <v>340</v>
      </c>
      <c r="N1451" s="153" t="s">
        <v>484</v>
      </c>
      <c r="O1451" s="153" t="s">
        <v>339</v>
      </c>
      <c r="P1451" s="153" t="s">
        <v>1527</v>
      </c>
      <c r="Q1451" s="153" t="s">
        <v>415</v>
      </c>
      <c r="R1451" s="153" t="s">
        <v>407</v>
      </c>
      <c r="S1451" s="153" t="s">
        <v>1212</v>
      </c>
      <c r="T1451" s="154">
        <v>2.0699999999999998</v>
      </c>
      <c r="U1451" s="153" t="s">
        <v>2530</v>
      </c>
      <c r="V1451" s="155">
        <v>3.2910000000000002E-2</v>
      </c>
      <c r="W1451" s="155">
        <v>5.5899999999999998E-2</v>
      </c>
      <c r="X1451" s="153" t="s">
        <v>412</v>
      </c>
      <c r="Y1451" s="153" t="s">
        <v>339</v>
      </c>
      <c r="Z1451" s="154">
        <v>2704715</v>
      </c>
      <c r="AA1451" s="154">
        <v>1</v>
      </c>
      <c r="AB1451" s="154">
        <v>97.46</v>
      </c>
      <c r="AD1451" s="154">
        <v>2636.0149999999999</v>
      </c>
      <c r="AG1451" s="157" t="s">
        <v>15</v>
      </c>
      <c r="AH1451" s="155">
        <v>2.6800000000000001E-3</v>
      </c>
      <c r="AI1451" s="155">
        <f t="shared" si="22"/>
        <v>3.5673989120879579E-3</v>
      </c>
      <c r="AJ1451" s="155">
        <v>7.8839674079870452E-4</v>
      </c>
    </row>
    <row r="1452" spans="1:36" s="160" customFormat="1">
      <c r="A1452" s="153" t="s">
        <v>1213</v>
      </c>
      <c r="B1452" s="160">
        <v>9302</v>
      </c>
      <c r="C1452" s="153" t="s">
        <v>2150</v>
      </c>
      <c r="D1452" s="153" t="s">
        <v>2151</v>
      </c>
      <c r="E1452" s="153" t="s">
        <v>309</v>
      </c>
      <c r="F1452" s="153" t="s">
        <v>2469</v>
      </c>
      <c r="G1452" s="153" t="s">
        <v>2470</v>
      </c>
      <c r="H1452" s="153" t="s">
        <v>321</v>
      </c>
      <c r="I1452" s="153" t="s">
        <v>754</v>
      </c>
      <c r="J1452" s="153" t="s">
        <v>204</v>
      </c>
      <c r="K1452" s="153" t="s">
        <v>204</v>
      </c>
      <c r="L1452" s="153" t="s">
        <v>325</v>
      </c>
      <c r="M1452" s="153" t="s">
        <v>340</v>
      </c>
      <c r="N1452" s="153" t="s">
        <v>477</v>
      </c>
      <c r="O1452" s="153" t="s">
        <v>339</v>
      </c>
      <c r="P1452" s="153" t="s">
        <v>1538</v>
      </c>
      <c r="Q1452" s="153" t="s">
        <v>413</v>
      </c>
      <c r="R1452" s="153" t="s">
        <v>407</v>
      </c>
      <c r="S1452" s="153" t="s">
        <v>1212</v>
      </c>
      <c r="T1452" s="154">
        <v>0.96</v>
      </c>
      <c r="U1452" s="153" t="s">
        <v>2471</v>
      </c>
      <c r="V1452" s="155">
        <v>-2.1900000000000001E-3</v>
      </c>
      <c r="W1452" s="155">
        <v>2.2800000000000001E-2</v>
      </c>
      <c r="X1452" s="153" t="s">
        <v>412</v>
      </c>
      <c r="Y1452" s="153" t="s">
        <v>339</v>
      </c>
      <c r="Z1452" s="154">
        <v>2269933.2000000002</v>
      </c>
      <c r="AA1452" s="154">
        <v>1</v>
      </c>
      <c r="AB1452" s="154">
        <v>115.47</v>
      </c>
      <c r="AD1452" s="154">
        <v>2621.0920000000001</v>
      </c>
      <c r="AG1452" s="157" t="s">
        <v>15</v>
      </c>
      <c r="AH1452" s="155">
        <v>3.9899999999999996E-3</v>
      </c>
      <c r="AI1452" s="155">
        <f t="shared" si="22"/>
        <v>3.5472031643531813E-3</v>
      </c>
      <c r="AJ1452" s="155">
        <v>7.8393347159767997E-4</v>
      </c>
    </row>
    <row r="1453" spans="1:36" s="160" customFormat="1">
      <c r="A1453" s="153" t="s">
        <v>1213</v>
      </c>
      <c r="B1453" s="160">
        <v>9302</v>
      </c>
      <c r="C1453" s="153" t="s">
        <v>2905</v>
      </c>
      <c r="D1453" s="153" t="s">
        <v>2906</v>
      </c>
      <c r="E1453" s="153" t="s">
        <v>309</v>
      </c>
      <c r="F1453" s="153" t="s">
        <v>2907</v>
      </c>
      <c r="G1453" s="153" t="s">
        <v>2908</v>
      </c>
      <c r="H1453" s="153" t="s">
        <v>321</v>
      </c>
      <c r="I1453" s="153" t="s">
        <v>951</v>
      </c>
      <c r="J1453" s="153" t="s">
        <v>204</v>
      </c>
      <c r="K1453" s="153" t="s">
        <v>204</v>
      </c>
      <c r="L1453" s="153" t="s">
        <v>325</v>
      </c>
      <c r="M1453" s="153" t="s">
        <v>340</v>
      </c>
      <c r="N1453" s="153" t="s">
        <v>477</v>
      </c>
      <c r="O1453" s="153" t="s">
        <v>339</v>
      </c>
      <c r="P1453" s="153" t="s">
        <v>1554</v>
      </c>
      <c r="Q1453" s="153" t="s">
        <v>413</v>
      </c>
      <c r="R1453" s="153" t="s">
        <v>407</v>
      </c>
      <c r="S1453" s="153" t="s">
        <v>1212</v>
      </c>
      <c r="T1453" s="154">
        <v>1.25</v>
      </c>
      <c r="U1453" s="153" t="s">
        <v>1659</v>
      </c>
      <c r="V1453" s="155">
        <v>3.7810000000000003E-2</v>
      </c>
      <c r="W1453" s="155">
        <v>5.6300000000000003E-2</v>
      </c>
      <c r="X1453" s="153" t="s">
        <v>412</v>
      </c>
      <c r="Y1453" s="153" t="s">
        <v>339</v>
      </c>
      <c r="Z1453" s="154">
        <v>2646500.9</v>
      </c>
      <c r="AA1453" s="154">
        <v>1</v>
      </c>
      <c r="AB1453" s="154">
        <v>98</v>
      </c>
      <c r="AD1453" s="154">
        <v>2593.5709999999999</v>
      </c>
      <c r="AG1453" s="157" t="s">
        <v>15</v>
      </c>
      <c r="AH1453" s="155">
        <v>4.2459999999999998E-2</v>
      </c>
      <c r="AI1453" s="155">
        <f t="shared" si="22"/>
        <v>3.5099581617793821E-3</v>
      </c>
      <c r="AJ1453" s="155">
        <v>7.7570230952025575E-4</v>
      </c>
    </row>
    <row r="1454" spans="1:36" s="160" customFormat="1">
      <c r="A1454" s="153" t="s">
        <v>1213</v>
      </c>
      <c r="B1454" s="160">
        <v>9302</v>
      </c>
      <c r="C1454" s="153" t="s">
        <v>2463</v>
      </c>
      <c r="D1454" s="153" t="s">
        <v>2464</v>
      </c>
      <c r="E1454" s="153" t="s">
        <v>309</v>
      </c>
      <c r="F1454" s="153" t="s">
        <v>2903</v>
      </c>
      <c r="G1454" s="153" t="s">
        <v>2904</v>
      </c>
      <c r="H1454" s="153" t="s">
        <v>321</v>
      </c>
      <c r="I1454" s="153" t="s">
        <v>754</v>
      </c>
      <c r="J1454" s="153" t="s">
        <v>204</v>
      </c>
      <c r="K1454" s="153" t="s">
        <v>204</v>
      </c>
      <c r="L1454" s="153" t="s">
        <v>325</v>
      </c>
      <c r="M1454" s="153" t="s">
        <v>340</v>
      </c>
      <c r="N1454" s="153" t="s">
        <v>465</v>
      </c>
      <c r="O1454" s="153" t="s">
        <v>339</v>
      </c>
      <c r="P1454" s="153" t="s">
        <v>1560</v>
      </c>
      <c r="Q1454" s="153" t="s">
        <v>413</v>
      </c>
      <c r="R1454" s="153" t="s">
        <v>407</v>
      </c>
      <c r="S1454" s="153" t="s">
        <v>1212</v>
      </c>
      <c r="T1454" s="154">
        <v>4.99</v>
      </c>
      <c r="U1454" s="153" t="s">
        <v>2752</v>
      </c>
      <c r="V1454" s="155">
        <v>4.1140000000000003E-2</v>
      </c>
      <c r="W1454" s="155">
        <v>3.7900000000000003E-2</v>
      </c>
      <c r="X1454" s="177"/>
      <c r="Y1454" s="177"/>
      <c r="Z1454" s="154">
        <v>2487000</v>
      </c>
      <c r="AA1454" s="154">
        <v>1</v>
      </c>
      <c r="AB1454" s="154">
        <v>103.93</v>
      </c>
      <c r="AD1454" s="154">
        <v>2584.739</v>
      </c>
      <c r="AG1454" s="157" t="s">
        <v>15</v>
      </c>
      <c r="AH1454" s="155">
        <v>3.8600000000000001E-3</v>
      </c>
      <c r="AI1454" s="155">
        <f t="shared" si="22"/>
        <v>3.4980055487663451E-3</v>
      </c>
      <c r="AJ1454" s="155">
        <v>7.7306077674645362E-4</v>
      </c>
    </row>
    <row r="1455" spans="1:36" s="160" customFormat="1">
      <c r="A1455" s="153" t="s">
        <v>1213</v>
      </c>
      <c r="B1455" s="160">
        <v>9302</v>
      </c>
      <c r="C1455" s="153" t="s">
        <v>1512</v>
      </c>
      <c r="D1455" s="153" t="s">
        <v>1513</v>
      </c>
      <c r="E1455" s="153" t="s">
        <v>309</v>
      </c>
      <c r="F1455" s="153" t="s">
        <v>2940</v>
      </c>
      <c r="G1455" s="153" t="s">
        <v>2941</v>
      </c>
      <c r="H1455" s="153" t="s">
        <v>321</v>
      </c>
      <c r="I1455" s="153" t="s">
        <v>754</v>
      </c>
      <c r="J1455" s="153" t="s">
        <v>204</v>
      </c>
      <c r="K1455" s="153" t="s">
        <v>204</v>
      </c>
      <c r="L1455" s="153" t="s">
        <v>325</v>
      </c>
      <c r="M1455" s="153" t="s">
        <v>340</v>
      </c>
      <c r="N1455" s="153" t="s">
        <v>448</v>
      </c>
      <c r="O1455" s="153" t="s">
        <v>339</v>
      </c>
      <c r="P1455" s="153" t="s">
        <v>1215</v>
      </c>
      <c r="Q1455" s="153" t="s">
        <v>413</v>
      </c>
      <c r="R1455" s="153" t="s">
        <v>407</v>
      </c>
      <c r="S1455" s="153" t="s">
        <v>1212</v>
      </c>
      <c r="T1455" s="154">
        <v>4.4000000000000004</v>
      </c>
      <c r="U1455" s="153" t="s">
        <v>2435</v>
      </c>
      <c r="V1455" s="155">
        <v>1.423E-2</v>
      </c>
      <c r="W1455" s="155">
        <v>2.6100000000000002E-2</v>
      </c>
      <c r="X1455" s="153" t="s">
        <v>412</v>
      </c>
      <c r="Y1455" s="153" t="s">
        <v>339</v>
      </c>
      <c r="Z1455" s="154">
        <v>2468103.2999999998</v>
      </c>
      <c r="AA1455" s="154">
        <v>1</v>
      </c>
      <c r="AB1455" s="154">
        <v>102.78</v>
      </c>
      <c r="AD1455" s="154">
        <v>2536.7170000000001</v>
      </c>
      <c r="AG1455" s="157" t="s">
        <v>15</v>
      </c>
      <c r="AH1455" s="155">
        <v>1.3699999999999999E-3</v>
      </c>
      <c r="AI1455" s="155">
        <f t="shared" si="22"/>
        <v>3.4330159221685119E-3</v>
      </c>
      <c r="AJ1455" s="155">
        <v>7.5869804046208673E-4</v>
      </c>
    </row>
    <row r="1456" spans="1:36" s="160" customFormat="1">
      <c r="A1456" s="153" t="s">
        <v>1213</v>
      </c>
      <c r="B1456" s="160">
        <v>9302</v>
      </c>
      <c r="C1456" s="153" t="s">
        <v>1683</v>
      </c>
      <c r="D1456" s="153" t="s">
        <v>1684</v>
      </c>
      <c r="E1456" s="153" t="s">
        <v>309</v>
      </c>
      <c r="F1456" s="153" t="s">
        <v>1685</v>
      </c>
      <c r="G1456" s="153" t="s">
        <v>1686</v>
      </c>
      <c r="H1456" s="153" t="s">
        <v>321</v>
      </c>
      <c r="I1456" s="153" t="s">
        <v>754</v>
      </c>
      <c r="J1456" s="153" t="s">
        <v>204</v>
      </c>
      <c r="K1456" s="153" t="s">
        <v>204</v>
      </c>
      <c r="L1456" s="153" t="s">
        <v>325</v>
      </c>
      <c r="M1456" s="153" t="s">
        <v>340</v>
      </c>
      <c r="N1456" s="153" t="s">
        <v>441</v>
      </c>
      <c r="O1456" s="153" t="s">
        <v>339</v>
      </c>
      <c r="Q1456" s="153" t="s">
        <v>410</v>
      </c>
      <c r="R1456" s="153" t="s">
        <v>410</v>
      </c>
      <c r="S1456" s="153" t="s">
        <v>1212</v>
      </c>
      <c r="T1456" s="154">
        <v>2.4900000000000002</v>
      </c>
      <c r="U1456" s="153" t="s">
        <v>1528</v>
      </c>
      <c r="V1456" s="155">
        <v>3.9120000000000002E-2</v>
      </c>
      <c r="W1456" s="155">
        <v>3.1399999999999997E-2</v>
      </c>
      <c r="X1456" s="153" t="s">
        <v>412</v>
      </c>
      <c r="Y1456" s="153" t="s">
        <v>339</v>
      </c>
      <c r="Z1456" s="154">
        <v>2313582.58</v>
      </c>
      <c r="AA1456" s="154">
        <v>1</v>
      </c>
      <c r="AB1456" s="154">
        <v>109.1</v>
      </c>
      <c r="AD1456" s="154">
        <v>2524.1190000000001</v>
      </c>
      <c r="AG1456" s="157" t="s">
        <v>15</v>
      </c>
      <c r="AH1456" s="155">
        <v>3.0699999999999998E-3</v>
      </c>
      <c r="AI1456" s="155">
        <f t="shared" si="22"/>
        <v>3.4159666673294902E-3</v>
      </c>
      <c r="AJ1456" s="155">
        <v>7.5493014758568728E-4</v>
      </c>
    </row>
    <row r="1457" spans="1:36" s="160" customFormat="1">
      <c r="A1457" s="153" t="s">
        <v>1213</v>
      </c>
      <c r="B1457" s="160">
        <v>9302</v>
      </c>
      <c r="C1457" s="153" t="s">
        <v>2741</v>
      </c>
      <c r="D1457" s="153" t="s">
        <v>2742</v>
      </c>
      <c r="E1457" s="153" t="s">
        <v>309</v>
      </c>
      <c r="F1457" s="153" t="s">
        <v>3025</v>
      </c>
      <c r="G1457" s="153" t="s">
        <v>3026</v>
      </c>
      <c r="H1457" s="153" t="s">
        <v>321</v>
      </c>
      <c r="I1457" s="153" t="s">
        <v>754</v>
      </c>
      <c r="J1457" s="153" t="s">
        <v>204</v>
      </c>
      <c r="K1457" s="153" t="s">
        <v>204</v>
      </c>
      <c r="L1457" s="153" t="s">
        <v>325</v>
      </c>
      <c r="M1457" s="153" t="s">
        <v>340</v>
      </c>
      <c r="N1457" s="153" t="s">
        <v>464</v>
      </c>
      <c r="O1457" s="153" t="s">
        <v>339</v>
      </c>
      <c r="P1457" s="153" t="s">
        <v>1544</v>
      </c>
      <c r="Q1457" s="153" t="s">
        <v>415</v>
      </c>
      <c r="R1457" s="153" t="s">
        <v>407</v>
      </c>
      <c r="S1457" s="153" t="s">
        <v>1212</v>
      </c>
      <c r="T1457" s="154">
        <v>1.1599999999999999</v>
      </c>
      <c r="U1457" s="153" t="s">
        <v>1777</v>
      </c>
      <c r="V1457" s="155">
        <v>1.0499999999999999E-3</v>
      </c>
      <c r="W1457" s="155">
        <v>2.58E-2</v>
      </c>
      <c r="X1457" s="153" t="s">
        <v>412</v>
      </c>
      <c r="Y1457" s="153" t="s">
        <v>339</v>
      </c>
      <c r="Z1457" s="154">
        <v>2126080.2999999998</v>
      </c>
      <c r="AA1457" s="154">
        <v>1</v>
      </c>
      <c r="AB1457" s="154">
        <v>117.36</v>
      </c>
      <c r="AD1457" s="154">
        <v>2495.1680000000001</v>
      </c>
      <c r="AG1457" s="157" t="s">
        <v>15</v>
      </c>
      <c r="AH1457" s="155">
        <v>6.4400000000000004E-3</v>
      </c>
      <c r="AI1457" s="155">
        <f t="shared" si="22"/>
        <v>3.3767864024585167E-3</v>
      </c>
      <c r="AJ1457" s="155">
        <v>7.4627129168279474E-4</v>
      </c>
    </row>
    <row r="1458" spans="1:36" s="160" customFormat="1">
      <c r="A1458" s="153" t="s">
        <v>1213</v>
      </c>
      <c r="B1458" s="160">
        <v>9302</v>
      </c>
      <c r="C1458" s="153" t="s">
        <v>3004</v>
      </c>
      <c r="D1458" s="153" t="s">
        <v>3005</v>
      </c>
      <c r="E1458" s="153" t="s">
        <v>309</v>
      </c>
      <c r="F1458" s="153" t="s">
        <v>3006</v>
      </c>
      <c r="G1458" s="153" t="s">
        <v>3007</v>
      </c>
      <c r="H1458" s="153" t="s">
        <v>321</v>
      </c>
      <c r="I1458" s="153" t="s">
        <v>754</v>
      </c>
      <c r="J1458" s="153" t="s">
        <v>204</v>
      </c>
      <c r="K1458" s="153" t="s">
        <v>204</v>
      </c>
      <c r="L1458" s="153" t="s">
        <v>325</v>
      </c>
      <c r="M1458" s="153" t="s">
        <v>340</v>
      </c>
      <c r="N1458" s="153" t="s">
        <v>440</v>
      </c>
      <c r="O1458" s="153" t="s">
        <v>339</v>
      </c>
      <c r="Q1458" s="153" t="s">
        <v>410</v>
      </c>
      <c r="R1458" s="153" t="s">
        <v>410</v>
      </c>
      <c r="S1458" s="153" t="s">
        <v>1212</v>
      </c>
      <c r="T1458" s="154">
        <v>1.45</v>
      </c>
      <c r="U1458" s="153" t="s">
        <v>1768</v>
      </c>
      <c r="V1458" s="155">
        <v>1.7239999999999998E-2</v>
      </c>
      <c r="W1458" s="155">
        <v>3.0700000000000002E-2</v>
      </c>
      <c r="X1458" s="153" t="s">
        <v>412</v>
      </c>
      <c r="Y1458" s="153" t="s">
        <v>339</v>
      </c>
      <c r="Z1458" s="154">
        <v>2163161.21</v>
      </c>
      <c r="AA1458" s="154">
        <v>1</v>
      </c>
      <c r="AB1458" s="154">
        <v>113.14</v>
      </c>
      <c r="AD1458" s="154">
        <v>2447.4009999999998</v>
      </c>
      <c r="AG1458" s="157" t="s">
        <v>15</v>
      </c>
      <c r="AH1458" s="155">
        <v>8.9800000000000001E-3</v>
      </c>
      <c r="AI1458" s="155">
        <f t="shared" si="22"/>
        <v>3.3121418750815075E-3</v>
      </c>
      <c r="AJ1458" s="155">
        <v>7.3198482247919313E-4</v>
      </c>
    </row>
    <row r="1459" spans="1:36" s="160" customFormat="1">
      <c r="A1459" s="153" t="s">
        <v>1213</v>
      </c>
      <c r="B1459" s="160">
        <v>9302</v>
      </c>
      <c r="C1459" s="153" t="s">
        <v>2408</v>
      </c>
      <c r="D1459" s="153" t="s">
        <v>2409</v>
      </c>
      <c r="E1459" s="153" t="s">
        <v>309</v>
      </c>
      <c r="F1459" s="153" t="s">
        <v>3015</v>
      </c>
      <c r="G1459" s="153" t="s">
        <v>3016</v>
      </c>
      <c r="H1459" s="153" t="s">
        <v>321</v>
      </c>
      <c r="I1459" s="153" t="s">
        <v>754</v>
      </c>
      <c r="J1459" s="153" t="s">
        <v>204</v>
      </c>
      <c r="K1459" s="153" t="s">
        <v>204</v>
      </c>
      <c r="L1459" s="153" t="s">
        <v>327</v>
      </c>
      <c r="M1459" s="153" t="s">
        <v>340</v>
      </c>
      <c r="N1459" s="153" t="s">
        <v>451</v>
      </c>
      <c r="O1459" s="153" t="s">
        <v>339</v>
      </c>
      <c r="P1459" s="153" t="s">
        <v>1521</v>
      </c>
      <c r="Q1459" s="153" t="s">
        <v>413</v>
      </c>
      <c r="R1459" s="153" t="s">
        <v>407</v>
      </c>
      <c r="S1459" s="153" t="s">
        <v>1212</v>
      </c>
      <c r="T1459" s="154">
        <v>4</v>
      </c>
      <c r="U1459" s="153" t="s">
        <v>1717</v>
      </c>
      <c r="V1459" s="155">
        <v>3.7089999999999998E-2</v>
      </c>
      <c r="W1459" s="155">
        <v>3.4500000000000003E-2</v>
      </c>
      <c r="X1459" s="153" t="s">
        <v>412</v>
      </c>
      <c r="Y1459" s="153" t="s">
        <v>339</v>
      </c>
      <c r="Z1459" s="154">
        <v>1479223</v>
      </c>
      <c r="AA1459" s="154">
        <v>1</v>
      </c>
      <c r="AB1459" s="154">
        <f>AD1459*1000/Z1459*100</f>
        <v>103.41541005653305</v>
      </c>
      <c r="AD1459" s="154">
        <f>1529744.53110055/1000</f>
        <v>1529.7445311005499</v>
      </c>
      <c r="AG1459" s="157" t="s">
        <v>15</v>
      </c>
      <c r="AH1459" s="155">
        <v>5.2500000000000003E-3</v>
      </c>
      <c r="AI1459" s="155">
        <f t="shared" si="22"/>
        <v>2.070249591152025E-3</v>
      </c>
      <c r="AJ1459" s="155">
        <v>4.5752607726978642E-4</v>
      </c>
    </row>
    <row r="1460" spans="1:36" s="160" customFormat="1">
      <c r="A1460" s="153" t="s">
        <v>1213</v>
      </c>
      <c r="B1460" s="160">
        <v>9302</v>
      </c>
      <c r="C1460" s="153" t="s">
        <v>1546</v>
      </c>
      <c r="D1460" s="153" t="s">
        <v>1547</v>
      </c>
      <c r="E1460" s="153" t="s">
        <v>309</v>
      </c>
      <c r="F1460" s="153" t="s">
        <v>2487</v>
      </c>
      <c r="G1460" s="153" t="s">
        <v>2488</v>
      </c>
      <c r="H1460" s="153" t="s">
        <v>321</v>
      </c>
      <c r="I1460" s="153" t="s">
        <v>754</v>
      </c>
      <c r="J1460" s="153" t="s">
        <v>204</v>
      </c>
      <c r="K1460" s="153" t="s">
        <v>204</v>
      </c>
      <c r="L1460" s="153" t="s">
        <v>325</v>
      </c>
      <c r="M1460" s="153" t="s">
        <v>340</v>
      </c>
      <c r="N1460" s="153" t="s">
        <v>443</v>
      </c>
      <c r="O1460" s="153" t="s">
        <v>339</v>
      </c>
      <c r="P1460" s="153" t="s">
        <v>1544</v>
      </c>
      <c r="Q1460" s="153" t="s">
        <v>415</v>
      </c>
      <c r="R1460" s="153" t="s">
        <v>407</v>
      </c>
      <c r="S1460" s="153" t="s">
        <v>1212</v>
      </c>
      <c r="T1460" s="154">
        <v>0.79</v>
      </c>
      <c r="U1460" s="153" t="s">
        <v>1777</v>
      </c>
      <c r="V1460" s="155">
        <v>1.3429999999999999E-2</v>
      </c>
      <c r="W1460" s="155">
        <v>2.7199999999999998E-2</v>
      </c>
      <c r="X1460" s="153" t="s">
        <v>412</v>
      </c>
      <c r="Y1460" s="153" t="s">
        <v>339</v>
      </c>
      <c r="Z1460" s="154">
        <v>2081499.36</v>
      </c>
      <c r="AA1460" s="154">
        <v>1</v>
      </c>
      <c r="AB1460" s="154">
        <v>115.1</v>
      </c>
      <c r="AD1460" s="154">
        <v>2395.806</v>
      </c>
      <c r="AG1460" s="157" t="s">
        <v>15</v>
      </c>
      <c r="AH1460" s="155">
        <v>5.64E-3</v>
      </c>
      <c r="AI1460" s="155">
        <f t="shared" si="22"/>
        <v>3.2423167994012942E-3</v>
      </c>
      <c r="AJ1460" s="155">
        <v>7.1655344980433764E-4</v>
      </c>
    </row>
    <row r="1461" spans="1:36" s="160" customFormat="1">
      <c r="A1461" s="153" t="s">
        <v>1213</v>
      </c>
      <c r="B1461" s="160">
        <v>9302</v>
      </c>
      <c r="C1461" s="153" t="s">
        <v>1861</v>
      </c>
      <c r="D1461" s="153" t="s">
        <v>1862</v>
      </c>
      <c r="E1461" s="153" t="s">
        <v>309</v>
      </c>
      <c r="F1461" s="153" t="s">
        <v>2642</v>
      </c>
      <c r="G1461" s="153" t="s">
        <v>2643</v>
      </c>
      <c r="H1461" s="153" t="s">
        <v>321</v>
      </c>
      <c r="I1461" s="153" t="s">
        <v>754</v>
      </c>
      <c r="J1461" s="153" t="s">
        <v>204</v>
      </c>
      <c r="K1461" s="153" t="s">
        <v>204</v>
      </c>
      <c r="L1461" s="153" t="s">
        <v>325</v>
      </c>
      <c r="M1461" s="153" t="s">
        <v>340</v>
      </c>
      <c r="N1461" s="153" t="s">
        <v>464</v>
      </c>
      <c r="O1461" s="153" t="s">
        <v>339</v>
      </c>
      <c r="P1461" s="153" t="s">
        <v>1538</v>
      </c>
      <c r="Q1461" s="153" t="s">
        <v>413</v>
      </c>
      <c r="R1461" s="153" t="s">
        <v>407</v>
      </c>
      <c r="S1461" s="153" t="s">
        <v>1212</v>
      </c>
      <c r="T1461" s="154">
        <v>2.38</v>
      </c>
      <c r="U1461" s="153" t="s">
        <v>1951</v>
      </c>
      <c r="V1461" s="155">
        <v>2.35E-2</v>
      </c>
      <c r="W1461" s="155">
        <v>2.3900000000000001E-2</v>
      </c>
      <c r="X1461" s="153" t="s">
        <v>412</v>
      </c>
      <c r="Y1461" s="153" t="s">
        <v>339</v>
      </c>
      <c r="Z1461" s="154">
        <v>1998808.59</v>
      </c>
      <c r="AA1461" s="154">
        <v>1</v>
      </c>
      <c r="AB1461" s="154">
        <v>116.64</v>
      </c>
      <c r="AC1461" s="154">
        <v>55.512999999999998</v>
      </c>
      <c r="AD1461" s="154">
        <v>2386.924</v>
      </c>
      <c r="AG1461" s="157" t="s">
        <v>15</v>
      </c>
      <c r="AH1461" s="155">
        <v>2.15E-3</v>
      </c>
      <c r="AI1461" s="155">
        <f t="shared" si="22"/>
        <v>3.2302965198743698E-3</v>
      </c>
      <c r="AJ1461" s="155">
        <v>7.1389696270097362E-4</v>
      </c>
    </row>
    <row r="1462" spans="1:36" s="160" customFormat="1">
      <c r="A1462" s="153" t="s">
        <v>1213</v>
      </c>
      <c r="B1462" s="160">
        <v>9302</v>
      </c>
      <c r="C1462" s="153" t="s">
        <v>2228</v>
      </c>
      <c r="D1462" s="153" t="s">
        <v>2229</v>
      </c>
      <c r="E1462" s="153" t="s">
        <v>309</v>
      </c>
      <c r="F1462" s="153" t="s">
        <v>2911</v>
      </c>
      <c r="G1462" s="153" t="s">
        <v>2912</v>
      </c>
      <c r="H1462" s="153" t="s">
        <v>321</v>
      </c>
      <c r="I1462" s="153" t="s">
        <v>951</v>
      </c>
      <c r="J1462" s="153" t="s">
        <v>204</v>
      </c>
      <c r="K1462" s="153" t="s">
        <v>204</v>
      </c>
      <c r="L1462" s="153" t="s">
        <v>325</v>
      </c>
      <c r="M1462" s="153" t="s">
        <v>340</v>
      </c>
      <c r="N1462" s="153" t="s">
        <v>441</v>
      </c>
      <c r="O1462" s="153" t="s">
        <v>339</v>
      </c>
      <c r="Q1462" s="153" t="s">
        <v>410</v>
      </c>
      <c r="R1462" s="153" t="s">
        <v>410</v>
      </c>
      <c r="S1462" s="153" t="s">
        <v>1212</v>
      </c>
      <c r="T1462" s="154">
        <v>0.42</v>
      </c>
      <c r="U1462" s="153" t="s">
        <v>2049</v>
      </c>
      <c r="V1462" s="155">
        <v>2.8289999999999999E-2</v>
      </c>
      <c r="W1462" s="155">
        <v>6.1199999999999997E-2</v>
      </c>
      <c r="X1462" s="153" t="s">
        <v>412</v>
      </c>
      <c r="Y1462" s="153" t="s">
        <v>339</v>
      </c>
      <c r="Z1462" s="154">
        <v>2293114.56</v>
      </c>
      <c r="AA1462" s="154">
        <v>1</v>
      </c>
      <c r="AB1462" s="154">
        <v>99.63</v>
      </c>
      <c r="AD1462" s="154">
        <v>2284.63</v>
      </c>
      <c r="AG1462" s="157" t="s">
        <v>15</v>
      </c>
      <c r="AH1462" s="155">
        <v>2.929E-2</v>
      </c>
      <c r="AI1462" s="155">
        <f t="shared" si="22"/>
        <v>3.091858952442802E-3</v>
      </c>
      <c r="AJ1462" s="155">
        <v>6.8330219893701074E-4</v>
      </c>
    </row>
    <row r="1463" spans="1:36" s="160" customFormat="1">
      <c r="A1463" s="153" t="s">
        <v>1213</v>
      </c>
      <c r="B1463" s="160">
        <v>9302</v>
      </c>
      <c r="C1463" s="153" t="s">
        <v>2441</v>
      </c>
      <c r="D1463" s="153" t="s">
        <v>2442</v>
      </c>
      <c r="E1463" s="153" t="s">
        <v>309</v>
      </c>
      <c r="F1463" s="153" t="s">
        <v>2496</v>
      </c>
      <c r="G1463" s="153" t="s">
        <v>2497</v>
      </c>
      <c r="H1463" s="153" t="s">
        <v>321</v>
      </c>
      <c r="I1463" s="153" t="s">
        <v>754</v>
      </c>
      <c r="J1463" s="153" t="s">
        <v>204</v>
      </c>
      <c r="K1463" s="153" t="s">
        <v>204</v>
      </c>
      <c r="L1463" s="153" t="s">
        <v>325</v>
      </c>
      <c r="M1463" s="153" t="s">
        <v>340</v>
      </c>
      <c r="N1463" s="153" t="s">
        <v>462</v>
      </c>
      <c r="O1463" s="153" t="s">
        <v>339</v>
      </c>
      <c r="P1463" s="153" t="s">
        <v>1566</v>
      </c>
      <c r="Q1463" s="153" t="s">
        <v>413</v>
      </c>
      <c r="R1463" s="153" t="s">
        <v>407</v>
      </c>
      <c r="S1463" s="153" t="s">
        <v>1212</v>
      </c>
      <c r="T1463" s="154">
        <v>1.46</v>
      </c>
      <c r="U1463" s="153" t="s">
        <v>2498</v>
      </c>
      <c r="V1463" s="155">
        <v>4.7699999999999999E-3</v>
      </c>
      <c r="W1463" s="155">
        <v>2.4400000000000002E-2</v>
      </c>
      <c r="X1463" s="153" t="s">
        <v>412</v>
      </c>
      <c r="Y1463" s="153" t="s">
        <v>339</v>
      </c>
      <c r="Z1463" s="154">
        <v>1983267.52</v>
      </c>
      <c r="AA1463" s="154">
        <v>1</v>
      </c>
      <c r="AB1463" s="154">
        <v>112.33</v>
      </c>
      <c r="AD1463" s="154">
        <v>2227.8040000000001</v>
      </c>
      <c r="AG1463" s="157" t="s">
        <v>15</v>
      </c>
      <c r="AH1463" s="155">
        <v>9.0900000000000009E-3</v>
      </c>
      <c r="AI1463" s="155">
        <f t="shared" si="22"/>
        <v>3.0149546060797084E-3</v>
      </c>
      <c r="AJ1463" s="155">
        <v>6.6630630430339636E-4</v>
      </c>
    </row>
    <row r="1464" spans="1:36" s="160" customFormat="1">
      <c r="A1464" s="153" t="s">
        <v>1213</v>
      </c>
      <c r="B1464" s="160">
        <v>9302</v>
      </c>
      <c r="C1464" s="153" t="s">
        <v>2361</v>
      </c>
      <c r="D1464" s="153" t="s">
        <v>2362</v>
      </c>
      <c r="E1464" s="153" t="s">
        <v>309</v>
      </c>
      <c r="F1464" s="153" t="s">
        <v>2718</v>
      </c>
      <c r="G1464" s="153" t="s">
        <v>2719</v>
      </c>
      <c r="H1464" s="153" t="s">
        <v>321</v>
      </c>
      <c r="I1464" s="153" t="s">
        <v>755</v>
      </c>
      <c r="J1464" s="153" t="s">
        <v>204</v>
      </c>
      <c r="K1464" s="153" t="s">
        <v>204</v>
      </c>
      <c r="L1464" s="153" t="s">
        <v>325</v>
      </c>
      <c r="M1464" s="153" t="s">
        <v>340</v>
      </c>
      <c r="N1464" s="153" t="s">
        <v>446</v>
      </c>
      <c r="O1464" s="153" t="s">
        <v>339</v>
      </c>
      <c r="P1464" s="153" t="s">
        <v>1538</v>
      </c>
      <c r="Q1464" s="153" t="s">
        <v>413</v>
      </c>
      <c r="R1464" s="153" t="s">
        <v>407</v>
      </c>
      <c r="S1464" s="153" t="s">
        <v>1212</v>
      </c>
      <c r="T1464" s="154">
        <v>4.92</v>
      </c>
      <c r="U1464" s="153" t="s">
        <v>1860</v>
      </c>
      <c r="V1464" s="155">
        <v>2.4750000000000001E-2</v>
      </c>
      <c r="W1464" s="155">
        <v>5.8700000000000002E-2</v>
      </c>
      <c r="X1464" s="153" t="s">
        <v>412</v>
      </c>
      <c r="Y1464" s="153" t="s">
        <v>339</v>
      </c>
      <c r="Z1464" s="154">
        <v>2176707.7200000002</v>
      </c>
      <c r="AA1464" s="154">
        <v>1</v>
      </c>
      <c r="AB1464" s="154">
        <v>98.14</v>
      </c>
      <c r="AD1464" s="154">
        <v>2136.221</v>
      </c>
      <c r="AG1464" s="157" t="s">
        <v>15</v>
      </c>
      <c r="AH1464" s="155">
        <v>1.3849999999999999E-2</v>
      </c>
      <c r="AI1464" s="155">
        <f t="shared" si="22"/>
        <v>2.891012559253058E-3</v>
      </c>
      <c r="AJ1464" s="155">
        <v>6.3891505701816926E-4</v>
      </c>
    </row>
    <row r="1465" spans="1:36" s="160" customFormat="1">
      <c r="A1465" s="153" t="s">
        <v>1213</v>
      </c>
      <c r="B1465" s="160">
        <v>9302</v>
      </c>
      <c r="C1465" s="153" t="s">
        <v>2211</v>
      </c>
      <c r="D1465" s="153" t="s">
        <v>2212</v>
      </c>
      <c r="E1465" s="153" t="s">
        <v>309</v>
      </c>
      <c r="F1465" s="153" t="s">
        <v>2213</v>
      </c>
      <c r="G1465" s="153" t="s">
        <v>2214</v>
      </c>
      <c r="H1465" s="153" t="s">
        <v>321</v>
      </c>
      <c r="I1465" s="153" t="s">
        <v>951</v>
      </c>
      <c r="J1465" s="153" t="s">
        <v>204</v>
      </c>
      <c r="K1465" s="153" t="s">
        <v>204</v>
      </c>
      <c r="L1465" s="153" t="s">
        <v>325</v>
      </c>
      <c r="M1465" s="153" t="s">
        <v>340</v>
      </c>
      <c r="N1465" s="153" t="s">
        <v>454</v>
      </c>
      <c r="O1465" s="153" t="s">
        <v>339</v>
      </c>
      <c r="P1465" s="153" t="s">
        <v>1527</v>
      </c>
      <c r="Q1465" s="153" t="s">
        <v>415</v>
      </c>
      <c r="R1465" s="153" t="s">
        <v>407</v>
      </c>
      <c r="S1465" s="153" t="s">
        <v>1212</v>
      </c>
      <c r="T1465" s="154">
        <v>3.82</v>
      </c>
      <c r="U1465" s="153" t="s">
        <v>2215</v>
      </c>
      <c r="V1465" s="155">
        <v>4.5670000000000002E-2</v>
      </c>
      <c r="W1465" s="155">
        <v>6.5299999999999997E-2</v>
      </c>
      <c r="X1465" s="153" t="s">
        <v>412</v>
      </c>
      <c r="Y1465" s="153" t="s">
        <v>339</v>
      </c>
      <c r="Z1465" s="154">
        <v>2054010</v>
      </c>
      <c r="AA1465" s="154">
        <v>1</v>
      </c>
      <c r="AB1465" s="154">
        <v>103.07</v>
      </c>
      <c r="AD1465" s="154">
        <v>2117.0680000000002</v>
      </c>
      <c r="AG1465" s="157" t="s">
        <v>15</v>
      </c>
      <c r="AH1465" s="155">
        <v>1.5399999999999999E-3</v>
      </c>
      <c r="AI1465" s="155">
        <f t="shared" si="22"/>
        <v>2.8650922244434231E-3</v>
      </c>
      <c r="AJ1465" s="155">
        <v>6.3318665153621354E-4</v>
      </c>
    </row>
    <row r="1466" spans="1:36" s="160" customFormat="1">
      <c r="A1466" s="153" t="s">
        <v>1213</v>
      </c>
      <c r="B1466" s="160">
        <v>9302</v>
      </c>
      <c r="C1466" s="153" t="s">
        <v>1674</v>
      </c>
      <c r="D1466" s="153" t="s">
        <v>1675</v>
      </c>
      <c r="E1466" s="153" t="s">
        <v>309</v>
      </c>
      <c r="F1466" s="153" t="s">
        <v>2942</v>
      </c>
      <c r="G1466" s="153" t="s">
        <v>2943</v>
      </c>
      <c r="H1466" s="153" t="s">
        <v>321</v>
      </c>
      <c r="I1466" s="153" t="s">
        <v>754</v>
      </c>
      <c r="J1466" s="153" t="s">
        <v>204</v>
      </c>
      <c r="K1466" s="153" t="s">
        <v>204</v>
      </c>
      <c r="L1466" s="153" t="s">
        <v>325</v>
      </c>
      <c r="M1466" s="153" t="s">
        <v>340</v>
      </c>
      <c r="N1466" s="153" t="s">
        <v>464</v>
      </c>
      <c r="O1466" s="153" t="s">
        <v>339</v>
      </c>
      <c r="P1466" s="153" t="s">
        <v>1538</v>
      </c>
      <c r="Q1466" s="153" t="s">
        <v>413</v>
      </c>
      <c r="R1466" s="153" t="s">
        <v>407</v>
      </c>
      <c r="S1466" s="153" t="s">
        <v>1212</v>
      </c>
      <c r="T1466" s="154">
        <v>5.35</v>
      </c>
      <c r="U1466" s="153" t="s">
        <v>1409</v>
      </c>
      <c r="V1466" s="155">
        <v>2.1139999999999999E-2</v>
      </c>
      <c r="W1466" s="155">
        <v>0.03</v>
      </c>
      <c r="X1466" s="153" t="s">
        <v>412</v>
      </c>
      <c r="Y1466" s="153" t="s">
        <v>339</v>
      </c>
      <c r="Z1466" s="154">
        <v>2053000</v>
      </c>
      <c r="AA1466" s="154">
        <v>1</v>
      </c>
      <c r="AB1466" s="154">
        <v>102.12</v>
      </c>
      <c r="AD1466" s="154">
        <v>2096.5239999999999</v>
      </c>
      <c r="AG1466" s="157" t="s">
        <v>15</v>
      </c>
      <c r="AH1466" s="155">
        <v>3.8300000000000001E-3</v>
      </c>
      <c r="AI1466" s="155">
        <f t="shared" si="22"/>
        <v>2.8372894072174453E-3</v>
      </c>
      <c r="AJ1466" s="155">
        <v>6.2704221660584759E-4</v>
      </c>
    </row>
    <row r="1467" spans="1:36" s="160" customFormat="1">
      <c r="A1467" s="153" t="s">
        <v>1213</v>
      </c>
      <c r="B1467" s="160">
        <v>9302</v>
      </c>
      <c r="C1467" s="153" t="s">
        <v>1973</v>
      </c>
      <c r="D1467" s="153" t="s">
        <v>1974</v>
      </c>
      <c r="E1467" s="153" t="s">
        <v>309</v>
      </c>
      <c r="F1467" s="153" t="s">
        <v>1975</v>
      </c>
      <c r="G1467" s="153" t="s">
        <v>1976</v>
      </c>
      <c r="H1467" s="153" t="s">
        <v>321</v>
      </c>
      <c r="I1467" s="153" t="s">
        <v>754</v>
      </c>
      <c r="J1467" s="153" t="s">
        <v>204</v>
      </c>
      <c r="K1467" s="153" t="s">
        <v>204</v>
      </c>
      <c r="L1467" s="153" t="s">
        <v>325</v>
      </c>
      <c r="M1467" s="153" t="s">
        <v>340</v>
      </c>
      <c r="N1467" s="153" t="s">
        <v>464</v>
      </c>
      <c r="O1467" s="153" t="s">
        <v>339</v>
      </c>
      <c r="P1467" s="153" t="s">
        <v>1538</v>
      </c>
      <c r="Q1467" s="153" t="s">
        <v>413</v>
      </c>
      <c r="R1467" s="153" t="s">
        <v>407</v>
      </c>
      <c r="S1467" s="153" t="s">
        <v>1212</v>
      </c>
      <c r="T1467" s="154">
        <v>2.25</v>
      </c>
      <c r="U1467" s="153" t="s">
        <v>1343</v>
      </c>
      <c r="V1467" s="155">
        <v>9.75E-3</v>
      </c>
      <c r="W1467" s="155">
        <v>2.47E-2</v>
      </c>
      <c r="X1467" s="153" t="s">
        <v>412</v>
      </c>
      <c r="Y1467" s="153" t="s">
        <v>339</v>
      </c>
      <c r="Z1467" s="154">
        <v>1786189.68</v>
      </c>
      <c r="AA1467" s="154">
        <v>1</v>
      </c>
      <c r="AB1467" s="154">
        <v>116.75</v>
      </c>
      <c r="AD1467" s="154">
        <v>2085.3760000000002</v>
      </c>
      <c r="AG1467" s="157" t="s">
        <v>15</v>
      </c>
      <c r="AH1467" s="155">
        <v>4.9500000000000004E-3</v>
      </c>
      <c r="AI1467" s="155">
        <f t="shared" si="22"/>
        <v>2.8222024812811532E-3</v>
      </c>
      <c r="AJ1467" s="155">
        <v>6.2370799928674139E-4</v>
      </c>
    </row>
    <row r="1468" spans="1:36" s="160" customFormat="1">
      <c r="A1468" s="153" t="s">
        <v>1213</v>
      </c>
      <c r="B1468" s="160">
        <v>9302</v>
      </c>
      <c r="C1468" s="153" t="s">
        <v>2441</v>
      </c>
      <c r="D1468" s="153" t="s">
        <v>2442</v>
      </c>
      <c r="E1468" s="153" t="s">
        <v>309</v>
      </c>
      <c r="F1468" s="153" t="s">
        <v>2979</v>
      </c>
      <c r="G1468" s="153" t="s">
        <v>2980</v>
      </c>
      <c r="H1468" s="153" t="s">
        <v>321</v>
      </c>
      <c r="I1468" s="153" t="s">
        <v>951</v>
      </c>
      <c r="J1468" s="153" t="s">
        <v>204</v>
      </c>
      <c r="K1468" s="153" t="s">
        <v>204</v>
      </c>
      <c r="L1468" s="153" t="s">
        <v>325</v>
      </c>
      <c r="M1468" s="153" t="s">
        <v>340</v>
      </c>
      <c r="N1468" s="153" t="s">
        <v>462</v>
      </c>
      <c r="O1468" s="153" t="s">
        <v>339</v>
      </c>
      <c r="P1468" s="153" t="s">
        <v>1566</v>
      </c>
      <c r="Q1468" s="153" t="s">
        <v>413</v>
      </c>
      <c r="R1468" s="153" t="s">
        <v>407</v>
      </c>
      <c r="S1468" s="153" t="s">
        <v>1212</v>
      </c>
      <c r="T1468" s="154">
        <v>2.11</v>
      </c>
      <c r="U1468" s="153" t="s">
        <v>2981</v>
      </c>
      <c r="V1468" s="155">
        <v>4.7359999999999999E-2</v>
      </c>
      <c r="W1468" s="155">
        <v>5.6899999999999999E-2</v>
      </c>
      <c r="X1468" s="153" t="s">
        <v>412</v>
      </c>
      <c r="Y1468" s="153" t="s">
        <v>339</v>
      </c>
      <c r="Z1468" s="154">
        <v>2218985.6800000002</v>
      </c>
      <c r="AA1468" s="154">
        <v>1</v>
      </c>
      <c r="AB1468" s="154">
        <v>93.37</v>
      </c>
      <c r="AD1468" s="154">
        <v>2071.8670000000002</v>
      </c>
      <c r="AG1468" s="157" t="s">
        <v>15</v>
      </c>
      <c r="AH1468" s="155">
        <v>6.4799999999999996E-3</v>
      </c>
      <c r="AI1468" s="155">
        <f t="shared" si="22"/>
        <v>2.8039203425591062E-3</v>
      </c>
      <c r="AJ1468" s="155">
        <v>6.1966763852572531E-4</v>
      </c>
    </row>
    <row r="1469" spans="1:36" s="160" customFormat="1">
      <c r="A1469" s="153" t="s">
        <v>1213</v>
      </c>
      <c r="B1469" s="160">
        <v>9302</v>
      </c>
      <c r="C1469" s="153" t="s">
        <v>2757</v>
      </c>
      <c r="D1469" s="153" t="s">
        <v>2758</v>
      </c>
      <c r="E1469" s="153" t="s">
        <v>309</v>
      </c>
      <c r="F1469" s="153" t="s">
        <v>2759</v>
      </c>
      <c r="G1469" s="153" t="s">
        <v>2760</v>
      </c>
      <c r="H1469" s="153" t="s">
        <v>321</v>
      </c>
      <c r="I1469" s="153" t="s">
        <v>755</v>
      </c>
      <c r="J1469" s="153" t="s">
        <v>204</v>
      </c>
      <c r="K1469" s="153" t="s">
        <v>204</v>
      </c>
      <c r="L1469" s="153" t="s">
        <v>325</v>
      </c>
      <c r="M1469" s="153" t="s">
        <v>340</v>
      </c>
      <c r="N1469" s="153" t="s">
        <v>440</v>
      </c>
      <c r="O1469" s="153" t="s">
        <v>339</v>
      </c>
      <c r="P1469" s="153" t="s">
        <v>1521</v>
      </c>
      <c r="Q1469" s="153" t="s">
        <v>413</v>
      </c>
      <c r="R1469" s="153" t="s">
        <v>407</v>
      </c>
      <c r="S1469" s="153" t="s">
        <v>1212</v>
      </c>
      <c r="T1469" s="154">
        <v>0.74</v>
      </c>
      <c r="U1469" s="153" t="s">
        <v>2761</v>
      </c>
      <c r="V1469" s="155">
        <v>7.1309999999999998E-2</v>
      </c>
      <c r="W1469" s="155">
        <v>7.5899999999999995E-2</v>
      </c>
      <c r="X1469" s="153" t="s">
        <v>412</v>
      </c>
      <c r="Y1469" s="153" t="s">
        <v>339</v>
      </c>
      <c r="Z1469" s="154">
        <v>2055750.15</v>
      </c>
      <c r="AA1469" s="154">
        <v>1</v>
      </c>
      <c r="AB1469" s="154">
        <v>100.15</v>
      </c>
      <c r="AD1469" s="154">
        <v>2058.8339999999998</v>
      </c>
      <c r="AG1469" s="157" t="s">
        <v>15</v>
      </c>
      <c r="AH1469" s="155">
        <v>8.3800000000000003E-3</v>
      </c>
      <c r="AI1469" s="155">
        <f t="shared" si="22"/>
        <v>2.7862823890492652E-3</v>
      </c>
      <c r="AJ1469" s="155">
        <v>6.1576964298213775E-4</v>
      </c>
    </row>
    <row r="1470" spans="1:36" s="160" customFormat="1">
      <c r="A1470" s="153" t="s">
        <v>1213</v>
      </c>
      <c r="B1470" s="160">
        <v>9302</v>
      </c>
      <c r="C1470" s="153" t="s">
        <v>1718</v>
      </c>
      <c r="D1470" s="153" t="s">
        <v>1719</v>
      </c>
      <c r="E1470" s="153" t="s">
        <v>309</v>
      </c>
      <c r="F1470" s="153" t="s">
        <v>1720</v>
      </c>
      <c r="G1470" s="153" t="s">
        <v>1721</v>
      </c>
      <c r="H1470" s="153" t="s">
        <v>321</v>
      </c>
      <c r="I1470" s="153" t="s">
        <v>951</v>
      </c>
      <c r="J1470" s="153" t="s">
        <v>204</v>
      </c>
      <c r="K1470" s="153" t="s">
        <v>204</v>
      </c>
      <c r="L1470" s="153" t="s">
        <v>325</v>
      </c>
      <c r="M1470" s="153" t="s">
        <v>340</v>
      </c>
      <c r="N1470" s="153" t="s">
        <v>440</v>
      </c>
      <c r="O1470" s="153" t="s">
        <v>339</v>
      </c>
      <c r="P1470" s="153" t="s">
        <v>1527</v>
      </c>
      <c r="Q1470" s="153" t="s">
        <v>415</v>
      </c>
      <c r="R1470" s="153" t="s">
        <v>407</v>
      </c>
      <c r="S1470" s="153" t="s">
        <v>1212</v>
      </c>
      <c r="T1470" s="154">
        <v>3</v>
      </c>
      <c r="U1470" s="153" t="s">
        <v>1722</v>
      </c>
      <c r="V1470" s="155">
        <v>7.2499999999999995E-2</v>
      </c>
      <c r="W1470" s="155">
        <v>6.4000000000000001E-2</v>
      </c>
      <c r="X1470" s="153" t="s">
        <v>412</v>
      </c>
      <c r="Y1470" s="153" t="s">
        <v>339</v>
      </c>
      <c r="Z1470" s="154">
        <v>1935833.6</v>
      </c>
      <c r="AA1470" s="154">
        <v>1</v>
      </c>
      <c r="AB1470" s="154">
        <v>105.92</v>
      </c>
      <c r="AD1470" s="154">
        <v>2050.4349999999999</v>
      </c>
      <c r="AG1470" s="157" t="s">
        <v>15</v>
      </c>
      <c r="AH1470" s="155">
        <v>2.6900000000000001E-3</v>
      </c>
      <c r="AI1470" s="155">
        <f t="shared" si="22"/>
        <v>2.7749157680464916E-3</v>
      </c>
      <c r="AJ1470" s="155">
        <v>6.1325761470234108E-4</v>
      </c>
    </row>
    <row r="1471" spans="1:36" s="160" customFormat="1">
      <c r="A1471" s="153" t="s">
        <v>1213</v>
      </c>
      <c r="B1471" s="160">
        <v>9302</v>
      </c>
      <c r="C1471" s="153" t="s">
        <v>2211</v>
      </c>
      <c r="D1471" s="153" t="s">
        <v>2212</v>
      </c>
      <c r="E1471" s="153" t="s">
        <v>309</v>
      </c>
      <c r="F1471" s="153" t="s">
        <v>2389</v>
      </c>
      <c r="G1471" s="153" t="s">
        <v>2390</v>
      </c>
      <c r="H1471" s="153" t="s">
        <v>321</v>
      </c>
      <c r="I1471" s="153" t="s">
        <v>951</v>
      </c>
      <c r="J1471" s="153" t="s">
        <v>204</v>
      </c>
      <c r="K1471" s="153" t="s">
        <v>204</v>
      </c>
      <c r="L1471" s="153" t="s">
        <v>325</v>
      </c>
      <c r="M1471" s="153" t="s">
        <v>340</v>
      </c>
      <c r="N1471" s="153" t="s">
        <v>454</v>
      </c>
      <c r="O1471" s="153" t="s">
        <v>339</v>
      </c>
      <c r="P1471" s="153" t="s">
        <v>1527</v>
      </c>
      <c r="Q1471" s="153" t="s">
        <v>415</v>
      </c>
      <c r="R1471" s="153" t="s">
        <v>407</v>
      </c>
      <c r="S1471" s="153" t="s">
        <v>1212</v>
      </c>
      <c r="T1471" s="154">
        <v>2.72</v>
      </c>
      <c r="U1471" s="153" t="s">
        <v>1628</v>
      </c>
      <c r="V1471" s="155">
        <v>6.4570000000000002E-2</v>
      </c>
      <c r="W1471" s="155">
        <v>6.4399999999999999E-2</v>
      </c>
      <c r="X1471" s="153" t="s">
        <v>412</v>
      </c>
      <c r="Y1471" s="153" t="s">
        <v>339</v>
      </c>
      <c r="Z1471" s="154">
        <v>1987554.78</v>
      </c>
      <c r="AA1471" s="154">
        <v>1</v>
      </c>
      <c r="AB1471" s="154">
        <v>102.2</v>
      </c>
      <c r="AD1471" s="154">
        <v>2031.2809999999999</v>
      </c>
      <c r="AG1471" s="157" t="s">
        <v>15</v>
      </c>
      <c r="AH1471" s="155">
        <v>1.14E-3</v>
      </c>
      <c r="AI1471" s="155">
        <f t="shared" si="22"/>
        <v>2.7489940799065786E-3</v>
      </c>
      <c r="AJ1471" s="155">
        <v>6.0752891013379415E-4</v>
      </c>
    </row>
    <row r="1472" spans="1:36" s="160" customFormat="1">
      <c r="A1472" s="153" t="s">
        <v>1213</v>
      </c>
      <c r="B1472" s="160">
        <v>9302</v>
      </c>
      <c r="C1472" s="153" t="s">
        <v>1840</v>
      </c>
      <c r="D1472" s="153" t="s">
        <v>1841</v>
      </c>
      <c r="E1472" s="153" t="s">
        <v>309</v>
      </c>
      <c r="F1472" s="153" t="s">
        <v>2971</v>
      </c>
      <c r="G1472" s="153" t="s">
        <v>2972</v>
      </c>
      <c r="H1472" s="153" t="s">
        <v>321</v>
      </c>
      <c r="I1472" s="153" t="s">
        <v>951</v>
      </c>
      <c r="J1472" s="153" t="s">
        <v>204</v>
      </c>
      <c r="K1472" s="153" t="s">
        <v>204</v>
      </c>
      <c r="L1472" s="153" t="s">
        <v>325</v>
      </c>
      <c r="M1472" s="153" t="s">
        <v>340</v>
      </c>
      <c r="N1472" s="153" t="s">
        <v>447</v>
      </c>
      <c r="O1472" s="153" t="s">
        <v>339</v>
      </c>
      <c r="Q1472" s="153" t="s">
        <v>410</v>
      </c>
      <c r="R1472" s="153" t="s">
        <v>410</v>
      </c>
      <c r="S1472" s="153" t="s">
        <v>1212</v>
      </c>
      <c r="T1472" s="154">
        <v>1.65</v>
      </c>
      <c r="U1472" s="153" t="s">
        <v>1833</v>
      </c>
      <c r="V1472" s="155">
        <v>5.3379999999999997E-2</v>
      </c>
      <c r="W1472" s="155">
        <v>6.25E-2</v>
      </c>
      <c r="X1472" s="153" t="s">
        <v>412</v>
      </c>
      <c r="Y1472" s="153" t="s">
        <v>339</v>
      </c>
      <c r="Z1472" s="154">
        <v>2055575.21</v>
      </c>
      <c r="AA1472" s="154">
        <v>1</v>
      </c>
      <c r="AB1472" s="154">
        <v>97.34</v>
      </c>
      <c r="AD1472" s="154">
        <v>2000.8969999999999</v>
      </c>
      <c r="AG1472" s="157" t="s">
        <v>15</v>
      </c>
      <c r="AH1472" s="155">
        <v>6.1900000000000002E-3</v>
      </c>
      <c r="AI1472" s="155">
        <f t="shared" si="22"/>
        <v>2.7078744927475978E-3</v>
      </c>
      <c r="AJ1472" s="155">
        <v>5.9844146314565942E-4</v>
      </c>
    </row>
    <row r="1473" spans="1:36" s="160" customFormat="1">
      <c r="A1473" s="153" t="s">
        <v>1213</v>
      </c>
      <c r="B1473" s="160">
        <v>9302</v>
      </c>
      <c r="C1473" s="153" t="s">
        <v>2944</v>
      </c>
      <c r="D1473" s="153" t="s">
        <v>2945</v>
      </c>
      <c r="E1473" s="153" t="s">
        <v>309</v>
      </c>
      <c r="F1473" s="153" t="s">
        <v>2946</v>
      </c>
      <c r="G1473" s="153" t="s">
        <v>2947</v>
      </c>
      <c r="H1473" s="153" t="s">
        <v>321</v>
      </c>
      <c r="I1473" s="153" t="s">
        <v>951</v>
      </c>
      <c r="J1473" s="153" t="s">
        <v>204</v>
      </c>
      <c r="K1473" s="153" t="s">
        <v>204</v>
      </c>
      <c r="L1473" s="159" t="s">
        <v>325</v>
      </c>
      <c r="M1473" s="153" t="s">
        <v>340</v>
      </c>
      <c r="N1473" s="153" t="s">
        <v>478</v>
      </c>
      <c r="O1473" s="153" t="s">
        <v>339</v>
      </c>
      <c r="P1473" s="153" t="s">
        <v>1982</v>
      </c>
      <c r="Q1473" s="153" t="s">
        <v>415</v>
      </c>
      <c r="R1473" s="153" t="s">
        <v>407</v>
      </c>
      <c r="S1473" s="153" t="s">
        <v>1212</v>
      </c>
      <c r="T1473" s="154">
        <v>0.57999999999999996</v>
      </c>
      <c r="U1473" s="153" t="s">
        <v>2948</v>
      </c>
      <c r="V1473" s="155">
        <v>4.6780000000000002E-2</v>
      </c>
      <c r="W1473" s="155">
        <v>6.0299999999999999E-2</v>
      </c>
      <c r="X1473" s="177"/>
      <c r="Y1473" s="177"/>
      <c r="Z1473" s="154">
        <v>2006394</v>
      </c>
      <c r="AA1473" s="154">
        <v>1</v>
      </c>
      <c r="AB1473" s="154">
        <v>99.67</v>
      </c>
      <c r="AD1473" s="154">
        <v>1999.7729999999999</v>
      </c>
      <c r="AG1473" s="157" t="s">
        <v>15</v>
      </c>
      <c r="AH1473" s="155">
        <v>9.2800000000000001E-3</v>
      </c>
      <c r="AI1473" s="155">
        <f t="shared" si="22"/>
        <v>2.7063533495154135E-3</v>
      </c>
      <c r="AJ1473" s="155">
        <v>5.9810528981710947E-4</v>
      </c>
    </row>
    <row r="1474" spans="1:36" s="160" customFormat="1">
      <c r="A1474" s="153" t="s">
        <v>1213</v>
      </c>
      <c r="B1474" s="160">
        <v>9302</v>
      </c>
      <c r="C1474" s="153" t="s">
        <v>2463</v>
      </c>
      <c r="D1474" s="153" t="s">
        <v>2464</v>
      </c>
      <c r="E1474" s="153" t="s">
        <v>309</v>
      </c>
      <c r="F1474" s="153" t="s">
        <v>2977</v>
      </c>
      <c r="G1474" s="153" t="s">
        <v>2978</v>
      </c>
      <c r="H1474" s="153" t="s">
        <v>321</v>
      </c>
      <c r="I1474" s="153" t="s">
        <v>952</v>
      </c>
      <c r="J1474" s="153" t="s">
        <v>204</v>
      </c>
      <c r="K1474" s="153" t="s">
        <v>204</v>
      </c>
      <c r="L1474" s="153" t="s">
        <v>325</v>
      </c>
      <c r="M1474" s="153" t="s">
        <v>340</v>
      </c>
      <c r="N1474" s="153" t="s">
        <v>465</v>
      </c>
      <c r="O1474" s="153" t="s">
        <v>339</v>
      </c>
      <c r="P1474" s="153" t="s">
        <v>1554</v>
      </c>
      <c r="Q1474" s="153" t="s">
        <v>413</v>
      </c>
      <c r="R1474" s="153" t="s">
        <v>407</v>
      </c>
      <c r="S1474" s="153" t="s">
        <v>1212</v>
      </c>
      <c r="T1474" s="154">
        <v>3.91</v>
      </c>
      <c r="U1474" s="153" t="s">
        <v>1587</v>
      </c>
      <c r="V1474" s="155">
        <v>5.919E-2</v>
      </c>
      <c r="W1474" s="155">
        <v>5.33E-2</v>
      </c>
      <c r="X1474" s="153" t="s">
        <v>412</v>
      </c>
      <c r="Y1474" s="153" t="s">
        <v>339</v>
      </c>
      <c r="Z1474" s="154">
        <v>1952501</v>
      </c>
      <c r="AA1474" s="154">
        <v>1</v>
      </c>
      <c r="AB1474" s="154">
        <v>102</v>
      </c>
      <c r="AD1474" s="154">
        <v>1991.5509999999999</v>
      </c>
      <c r="AG1474" s="157" t="s">
        <v>15</v>
      </c>
      <c r="AH1474" s="155">
        <v>3.3999999999999998E-3</v>
      </c>
      <c r="AI1474" s="155">
        <f t="shared" si="22"/>
        <v>2.6952262679718004E-3</v>
      </c>
      <c r="AJ1474" s="155">
        <v>5.9564619986396167E-4</v>
      </c>
    </row>
    <row r="1475" spans="1:36" s="160" customFormat="1">
      <c r="A1475" s="153" t="s">
        <v>1213</v>
      </c>
      <c r="B1475" s="160">
        <v>9302</v>
      </c>
      <c r="C1475" s="153" t="s">
        <v>2336</v>
      </c>
      <c r="D1475" s="153" t="s">
        <v>2337</v>
      </c>
      <c r="E1475" s="153" t="s">
        <v>309</v>
      </c>
      <c r="F1475" s="153" t="s">
        <v>2629</v>
      </c>
      <c r="G1475" s="153" t="s">
        <v>2630</v>
      </c>
      <c r="H1475" s="153" t="s">
        <v>321</v>
      </c>
      <c r="I1475" s="153" t="s">
        <v>754</v>
      </c>
      <c r="J1475" s="153" t="s">
        <v>204</v>
      </c>
      <c r="K1475" s="153" t="s">
        <v>204</v>
      </c>
      <c r="L1475" s="153" t="s">
        <v>325</v>
      </c>
      <c r="M1475" s="153" t="s">
        <v>340</v>
      </c>
      <c r="N1475" s="153" t="s">
        <v>464</v>
      </c>
      <c r="O1475" s="153" t="s">
        <v>339</v>
      </c>
      <c r="P1475" s="153" t="s">
        <v>1982</v>
      </c>
      <c r="Q1475" s="153" t="s">
        <v>415</v>
      </c>
      <c r="R1475" s="153" t="s">
        <v>407</v>
      </c>
      <c r="S1475" s="153" t="s">
        <v>1212</v>
      </c>
      <c r="T1475" s="154">
        <v>0.28000000000000003</v>
      </c>
      <c r="U1475" s="153" t="s">
        <v>2631</v>
      </c>
      <c r="V1475" s="155">
        <v>-8.5800000000000008E-3</v>
      </c>
      <c r="W1475" s="155">
        <v>4.65E-2</v>
      </c>
      <c r="X1475" s="153" t="s">
        <v>412</v>
      </c>
      <c r="Y1475" s="153" t="s">
        <v>339</v>
      </c>
      <c r="Z1475" s="154">
        <v>1684378.55</v>
      </c>
      <c r="AA1475" s="154">
        <v>1</v>
      </c>
      <c r="AB1475" s="154">
        <v>116.74</v>
      </c>
      <c r="AD1475" s="154">
        <v>1966.3440000000001</v>
      </c>
      <c r="AG1475" s="157" t="s">
        <v>15</v>
      </c>
      <c r="AH1475" s="155">
        <v>1.218E-2</v>
      </c>
      <c r="AI1475" s="155">
        <f t="shared" ref="AI1475:AI1538" si="23">AD1475/SUMIF(B:B,B1475,AD:AD)</f>
        <v>2.6611128716607017E-3</v>
      </c>
      <c r="AJ1475" s="155">
        <v>5.881071241586592E-4</v>
      </c>
    </row>
    <row r="1476" spans="1:36" s="160" customFormat="1">
      <c r="A1476" s="153" t="s">
        <v>1213</v>
      </c>
      <c r="B1476" s="160">
        <v>9302</v>
      </c>
      <c r="C1476" s="153" t="s">
        <v>1861</v>
      </c>
      <c r="D1476" s="153" t="s">
        <v>1862</v>
      </c>
      <c r="E1476" s="153" t="s">
        <v>309</v>
      </c>
      <c r="F1476" s="153" t="s">
        <v>1936</v>
      </c>
      <c r="G1476" s="153" t="s">
        <v>1937</v>
      </c>
      <c r="H1476" s="153" t="s">
        <v>321</v>
      </c>
      <c r="I1476" s="153" t="s">
        <v>754</v>
      </c>
      <c r="J1476" s="153" t="s">
        <v>204</v>
      </c>
      <c r="K1476" s="153" t="s">
        <v>204</v>
      </c>
      <c r="L1476" s="153" t="s">
        <v>325</v>
      </c>
      <c r="M1476" s="153" t="s">
        <v>340</v>
      </c>
      <c r="N1476" s="153" t="s">
        <v>464</v>
      </c>
      <c r="O1476" s="153" t="s">
        <v>339</v>
      </c>
      <c r="P1476" s="153" t="s">
        <v>1538</v>
      </c>
      <c r="Q1476" s="153" t="s">
        <v>413</v>
      </c>
      <c r="R1476" s="153" t="s">
        <v>407</v>
      </c>
      <c r="S1476" s="153" t="s">
        <v>1212</v>
      </c>
      <c r="T1476" s="154">
        <v>4.34</v>
      </c>
      <c r="U1476" s="153" t="s">
        <v>1587</v>
      </c>
      <c r="V1476" s="155">
        <v>3.9500000000000004E-3</v>
      </c>
      <c r="W1476" s="155">
        <v>2.9399999999999999E-2</v>
      </c>
      <c r="X1476" s="153" t="s">
        <v>412</v>
      </c>
      <c r="Y1476" s="153" t="s">
        <v>339</v>
      </c>
      <c r="Z1476" s="154">
        <v>1786665.21</v>
      </c>
      <c r="AA1476" s="154">
        <v>1</v>
      </c>
      <c r="AB1476" s="154">
        <v>108.57</v>
      </c>
      <c r="AD1476" s="154">
        <v>1939.7819999999999</v>
      </c>
      <c r="AG1476" s="157" t="s">
        <v>15</v>
      </c>
      <c r="AH1476" s="155">
        <v>1.5900000000000001E-3</v>
      </c>
      <c r="AI1476" s="155">
        <f t="shared" si="23"/>
        <v>2.6251657128232592E-3</v>
      </c>
      <c r="AJ1476" s="155">
        <v>5.8016278612223096E-4</v>
      </c>
    </row>
    <row r="1477" spans="1:36" s="160" customFormat="1">
      <c r="A1477" s="153" t="s">
        <v>1213</v>
      </c>
      <c r="B1477" s="160">
        <v>9302</v>
      </c>
      <c r="C1477" s="153" t="s">
        <v>1679</v>
      </c>
      <c r="D1477" s="153" t="s">
        <v>1680</v>
      </c>
      <c r="E1477" s="153" t="s">
        <v>309</v>
      </c>
      <c r="F1477" s="153" t="s">
        <v>1681</v>
      </c>
      <c r="G1477" s="153" t="s">
        <v>1682</v>
      </c>
      <c r="H1477" s="153" t="s">
        <v>321</v>
      </c>
      <c r="I1477" s="153" t="s">
        <v>951</v>
      </c>
      <c r="J1477" s="153" t="s">
        <v>204</v>
      </c>
      <c r="K1477" s="153" t="s">
        <v>204</v>
      </c>
      <c r="L1477" s="153" t="s">
        <v>325</v>
      </c>
      <c r="M1477" s="153" t="s">
        <v>340</v>
      </c>
      <c r="N1477" s="153" t="s">
        <v>447</v>
      </c>
      <c r="O1477" s="153" t="s">
        <v>339</v>
      </c>
      <c r="Q1477" s="153" t="s">
        <v>410</v>
      </c>
      <c r="R1477" s="153" t="s">
        <v>410</v>
      </c>
      <c r="S1477" s="153" t="s">
        <v>1212</v>
      </c>
      <c r="T1477" s="154">
        <v>2.0499999999999998</v>
      </c>
      <c r="U1477" s="153" t="s">
        <v>1572</v>
      </c>
      <c r="V1477" s="155">
        <v>7.3969999999999994E-2</v>
      </c>
      <c r="W1477" s="155">
        <v>7.1099999999999997E-2</v>
      </c>
      <c r="X1477" s="153" t="s">
        <v>412</v>
      </c>
      <c r="Y1477" s="153" t="s">
        <v>339</v>
      </c>
      <c r="Z1477" s="154">
        <v>1801000</v>
      </c>
      <c r="AA1477" s="154">
        <v>1</v>
      </c>
      <c r="AB1477" s="154">
        <v>105.22</v>
      </c>
      <c r="AD1477" s="154">
        <v>1895.0119999999999</v>
      </c>
      <c r="AG1477" s="157" t="s">
        <v>15</v>
      </c>
      <c r="AH1477" s="155">
        <v>1.3849999999999999E-2</v>
      </c>
      <c r="AI1477" s="155">
        <f t="shared" si="23"/>
        <v>2.5645771162886499E-3</v>
      </c>
      <c r="AJ1477" s="155">
        <v>5.6677267943256566E-4</v>
      </c>
    </row>
    <row r="1478" spans="1:36" s="160" customFormat="1">
      <c r="A1478" s="153" t="s">
        <v>1213</v>
      </c>
      <c r="B1478" s="160">
        <v>9302</v>
      </c>
      <c r="C1478" s="153" t="s">
        <v>2150</v>
      </c>
      <c r="D1478" s="153" t="s">
        <v>2151</v>
      </c>
      <c r="E1478" s="153" t="s">
        <v>309</v>
      </c>
      <c r="F1478" s="153" t="s">
        <v>2934</v>
      </c>
      <c r="G1478" s="153" t="s">
        <v>2935</v>
      </c>
      <c r="H1478" s="153" t="s">
        <v>321</v>
      </c>
      <c r="I1478" s="153" t="s">
        <v>951</v>
      </c>
      <c r="J1478" s="153" t="s">
        <v>204</v>
      </c>
      <c r="K1478" s="153" t="s">
        <v>204</v>
      </c>
      <c r="L1478" s="153" t="s">
        <v>325</v>
      </c>
      <c r="M1478" s="153" t="s">
        <v>340</v>
      </c>
      <c r="N1478" s="153" t="s">
        <v>477</v>
      </c>
      <c r="O1478" s="153" t="s">
        <v>339</v>
      </c>
      <c r="P1478" s="153" t="s">
        <v>1538</v>
      </c>
      <c r="Q1478" s="153" t="s">
        <v>413</v>
      </c>
      <c r="R1478" s="153" t="s">
        <v>407</v>
      </c>
      <c r="S1478" s="153" t="s">
        <v>1212</v>
      </c>
      <c r="T1478" s="154">
        <v>0.95</v>
      </c>
      <c r="U1478" s="153" t="s">
        <v>2471</v>
      </c>
      <c r="V1478" s="155">
        <v>4.7620000000000003E-2</v>
      </c>
      <c r="W1478" s="155">
        <v>5.5800000000000002E-2</v>
      </c>
      <c r="X1478" s="153" t="s">
        <v>412</v>
      </c>
      <c r="Y1478" s="153" t="s">
        <v>339</v>
      </c>
      <c r="Z1478" s="154">
        <v>1930420.15</v>
      </c>
      <c r="AA1478" s="154">
        <v>1</v>
      </c>
      <c r="AB1478" s="154">
        <v>97.51</v>
      </c>
      <c r="AD1478" s="154">
        <v>1882.3530000000001</v>
      </c>
      <c r="AG1478" s="157" t="s">
        <v>15</v>
      </c>
      <c r="AH1478" s="155">
        <v>1.7639999999999999E-2</v>
      </c>
      <c r="AI1478" s="155">
        <f t="shared" si="23"/>
        <v>2.5474453083026861E-3</v>
      </c>
      <c r="AJ1478" s="155">
        <v>5.6298654227410086E-4</v>
      </c>
    </row>
    <row r="1479" spans="1:36" s="160" customFormat="1">
      <c r="A1479" s="153" t="s">
        <v>1213</v>
      </c>
      <c r="B1479" s="160">
        <v>9302</v>
      </c>
      <c r="C1479" s="153" t="s">
        <v>1893</v>
      </c>
      <c r="D1479" s="153" t="s">
        <v>1894</v>
      </c>
      <c r="E1479" s="153" t="s">
        <v>309</v>
      </c>
      <c r="F1479" s="153" t="s">
        <v>1895</v>
      </c>
      <c r="G1479" s="153" t="s">
        <v>1896</v>
      </c>
      <c r="H1479" s="153" t="s">
        <v>321</v>
      </c>
      <c r="I1479" s="153" t="s">
        <v>754</v>
      </c>
      <c r="J1479" s="153" t="s">
        <v>204</v>
      </c>
      <c r="K1479" s="153" t="s">
        <v>204</v>
      </c>
      <c r="L1479" s="153" t="s">
        <v>325</v>
      </c>
      <c r="M1479" s="153" t="s">
        <v>340</v>
      </c>
      <c r="N1479" s="153" t="s">
        <v>464</v>
      </c>
      <c r="O1479" s="153" t="s">
        <v>339</v>
      </c>
      <c r="P1479" s="153" t="s">
        <v>1566</v>
      </c>
      <c r="Q1479" s="153" t="s">
        <v>413</v>
      </c>
      <c r="R1479" s="153" t="s">
        <v>407</v>
      </c>
      <c r="S1479" s="153" t="s">
        <v>1212</v>
      </c>
      <c r="T1479" s="154">
        <v>5.66</v>
      </c>
      <c r="U1479" s="153" t="s">
        <v>1897</v>
      </c>
      <c r="V1479" s="155">
        <v>2.7019999999999999E-2</v>
      </c>
      <c r="W1479" s="155">
        <v>3.2199999999999999E-2</v>
      </c>
      <c r="X1479" s="153" t="s">
        <v>412</v>
      </c>
      <c r="Y1479" s="153" t="s">
        <v>339</v>
      </c>
      <c r="Z1479" s="154">
        <v>1849000</v>
      </c>
      <c r="AA1479" s="154">
        <v>1</v>
      </c>
      <c r="AB1479" s="154">
        <v>100.92</v>
      </c>
      <c r="AD1479" s="154">
        <v>1866.011</v>
      </c>
      <c r="AG1479" s="157" t="s">
        <v>15</v>
      </c>
      <c r="AH1479" s="155">
        <v>5.1799999999999997E-3</v>
      </c>
      <c r="AI1479" s="155">
        <f t="shared" si="23"/>
        <v>2.5253291849037895E-3</v>
      </c>
      <c r="AJ1479" s="155">
        <v>5.5809886920011134E-4</v>
      </c>
    </row>
    <row r="1480" spans="1:36" s="160" customFormat="1">
      <c r="A1480" s="153" t="s">
        <v>1213</v>
      </c>
      <c r="B1480" s="160">
        <v>9302</v>
      </c>
      <c r="C1480" s="153" t="s">
        <v>1674</v>
      </c>
      <c r="D1480" s="153" t="s">
        <v>1675</v>
      </c>
      <c r="E1480" s="153" t="s">
        <v>309</v>
      </c>
      <c r="F1480" s="153" t="s">
        <v>2958</v>
      </c>
      <c r="G1480" s="153" t="s">
        <v>2959</v>
      </c>
      <c r="H1480" s="153" t="s">
        <v>321</v>
      </c>
      <c r="I1480" s="153" t="s">
        <v>754</v>
      </c>
      <c r="J1480" s="153" t="s">
        <v>204</v>
      </c>
      <c r="K1480" s="153" t="s">
        <v>204</v>
      </c>
      <c r="L1480" s="153" t="s">
        <v>325</v>
      </c>
      <c r="M1480" s="153" t="s">
        <v>340</v>
      </c>
      <c r="N1480" s="153" t="s">
        <v>464</v>
      </c>
      <c r="O1480" s="153" t="s">
        <v>339</v>
      </c>
      <c r="P1480" s="153" t="s">
        <v>1538</v>
      </c>
      <c r="Q1480" s="153" t="s">
        <v>413</v>
      </c>
      <c r="R1480" s="153" t="s">
        <v>407</v>
      </c>
      <c r="S1480" s="153" t="s">
        <v>1212</v>
      </c>
      <c r="T1480" s="154">
        <v>3.57</v>
      </c>
      <c r="U1480" s="153" t="s">
        <v>2960</v>
      </c>
      <c r="V1480" s="155">
        <v>-1.09E-3</v>
      </c>
      <c r="W1480" s="155">
        <v>2.6599999999999999E-2</v>
      </c>
      <c r="X1480" s="153" t="s">
        <v>412</v>
      </c>
      <c r="Y1480" s="153" t="s">
        <v>339</v>
      </c>
      <c r="Z1480" s="154">
        <v>1694731.56</v>
      </c>
      <c r="AA1480" s="154">
        <v>1</v>
      </c>
      <c r="AB1480" s="154">
        <v>107.68</v>
      </c>
      <c r="AD1480" s="154">
        <v>1824.8869999999999</v>
      </c>
      <c r="AG1480" s="157" t="s">
        <v>15</v>
      </c>
      <c r="AH1480" s="155">
        <v>9.1699999999999993E-3</v>
      </c>
      <c r="AI1480" s="155">
        <f t="shared" si="23"/>
        <v>2.4696748305618357E-3</v>
      </c>
      <c r="AJ1480" s="155">
        <v>5.4579923222209488E-4</v>
      </c>
    </row>
    <row r="1481" spans="1:36" s="160" customFormat="1">
      <c r="A1481" s="153" t="s">
        <v>1213</v>
      </c>
      <c r="B1481" s="160">
        <v>9302</v>
      </c>
      <c r="C1481" s="153" t="s">
        <v>455</v>
      </c>
      <c r="D1481" s="153" t="s">
        <v>2106</v>
      </c>
      <c r="E1481" s="153" t="s">
        <v>309</v>
      </c>
      <c r="F1481" s="153" t="s">
        <v>2107</v>
      </c>
      <c r="G1481" s="153" t="s">
        <v>2108</v>
      </c>
      <c r="H1481" s="153" t="s">
        <v>321</v>
      </c>
      <c r="I1481" s="153" t="s">
        <v>754</v>
      </c>
      <c r="J1481" s="153" t="s">
        <v>204</v>
      </c>
      <c r="K1481" s="153" t="s">
        <v>204</v>
      </c>
      <c r="L1481" s="153" t="s">
        <v>325</v>
      </c>
      <c r="M1481" s="153" t="s">
        <v>340</v>
      </c>
      <c r="N1481" s="153" t="s">
        <v>440</v>
      </c>
      <c r="O1481" s="153" t="s">
        <v>339</v>
      </c>
      <c r="P1481" s="153" t="s">
        <v>1923</v>
      </c>
      <c r="Q1481" s="153" t="s">
        <v>415</v>
      </c>
      <c r="R1481" s="153" t="s">
        <v>407</v>
      </c>
      <c r="S1481" s="153" t="s">
        <v>1212</v>
      </c>
      <c r="T1481" s="154">
        <v>10.4</v>
      </c>
      <c r="U1481" s="153" t="s">
        <v>2109</v>
      </c>
      <c r="V1481" s="155">
        <v>2.3970000000000002E-2</v>
      </c>
      <c r="W1481" s="155">
        <v>3.4799999999999998E-2</v>
      </c>
      <c r="X1481" s="153" t="s">
        <v>412</v>
      </c>
      <c r="Y1481" s="153" t="s">
        <v>339</v>
      </c>
      <c r="Z1481" s="154">
        <v>1744731</v>
      </c>
      <c r="AA1481" s="154">
        <v>1</v>
      </c>
      <c r="AB1481" s="154">
        <v>102.97</v>
      </c>
      <c r="AD1481" s="154">
        <v>1796.55</v>
      </c>
      <c r="AG1481" s="157" t="s">
        <v>15</v>
      </c>
      <c r="AH1481" s="155">
        <v>3.5E-4</v>
      </c>
      <c r="AI1481" s="155">
        <f t="shared" si="23"/>
        <v>2.4313255104813974E-3</v>
      </c>
      <c r="AJ1481" s="155">
        <v>5.3732401548622173E-4</v>
      </c>
    </row>
    <row r="1482" spans="1:36" s="160" customFormat="1">
      <c r="A1482" s="153" t="s">
        <v>1213</v>
      </c>
      <c r="B1482" s="160">
        <v>9302</v>
      </c>
      <c r="C1482" s="153" t="s">
        <v>1713</v>
      </c>
      <c r="D1482" s="153" t="s">
        <v>1714</v>
      </c>
      <c r="E1482" s="153" t="s">
        <v>309</v>
      </c>
      <c r="F1482" s="153" t="s">
        <v>1715</v>
      </c>
      <c r="G1482" s="153" t="s">
        <v>1716</v>
      </c>
      <c r="H1482" s="153" t="s">
        <v>321</v>
      </c>
      <c r="I1482" s="153" t="s">
        <v>754</v>
      </c>
      <c r="J1482" s="153" t="s">
        <v>204</v>
      </c>
      <c r="K1482" s="153" t="s">
        <v>204</v>
      </c>
      <c r="L1482" s="153" t="s">
        <v>325</v>
      </c>
      <c r="M1482" s="153" t="s">
        <v>340</v>
      </c>
      <c r="N1482" s="153" t="s">
        <v>459</v>
      </c>
      <c r="O1482" s="153" t="s">
        <v>339</v>
      </c>
      <c r="Q1482" s="153" t="s">
        <v>410</v>
      </c>
      <c r="R1482" s="153" t="s">
        <v>410</v>
      </c>
      <c r="S1482" s="153" t="s">
        <v>1212</v>
      </c>
      <c r="T1482" s="154">
        <v>4.58</v>
      </c>
      <c r="U1482" s="153" t="s">
        <v>1717</v>
      </c>
      <c r="V1482" s="155">
        <v>3.5159999999999997E-2</v>
      </c>
      <c r="W1482" s="155">
        <v>3.8899999999999997E-2</v>
      </c>
      <c r="X1482" s="153" t="s">
        <v>412</v>
      </c>
      <c r="Y1482" s="153" t="s">
        <v>339</v>
      </c>
      <c r="Z1482" s="154">
        <v>1749000</v>
      </c>
      <c r="AA1482" s="154">
        <v>1</v>
      </c>
      <c r="AB1482" s="154">
        <v>101.18</v>
      </c>
      <c r="AD1482" s="154">
        <v>1769.6379999999999</v>
      </c>
      <c r="AG1482" s="157" t="s">
        <v>15</v>
      </c>
      <c r="AH1482" s="155">
        <v>5.1700000000000001E-3</v>
      </c>
      <c r="AI1482" s="155">
        <f t="shared" si="23"/>
        <v>2.3949046860467448E-3</v>
      </c>
      <c r="AJ1482" s="155">
        <v>5.2927499714286073E-4</v>
      </c>
    </row>
    <row r="1483" spans="1:36" s="160" customFormat="1">
      <c r="A1483" s="153" t="s">
        <v>1213</v>
      </c>
      <c r="B1483" s="160">
        <v>9302</v>
      </c>
      <c r="C1483" s="153" t="s">
        <v>1634</v>
      </c>
      <c r="D1483" s="153" t="s">
        <v>1635</v>
      </c>
      <c r="E1483" s="153" t="s">
        <v>309</v>
      </c>
      <c r="F1483" s="153" t="s">
        <v>1763</v>
      </c>
      <c r="G1483" s="153" t="s">
        <v>1764</v>
      </c>
      <c r="H1483" s="153" t="s">
        <v>321</v>
      </c>
      <c r="I1483" s="153" t="s">
        <v>951</v>
      </c>
      <c r="J1483" s="153" t="s">
        <v>204</v>
      </c>
      <c r="K1483" s="153" t="s">
        <v>204</v>
      </c>
      <c r="L1483" s="153" t="s">
        <v>325</v>
      </c>
      <c r="M1483" s="153" t="s">
        <v>340</v>
      </c>
      <c r="N1483" s="153" t="s">
        <v>454</v>
      </c>
      <c r="O1483" s="153" t="s">
        <v>339</v>
      </c>
      <c r="P1483" s="153" t="s">
        <v>1554</v>
      </c>
      <c r="Q1483" s="153" t="s">
        <v>413</v>
      </c>
      <c r="R1483" s="153" t="s">
        <v>407</v>
      </c>
      <c r="S1483" s="153" t="s">
        <v>1212</v>
      </c>
      <c r="T1483" s="154">
        <v>3.75</v>
      </c>
      <c r="U1483" s="153" t="s">
        <v>1765</v>
      </c>
      <c r="V1483" s="155">
        <v>5.5100000000000003E-2</v>
      </c>
      <c r="W1483" s="155">
        <v>6.5699999999999995E-2</v>
      </c>
      <c r="X1483" s="153" t="s">
        <v>412</v>
      </c>
      <c r="Y1483" s="153" t="s">
        <v>339</v>
      </c>
      <c r="Z1483" s="154">
        <v>1656000</v>
      </c>
      <c r="AA1483" s="154">
        <v>1</v>
      </c>
      <c r="AB1483" s="154">
        <v>100.86</v>
      </c>
      <c r="AD1483" s="154">
        <v>1670.242</v>
      </c>
      <c r="AG1483" s="157" t="s">
        <v>15</v>
      </c>
      <c r="AH1483" s="155">
        <v>1.82E-3</v>
      </c>
      <c r="AI1483" s="155">
        <f t="shared" si="23"/>
        <v>2.2603890697600795E-3</v>
      </c>
      <c r="AJ1483" s="155">
        <v>4.995469863203016E-4</v>
      </c>
    </row>
    <row r="1484" spans="1:36" s="160" customFormat="1">
      <c r="A1484" s="153" t="s">
        <v>1213</v>
      </c>
      <c r="B1484" s="160">
        <v>9302</v>
      </c>
      <c r="C1484" s="153" t="s">
        <v>2973</v>
      </c>
      <c r="D1484" s="153" t="s">
        <v>2974</v>
      </c>
      <c r="E1484" s="153" t="s">
        <v>309</v>
      </c>
      <c r="F1484" s="153" t="s">
        <v>2975</v>
      </c>
      <c r="G1484" s="153" t="s">
        <v>2976</v>
      </c>
      <c r="H1484" s="153" t="s">
        <v>321</v>
      </c>
      <c r="I1484" s="153" t="s">
        <v>951</v>
      </c>
      <c r="J1484" s="153" t="s">
        <v>204</v>
      </c>
      <c r="K1484" s="153" t="s">
        <v>204</v>
      </c>
      <c r="L1484" s="153" t="s">
        <v>325</v>
      </c>
      <c r="M1484" s="153" t="s">
        <v>340</v>
      </c>
      <c r="N1484" s="153" t="s">
        <v>458</v>
      </c>
      <c r="O1484" s="153" t="s">
        <v>339</v>
      </c>
      <c r="Q1484" s="153" t="s">
        <v>410</v>
      </c>
      <c r="R1484" s="153" t="s">
        <v>410</v>
      </c>
      <c r="S1484" s="153" t="s">
        <v>1212</v>
      </c>
      <c r="T1484" s="154">
        <v>1.23</v>
      </c>
      <c r="U1484" s="153" t="s">
        <v>1777</v>
      </c>
      <c r="V1484" s="155">
        <v>4.4929999999999998E-2</v>
      </c>
      <c r="W1484" s="155">
        <v>5.45E-2</v>
      </c>
      <c r="X1484" s="153" t="s">
        <v>412</v>
      </c>
      <c r="Y1484" s="153" t="s">
        <v>339</v>
      </c>
      <c r="Z1484" s="154">
        <v>1719672</v>
      </c>
      <c r="AA1484" s="154">
        <v>1</v>
      </c>
      <c r="AB1484" s="154">
        <v>96.45</v>
      </c>
      <c r="AD1484" s="154">
        <v>1658.624</v>
      </c>
      <c r="AG1484" s="157" t="s">
        <v>15</v>
      </c>
      <c r="AH1484" s="155">
        <v>1.146E-2</v>
      </c>
      <c r="AI1484" s="155">
        <f t="shared" si="23"/>
        <v>2.2446660785932467E-3</v>
      </c>
      <c r="AJ1484" s="155">
        <v>4.9607219830331416E-4</v>
      </c>
    </row>
    <row r="1485" spans="1:36" s="160" customFormat="1">
      <c r="A1485" s="153" t="s">
        <v>1213</v>
      </c>
      <c r="B1485" s="160">
        <v>9302</v>
      </c>
      <c r="C1485" s="153" t="s">
        <v>2463</v>
      </c>
      <c r="D1485" s="153" t="s">
        <v>2464</v>
      </c>
      <c r="E1485" s="153" t="s">
        <v>309</v>
      </c>
      <c r="F1485" s="153" t="s">
        <v>3035</v>
      </c>
      <c r="G1485" s="153" t="s">
        <v>3036</v>
      </c>
      <c r="H1485" s="153" t="s">
        <v>321</v>
      </c>
      <c r="I1485" s="153" t="s">
        <v>754</v>
      </c>
      <c r="J1485" s="153" t="s">
        <v>204</v>
      </c>
      <c r="K1485" s="153" t="s">
        <v>204</v>
      </c>
      <c r="L1485" s="153" t="s">
        <v>325</v>
      </c>
      <c r="M1485" s="153" t="s">
        <v>340</v>
      </c>
      <c r="N1485" s="153" t="s">
        <v>465</v>
      </c>
      <c r="O1485" s="153" t="s">
        <v>339</v>
      </c>
      <c r="P1485" s="153" t="s">
        <v>1560</v>
      </c>
      <c r="Q1485" s="153" t="s">
        <v>413</v>
      </c>
      <c r="R1485" s="153" t="s">
        <v>407</v>
      </c>
      <c r="S1485" s="153" t="s">
        <v>1212</v>
      </c>
      <c r="T1485" s="154">
        <v>4.74</v>
      </c>
      <c r="U1485" s="153" t="s">
        <v>1962</v>
      </c>
      <c r="V1485" s="155">
        <v>4.675E-2</v>
      </c>
      <c r="W1485" s="155">
        <v>4.2900000000000001E-2</v>
      </c>
      <c r="X1485" s="153" t="s">
        <v>412</v>
      </c>
      <c r="Y1485" s="153" t="s">
        <v>339</v>
      </c>
      <c r="Z1485" s="154">
        <v>1535108</v>
      </c>
      <c r="AA1485" s="154">
        <v>1</v>
      </c>
      <c r="AB1485" s="154">
        <v>106.46</v>
      </c>
      <c r="AD1485" s="154">
        <v>1634.2760000000001</v>
      </c>
      <c r="AG1485" s="157" t="s">
        <v>15</v>
      </c>
      <c r="AH1485" s="155">
        <v>3.7399999999999998E-3</v>
      </c>
      <c r="AI1485" s="155">
        <f t="shared" si="23"/>
        <v>2.2117151929907305E-3</v>
      </c>
      <c r="AJ1485" s="155">
        <v>4.887900379798839E-4</v>
      </c>
    </row>
    <row r="1486" spans="1:36" s="160" customFormat="1">
      <c r="A1486" s="153" t="s">
        <v>1213</v>
      </c>
      <c r="B1486" s="160">
        <v>9302</v>
      </c>
      <c r="C1486" s="153" t="s">
        <v>1723</v>
      </c>
      <c r="D1486" s="153" t="s">
        <v>1724</v>
      </c>
      <c r="E1486" s="153" t="s">
        <v>309</v>
      </c>
      <c r="F1486" s="153" t="s">
        <v>1725</v>
      </c>
      <c r="G1486" s="153" t="s">
        <v>1726</v>
      </c>
      <c r="H1486" s="153" t="s">
        <v>321</v>
      </c>
      <c r="I1486" s="153" t="s">
        <v>951</v>
      </c>
      <c r="J1486" s="153" t="s">
        <v>204</v>
      </c>
      <c r="K1486" s="153" t="s">
        <v>204</v>
      </c>
      <c r="L1486" s="153" t="s">
        <v>325</v>
      </c>
      <c r="M1486" s="153" t="s">
        <v>340</v>
      </c>
      <c r="N1486" s="153" t="s">
        <v>447</v>
      </c>
      <c r="O1486" s="153" t="s">
        <v>339</v>
      </c>
      <c r="Q1486" s="153" t="s">
        <v>410</v>
      </c>
      <c r="R1486" s="153" t="s">
        <v>410</v>
      </c>
      <c r="S1486" s="153" t="s">
        <v>1212</v>
      </c>
      <c r="T1486" s="154">
        <v>4.03</v>
      </c>
      <c r="U1486" s="153" t="s">
        <v>1727</v>
      </c>
      <c r="V1486" s="155">
        <v>5.8900000000000001E-2</v>
      </c>
      <c r="W1486" s="155">
        <v>6.6600000000000006E-2</v>
      </c>
      <c r="X1486" s="153" t="s">
        <v>412</v>
      </c>
      <c r="Y1486" s="153" t="s">
        <v>339</v>
      </c>
      <c r="Z1486" s="154">
        <v>1530000</v>
      </c>
      <c r="AA1486" s="154">
        <v>1</v>
      </c>
      <c r="AB1486" s="154">
        <v>103.07</v>
      </c>
      <c r="AD1486" s="154">
        <v>1576.971</v>
      </c>
      <c r="AG1486" s="157" t="s">
        <v>15</v>
      </c>
      <c r="AH1486" s="155">
        <v>5.5599999999999998E-3</v>
      </c>
      <c r="AI1486" s="155">
        <f t="shared" si="23"/>
        <v>2.1341626014245974E-3</v>
      </c>
      <c r="AJ1486" s="155">
        <v>4.7165088086906709E-4</v>
      </c>
    </row>
    <row r="1487" spans="1:36" s="160" customFormat="1">
      <c r="A1487" s="153" t="s">
        <v>1213</v>
      </c>
      <c r="B1487" s="160">
        <v>9302</v>
      </c>
      <c r="C1487" s="153" t="s">
        <v>1917</v>
      </c>
      <c r="D1487" s="153" t="s">
        <v>1918</v>
      </c>
      <c r="E1487" s="153" t="s">
        <v>309</v>
      </c>
      <c r="F1487" s="153" t="s">
        <v>2799</v>
      </c>
      <c r="G1487" s="153" t="s">
        <v>2800</v>
      </c>
      <c r="H1487" s="153" t="s">
        <v>321</v>
      </c>
      <c r="I1487" s="153" t="s">
        <v>951</v>
      </c>
      <c r="J1487" s="153" t="s">
        <v>204</v>
      </c>
      <c r="K1487" s="153" t="s">
        <v>204</v>
      </c>
      <c r="L1487" s="153" t="s">
        <v>325</v>
      </c>
      <c r="M1487" s="153" t="s">
        <v>340</v>
      </c>
      <c r="N1487" s="153" t="s">
        <v>447</v>
      </c>
      <c r="O1487" s="153" t="s">
        <v>339</v>
      </c>
      <c r="P1487" s="153" t="s">
        <v>1560</v>
      </c>
      <c r="Q1487" s="153" t="s">
        <v>413</v>
      </c>
      <c r="R1487" s="153" t="s">
        <v>407</v>
      </c>
      <c r="S1487" s="153" t="s">
        <v>1212</v>
      </c>
      <c r="T1487" s="154">
        <v>0.6</v>
      </c>
      <c r="U1487" s="153" t="s">
        <v>2801</v>
      </c>
      <c r="V1487" s="155">
        <v>5.6739999999999999E-2</v>
      </c>
      <c r="W1487" s="155">
        <v>6.13E-2</v>
      </c>
      <c r="X1487" s="153" t="s">
        <v>412</v>
      </c>
      <c r="Y1487" s="153" t="s">
        <v>339</v>
      </c>
      <c r="Z1487" s="154">
        <v>1534985</v>
      </c>
      <c r="AA1487" s="154">
        <v>1</v>
      </c>
      <c r="AB1487" s="154">
        <v>100.56</v>
      </c>
      <c r="AD1487" s="154">
        <v>1543.5809999999999</v>
      </c>
      <c r="AG1487" s="157" t="s">
        <v>15</v>
      </c>
      <c r="AH1487" s="155">
        <v>1.272E-2</v>
      </c>
      <c r="AI1487" s="155">
        <f t="shared" si="23"/>
        <v>2.0889749034507174E-3</v>
      </c>
      <c r="AJ1487" s="155">
        <v>4.6166437958767502E-4</v>
      </c>
    </row>
    <row r="1488" spans="1:36" s="160" customFormat="1">
      <c r="A1488" s="153" t="s">
        <v>1213</v>
      </c>
      <c r="B1488" s="160">
        <v>9302</v>
      </c>
      <c r="C1488" s="153" t="s">
        <v>1674</v>
      </c>
      <c r="D1488" s="153" t="s">
        <v>1675</v>
      </c>
      <c r="E1488" s="153" t="s">
        <v>309</v>
      </c>
      <c r="F1488" s="153" t="s">
        <v>2312</v>
      </c>
      <c r="G1488" s="153" t="s">
        <v>2313</v>
      </c>
      <c r="H1488" s="153" t="s">
        <v>321</v>
      </c>
      <c r="I1488" s="153" t="s">
        <v>754</v>
      </c>
      <c r="J1488" s="153" t="s">
        <v>204</v>
      </c>
      <c r="K1488" s="153" t="s">
        <v>204</v>
      </c>
      <c r="L1488" s="153" t="s">
        <v>325</v>
      </c>
      <c r="M1488" s="153" t="s">
        <v>340</v>
      </c>
      <c r="N1488" s="153" t="s">
        <v>464</v>
      </c>
      <c r="O1488" s="153" t="s">
        <v>339</v>
      </c>
      <c r="P1488" s="153" t="s">
        <v>1538</v>
      </c>
      <c r="Q1488" s="153" t="s">
        <v>413</v>
      </c>
      <c r="R1488" s="153" t="s">
        <v>407</v>
      </c>
      <c r="S1488" s="153" t="s">
        <v>1212</v>
      </c>
      <c r="T1488" s="154">
        <v>2.89</v>
      </c>
      <c r="U1488" s="153" t="s">
        <v>2314</v>
      </c>
      <c r="V1488" s="155">
        <v>2.58E-2</v>
      </c>
      <c r="W1488" s="155">
        <v>2.5499999999999998E-2</v>
      </c>
      <c r="X1488" s="153" t="s">
        <v>412</v>
      </c>
      <c r="Y1488" s="153" t="s">
        <v>339</v>
      </c>
      <c r="Z1488" s="154">
        <v>1349999</v>
      </c>
      <c r="AA1488" s="154">
        <v>1</v>
      </c>
      <c r="AB1488" s="154">
        <v>113.8</v>
      </c>
      <c r="AD1488" s="154">
        <v>1536.299</v>
      </c>
      <c r="AG1488" s="157" t="s">
        <v>15</v>
      </c>
      <c r="AH1488" s="155">
        <v>2.7000000000000001E-3</v>
      </c>
      <c r="AI1488" s="155">
        <f t="shared" si="23"/>
        <v>2.0791199523681838E-3</v>
      </c>
      <c r="AJ1488" s="155">
        <v>4.5948643103028964E-4</v>
      </c>
    </row>
    <row r="1489" spans="1:36" s="160" customFormat="1">
      <c r="A1489" s="153" t="s">
        <v>1213</v>
      </c>
      <c r="B1489" s="160">
        <v>9302</v>
      </c>
      <c r="C1489" s="153" t="s">
        <v>2866</v>
      </c>
      <c r="D1489" s="153" t="s">
        <v>2867</v>
      </c>
      <c r="E1489" s="153" t="s">
        <v>309</v>
      </c>
      <c r="F1489" s="153" t="s">
        <v>2901</v>
      </c>
      <c r="G1489" s="153" t="s">
        <v>2902</v>
      </c>
      <c r="H1489" s="153" t="s">
        <v>321</v>
      </c>
      <c r="I1489" s="153" t="s">
        <v>754</v>
      </c>
      <c r="J1489" s="153" t="s">
        <v>204</v>
      </c>
      <c r="K1489" s="153" t="s">
        <v>204</v>
      </c>
      <c r="L1489" s="153" t="s">
        <v>325</v>
      </c>
      <c r="M1489" s="153" t="s">
        <v>340</v>
      </c>
      <c r="N1489" s="153" t="s">
        <v>464</v>
      </c>
      <c r="O1489" s="153" t="s">
        <v>339</v>
      </c>
      <c r="P1489" s="153" t="s">
        <v>1554</v>
      </c>
      <c r="Q1489" s="153" t="s">
        <v>413</v>
      </c>
      <c r="R1489" s="153" t="s">
        <v>407</v>
      </c>
      <c r="S1489" s="153" t="s">
        <v>1212</v>
      </c>
      <c r="T1489" s="154">
        <v>1.99</v>
      </c>
      <c r="U1489" s="153" t="s">
        <v>1522</v>
      </c>
      <c r="V1489" s="155">
        <v>4.4920000000000002E-2</v>
      </c>
      <c r="W1489" s="155">
        <v>3.1899999999999998E-2</v>
      </c>
      <c r="X1489" s="153" t="s">
        <v>412</v>
      </c>
      <c r="Y1489" s="153" t="s">
        <v>339</v>
      </c>
      <c r="Z1489" s="154">
        <v>1514512</v>
      </c>
      <c r="AA1489" s="154">
        <v>1</v>
      </c>
      <c r="AB1489" s="154">
        <v>101.09</v>
      </c>
      <c r="AD1489" s="154">
        <v>1531.02</v>
      </c>
      <c r="AG1489" s="157" t="s">
        <v>15</v>
      </c>
      <c r="AH1489" s="155">
        <v>3.6800000000000001E-3</v>
      </c>
      <c r="AI1489" s="155">
        <f t="shared" si="23"/>
        <v>2.071975721831972E-3</v>
      </c>
      <c r="AJ1489" s="155">
        <v>4.5790755291515135E-4</v>
      </c>
    </row>
    <row r="1490" spans="1:36" s="160" customFormat="1">
      <c r="A1490" s="153" t="s">
        <v>1213</v>
      </c>
      <c r="B1490" s="160">
        <v>9302</v>
      </c>
      <c r="C1490" s="153" t="s">
        <v>1825</v>
      </c>
      <c r="D1490" s="153" t="s">
        <v>1826</v>
      </c>
      <c r="E1490" s="153" t="s">
        <v>309</v>
      </c>
      <c r="F1490" s="153" t="s">
        <v>2787</v>
      </c>
      <c r="G1490" s="153" t="s">
        <v>2788</v>
      </c>
      <c r="H1490" s="153" t="s">
        <v>321</v>
      </c>
      <c r="I1490" s="153" t="s">
        <v>951</v>
      </c>
      <c r="J1490" s="153" t="s">
        <v>204</v>
      </c>
      <c r="K1490" s="153" t="s">
        <v>204</v>
      </c>
      <c r="L1490" s="153" t="s">
        <v>325</v>
      </c>
      <c r="M1490" s="153" t="s">
        <v>340</v>
      </c>
      <c r="N1490" s="153" t="s">
        <v>441</v>
      </c>
      <c r="O1490" s="153" t="s">
        <v>339</v>
      </c>
      <c r="Q1490" s="153" t="s">
        <v>410</v>
      </c>
      <c r="R1490" s="153" t="s">
        <v>410</v>
      </c>
      <c r="S1490" s="153" t="s">
        <v>1212</v>
      </c>
      <c r="T1490" s="154">
        <v>2.76</v>
      </c>
      <c r="U1490" s="153" t="s">
        <v>1669</v>
      </c>
      <c r="V1490" s="155">
        <v>5.2659999999999998E-2</v>
      </c>
      <c r="W1490" s="155">
        <v>5.9299999999999999E-2</v>
      </c>
      <c r="X1490" s="153" t="s">
        <v>412</v>
      </c>
      <c r="Y1490" s="153" t="s">
        <v>339</v>
      </c>
      <c r="Z1490" s="154">
        <v>1521042</v>
      </c>
      <c r="AA1490" s="154">
        <v>1</v>
      </c>
      <c r="AB1490" s="154">
        <v>100.56</v>
      </c>
      <c r="AD1490" s="154">
        <v>1529.56</v>
      </c>
      <c r="AG1490" s="157" t="s">
        <v>15</v>
      </c>
      <c r="AH1490" s="155">
        <v>6.9100000000000003E-3</v>
      </c>
      <c r="AI1490" s="155">
        <f t="shared" si="23"/>
        <v>2.0699998596264654E-3</v>
      </c>
      <c r="AJ1490" s="155">
        <v>4.5747088649194579E-4</v>
      </c>
    </row>
    <row r="1491" spans="1:36" s="160" customFormat="1">
      <c r="A1491" s="153" t="s">
        <v>1213</v>
      </c>
      <c r="B1491" s="160">
        <v>9302</v>
      </c>
      <c r="C1491" s="153" t="s">
        <v>2961</v>
      </c>
      <c r="D1491" s="153" t="s">
        <v>2962</v>
      </c>
      <c r="E1491" s="153" t="s">
        <v>309</v>
      </c>
      <c r="F1491" s="153" t="s">
        <v>2963</v>
      </c>
      <c r="G1491" s="153" t="s">
        <v>2964</v>
      </c>
      <c r="H1491" s="153" t="s">
        <v>321</v>
      </c>
      <c r="I1491" s="153" t="s">
        <v>754</v>
      </c>
      <c r="J1491" s="153" t="s">
        <v>204</v>
      </c>
      <c r="K1491" s="153" t="s">
        <v>204</v>
      </c>
      <c r="L1491" s="153" t="s">
        <v>325</v>
      </c>
      <c r="M1491" s="153" t="s">
        <v>340</v>
      </c>
      <c r="N1491" s="153" t="s">
        <v>464</v>
      </c>
      <c r="O1491" s="153" t="s">
        <v>339</v>
      </c>
      <c r="Q1491" s="153" t="s">
        <v>410</v>
      </c>
      <c r="R1491" s="153" t="s">
        <v>410</v>
      </c>
      <c r="S1491" s="153" t="s">
        <v>1212</v>
      </c>
      <c r="T1491" s="154">
        <v>3.61</v>
      </c>
      <c r="U1491" s="153" t="s">
        <v>2451</v>
      </c>
      <c r="V1491" s="155">
        <v>3.4540000000000001E-2</v>
      </c>
      <c r="W1491" s="155">
        <v>3.5999999999999997E-2</v>
      </c>
      <c r="X1491" s="153" t="s">
        <v>412</v>
      </c>
      <c r="Y1491" s="153" t="s">
        <v>339</v>
      </c>
      <c r="Z1491" s="154">
        <v>1466000</v>
      </c>
      <c r="AA1491" s="154">
        <v>1</v>
      </c>
      <c r="AB1491" s="154">
        <v>102.4</v>
      </c>
      <c r="AD1491" s="154">
        <v>1501.184</v>
      </c>
      <c r="AG1491" s="157" t="s">
        <v>15</v>
      </c>
      <c r="AH1491" s="155">
        <v>7.3699999999999998E-3</v>
      </c>
      <c r="AI1491" s="155">
        <f t="shared" si="23"/>
        <v>2.0315977596651953E-3</v>
      </c>
      <c r="AJ1491" s="155">
        <v>4.4898400537901433E-4</v>
      </c>
    </row>
    <row r="1492" spans="1:36" s="160" customFormat="1">
      <c r="A1492" s="153" t="s">
        <v>1213</v>
      </c>
      <c r="B1492" s="160">
        <v>9302</v>
      </c>
      <c r="C1492" s="153" t="s">
        <v>2298</v>
      </c>
      <c r="D1492" s="153" t="s">
        <v>2299</v>
      </c>
      <c r="E1492" s="153" t="s">
        <v>309</v>
      </c>
      <c r="F1492" s="153" t="s">
        <v>2562</v>
      </c>
      <c r="G1492" s="153" t="s">
        <v>2563</v>
      </c>
      <c r="H1492" s="153" t="s">
        <v>321</v>
      </c>
      <c r="I1492" s="153" t="s">
        <v>951</v>
      </c>
      <c r="J1492" s="153" t="s">
        <v>204</v>
      </c>
      <c r="K1492" s="153" t="s">
        <v>204</v>
      </c>
      <c r="L1492" s="153" t="s">
        <v>325</v>
      </c>
      <c r="M1492" s="153" t="s">
        <v>340</v>
      </c>
      <c r="N1492" s="153" t="s">
        <v>462</v>
      </c>
      <c r="O1492" s="153" t="s">
        <v>339</v>
      </c>
      <c r="P1492" s="153" t="s">
        <v>1566</v>
      </c>
      <c r="Q1492" s="153" t="s">
        <v>413</v>
      </c>
      <c r="R1492" s="153" t="s">
        <v>407</v>
      </c>
      <c r="S1492" s="153" t="s">
        <v>1212</v>
      </c>
      <c r="T1492" s="154">
        <v>1.1499999999999999</v>
      </c>
      <c r="U1492" s="153" t="s">
        <v>2232</v>
      </c>
      <c r="V1492" s="155">
        <v>2.6280000000000001E-2</v>
      </c>
      <c r="W1492" s="155">
        <v>5.5399999999999998E-2</v>
      </c>
      <c r="X1492" s="153" t="s">
        <v>412</v>
      </c>
      <c r="Y1492" s="153" t="s">
        <v>339</v>
      </c>
      <c r="Z1492" s="154">
        <v>1544151.25</v>
      </c>
      <c r="AA1492" s="154">
        <v>1</v>
      </c>
      <c r="AB1492" s="154">
        <v>97.21</v>
      </c>
      <c r="AD1492" s="154">
        <v>1501.069</v>
      </c>
      <c r="AG1492" s="157" t="s">
        <v>15</v>
      </c>
      <c r="AH1492" s="155">
        <v>8.5599999999999999E-3</v>
      </c>
      <c r="AI1492" s="155">
        <f t="shared" si="23"/>
        <v>2.0314421266832547E-3</v>
      </c>
      <c r="AJ1492" s="155">
        <v>4.4894961042102213E-4</v>
      </c>
    </row>
    <row r="1493" spans="1:36" s="160" customFormat="1">
      <c r="A1493" s="153" t="s">
        <v>1213</v>
      </c>
      <c r="B1493" s="160">
        <v>9302</v>
      </c>
      <c r="C1493" s="153" t="s">
        <v>2897</v>
      </c>
      <c r="D1493" s="153" t="s">
        <v>2898</v>
      </c>
      <c r="E1493" s="153" t="s">
        <v>309</v>
      </c>
      <c r="F1493" s="153" t="s">
        <v>3071</v>
      </c>
      <c r="G1493" s="153" t="s">
        <v>3072</v>
      </c>
      <c r="H1493" s="153" t="s">
        <v>321</v>
      </c>
      <c r="I1493" s="153" t="s">
        <v>951</v>
      </c>
      <c r="J1493" s="153" t="s">
        <v>204</v>
      </c>
      <c r="K1493" s="153" t="s">
        <v>204</v>
      </c>
      <c r="L1493" s="153" t="s">
        <v>325</v>
      </c>
      <c r="M1493" s="153" t="s">
        <v>340</v>
      </c>
      <c r="N1493" s="153" t="s">
        <v>447</v>
      </c>
      <c r="O1493" s="153" t="s">
        <v>339</v>
      </c>
      <c r="P1493" s="153" t="s">
        <v>1614</v>
      </c>
      <c r="Q1493" s="153" t="s">
        <v>415</v>
      </c>
      <c r="R1493" s="153" t="s">
        <v>407</v>
      </c>
      <c r="S1493" s="153" t="s">
        <v>1212</v>
      </c>
      <c r="T1493" s="154">
        <v>3.76</v>
      </c>
      <c r="U1493" s="153" t="s">
        <v>1587</v>
      </c>
      <c r="V1493" s="155">
        <v>5.8009999999999999E-2</v>
      </c>
      <c r="W1493" s="155">
        <v>6.1899999999999997E-2</v>
      </c>
      <c r="X1493" s="153" t="s">
        <v>412</v>
      </c>
      <c r="Y1493" s="153" t="s">
        <v>339</v>
      </c>
      <c r="Z1493" s="154">
        <v>1451000</v>
      </c>
      <c r="AA1493" s="154">
        <v>1</v>
      </c>
      <c r="AB1493" s="154">
        <v>100.7</v>
      </c>
      <c r="AD1493" s="154">
        <v>1461.1569999999999</v>
      </c>
      <c r="AG1493" s="157" t="s">
        <v>15</v>
      </c>
      <c r="AH1493" s="155">
        <v>7.2199999999999999E-3</v>
      </c>
      <c r="AI1493" s="155">
        <f t="shared" si="23"/>
        <v>1.9774280086379266E-3</v>
      </c>
      <c r="AJ1493" s="155">
        <v>4.3701246639158456E-4</v>
      </c>
    </row>
    <row r="1494" spans="1:36" s="160" customFormat="1">
      <c r="A1494" s="153" t="s">
        <v>1213</v>
      </c>
      <c r="B1494" s="160">
        <v>9302</v>
      </c>
      <c r="C1494" s="153" t="s">
        <v>1573</v>
      </c>
      <c r="D1494" s="153" t="s">
        <v>1574</v>
      </c>
      <c r="E1494" s="153" t="s">
        <v>309</v>
      </c>
      <c r="F1494" s="153" t="s">
        <v>2982</v>
      </c>
      <c r="G1494" s="153" t="s">
        <v>2983</v>
      </c>
      <c r="H1494" s="153" t="s">
        <v>321</v>
      </c>
      <c r="I1494" s="153" t="s">
        <v>951</v>
      </c>
      <c r="J1494" s="153" t="s">
        <v>204</v>
      </c>
      <c r="K1494" s="153" t="s">
        <v>204</v>
      </c>
      <c r="L1494" s="153" t="s">
        <v>325</v>
      </c>
      <c r="M1494" s="153" t="s">
        <v>340</v>
      </c>
      <c r="N1494" s="153" t="s">
        <v>448</v>
      </c>
      <c r="O1494" s="153" t="s">
        <v>339</v>
      </c>
      <c r="P1494" s="153" t="s">
        <v>1211</v>
      </c>
      <c r="Q1494" s="153" t="s">
        <v>415</v>
      </c>
      <c r="R1494" s="153" t="s">
        <v>407</v>
      </c>
      <c r="S1494" s="153" t="s">
        <v>1212</v>
      </c>
      <c r="T1494" s="154">
        <v>0.94</v>
      </c>
      <c r="U1494" s="153" t="s">
        <v>2918</v>
      </c>
      <c r="V1494" s="155">
        <v>5.0000000000000001E-4</v>
      </c>
      <c r="W1494" s="155">
        <v>4.6399999999999997E-2</v>
      </c>
      <c r="X1494" s="153" t="s">
        <v>412</v>
      </c>
      <c r="Y1494" s="153" t="s">
        <v>339</v>
      </c>
      <c r="Z1494" s="154">
        <v>145400</v>
      </c>
      <c r="AA1494" s="154">
        <v>1</v>
      </c>
      <c r="AB1494" s="154">
        <v>1001.9</v>
      </c>
      <c r="AD1494" s="154">
        <v>1456.7629999999999</v>
      </c>
      <c r="AG1494" s="157" t="s">
        <v>15</v>
      </c>
      <c r="AH1494" s="155">
        <v>8.0000000000000007E-5</v>
      </c>
      <c r="AI1494" s="155">
        <f t="shared" si="23"/>
        <v>1.9714814753975184E-3</v>
      </c>
      <c r="AJ1494" s="155">
        <v>4.3569827990969063E-4</v>
      </c>
    </row>
    <row r="1495" spans="1:36" s="160" customFormat="1">
      <c r="A1495" s="153" t="s">
        <v>1213</v>
      </c>
      <c r="B1495" s="160">
        <v>9302</v>
      </c>
      <c r="C1495" s="153" t="s">
        <v>2988</v>
      </c>
      <c r="D1495" s="153" t="s">
        <v>2989</v>
      </c>
      <c r="E1495" s="153" t="s">
        <v>309</v>
      </c>
      <c r="F1495" s="153" t="s">
        <v>2990</v>
      </c>
      <c r="G1495" s="153" t="s">
        <v>2991</v>
      </c>
      <c r="H1495" s="153" t="s">
        <v>321</v>
      </c>
      <c r="I1495" s="153" t="s">
        <v>951</v>
      </c>
      <c r="J1495" s="153" t="s">
        <v>204</v>
      </c>
      <c r="K1495" s="153" t="s">
        <v>204</v>
      </c>
      <c r="L1495" s="153" t="s">
        <v>325</v>
      </c>
      <c r="M1495" s="153" t="s">
        <v>340</v>
      </c>
      <c r="N1495" s="153" t="s">
        <v>445</v>
      </c>
      <c r="O1495" s="153" t="s">
        <v>339</v>
      </c>
      <c r="P1495" s="153" t="s">
        <v>1614</v>
      </c>
      <c r="Q1495" s="153" t="s">
        <v>415</v>
      </c>
      <c r="R1495" s="153" t="s">
        <v>407</v>
      </c>
      <c r="S1495" s="153" t="s">
        <v>1212</v>
      </c>
      <c r="T1495" s="154">
        <v>1.1000000000000001</v>
      </c>
      <c r="U1495" s="153" t="s">
        <v>2992</v>
      </c>
      <c r="V1495" s="155">
        <v>5.4440000000000002E-2</v>
      </c>
      <c r="W1495" s="155">
        <v>5.5399999999999998E-2</v>
      </c>
      <c r="X1495" s="153" t="s">
        <v>412</v>
      </c>
      <c r="Y1495" s="153" t="s">
        <v>339</v>
      </c>
      <c r="Z1495" s="154">
        <v>1472743</v>
      </c>
      <c r="AA1495" s="154">
        <v>1</v>
      </c>
      <c r="AB1495" s="154">
        <v>98.85</v>
      </c>
      <c r="AD1495" s="154">
        <v>1455.806</v>
      </c>
      <c r="AG1495" s="157" t="s">
        <v>15</v>
      </c>
      <c r="AH1495" s="155">
        <v>4.6699999999999997E-3</v>
      </c>
      <c r="AI1495" s="155">
        <f t="shared" si="23"/>
        <v>1.9701863383217175E-3</v>
      </c>
      <c r="AJ1495" s="155">
        <v>4.3541205404187719E-4</v>
      </c>
    </row>
    <row r="1496" spans="1:36" s="160" customFormat="1">
      <c r="A1496" s="153" t="s">
        <v>1213</v>
      </c>
      <c r="B1496" s="160">
        <v>9302</v>
      </c>
      <c r="C1496" s="153" t="s">
        <v>3080</v>
      </c>
      <c r="D1496" s="153" t="s">
        <v>3081</v>
      </c>
      <c r="E1496" s="153" t="s">
        <v>311</v>
      </c>
      <c r="F1496" s="153" t="s">
        <v>3082</v>
      </c>
      <c r="G1496" s="153" t="s">
        <v>3083</v>
      </c>
      <c r="H1496" s="153" t="s">
        <v>321</v>
      </c>
      <c r="I1496" s="153" t="s">
        <v>951</v>
      </c>
      <c r="J1496" s="153" t="s">
        <v>204</v>
      </c>
      <c r="K1496" s="153" t="s">
        <v>224</v>
      </c>
      <c r="L1496" s="153" t="s">
        <v>325</v>
      </c>
      <c r="M1496" s="153" t="s">
        <v>340</v>
      </c>
      <c r="N1496" s="153" t="s">
        <v>465</v>
      </c>
      <c r="O1496" s="153" t="s">
        <v>339</v>
      </c>
      <c r="P1496" s="153" t="s">
        <v>3084</v>
      </c>
      <c r="Q1496" s="153" t="s">
        <v>415</v>
      </c>
      <c r="R1496" s="153" t="s">
        <v>407</v>
      </c>
      <c r="S1496" s="153" t="s">
        <v>1212</v>
      </c>
      <c r="T1496" s="154">
        <v>1.33</v>
      </c>
      <c r="U1496" s="153" t="s">
        <v>2162</v>
      </c>
      <c r="V1496" s="155">
        <v>7.0940000000000003E-2</v>
      </c>
      <c r="W1496" s="155">
        <v>0.14180000000000001</v>
      </c>
      <c r="X1496" s="153" t="s">
        <v>412</v>
      </c>
      <c r="Y1496" s="153" t="s">
        <v>338</v>
      </c>
      <c r="Z1496" s="154">
        <v>1524686.53</v>
      </c>
      <c r="AA1496" s="154">
        <v>1</v>
      </c>
      <c r="AB1496" s="154">
        <v>94.9</v>
      </c>
      <c r="AD1496" s="154">
        <v>1446.9280000000001</v>
      </c>
      <c r="AG1496" s="157" t="s">
        <v>15</v>
      </c>
      <c r="AH1496" s="155">
        <v>7.8100000000000001E-3</v>
      </c>
      <c r="AI1496" s="155">
        <f t="shared" si="23"/>
        <v>1.9581714721159044E-3</v>
      </c>
      <c r="AJ1496" s="155">
        <v>4.3275676328487813E-4</v>
      </c>
    </row>
    <row r="1497" spans="1:36" s="160" customFormat="1">
      <c r="A1497" s="153" t="s">
        <v>1213</v>
      </c>
      <c r="B1497" s="160">
        <v>9302</v>
      </c>
      <c r="C1497" s="153" t="s">
        <v>1813</v>
      </c>
      <c r="D1497" s="153" t="s">
        <v>1814</v>
      </c>
      <c r="E1497" s="153" t="s">
        <v>309</v>
      </c>
      <c r="F1497" s="153" t="s">
        <v>1815</v>
      </c>
      <c r="G1497" s="153" t="s">
        <v>1816</v>
      </c>
      <c r="H1497" s="153" t="s">
        <v>321</v>
      </c>
      <c r="I1497" s="153" t="s">
        <v>951</v>
      </c>
      <c r="J1497" s="153" t="s">
        <v>204</v>
      </c>
      <c r="K1497" s="153" t="s">
        <v>204</v>
      </c>
      <c r="L1497" s="153" t="s">
        <v>325</v>
      </c>
      <c r="M1497" s="153" t="s">
        <v>340</v>
      </c>
      <c r="N1497" s="153" t="s">
        <v>443</v>
      </c>
      <c r="O1497" s="153" t="s">
        <v>339</v>
      </c>
      <c r="P1497" s="153" t="s">
        <v>1527</v>
      </c>
      <c r="Q1497" s="153" t="s">
        <v>415</v>
      </c>
      <c r="R1497" s="153" t="s">
        <v>407</v>
      </c>
      <c r="S1497" s="153" t="s">
        <v>1212</v>
      </c>
      <c r="T1497" s="154">
        <v>1.45</v>
      </c>
      <c r="U1497" s="153" t="s">
        <v>1522</v>
      </c>
      <c r="V1497" s="155">
        <v>2.7299999999999998E-3</v>
      </c>
      <c r="W1497" s="155">
        <v>6.6000000000000003E-2</v>
      </c>
      <c r="X1497" s="153" t="s">
        <v>412</v>
      </c>
      <c r="Y1497" s="153" t="s">
        <v>339</v>
      </c>
      <c r="Z1497" s="154">
        <v>1402501.62</v>
      </c>
      <c r="AA1497" s="154">
        <v>1</v>
      </c>
      <c r="AB1497" s="154">
        <v>100.59</v>
      </c>
      <c r="AD1497" s="154">
        <v>1410.7760000000001</v>
      </c>
      <c r="AG1497" s="157" t="s">
        <v>15</v>
      </c>
      <c r="AH1497" s="155">
        <v>5.7999999999999996E-3</v>
      </c>
      <c r="AI1497" s="155">
        <f t="shared" si="23"/>
        <v>1.9092458759148948E-3</v>
      </c>
      <c r="AJ1497" s="155">
        <v>4.2194418483849043E-4</v>
      </c>
    </row>
    <row r="1498" spans="1:36" s="160" customFormat="1">
      <c r="A1498" s="153" t="s">
        <v>1213</v>
      </c>
      <c r="B1498" s="160">
        <v>9302</v>
      </c>
      <c r="C1498" s="153" t="s">
        <v>3027</v>
      </c>
      <c r="D1498" s="153" t="s">
        <v>3028</v>
      </c>
      <c r="E1498" s="153" t="s">
        <v>311</v>
      </c>
      <c r="F1498" s="153" t="s">
        <v>3075</v>
      </c>
      <c r="G1498" s="153" t="s">
        <v>3076</v>
      </c>
      <c r="H1498" s="153" t="s">
        <v>321</v>
      </c>
      <c r="I1498" s="153" t="s">
        <v>754</v>
      </c>
      <c r="J1498" s="153" t="s">
        <v>204</v>
      </c>
      <c r="K1498" s="153" t="s">
        <v>204</v>
      </c>
      <c r="L1498" s="153" t="s">
        <v>325</v>
      </c>
      <c r="M1498" s="153" t="s">
        <v>340</v>
      </c>
      <c r="N1498" s="153" t="s">
        <v>464</v>
      </c>
      <c r="O1498" s="153" t="s">
        <v>339</v>
      </c>
      <c r="Q1498" s="153" t="s">
        <v>410</v>
      </c>
      <c r="R1498" s="153" t="s">
        <v>410</v>
      </c>
      <c r="S1498" s="153" t="s">
        <v>1212</v>
      </c>
      <c r="T1498" s="154">
        <v>2.83</v>
      </c>
      <c r="U1498" s="153" t="s">
        <v>1528</v>
      </c>
      <c r="V1498" s="155">
        <v>6.3020000000000007E-2</v>
      </c>
      <c r="W1498" s="155">
        <v>4.5100000000000001E-2</v>
      </c>
      <c r="X1498" s="153" t="s">
        <v>412</v>
      </c>
      <c r="Y1498" s="153" t="s">
        <v>339</v>
      </c>
      <c r="Z1498" s="154">
        <v>1265000</v>
      </c>
      <c r="AA1498" s="154">
        <v>1</v>
      </c>
      <c r="AB1498" s="154">
        <v>110.06</v>
      </c>
      <c r="AD1498" s="154">
        <v>1392.259</v>
      </c>
      <c r="AG1498" s="157" t="s">
        <v>15</v>
      </c>
      <c r="AH1498" s="155">
        <v>1.4919999999999999E-2</v>
      </c>
      <c r="AI1498" s="155">
        <f t="shared" si="23"/>
        <v>1.8841862591619048E-3</v>
      </c>
      <c r="AJ1498" s="155">
        <v>4.1640599842856114E-4</v>
      </c>
    </row>
    <row r="1499" spans="1:36" s="160" customFormat="1">
      <c r="A1499" s="153" t="s">
        <v>1213</v>
      </c>
      <c r="B1499" s="160">
        <v>9302</v>
      </c>
      <c r="C1499" s="153" t="s">
        <v>2576</v>
      </c>
      <c r="D1499" s="153" t="s">
        <v>2577</v>
      </c>
      <c r="E1499" s="153" t="s">
        <v>309</v>
      </c>
      <c r="F1499" s="153" t="s">
        <v>2584</v>
      </c>
      <c r="G1499" s="153" t="s">
        <v>2585</v>
      </c>
      <c r="H1499" s="153" t="s">
        <v>321</v>
      </c>
      <c r="I1499" s="153" t="s">
        <v>951</v>
      </c>
      <c r="J1499" s="153" t="s">
        <v>204</v>
      </c>
      <c r="K1499" s="153" t="s">
        <v>204</v>
      </c>
      <c r="L1499" s="153" t="s">
        <v>325</v>
      </c>
      <c r="M1499" s="153" t="s">
        <v>340</v>
      </c>
      <c r="N1499" s="153" t="s">
        <v>451</v>
      </c>
      <c r="O1499" s="153" t="s">
        <v>339</v>
      </c>
      <c r="P1499" s="153" t="s">
        <v>1521</v>
      </c>
      <c r="Q1499" s="153" t="s">
        <v>413</v>
      </c>
      <c r="R1499" s="153" t="s">
        <v>407</v>
      </c>
      <c r="S1499" s="153" t="s">
        <v>1212</v>
      </c>
      <c r="T1499" s="154">
        <v>1.49</v>
      </c>
      <c r="U1499" s="153" t="s">
        <v>1522</v>
      </c>
      <c r="V1499" s="155">
        <v>4.8980000000000003E-2</v>
      </c>
      <c r="W1499" s="155">
        <v>5.4399999999999997E-2</v>
      </c>
      <c r="X1499" s="153" t="s">
        <v>412</v>
      </c>
      <c r="Y1499" s="153" t="s">
        <v>339</v>
      </c>
      <c r="Z1499" s="154">
        <v>1416867</v>
      </c>
      <c r="AA1499" s="154">
        <v>1</v>
      </c>
      <c r="AB1499" s="154">
        <v>97.46</v>
      </c>
      <c r="AD1499" s="154">
        <v>1380.8789999999999</v>
      </c>
      <c r="AG1499" s="157" t="s">
        <v>15</v>
      </c>
      <c r="AH1499" s="155">
        <v>6.8300000000000001E-3</v>
      </c>
      <c r="AI1499" s="155">
        <f t="shared" si="23"/>
        <v>1.8687853606011754E-3</v>
      </c>
      <c r="AJ1499" s="155">
        <v>4.1300239302028791E-4</v>
      </c>
    </row>
    <row r="1500" spans="1:36" s="160" customFormat="1">
      <c r="A1500" s="153" t="s">
        <v>1213</v>
      </c>
      <c r="B1500" s="160">
        <v>9302</v>
      </c>
      <c r="C1500" s="153" t="s">
        <v>2780</v>
      </c>
      <c r="D1500" s="153" t="s">
        <v>2781</v>
      </c>
      <c r="E1500" s="153" t="s">
        <v>309</v>
      </c>
      <c r="F1500" s="153" t="s">
        <v>3039</v>
      </c>
      <c r="G1500" s="153" t="s">
        <v>3040</v>
      </c>
      <c r="H1500" s="153" t="s">
        <v>321</v>
      </c>
      <c r="I1500" s="153" t="s">
        <v>754</v>
      </c>
      <c r="J1500" s="153" t="s">
        <v>204</v>
      </c>
      <c r="K1500" s="153" t="s">
        <v>204</v>
      </c>
      <c r="L1500" s="153" t="s">
        <v>325</v>
      </c>
      <c r="M1500" s="153" t="s">
        <v>340</v>
      </c>
      <c r="N1500" s="153" t="s">
        <v>464</v>
      </c>
      <c r="O1500" s="153" t="s">
        <v>339</v>
      </c>
      <c r="P1500" s="153" t="s">
        <v>1521</v>
      </c>
      <c r="Q1500" s="153" t="s">
        <v>413</v>
      </c>
      <c r="R1500" s="153" t="s">
        <v>407</v>
      </c>
      <c r="S1500" s="153" t="s">
        <v>1212</v>
      </c>
      <c r="T1500" s="154">
        <v>3.9</v>
      </c>
      <c r="U1500" s="153" t="s">
        <v>1587</v>
      </c>
      <c r="V1500" s="155">
        <v>2.401E-2</v>
      </c>
      <c r="W1500" s="155">
        <v>2.8500000000000001E-2</v>
      </c>
      <c r="X1500" s="153" t="s">
        <v>412</v>
      </c>
      <c r="Y1500" s="153" t="s">
        <v>339</v>
      </c>
      <c r="Z1500" s="154">
        <v>1246201.73</v>
      </c>
      <c r="AA1500" s="154">
        <v>1</v>
      </c>
      <c r="AB1500" s="154">
        <v>110.2</v>
      </c>
      <c r="AD1500" s="154">
        <v>1373.3140000000001</v>
      </c>
      <c r="AG1500" s="157" t="s">
        <v>15</v>
      </c>
      <c r="AH1500" s="155">
        <v>3.3400000000000001E-3</v>
      </c>
      <c r="AI1500" s="155">
        <f t="shared" si="23"/>
        <v>1.8585474170500404E-3</v>
      </c>
      <c r="AJ1500" s="155">
        <v>4.1073980295758267E-4</v>
      </c>
    </row>
    <row r="1501" spans="1:36" s="160" customFormat="1">
      <c r="A1501" s="153" t="s">
        <v>1213</v>
      </c>
      <c r="B1501" s="160">
        <v>9302</v>
      </c>
      <c r="C1501" s="153" t="s">
        <v>2845</v>
      </c>
      <c r="D1501" s="153" t="s">
        <v>2846</v>
      </c>
      <c r="E1501" s="153" t="s">
        <v>309</v>
      </c>
      <c r="F1501" s="153" t="s">
        <v>2847</v>
      </c>
      <c r="G1501" s="153" t="s">
        <v>2848</v>
      </c>
      <c r="H1501" s="153" t="s">
        <v>321</v>
      </c>
      <c r="I1501" s="153" t="s">
        <v>951</v>
      </c>
      <c r="J1501" s="153" t="s">
        <v>204</v>
      </c>
      <c r="K1501" s="153" t="s">
        <v>204</v>
      </c>
      <c r="L1501" s="153" t="s">
        <v>325</v>
      </c>
      <c r="M1501" s="153" t="s">
        <v>340</v>
      </c>
      <c r="N1501" s="153" t="s">
        <v>446</v>
      </c>
      <c r="O1501" s="153" t="s">
        <v>339</v>
      </c>
      <c r="P1501" s="153" t="s">
        <v>1215</v>
      </c>
      <c r="Q1501" s="153" t="s">
        <v>413</v>
      </c>
      <c r="R1501" s="153" t="s">
        <v>407</v>
      </c>
      <c r="S1501" s="153" t="s">
        <v>1212</v>
      </c>
      <c r="T1501" s="154">
        <v>1.1299999999999999</v>
      </c>
      <c r="U1501" s="153" t="s">
        <v>2372</v>
      </c>
      <c r="V1501" s="155">
        <v>-7.0600000000000003E-3</v>
      </c>
      <c r="W1501" s="155">
        <v>5.2499999999999998E-2</v>
      </c>
      <c r="X1501" s="153" t="s">
        <v>412</v>
      </c>
      <c r="Y1501" s="153" t="s">
        <v>339</v>
      </c>
      <c r="Z1501" s="154">
        <v>1337130.72</v>
      </c>
      <c r="AA1501" s="154">
        <v>1</v>
      </c>
      <c r="AB1501" s="154">
        <v>102.1</v>
      </c>
      <c r="AD1501" s="154">
        <v>1365.21</v>
      </c>
      <c r="AG1501" s="157" t="s">
        <v>15</v>
      </c>
      <c r="AH1501" s="155">
        <v>8.6599999999999993E-3</v>
      </c>
      <c r="AI1501" s="155">
        <f t="shared" si="23"/>
        <v>1.8475800284792011E-3</v>
      </c>
      <c r="AJ1501" s="155">
        <v>4.0831600522220075E-4</v>
      </c>
    </row>
    <row r="1502" spans="1:36" s="160" customFormat="1">
      <c r="A1502" s="153" t="s">
        <v>1213</v>
      </c>
      <c r="B1502" s="160">
        <v>9302</v>
      </c>
      <c r="C1502" s="153" t="s">
        <v>3060</v>
      </c>
      <c r="D1502" s="153" t="s">
        <v>3061</v>
      </c>
      <c r="E1502" s="153" t="s">
        <v>311</v>
      </c>
      <c r="F1502" s="153" t="s">
        <v>3062</v>
      </c>
      <c r="G1502" s="153" t="s">
        <v>3063</v>
      </c>
      <c r="H1502" s="153" t="s">
        <v>321</v>
      </c>
      <c r="I1502" s="153" t="s">
        <v>951</v>
      </c>
      <c r="J1502" s="153" t="s">
        <v>204</v>
      </c>
      <c r="K1502" s="153" t="s">
        <v>224</v>
      </c>
      <c r="L1502" s="153" t="s">
        <v>325</v>
      </c>
      <c r="M1502" s="153" t="s">
        <v>340</v>
      </c>
      <c r="N1502" s="153" t="s">
        <v>465</v>
      </c>
      <c r="O1502" s="153" t="s">
        <v>339</v>
      </c>
      <c r="P1502" s="153" t="s">
        <v>1560</v>
      </c>
      <c r="Q1502" s="153" t="s">
        <v>413</v>
      </c>
      <c r="R1502" s="153" t="s">
        <v>407</v>
      </c>
      <c r="S1502" s="153" t="s">
        <v>1212</v>
      </c>
      <c r="T1502" s="154">
        <v>1.68</v>
      </c>
      <c r="U1502" s="153" t="s">
        <v>2071</v>
      </c>
      <c r="V1502" s="155">
        <v>7.6530000000000001E-2</v>
      </c>
      <c r="W1502" s="155">
        <v>6.8400000000000002E-2</v>
      </c>
      <c r="X1502" s="153" t="s">
        <v>412</v>
      </c>
      <c r="Y1502" s="153" t="s">
        <v>339</v>
      </c>
      <c r="Z1502" s="154">
        <v>1316000</v>
      </c>
      <c r="AA1502" s="154">
        <v>1</v>
      </c>
      <c r="AB1502" s="154">
        <v>102.4</v>
      </c>
      <c r="AD1502" s="154">
        <v>1347.5840000000001</v>
      </c>
      <c r="AG1502" s="157" t="s">
        <v>15</v>
      </c>
      <c r="AH1502" s="155">
        <v>1.0120000000000001E-2</v>
      </c>
      <c r="AI1502" s="155">
        <f t="shared" si="23"/>
        <v>1.8237262290036814E-3</v>
      </c>
      <c r="AJ1502" s="155">
        <v>4.0304430496506337E-4</v>
      </c>
    </row>
    <row r="1503" spans="1:36" s="160" customFormat="1">
      <c r="A1503" s="153" t="s">
        <v>1213</v>
      </c>
      <c r="B1503" s="160">
        <v>9302</v>
      </c>
      <c r="C1503" s="153" t="s">
        <v>1546</v>
      </c>
      <c r="D1503" s="153" t="s">
        <v>1547</v>
      </c>
      <c r="E1503" s="153" t="s">
        <v>309</v>
      </c>
      <c r="F1503" s="153" t="s">
        <v>1834</v>
      </c>
      <c r="G1503" s="153" t="s">
        <v>1835</v>
      </c>
      <c r="H1503" s="153" t="s">
        <v>321</v>
      </c>
      <c r="I1503" s="153" t="s">
        <v>754</v>
      </c>
      <c r="J1503" s="153" t="s">
        <v>204</v>
      </c>
      <c r="K1503" s="153" t="s">
        <v>204</v>
      </c>
      <c r="L1503" s="153" t="s">
        <v>325</v>
      </c>
      <c r="M1503" s="153" t="s">
        <v>340</v>
      </c>
      <c r="N1503" s="153" t="s">
        <v>443</v>
      </c>
      <c r="O1503" s="153" t="s">
        <v>339</v>
      </c>
      <c r="P1503" s="153" t="s">
        <v>1544</v>
      </c>
      <c r="Q1503" s="153" t="s">
        <v>415</v>
      </c>
      <c r="R1503" s="153" t="s">
        <v>407</v>
      </c>
      <c r="S1503" s="153" t="s">
        <v>1212</v>
      </c>
      <c r="T1503" s="154">
        <v>0.66</v>
      </c>
      <c r="U1503" s="153" t="s">
        <v>1836</v>
      </c>
      <c r="V1503" s="155">
        <v>6.8900000000000003E-3</v>
      </c>
      <c r="W1503" s="155">
        <v>2.7099999999999999E-2</v>
      </c>
      <c r="X1503" s="153" t="s">
        <v>412</v>
      </c>
      <c r="Y1503" s="153" t="s">
        <v>339</v>
      </c>
      <c r="Z1503" s="154">
        <v>1175312.42</v>
      </c>
      <c r="AA1503" s="154">
        <v>1</v>
      </c>
      <c r="AB1503" s="154">
        <v>113.12</v>
      </c>
      <c r="AD1503" s="154">
        <v>1329.5129999999999</v>
      </c>
      <c r="AG1503" s="157" t="s">
        <v>15</v>
      </c>
      <c r="AH1503" s="155">
        <v>3.8600000000000001E-3</v>
      </c>
      <c r="AI1503" s="155">
        <f t="shared" si="23"/>
        <v>1.7992701975545653E-3</v>
      </c>
      <c r="AJ1503" s="155">
        <v>3.9763951117482565E-4</v>
      </c>
    </row>
    <row r="1504" spans="1:36" s="160" customFormat="1">
      <c r="A1504" s="153" t="s">
        <v>1213</v>
      </c>
      <c r="B1504" s="160">
        <v>9302</v>
      </c>
      <c r="C1504" s="153" t="s">
        <v>3048</v>
      </c>
      <c r="D1504" s="153" t="s">
        <v>3049</v>
      </c>
      <c r="E1504" s="153" t="s">
        <v>309</v>
      </c>
      <c r="F1504" s="153" t="s">
        <v>3050</v>
      </c>
      <c r="G1504" s="153" t="s">
        <v>3051</v>
      </c>
      <c r="H1504" s="153" t="s">
        <v>321</v>
      </c>
      <c r="I1504" s="153" t="s">
        <v>951</v>
      </c>
      <c r="J1504" s="153" t="s">
        <v>204</v>
      </c>
      <c r="K1504" s="153" t="s">
        <v>204</v>
      </c>
      <c r="L1504" s="153" t="s">
        <v>325</v>
      </c>
      <c r="M1504" s="153" t="s">
        <v>340</v>
      </c>
      <c r="N1504" s="153" t="s">
        <v>463</v>
      </c>
      <c r="O1504" s="153" t="s">
        <v>339</v>
      </c>
      <c r="Q1504" s="153" t="s">
        <v>410</v>
      </c>
      <c r="R1504" s="153" t="s">
        <v>410</v>
      </c>
      <c r="S1504" s="153" t="s">
        <v>1212</v>
      </c>
      <c r="T1504" s="154">
        <v>3.6</v>
      </c>
      <c r="U1504" s="153" t="s">
        <v>1717</v>
      </c>
      <c r="V1504" s="155">
        <v>6.5350000000000005E-2</v>
      </c>
      <c r="W1504" s="155">
        <v>6.6900000000000001E-2</v>
      </c>
      <c r="X1504" s="153" t="s">
        <v>412</v>
      </c>
      <c r="Y1504" s="153" t="s">
        <v>339</v>
      </c>
      <c r="Z1504" s="154">
        <v>1248000</v>
      </c>
      <c r="AA1504" s="154">
        <v>1</v>
      </c>
      <c r="AB1504" s="154">
        <v>106.5</v>
      </c>
      <c r="AD1504" s="154">
        <v>1329.12</v>
      </c>
      <c r="AG1504" s="157" t="s">
        <v>15</v>
      </c>
      <c r="AH1504" s="155">
        <v>2.4E-2</v>
      </c>
      <c r="AI1504" s="155">
        <f t="shared" si="23"/>
        <v>1.7987383387554118E-3</v>
      </c>
      <c r="AJ1504" s="155">
        <v>3.9752197014446966E-4</v>
      </c>
    </row>
    <row r="1505" spans="1:36" s="160" customFormat="1">
      <c r="A1505" s="153" t="s">
        <v>1213</v>
      </c>
      <c r="B1505" s="160">
        <v>9302</v>
      </c>
      <c r="C1505" s="153" t="s">
        <v>2018</v>
      </c>
      <c r="D1505" s="153" t="s">
        <v>2019</v>
      </c>
      <c r="E1505" s="153" t="s">
        <v>309</v>
      </c>
      <c r="F1505" s="153" t="s">
        <v>2020</v>
      </c>
      <c r="G1505" s="153" t="s">
        <v>2021</v>
      </c>
      <c r="H1505" s="153" t="s">
        <v>321</v>
      </c>
      <c r="I1505" s="153" t="s">
        <v>951</v>
      </c>
      <c r="J1505" s="153" t="s">
        <v>204</v>
      </c>
      <c r="K1505" s="153" t="s">
        <v>204</v>
      </c>
      <c r="L1505" s="153" t="s">
        <v>325</v>
      </c>
      <c r="M1505" s="153" t="s">
        <v>340</v>
      </c>
      <c r="N1505" s="153" t="s">
        <v>451</v>
      </c>
      <c r="O1505" s="153" t="s">
        <v>339</v>
      </c>
      <c r="P1505" s="153" t="s">
        <v>1538</v>
      </c>
      <c r="Q1505" s="153" t="s">
        <v>413</v>
      </c>
      <c r="R1505" s="153" t="s">
        <v>407</v>
      </c>
      <c r="S1505" s="153" t="s">
        <v>1212</v>
      </c>
      <c r="T1505" s="154">
        <v>2.87</v>
      </c>
      <c r="U1505" s="153" t="s">
        <v>2022</v>
      </c>
      <c r="V1505" s="155">
        <v>4.8399999999999999E-2</v>
      </c>
      <c r="W1505" s="155">
        <v>5.4899999999999997E-2</v>
      </c>
      <c r="X1505" s="153" t="s">
        <v>412</v>
      </c>
      <c r="Y1505" s="153" t="s">
        <v>339</v>
      </c>
      <c r="Z1505" s="154">
        <v>1470000</v>
      </c>
      <c r="AA1505" s="154">
        <v>1</v>
      </c>
      <c r="AB1505" s="154">
        <v>89.72</v>
      </c>
      <c r="AD1505" s="154">
        <v>1318.884</v>
      </c>
      <c r="AG1505" s="157" t="s">
        <v>15</v>
      </c>
      <c r="AH1505" s="155">
        <v>4.7000000000000002E-3</v>
      </c>
      <c r="AI1505" s="155">
        <f t="shared" si="23"/>
        <v>1.7848856500324219E-3</v>
      </c>
      <c r="AJ1505" s="155">
        <v>3.944605197965712E-4</v>
      </c>
    </row>
    <row r="1506" spans="1:36" s="160" customFormat="1">
      <c r="A1506" s="153" t="s">
        <v>1213</v>
      </c>
      <c r="B1506" s="160">
        <v>9302</v>
      </c>
      <c r="C1506" s="153" t="s">
        <v>1998</v>
      </c>
      <c r="D1506" s="153" t="s">
        <v>1999</v>
      </c>
      <c r="E1506" s="153" t="s">
        <v>309</v>
      </c>
      <c r="F1506" s="153" t="s">
        <v>2000</v>
      </c>
      <c r="G1506" s="153" t="s">
        <v>2001</v>
      </c>
      <c r="H1506" s="153" t="s">
        <v>321</v>
      </c>
      <c r="I1506" s="153" t="s">
        <v>754</v>
      </c>
      <c r="J1506" s="153" t="s">
        <v>204</v>
      </c>
      <c r="K1506" s="153" t="s">
        <v>204</v>
      </c>
      <c r="L1506" s="153" t="s">
        <v>325</v>
      </c>
      <c r="M1506" s="153" t="s">
        <v>340</v>
      </c>
      <c r="N1506" s="153" t="s">
        <v>464</v>
      </c>
      <c r="O1506" s="153" t="s">
        <v>339</v>
      </c>
      <c r="P1506" s="153" t="s">
        <v>1560</v>
      </c>
      <c r="Q1506" s="153" t="s">
        <v>413</v>
      </c>
      <c r="R1506" s="153" t="s">
        <v>407</v>
      </c>
      <c r="S1506" s="153" t="s">
        <v>1212</v>
      </c>
      <c r="T1506" s="154">
        <v>3.2</v>
      </c>
      <c r="U1506" s="153" t="s">
        <v>1913</v>
      </c>
      <c r="V1506" s="155">
        <v>2.4920000000000001E-2</v>
      </c>
      <c r="W1506" s="155">
        <v>3.32E-2</v>
      </c>
      <c r="X1506" s="153" t="s">
        <v>412</v>
      </c>
      <c r="Y1506" s="153" t="s">
        <v>339</v>
      </c>
      <c r="Z1506" s="154">
        <v>1225717</v>
      </c>
      <c r="AA1506" s="154">
        <v>1</v>
      </c>
      <c r="AB1506" s="154">
        <v>105.81</v>
      </c>
      <c r="AD1506" s="154">
        <v>1296.931</v>
      </c>
      <c r="AG1506" s="157" t="s">
        <v>15</v>
      </c>
      <c r="AH1506" s="155">
        <v>2.8E-3</v>
      </c>
      <c r="AI1506" s="155">
        <f t="shared" si="23"/>
        <v>1.755175990445103E-3</v>
      </c>
      <c r="AJ1506" s="155">
        <v>3.8789467185915285E-4</v>
      </c>
    </row>
    <row r="1507" spans="1:36" s="160" customFormat="1">
      <c r="A1507" s="153" t="s">
        <v>1213</v>
      </c>
      <c r="B1507" s="160">
        <v>9302</v>
      </c>
      <c r="C1507" s="153" t="s">
        <v>1683</v>
      </c>
      <c r="D1507" s="153" t="s">
        <v>1684</v>
      </c>
      <c r="E1507" s="153" t="s">
        <v>309</v>
      </c>
      <c r="F1507" s="153" t="s">
        <v>2242</v>
      </c>
      <c r="G1507" s="153" t="s">
        <v>2243</v>
      </c>
      <c r="H1507" s="153" t="s">
        <v>321</v>
      </c>
      <c r="I1507" s="153" t="s">
        <v>952</v>
      </c>
      <c r="J1507" s="153" t="s">
        <v>204</v>
      </c>
      <c r="K1507" s="153" t="s">
        <v>204</v>
      </c>
      <c r="L1507" s="153" t="s">
        <v>325</v>
      </c>
      <c r="M1507" s="153" t="s">
        <v>340</v>
      </c>
      <c r="N1507" s="153" t="s">
        <v>441</v>
      </c>
      <c r="O1507" s="153" t="s">
        <v>339</v>
      </c>
      <c r="Q1507" s="153" t="s">
        <v>410</v>
      </c>
      <c r="R1507" s="153" t="s">
        <v>410</v>
      </c>
      <c r="S1507" s="153" t="s">
        <v>1212</v>
      </c>
      <c r="T1507" s="154">
        <v>3.85</v>
      </c>
      <c r="U1507" s="153" t="s">
        <v>1587</v>
      </c>
      <c r="V1507" s="155">
        <v>5.2839999999999998E-2</v>
      </c>
      <c r="W1507" s="155">
        <v>3.49E-2</v>
      </c>
      <c r="X1507" s="153" t="s">
        <v>412</v>
      </c>
      <c r="Y1507" s="153" t="s">
        <v>339</v>
      </c>
      <c r="Z1507" s="154">
        <v>1182000</v>
      </c>
      <c r="AA1507" s="154">
        <v>1</v>
      </c>
      <c r="AB1507" s="154">
        <v>107.3</v>
      </c>
      <c r="AD1507" s="154">
        <v>1268.2860000000001</v>
      </c>
      <c r="AG1507" s="157" t="s">
        <v>15</v>
      </c>
      <c r="AH1507" s="155">
        <v>2.8999999999999998E-3</v>
      </c>
      <c r="AI1507" s="155">
        <f t="shared" si="23"/>
        <v>1.7164098446391194E-3</v>
      </c>
      <c r="AJ1507" s="155">
        <v>3.7932733645317868E-4</v>
      </c>
    </row>
    <row r="1508" spans="1:36" s="160" customFormat="1">
      <c r="A1508" s="153" t="s">
        <v>1213</v>
      </c>
      <c r="B1508" s="160">
        <v>9302</v>
      </c>
      <c r="C1508" s="153" t="s">
        <v>2408</v>
      </c>
      <c r="D1508" s="153" t="s">
        <v>2409</v>
      </c>
      <c r="E1508" s="153" t="s">
        <v>309</v>
      </c>
      <c r="F1508" s="153" t="s">
        <v>2410</v>
      </c>
      <c r="G1508" s="153" t="s">
        <v>2411</v>
      </c>
      <c r="H1508" s="153" t="s">
        <v>321</v>
      </c>
      <c r="I1508" s="153" t="s">
        <v>951</v>
      </c>
      <c r="J1508" s="153" t="s">
        <v>204</v>
      </c>
      <c r="K1508" s="153" t="s">
        <v>204</v>
      </c>
      <c r="L1508" s="153" t="s">
        <v>325</v>
      </c>
      <c r="M1508" s="153" t="s">
        <v>340</v>
      </c>
      <c r="N1508" s="153" t="s">
        <v>451</v>
      </c>
      <c r="O1508" s="153" t="s">
        <v>339</v>
      </c>
      <c r="P1508" s="153" t="s">
        <v>1521</v>
      </c>
      <c r="Q1508" s="153" t="s">
        <v>413</v>
      </c>
      <c r="R1508" s="153" t="s">
        <v>407</v>
      </c>
      <c r="S1508" s="153" t="s">
        <v>1212</v>
      </c>
      <c r="T1508" s="154">
        <v>1.46</v>
      </c>
      <c r="U1508" s="153" t="s">
        <v>1522</v>
      </c>
      <c r="V1508" s="155">
        <v>5.4550000000000001E-2</v>
      </c>
      <c r="W1508" s="155">
        <v>5.8700000000000002E-2</v>
      </c>
      <c r="X1508" s="153" t="s">
        <v>412</v>
      </c>
      <c r="Y1508" s="153" t="s">
        <v>339</v>
      </c>
      <c r="Z1508" s="154">
        <v>1296331.5</v>
      </c>
      <c r="AA1508" s="154">
        <v>1</v>
      </c>
      <c r="AB1508" s="154">
        <v>97.35</v>
      </c>
      <c r="AD1508" s="154">
        <v>1261.979</v>
      </c>
      <c r="AG1508" s="157" t="s">
        <v>15</v>
      </c>
      <c r="AH1508" s="155">
        <v>2.2499999999999998E-3</v>
      </c>
      <c r="AI1508" s="155">
        <f t="shared" si="23"/>
        <v>1.7078743905773865E-3</v>
      </c>
      <c r="AJ1508" s="155">
        <v>3.7744099732224908E-4</v>
      </c>
    </row>
    <row r="1509" spans="1:36" s="160" customFormat="1">
      <c r="A1509" s="153" t="s">
        <v>1213</v>
      </c>
      <c r="B1509" s="160">
        <v>9302</v>
      </c>
      <c r="C1509" s="153" t="s">
        <v>1799</v>
      </c>
      <c r="D1509" s="153" t="s">
        <v>1800</v>
      </c>
      <c r="E1509" s="153" t="s">
        <v>309</v>
      </c>
      <c r="F1509" s="153" t="s">
        <v>1801</v>
      </c>
      <c r="G1509" s="153" t="s">
        <v>1802</v>
      </c>
      <c r="H1509" s="153" t="s">
        <v>321</v>
      </c>
      <c r="I1509" s="153" t="s">
        <v>754</v>
      </c>
      <c r="J1509" s="153" t="s">
        <v>204</v>
      </c>
      <c r="K1509" s="153" t="s">
        <v>204</v>
      </c>
      <c r="L1509" s="153" t="s">
        <v>325</v>
      </c>
      <c r="M1509" s="153" t="s">
        <v>340</v>
      </c>
      <c r="N1509" s="153" t="s">
        <v>464</v>
      </c>
      <c r="O1509" s="153" t="s">
        <v>339</v>
      </c>
      <c r="P1509" s="153" t="s">
        <v>1538</v>
      </c>
      <c r="Q1509" s="153" t="s">
        <v>413</v>
      </c>
      <c r="R1509" s="153" t="s">
        <v>407</v>
      </c>
      <c r="S1509" s="153" t="s">
        <v>1212</v>
      </c>
      <c r="T1509" s="154">
        <v>4.75</v>
      </c>
      <c r="U1509" s="153" t="s">
        <v>1803</v>
      </c>
      <c r="V1509" s="155">
        <v>2.5520000000000001E-2</v>
      </c>
      <c r="W1509" s="155">
        <v>2.92E-2</v>
      </c>
      <c r="X1509" s="153" t="s">
        <v>412</v>
      </c>
      <c r="Y1509" s="153" t="s">
        <v>339</v>
      </c>
      <c r="Z1509" s="154">
        <v>1197186.81</v>
      </c>
      <c r="AA1509" s="154">
        <v>1</v>
      </c>
      <c r="AB1509" s="154">
        <v>104.22</v>
      </c>
      <c r="AD1509" s="154">
        <v>1247.7080000000001</v>
      </c>
      <c r="AG1509" s="157" t="s">
        <v>15</v>
      </c>
      <c r="AH1509" s="155">
        <v>1.5100000000000001E-3</v>
      </c>
      <c r="AI1509" s="155">
        <f t="shared" si="23"/>
        <v>1.6885610141836986E-3</v>
      </c>
      <c r="AJ1509" s="155">
        <v>3.731727325787107E-4</v>
      </c>
    </row>
    <row r="1510" spans="1:36" s="160" customFormat="1">
      <c r="A1510" s="153" t="s">
        <v>1213</v>
      </c>
      <c r="B1510" s="160">
        <v>9302</v>
      </c>
      <c r="C1510" s="153" t="s">
        <v>2824</v>
      </c>
      <c r="D1510" s="153" t="s">
        <v>2825</v>
      </c>
      <c r="E1510" s="153" t="s">
        <v>309</v>
      </c>
      <c r="F1510" s="153" t="s">
        <v>2997</v>
      </c>
      <c r="G1510" s="153" t="s">
        <v>2998</v>
      </c>
      <c r="H1510" s="153" t="s">
        <v>321</v>
      </c>
      <c r="I1510" s="153" t="s">
        <v>951</v>
      </c>
      <c r="J1510" s="153" t="s">
        <v>204</v>
      </c>
      <c r="K1510" s="153" t="s">
        <v>204</v>
      </c>
      <c r="L1510" s="159" t="s">
        <v>325</v>
      </c>
      <c r="M1510" s="153" t="s">
        <v>340</v>
      </c>
      <c r="N1510" s="153" t="s">
        <v>463</v>
      </c>
      <c r="O1510" s="153" t="s">
        <v>339</v>
      </c>
      <c r="P1510" s="153" t="s">
        <v>1521</v>
      </c>
      <c r="Q1510" s="153" t="s">
        <v>413</v>
      </c>
      <c r="R1510" s="153" t="s">
        <v>407</v>
      </c>
      <c r="S1510" s="153" t="s">
        <v>1212</v>
      </c>
      <c r="T1510" s="154">
        <v>1</v>
      </c>
      <c r="U1510" s="153" t="s">
        <v>2999</v>
      </c>
      <c r="V1510" s="155">
        <v>5.7579999999999999E-2</v>
      </c>
      <c r="W1510" s="155">
        <v>5.7299999999999997E-2</v>
      </c>
      <c r="X1510" s="177"/>
      <c r="Y1510" s="177"/>
      <c r="Z1510" s="154">
        <v>815764</v>
      </c>
      <c r="AA1510" s="154">
        <v>1</v>
      </c>
      <c r="AB1510" s="154">
        <v>97.76</v>
      </c>
      <c r="AC1510" s="154">
        <v>449.84500000000003</v>
      </c>
      <c r="AD1510" s="154">
        <v>1247.336</v>
      </c>
      <c r="AG1510" s="157" t="s">
        <v>15</v>
      </c>
      <c r="AH1510" s="155">
        <v>1.187E-2</v>
      </c>
      <c r="AI1510" s="155">
        <f t="shared" si="23"/>
        <v>1.6880575753203777E-3</v>
      </c>
      <c r="AJ1510" s="155">
        <v>3.7306147236677064E-4</v>
      </c>
    </row>
    <row r="1511" spans="1:36" s="160" customFormat="1">
      <c r="A1511" s="153" t="s">
        <v>1213</v>
      </c>
      <c r="B1511" s="160">
        <v>9302</v>
      </c>
      <c r="C1511" s="153" t="s">
        <v>2445</v>
      </c>
      <c r="D1511" s="153" t="s">
        <v>2446</v>
      </c>
      <c r="E1511" s="153" t="s">
        <v>309</v>
      </c>
      <c r="F1511" s="153" t="s">
        <v>2447</v>
      </c>
      <c r="G1511" s="153" t="s">
        <v>2448</v>
      </c>
      <c r="H1511" s="153" t="s">
        <v>321</v>
      </c>
      <c r="I1511" s="153" t="s">
        <v>951</v>
      </c>
      <c r="J1511" s="153" t="s">
        <v>204</v>
      </c>
      <c r="K1511" s="153" t="s">
        <v>204</v>
      </c>
      <c r="L1511" s="153" t="s">
        <v>325</v>
      </c>
      <c r="M1511" s="153" t="s">
        <v>340</v>
      </c>
      <c r="N1511" s="153" t="s">
        <v>440</v>
      </c>
      <c r="O1511" s="153" t="s">
        <v>339</v>
      </c>
      <c r="P1511" s="153" t="s">
        <v>1614</v>
      </c>
      <c r="Q1511" s="153" t="s">
        <v>415</v>
      </c>
      <c r="R1511" s="153" t="s">
        <v>407</v>
      </c>
      <c r="S1511" s="153" t="s">
        <v>1212</v>
      </c>
      <c r="T1511" s="154">
        <v>1.92</v>
      </c>
      <c r="U1511" s="153" t="s">
        <v>1370</v>
      </c>
      <c r="V1511" s="155">
        <v>5.9249999999999997E-2</v>
      </c>
      <c r="W1511" s="155">
        <v>5.7599999999999998E-2</v>
      </c>
      <c r="X1511" s="153" t="s">
        <v>412</v>
      </c>
      <c r="Y1511" s="153" t="s">
        <v>339</v>
      </c>
      <c r="Z1511" s="154">
        <v>1285000</v>
      </c>
      <c r="AA1511" s="154">
        <v>1</v>
      </c>
      <c r="AB1511" s="154">
        <v>95.6</v>
      </c>
      <c r="AD1511" s="154">
        <v>1228.46</v>
      </c>
      <c r="AG1511" s="157" t="s">
        <v>15</v>
      </c>
      <c r="AH1511" s="155">
        <v>1.8E-3</v>
      </c>
      <c r="AI1511" s="155">
        <f t="shared" si="23"/>
        <v>1.6625121129976777E-3</v>
      </c>
      <c r="AJ1511" s="155">
        <v>3.674159138705875E-4</v>
      </c>
    </row>
    <row r="1512" spans="1:36" s="160" customFormat="1">
      <c r="A1512" s="153" t="s">
        <v>1213</v>
      </c>
      <c r="B1512" s="160">
        <v>9302</v>
      </c>
      <c r="C1512" s="153" t="s">
        <v>1782</v>
      </c>
      <c r="D1512" s="153" t="s">
        <v>1783</v>
      </c>
      <c r="E1512" s="153" t="s">
        <v>309</v>
      </c>
      <c r="F1512" s="153" t="s">
        <v>1784</v>
      </c>
      <c r="G1512" s="153" t="s">
        <v>1785</v>
      </c>
      <c r="H1512" s="153" t="s">
        <v>321</v>
      </c>
      <c r="I1512" s="153" t="s">
        <v>952</v>
      </c>
      <c r="J1512" s="153" t="s">
        <v>204</v>
      </c>
      <c r="K1512" s="153" t="s">
        <v>204</v>
      </c>
      <c r="L1512" s="153" t="s">
        <v>325</v>
      </c>
      <c r="M1512" s="153" t="s">
        <v>340</v>
      </c>
      <c r="N1512" s="153" t="s">
        <v>461</v>
      </c>
      <c r="O1512" s="153" t="s">
        <v>339</v>
      </c>
      <c r="Q1512" s="153" t="s">
        <v>410</v>
      </c>
      <c r="R1512" s="153" t="s">
        <v>410</v>
      </c>
      <c r="S1512" s="153" t="s">
        <v>1212</v>
      </c>
      <c r="T1512" s="154">
        <v>3.43</v>
      </c>
      <c r="U1512" s="153" t="s">
        <v>1744</v>
      </c>
      <c r="V1512" s="155">
        <v>4.7030000000000002E-2</v>
      </c>
      <c r="W1512" s="155">
        <v>0.05</v>
      </c>
      <c r="X1512" s="153" t="s">
        <v>412</v>
      </c>
      <c r="Y1512" s="153" t="s">
        <v>339</v>
      </c>
      <c r="Z1512" s="154">
        <v>1213000</v>
      </c>
      <c r="AA1512" s="154">
        <v>1</v>
      </c>
      <c r="AB1512" s="154">
        <v>100.9</v>
      </c>
      <c r="AD1512" s="154">
        <v>1223.9169999999999</v>
      </c>
      <c r="AG1512" s="157" t="s">
        <v>15</v>
      </c>
      <c r="AH1512" s="155">
        <v>4.0400000000000002E-3</v>
      </c>
      <c r="AI1512" s="155">
        <f t="shared" si="23"/>
        <v>1.6563639335458854E-3</v>
      </c>
      <c r="AJ1512" s="155">
        <v>3.6605716348659929E-4</v>
      </c>
    </row>
    <row r="1513" spans="1:36" s="160" customFormat="1">
      <c r="A1513" s="153" t="s">
        <v>1213</v>
      </c>
      <c r="B1513" s="160">
        <v>9302</v>
      </c>
      <c r="C1513" s="153" t="s">
        <v>2238</v>
      </c>
      <c r="D1513" s="153" t="s">
        <v>2239</v>
      </c>
      <c r="E1513" s="153" t="s">
        <v>309</v>
      </c>
      <c r="F1513" s="153" t="s">
        <v>2794</v>
      </c>
      <c r="G1513" s="153" t="s">
        <v>2795</v>
      </c>
      <c r="H1513" s="153" t="s">
        <v>321</v>
      </c>
      <c r="I1513" s="153" t="s">
        <v>951</v>
      </c>
      <c r="J1513" s="153" t="s">
        <v>204</v>
      </c>
      <c r="K1513" s="153" t="s">
        <v>204</v>
      </c>
      <c r="L1513" s="153" t="s">
        <v>325</v>
      </c>
      <c r="M1513" s="153" t="s">
        <v>340</v>
      </c>
      <c r="N1513" s="153" t="s">
        <v>447</v>
      </c>
      <c r="O1513" s="153" t="s">
        <v>339</v>
      </c>
      <c r="P1513" s="153" t="s">
        <v>1544</v>
      </c>
      <c r="Q1513" s="153" t="s">
        <v>415</v>
      </c>
      <c r="R1513" s="153" t="s">
        <v>407</v>
      </c>
      <c r="S1513" s="153" t="s">
        <v>1212</v>
      </c>
      <c r="T1513" s="154">
        <v>0.74</v>
      </c>
      <c r="U1513" s="153" t="s">
        <v>1848</v>
      </c>
      <c r="V1513" s="155">
        <v>5.4769999999999999E-2</v>
      </c>
      <c r="W1513" s="155">
        <v>5.4600000000000003E-2</v>
      </c>
      <c r="X1513" s="153" t="s">
        <v>412</v>
      </c>
      <c r="Y1513" s="153" t="s">
        <v>339</v>
      </c>
      <c r="Z1513" s="154">
        <v>1196168.0900000001</v>
      </c>
      <c r="AA1513" s="154">
        <v>1</v>
      </c>
      <c r="AB1513" s="154">
        <v>100.18</v>
      </c>
      <c r="AD1513" s="154">
        <v>1198.3209999999999</v>
      </c>
      <c r="AG1513" s="157" t="s">
        <v>15</v>
      </c>
      <c r="AH1513" s="155">
        <v>1.146E-2</v>
      </c>
      <c r="AI1513" s="155">
        <f t="shared" si="23"/>
        <v>1.6217240917567441E-3</v>
      </c>
      <c r="AJ1513" s="155">
        <v>3.5840174309730575E-4</v>
      </c>
    </row>
    <row r="1514" spans="1:36" s="160" customFormat="1">
      <c r="A1514" s="153" t="s">
        <v>1213</v>
      </c>
      <c r="B1514" s="160">
        <v>9302</v>
      </c>
      <c r="C1514" s="153" t="s">
        <v>2967</v>
      </c>
      <c r="D1514" s="153" t="s">
        <v>2968</v>
      </c>
      <c r="E1514" s="153" t="s">
        <v>309</v>
      </c>
      <c r="F1514" s="153" t="s">
        <v>2969</v>
      </c>
      <c r="G1514" s="153" t="s">
        <v>2970</v>
      </c>
      <c r="H1514" s="153" t="s">
        <v>321</v>
      </c>
      <c r="I1514" s="153" t="s">
        <v>754</v>
      </c>
      <c r="J1514" s="153" t="s">
        <v>204</v>
      </c>
      <c r="K1514" s="153" t="s">
        <v>204</v>
      </c>
      <c r="L1514" s="153" t="s">
        <v>325</v>
      </c>
      <c r="M1514" s="153" t="s">
        <v>340</v>
      </c>
      <c r="N1514" s="153" t="s">
        <v>464</v>
      </c>
      <c r="O1514" s="153" t="s">
        <v>339</v>
      </c>
      <c r="Q1514" s="153" t="s">
        <v>410</v>
      </c>
      <c r="R1514" s="153" t="s">
        <v>410</v>
      </c>
      <c r="S1514" s="153" t="s">
        <v>1212</v>
      </c>
      <c r="T1514" s="154">
        <v>5.25</v>
      </c>
      <c r="U1514" s="153" t="s">
        <v>1717</v>
      </c>
      <c r="V1514" s="155">
        <v>3.8260000000000002E-2</v>
      </c>
      <c r="W1514" s="155">
        <v>4.2099999999999999E-2</v>
      </c>
      <c r="X1514" s="153" t="s">
        <v>412</v>
      </c>
      <c r="Y1514" s="153" t="s">
        <v>339</v>
      </c>
      <c r="Z1514" s="154">
        <v>1245536.19</v>
      </c>
      <c r="AA1514" s="154">
        <v>1</v>
      </c>
      <c r="AB1514" s="154">
        <v>95.16</v>
      </c>
      <c r="AD1514" s="154">
        <v>1185.252</v>
      </c>
      <c r="AG1514" s="157" t="s">
        <v>15</v>
      </c>
      <c r="AH1514" s="155">
        <v>4.8599999999999997E-3</v>
      </c>
      <c r="AI1514" s="155">
        <f t="shared" si="23"/>
        <v>1.6040374183569049E-3</v>
      </c>
      <c r="AJ1514" s="155">
        <v>3.5449298043643384E-4</v>
      </c>
    </row>
    <row r="1515" spans="1:36" s="160" customFormat="1">
      <c r="A1515" s="153" t="s">
        <v>1213</v>
      </c>
      <c r="B1515" s="160">
        <v>9302</v>
      </c>
      <c r="C1515" s="153" t="s">
        <v>2812</v>
      </c>
      <c r="D1515" s="153" t="s">
        <v>2813</v>
      </c>
      <c r="E1515" s="153" t="s">
        <v>309</v>
      </c>
      <c r="F1515" s="153" t="s">
        <v>3012</v>
      </c>
      <c r="G1515" s="153" t="s">
        <v>3013</v>
      </c>
      <c r="H1515" s="153" t="s">
        <v>321</v>
      </c>
      <c r="I1515" s="153" t="s">
        <v>951</v>
      </c>
      <c r="J1515" s="153" t="s">
        <v>204</v>
      </c>
      <c r="K1515" s="153" t="s">
        <v>204</v>
      </c>
      <c r="L1515" s="153" t="s">
        <v>325</v>
      </c>
      <c r="M1515" s="153" t="s">
        <v>340</v>
      </c>
      <c r="N1515" s="153" t="s">
        <v>447</v>
      </c>
      <c r="O1515" s="153" t="s">
        <v>339</v>
      </c>
      <c r="P1515" s="153" t="s">
        <v>1614</v>
      </c>
      <c r="Q1515" s="153" t="s">
        <v>415</v>
      </c>
      <c r="R1515" s="153" t="s">
        <v>407</v>
      </c>
      <c r="S1515" s="153" t="s">
        <v>1212</v>
      </c>
      <c r="T1515" s="154">
        <v>0.5</v>
      </c>
      <c r="U1515" s="153" t="s">
        <v>3014</v>
      </c>
      <c r="V1515" s="155">
        <v>5.5120000000000002E-2</v>
      </c>
      <c r="W1515" s="155">
        <v>5.8900000000000001E-2</v>
      </c>
      <c r="X1515" s="153" t="s">
        <v>412</v>
      </c>
      <c r="Y1515" s="153" t="s">
        <v>339</v>
      </c>
      <c r="Z1515" s="154">
        <v>1191326.17</v>
      </c>
      <c r="AA1515" s="154">
        <v>1</v>
      </c>
      <c r="AB1515" s="154">
        <v>98.54</v>
      </c>
      <c r="AD1515" s="154">
        <v>1173.933</v>
      </c>
      <c r="AG1515" s="157" t="s">
        <v>15</v>
      </c>
      <c r="AH1515" s="155">
        <v>1.3350000000000001E-2</v>
      </c>
      <c r="AI1515" s="155">
        <f t="shared" si="23"/>
        <v>1.5887190729431178E-3</v>
      </c>
      <c r="AJ1515" s="155">
        <v>3.5110761931022612E-4</v>
      </c>
    </row>
    <row r="1516" spans="1:36" s="160" customFormat="1">
      <c r="A1516" s="153" t="s">
        <v>1213</v>
      </c>
      <c r="B1516" s="160">
        <v>9302</v>
      </c>
      <c r="C1516" s="153" t="s">
        <v>2223</v>
      </c>
      <c r="D1516" s="153" t="s">
        <v>2224</v>
      </c>
      <c r="E1516" s="153" t="s">
        <v>309</v>
      </c>
      <c r="F1516" s="153" t="s">
        <v>3068</v>
      </c>
      <c r="G1516" s="153" t="s">
        <v>3069</v>
      </c>
      <c r="H1516" s="153" t="s">
        <v>321</v>
      </c>
      <c r="I1516" s="153" t="s">
        <v>951</v>
      </c>
      <c r="J1516" s="153" t="s">
        <v>204</v>
      </c>
      <c r="K1516" s="153" t="s">
        <v>204</v>
      </c>
      <c r="L1516" s="153" t="s">
        <v>325</v>
      </c>
      <c r="M1516" s="153" t="s">
        <v>340</v>
      </c>
      <c r="N1516" s="153" t="s">
        <v>464</v>
      </c>
      <c r="O1516" s="153" t="s">
        <v>339</v>
      </c>
      <c r="P1516" s="153" t="s">
        <v>1538</v>
      </c>
      <c r="Q1516" s="153" t="s">
        <v>413</v>
      </c>
      <c r="R1516" s="153" t="s">
        <v>407</v>
      </c>
      <c r="S1516" s="153" t="s">
        <v>1212</v>
      </c>
      <c r="T1516" s="154">
        <v>0.73</v>
      </c>
      <c r="U1516" s="153" t="s">
        <v>3070</v>
      </c>
      <c r="V1516" s="155">
        <v>4.8910000000000002E-2</v>
      </c>
      <c r="W1516" s="155">
        <v>4.8800000000000003E-2</v>
      </c>
      <c r="X1516" s="153" t="s">
        <v>412</v>
      </c>
      <c r="Y1516" s="153" t="s">
        <v>339</v>
      </c>
      <c r="Z1516" s="154">
        <v>1156742</v>
      </c>
      <c r="AA1516" s="154">
        <v>1</v>
      </c>
      <c r="AB1516" s="154">
        <v>99.04</v>
      </c>
      <c r="AD1516" s="154">
        <v>1145.6369999999999</v>
      </c>
      <c r="AG1516" s="157" t="s">
        <v>15</v>
      </c>
      <c r="AH1516" s="155">
        <v>1.7239999999999998E-2</v>
      </c>
      <c r="AI1516" s="155">
        <f t="shared" si="23"/>
        <v>1.5504252394040671E-3</v>
      </c>
      <c r="AJ1516" s="155">
        <v>3.4264466512459355E-4</v>
      </c>
    </row>
    <row r="1517" spans="1:36" s="160" customFormat="1">
      <c r="A1517" s="153" t="s">
        <v>1213</v>
      </c>
      <c r="B1517" s="160">
        <v>9302</v>
      </c>
      <c r="C1517" s="153" t="s">
        <v>2228</v>
      </c>
      <c r="D1517" s="153" t="s">
        <v>2229</v>
      </c>
      <c r="E1517" s="153" t="s">
        <v>309</v>
      </c>
      <c r="F1517" s="153" t="s">
        <v>2230</v>
      </c>
      <c r="G1517" s="153" t="s">
        <v>2231</v>
      </c>
      <c r="H1517" s="153" t="s">
        <v>321</v>
      </c>
      <c r="I1517" s="153" t="s">
        <v>951</v>
      </c>
      <c r="J1517" s="153" t="s">
        <v>204</v>
      </c>
      <c r="K1517" s="153" t="s">
        <v>204</v>
      </c>
      <c r="L1517" s="153" t="s">
        <v>325</v>
      </c>
      <c r="M1517" s="153" t="s">
        <v>340</v>
      </c>
      <c r="N1517" s="153" t="s">
        <v>441</v>
      </c>
      <c r="O1517" s="153" t="s">
        <v>339</v>
      </c>
      <c r="P1517" s="153" t="s">
        <v>1614</v>
      </c>
      <c r="Q1517" s="153" t="s">
        <v>415</v>
      </c>
      <c r="R1517" s="153" t="s">
        <v>407</v>
      </c>
      <c r="S1517" s="153" t="s">
        <v>1212</v>
      </c>
      <c r="T1517" s="154">
        <v>1.74</v>
      </c>
      <c r="U1517" s="153" t="s">
        <v>2232</v>
      </c>
      <c r="V1517" s="155">
        <v>3.5310000000000001E-2</v>
      </c>
      <c r="W1517" s="155">
        <v>5.7200000000000001E-2</v>
      </c>
      <c r="X1517" s="153" t="s">
        <v>412</v>
      </c>
      <c r="Y1517" s="153" t="s">
        <v>339</v>
      </c>
      <c r="Z1517" s="154">
        <v>1182255.8799999999</v>
      </c>
      <c r="AA1517" s="154">
        <v>1</v>
      </c>
      <c r="AB1517" s="154">
        <v>96.61</v>
      </c>
      <c r="AD1517" s="154">
        <v>1142.1769999999999</v>
      </c>
      <c r="AG1517" s="157" t="s">
        <v>15</v>
      </c>
      <c r="AH1517" s="155">
        <v>1.8400000000000001E-3</v>
      </c>
      <c r="AI1517" s="155">
        <f t="shared" si="23"/>
        <v>1.545742716643072E-3</v>
      </c>
      <c r="AJ1517" s="155">
        <v>3.4160982551891472E-4</v>
      </c>
    </row>
    <row r="1518" spans="1:36" s="160" customFormat="1">
      <c r="A1518" s="153" t="s">
        <v>1213</v>
      </c>
      <c r="B1518" s="160">
        <v>9302</v>
      </c>
      <c r="C1518" s="153" t="s">
        <v>2835</v>
      </c>
      <c r="D1518" s="153" t="s">
        <v>2836</v>
      </c>
      <c r="E1518" s="153" t="s">
        <v>309</v>
      </c>
      <c r="F1518" s="153" t="s">
        <v>3033</v>
      </c>
      <c r="G1518" s="153" t="s">
        <v>3034</v>
      </c>
      <c r="H1518" s="153" t="s">
        <v>321</v>
      </c>
      <c r="I1518" s="153" t="s">
        <v>951</v>
      </c>
      <c r="J1518" s="153" t="s">
        <v>204</v>
      </c>
      <c r="K1518" s="153" t="s">
        <v>204</v>
      </c>
      <c r="L1518" s="153" t="s">
        <v>325</v>
      </c>
      <c r="M1518" s="153" t="s">
        <v>340</v>
      </c>
      <c r="N1518" s="153" t="s">
        <v>466</v>
      </c>
      <c r="O1518" s="153" t="s">
        <v>339</v>
      </c>
      <c r="P1518" s="153" t="s">
        <v>1521</v>
      </c>
      <c r="Q1518" s="153" t="s">
        <v>413</v>
      </c>
      <c r="R1518" s="153" t="s">
        <v>407</v>
      </c>
      <c r="S1518" s="153" t="s">
        <v>1212</v>
      </c>
      <c r="T1518" s="154">
        <v>0.25</v>
      </c>
      <c r="U1518" s="153" t="s">
        <v>2541</v>
      </c>
      <c r="V1518" s="155">
        <v>5.6149999999999999E-2</v>
      </c>
      <c r="W1518" s="155">
        <v>5.74E-2</v>
      </c>
      <c r="X1518" s="153" t="s">
        <v>412</v>
      </c>
      <c r="Y1518" s="153" t="s">
        <v>339</v>
      </c>
      <c r="Z1518" s="154">
        <v>1129971.07</v>
      </c>
      <c r="AA1518" s="154">
        <v>1</v>
      </c>
      <c r="AB1518" s="154">
        <v>100.96</v>
      </c>
      <c r="AD1518" s="154">
        <v>1140.819</v>
      </c>
      <c r="AG1518" s="157" t="s">
        <v>15</v>
      </c>
      <c r="AH1518" s="155">
        <v>1.3480000000000001E-2</v>
      </c>
      <c r="AI1518" s="155">
        <f t="shared" si="23"/>
        <v>1.5439048941258955E-3</v>
      </c>
      <c r="AJ1518" s="155">
        <v>3.4120366592801531E-4</v>
      </c>
    </row>
    <row r="1519" spans="1:36" s="160" customFormat="1">
      <c r="A1519" s="153" t="s">
        <v>1213</v>
      </c>
      <c r="B1519" s="160">
        <v>9302</v>
      </c>
      <c r="C1519" s="153" t="s">
        <v>2951</v>
      </c>
      <c r="D1519" s="153" t="s">
        <v>2952</v>
      </c>
      <c r="E1519" s="153" t="s">
        <v>309</v>
      </c>
      <c r="F1519" s="153" t="s">
        <v>2953</v>
      </c>
      <c r="G1519" s="153" t="s">
        <v>2954</v>
      </c>
      <c r="H1519" s="153" t="s">
        <v>321</v>
      </c>
      <c r="I1519" s="153" t="s">
        <v>951</v>
      </c>
      <c r="J1519" s="153" t="s">
        <v>204</v>
      </c>
      <c r="K1519" s="153" t="s">
        <v>204</v>
      </c>
      <c r="L1519" s="153" t="s">
        <v>325</v>
      </c>
      <c r="M1519" s="153" t="s">
        <v>340</v>
      </c>
      <c r="N1519" s="153" t="s">
        <v>454</v>
      </c>
      <c r="O1519" s="153" t="s">
        <v>339</v>
      </c>
      <c r="P1519" s="153" t="s">
        <v>1538</v>
      </c>
      <c r="Q1519" s="153" t="s">
        <v>413</v>
      </c>
      <c r="R1519" s="153" t="s">
        <v>407</v>
      </c>
      <c r="S1519" s="153" t="s">
        <v>1212</v>
      </c>
      <c r="T1519" s="154">
        <v>0.32</v>
      </c>
      <c r="U1519" s="153" t="s">
        <v>2955</v>
      </c>
      <c r="V1519" s="155">
        <v>2.3640000000000001E-2</v>
      </c>
      <c r="W1519" s="155">
        <v>4.7399999999999998E-2</v>
      </c>
      <c r="X1519" s="153" t="s">
        <v>412</v>
      </c>
      <c r="Y1519" s="153" t="s">
        <v>339</v>
      </c>
      <c r="Z1519" s="154">
        <v>1111354.19</v>
      </c>
      <c r="AA1519" s="154">
        <v>1</v>
      </c>
      <c r="AB1519" s="154">
        <v>99.69</v>
      </c>
      <c r="AD1519" s="154">
        <v>1107.9090000000001</v>
      </c>
      <c r="AG1519" s="157" t="s">
        <v>15</v>
      </c>
      <c r="AH1519" s="155">
        <v>3.5279999999999999E-2</v>
      </c>
      <c r="AI1519" s="155">
        <f t="shared" si="23"/>
        <v>1.499366794685333E-3</v>
      </c>
      <c r="AJ1519" s="155">
        <v>3.3136072621041689E-4</v>
      </c>
    </row>
    <row r="1520" spans="1:36" s="160" customFormat="1">
      <c r="A1520" s="153" t="s">
        <v>1213</v>
      </c>
      <c r="B1520" s="160">
        <v>9302</v>
      </c>
      <c r="C1520" s="153" t="s">
        <v>2336</v>
      </c>
      <c r="D1520" s="153" t="s">
        <v>2337</v>
      </c>
      <c r="E1520" s="153" t="s">
        <v>309</v>
      </c>
      <c r="F1520" s="153" t="s">
        <v>2338</v>
      </c>
      <c r="G1520" s="153" t="s">
        <v>2339</v>
      </c>
      <c r="H1520" s="153" t="s">
        <v>321</v>
      </c>
      <c r="I1520" s="153" t="s">
        <v>754</v>
      </c>
      <c r="J1520" s="153" t="s">
        <v>204</v>
      </c>
      <c r="K1520" s="153" t="s">
        <v>204</v>
      </c>
      <c r="L1520" s="153" t="s">
        <v>325</v>
      </c>
      <c r="M1520" s="153" t="s">
        <v>340</v>
      </c>
      <c r="N1520" s="153" t="s">
        <v>464</v>
      </c>
      <c r="O1520" s="153" t="s">
        <v>339</v>
      </c>
      <c r="P1520" s="153" t="s">
        <v>1982</v>
      </c>
      <c r="Q1520" s="153" t="s">
        <v>415</v>
      </c>
      <c r="R1520" s="153" t="s">
        <v>407</v>
      </c>
      <c r="S1520" s="153" t="s">
        <v>1212</v>
      </c>
      <c r="T1520" s="154">
        <v>5.84</v>
      </c>
      <c r="U1520" s="153" t="s">
        <v>2340</v>
      </c>
      <c r="V1520" s="155">
        <v>1.9189999999999999E-2</v>
      </c>
      <c r="W1520" s="155">
        <v>3.39E-2</v>
      </c>
      <c r="X1520" s="153" t="s">
        <v>412</v>
      </c>
      <c r="Y1520" s="153" t="s">
        <v>339</v>
      </c>
      <c r="Z1520" s="154">
        <v>1050919.33</v>
      </c>
      <c r="AA1520" s="154">
        <v>1</v>
      </c>
      <c r="AB1520" s="154">
        <v>104.08</v>
      </c>
      <c r="AD1520" s="154">
        <v>1093.797</v>
      </c>
      <c r="AG1520" s="157" t="s">
        <v>15</v>
      </c>
      <c r="AH1520" s="155">
        <v>8.4999999999999995E-4</v>
      </c>
      <c r="AI1520" s="155">
        <f t="shared" si="23"/>
        <v>1.4802685978058062E-3</v>
      </c>
      <c r="AJ1520" s="155">
        <v>3.2714001623488509E-4</v>
      </c>
    </row>
    <row r="1521" spans="1:36" s="160" customFormat="1">
      <c r="A1521" s="153" t="s">
        <v>1213</v>
      </c>
      <c r="B1521" s="160">
        <v>9302</v>
      </c>
      <c r="C1521" s="153" t="s">
        <v>2396</v>
      </c>
      <c r="D1521" s="153" t="s">
        <v>2397</v>
      </c>
      <c r="E1521" s="153" t="s">
        <v>309</v>
      </c>
      <c r="F1521" s="153" t="s">
        <v>2452</v>
      </c>
      <c r="G1521" s="153" t="s">
        <v>2453</v>
      </c>
      <c r="H1521" s="153" t="s">
        <v>321</v>
      </c>
      <c r="I1521" s="153" t="s">
        <v>754</v>
      </c>
      <c r="J1521" s="153" t="s">
        <v>204</v>
      </c>
      <c r="K1521" s="153" t="s">
        <v>204</v>
      </c>
      <c r="L1521" s="153" t="s">
        <v>325</v>
      </c>
      <c r="M1521" s="153" t="s">
        <v>340</v>
      </c>
      <c r="N1521" s="153" t="s">
        <v>451</v>
      </c>
      <c r="O1521" s="153" t="s">
        <v>339</v>
      </c>
      <c r="P1521" s="153" t="s">
        <v>1521</v>
      </c>
      <c r="Q1521" s="153" t="s">
        <v>413</v>
      </c>
      <c r="R1521" s="153" t="s">
        <v>407</v>
      </c>
      <c r="S1521" s="153" t="s">
        <v>1212</v>
      </c>
      <c r="T1521" s="154">
        <v>3.82</v>
      </c>
      <c r="U1521" s="153" t="s">
        <v>1555</v>
      </c>
      <c r="V1521" s="155">
        <v>1.089E-2</v>
      </c>
      <c r="W1521" s="155">
        <v>3.4799999999999998E-2</v>
      </c>
      <c r="X1521" s="153" t="s">
        <v>412</v>
      </c>
      <c r="Y1521" s="153" t="s">
        <v>339</v>
      </c>
      <c r="Z1521" s="154">
        <v>1044735.27</v>
      </c>
      <c r="AA1521" s="154">
        <v>1</v>
      </c>
      <c r="AB1521" s="154">
        <v>102.79</v>
      </c>
      <c r="AD1521" s="154">
        <v>1073.883</v>
      </c>
      <c r="AG1521" s="157" t="s">
        <v>15</v>
      </c>
      <c r="AH1521" s="155">
        <v>2.31E-3</v>
      </c>
      <c r="AI1521" s="155">
        <f t="shared" si="23"/>
        <v>1.4533183786548077E-3</v>
      </c>
      <c r="AJ1521" s="155">
        <v>3.2118400585699828E-4</v>
      </c>
    </row>
    <row r="1522" spans="1:36" s="160" customFormat="1">
      <c r="A1522" s="153" t="s">
        <v>1213</v>
      </c>
      <c r="B1522" s="160">
        <v>9302</v>
      </c>
      <c r="C1522" s="153" t="s">
        <v>2361</v>
      </c>
      <c r="D1522" s="153" t="s">
        <v>2362</v>
      </c>
      <c r="E1522" s="153" t="s">
        <v>309</v>
      </c>
      <c r="F1522" s="153" t="s">
        <v>2363</v>
      </c>
      <c r="G1522" s="153" t="s">
        <v>2364</v>
      </c>
      <c r="H1522" s="153" t="s">
        <v>321</v>
      </c>
      <c r="I1522" s="153" t="s">
        <v>951</v>
      </c>
      <c r="J1522" s="153" t="s">
        <v>204</v>
      </c>
      <c r="K1522" s="153" t="s">
        <v>204</v>
      </c>
      <c r="L1522" s="153" t="s">
        <v>325</v>
      </c>
      <c r="M1522" s="153" t="s">
        <v>340</v>
      </c>
      <c r="N1522" s="153" t="s">
        <v>446</v>
      </c>
      <c r="O1522" s="153" t="s">
        <v>339</v>
      </c>
      <c r="P1522" s="153" t="s">
        <v>1538</v>
      </c>
      <c r="Q1522" s="153" t="s">
        <v>413</v>
      </c>
      <c r="R1522" s="153" t="s">
        <v>407</v>
      </c>
      <c r="S1522" s="153" t="s">
        <v>1212</v>
      </c>
      <c r="T1522" s="154">
        <v>2.62</v>
      </c>
      <c r="U1522" s="153" t="s">
        <v>1587</v>
      </c>
      <c r="V1522" s="155">
        <v>2.5309999999999999E-2</v>
      </c>
      <c r="W1522" s="155">
        <v>5.2200000000000003E-2</v>
      </c>
      <c r="X1522" s="153" t="s">
        <v>412</v>
      </c>
      <c r="Y1522" s="153" t="s">
        <v>339</v>
      </c>
      <c r="Z1522" s="154">
        <v>1176413.81</v>
      </c>
      <c r="AA1522" s="154">
        <v>1</v>
      </c>
      <c r="AB1522" s="154">
        <v>90.15</v>
      </c>
      <c r="AD1522" s="154">
        <v>1060.537</v>
      </c>
      <c r="AG1522" s="157" t="s">
        <v>15</v>
      </c>
      <c r="AH1522" s="155">
        <v>1.25E-3</v>
      </c>
      <c r="AI1522" s="155">
        <f t="shared" si="23"/>
        <v>1.4352568327680331E-3</v>
      </c>
      <c r="AJ1522" s="155">
        <v>3.171923962103538E-4</v>
      </c>
    </row>
    <row r="1523" spans="1:36" s="160" customFormat="1">
      <c r="A1523" s="153" t="s">
        <v>1213</v>
      </c>
      <c r="B1523" s="160">
        <v>9302</v>
      </c>
      <c r="C1523" s="153" t="s">
        <v>3089</v>
      </c>
      <c r="D1523" s="153" t="s">
        <v>3090</v>
      </c>
      <c r="E1523" s="153" t="s">
        <v>309</v>
      </c>
      <c r="F1523" s="153" t="s">
        <v>3091</v>
      </c>
      <c r="G1523" s="153" t="s">
        <v>3092</v>
      </c>
      <c r="H1523" s="153" t="s">
        <v>321</v>
      </c>
      <c r="I1523" s="153" t="s">
        <v>951</v>
      </c>
      <c r="J1523" s="153" t="s">
        <v>204</v>
      </c>
      <c r="K1523" s="153" t="s">
        <v>204</v>
      </c>
      <c r="L1523" s="153" t="s">
        <v>325</v>
      </c>
      <c r="M1523" s="153" t="s">
        <v>340</v>
      </c>
      <c r="N1523" s="153" t="s">
        <v>447</v>
      </c>
      <c r="O1523" s="153" t="s">
        <v>339</v>
      </c>
      <c r="Q1523" s="153" t="s">
        <v>410</v>
      </c>
      <c r="R1523" s="153" t="s">
        <v>410</v>
      </c>
      <c r="S1523" s="153" t="s">
        <v>1212</v>
      </c>
      <c r="T1523" s="154">
        <v>1.59</v>
      </c>
      <c r="U1523" s="153" t="s">
        <v>1343</v>
      </c>
      <c r="V1523" s="155">
        <v>5.7270000000000001E-2</v>
      </c>
      <c r="W1523" s="155">
        <v>8.8999999999999996E-2</v>
      </c>
      <c r="X1523" s="153" t="s">
        <v>412</v>
      </c>
      <c r="Y1523" s="153" t="s">
        <v>339</v>
      </c>
      <c r="Z1523" s="154">
        <v>1054559.71</v>
      </c>
      <c r="AA1523" s="154">
        <v>1</v>
      </c>
      <c r="AB1523" s="154">
        <v>99.4</v>
      </c>
      <c r="AD1523" s="154">
        <v>1048.232</v>
      </c>
      <c r="AG1523" s="157" t="s">
        <v>15</v>
      </c>
      <c r="AH1523" s="155">
        <v>1.5469999999999999E-2</v>
      </c>
      <c r="AI1523" s="155">
        <f t="shared" si="23"/>
        <v>1.4186041037003905E-3</v>
      </c>
      <c r="AJ1523" s="155">
        <v>3.1351213570518667E-4</v>
      </c>
    </row>
    <row r="1524" spans="1:36" s="160" customFormat="1">
      <c r="A1524" s="153" t="s">
        <v>1213</v>
      </c>
      <c r="B1524" s="160">
        <v>9302</v>
      </c>
      <c r="C1524" s="153" t="s">
        <v>3052</v>
      </c>
      <c r="D1524" s="153" t="s">
        <v>3053</v>
      </c>
      <c r="E1524" s="153" t="s">
        <v>309</v>
      </c>
      <c r="F1524" s="153" t="s">
        <v>3054</v>
      </c>
      <c r="G1524" s="153" t="s">
        <v>3055</v>
      </c>
      <c r="H1524" s="153" t="s">
        <v>321</v>
      </c>
      <c r="I1524" s="153" t="s">
        <v>951</v>
      </c>
      <c r="J1524" s="153" t="s">
        <v>204</v>
      </c>
      <c r="K1524" s="153" t="s">
        <v>204</v>
      </c>
      <c r="L1524" s="153" t="s">
        <v>325</v>
      </c>
      <c r="M1524" s="153" t="s">
        <v>340</v>
      </c>
      <c r="N1524" s="153" t="s">
        <v>447</v>
      </c>
      <c r="O1524" s="153" t="s">
        <v>339</v>
      </c>
      <c r="Q1524" s="153" t="s">
        <v>410</v>
      </c>
      <c r="R1524" s="153" t="s">
        <v>410</v>
      </c>
      <c r="S1524" s="153" t="s">
        <v>1212</v>
      </c>
      <c r="T1524" s="154">
        <v>1.97</v>
      </c>
      <c r="U1524" s="153" t="s">
        <v>2008</v>
      </c>
      <c r="V1524" s="155">
        <v>6.368E-2</v>
      </c>
      <c r="W1524" s="155">
        <v>8.1000000000000003E-2</v>
      </c>
      <c r="X1524" s="153" t="s">
        <v>412</v>
      </c>
      <c r="Y1524" s="153" t="s">
        <v>339</v>
      </c>
      <c r="Z1524" s="154">
        <v>1025465.4</v>
      </c>
      <c r="AA1524" s="154">
        <v>1</v>
      </c>
      <c r="AB1524" s="154">
        <v>94.96</v>
      </c>
      <c r="AD1524" s="154">
        <v>973.78200000000004</v>
      </c>
      <c r="AG1524" s="157" t="s">
        <v>15</v>
      </c>
      <c r="AH1524" s="155">
        <v>5.7000000000000002E-3</v>
      </c>
      <c r="AI1524" s="155">
        <f t="shared" si="23"/>
        <v>1.3178486645223325E-3</v>
      </c>
      <c r="AJ1524" s="155">
        <v>2.9124513898761735E-4</v>
      </c>
    </row>
    <row r="1525" spans="1:36" s="160" customFormat="1">
      <c r="A1525" s="153" t="s">
        <v>1213</v>
      </c>
      <c r="B1525" s="160">
        <v>9302</v>
      </c>
      <c r="C1525" s="153" t="s">
        <v>3021</v>
      </c>
      <c r="D1525" s="153" t="s">
        <v>3022</v>
      </c>
      <c r="E1525" s="153" t="s">
        <v>309</v>
      </c>
      <c r="F1525" s="153" t="s">
        <v>3023</v>
      </c>
      <c r="G1525" s="153" t="s">
        <v>3024</v>
      </c>
      <c r="H1525" s="153" t="s">
        <v>321</v>
      </c>
      <c r="I1525" s="153" t="s">
        <v>754</v>
      </c>
      <c r="J1525" s="153" t="s">
        <v>204</v>
      </c>
      <c r="K1525" s="153" t="s">
        <v>204</v>
      </c>
      <c r="L1525" s="153" t="s">
        <v>325</v>
      </c>
      <c r="M1525" s="153" t="s">
        <v>340</v>
      </c>
      <c r="N1525" s="153" t="s">
        <v>441</v>
      </c>
      <c r="O1525" s="153" t="s">
        <v>339</v>
      </c>
      <c r="Q1525" s="153" t="s">
        <v>410</v>
      </c>
      <c r="R1525" s="153" t="s">
        <v>410</v>
      </c>
      <c r="S1525" s="153" t="s">
        <v>1212</v>
      </c>
      <c r="T1525" s="154">
        <v>2.25</v>
      </c>
      <c r="U1525" s="153" t="s">
        <v>1744</v>
      </c>
      <c r="V1525" s="155">
        <v>4.2509999999999999E-2</v>
      </c>
      <c r="W1525" s="155">
        <v>5.9200000000000003E-2</v>
      </c>
      <c r="X1525" s="153" t="s">
        <v>412</v>
      </c>
      <c r="Y1525" s="153" t="s">
        <v>339</v>
      </c>
      <c r="Z1525" s="154">
        <v>884700.9</v>
      </c>
      <c r="AA1525" s="154">
        <v>1</v>
      </c>
      <c r="AB1525" s="154">
        <v>108.93</v>
      </c>
      <c r="AD1525" s="154">
        <v>963.70500000000004</v>
      </c>
      <c r="AG1525" s="157" t="s">
        <v>15</v>
      </c>
      <c r="AH1525" s="155">
        <v>1.847E-2</v>
      </c>
      <c r="AI1525" s="155">
        <f t="shared" si="23"/>
        <v>1.3042111553135038E-3</v>
      </c>
      <c r="AJ1525" s="155">
        <v>2.8823124340772552E-4</v>
      </c>
    </row>
    <row r="1526" spans="1:36" s="160" customFormat="1">
      <c r="A1526" s="153" t="s">
        <v>1213</v>
      </c>
      <c r="B1526" s="160">
        <v>9302</v>
      </c>
      <c r="C1526" s="153" t="s">
        <v>2638</v>
      </c>
      <c r="D1526" s="153" t="s">
        <v>2639</v>
      </c>
      <c r="E1526" s="153" t="s">
        <v>311</v>
      </c>
      <c r="F1526" s="153" t="s">
        <v>2640</v>
      </c>
      <c r="G1526" s="153" t="s">
        <v>2641</v>
      </c>
      <c r="H1526" s="153" t="s">
        <v>321</v>
      </c>
      <c r="I1526" s="153" t="s">
        <v>755</v>
      </c>
      <c r="J1526" s="153" t="s">
        <v>204</v>
      </c>
      <c r="K1526" s="153" t="s">
        <v>204</v>
      </c>
      <c r="L1526" s="153" t="s">
        <v>325</v>
      </c>
      <c r="M1526" s="153" t="s">
        <v>340</v>
      </c>
      <c r="N1526" s="153" t="s">
        <v>465</v>
      </c>
      <c r="O1526" s="153" t="s">
        <v>339</v>
      </c>
      <c r="P1526" s="153" t="s">
        <v>1982</v>
      </c>
      <c r="Q1526" s="153" t="s">
        <v>415</v>
      </c>
      <c r="R1526" s="153" t="s">
        <v>407</v>
      </c>
      <c r="S1526" s="153" t="s">
        <v>1212</v>
      </c>
      <c r="T1526" s="154">
        <v>2.91</v>
      </c>
      <c r="U1526" s="153" t="s">
        <v>1664</v>
      </c>
      <c r="V1526" s="155">
        <v>4.7129999999999998E-2</v>
      </c>
      <c r="W1526" s="155">
        <v>0.10150000000000001</v>
      </c>
      <c r="X1526" s="153" t="s">
        <v>412</v>
      </c>
      <c r="Y1526" s="153" t="s">
        <v>339</v>
      </c>
      <c r="Z1526" s="154">
        <v>1063762.1100000001</v>
      </c>
      <c r="AA1526" s="154">
        <v>1</v>
      </c>
      <c r="AB1526" s="154">
        <v>89.69</v>
      </c>
      <c r="AD1526" s="154">
        <v>954.08799999999997</v>
      </c>
      <c r="AG1526" s="157" t="s">
        <v>15</v>
      </c>
      <c r="AH1526" s="155">
        <v>9.6000000000000002E-4</v>
      </c>
      <c r="AI1526" s="155">
        <f t="shared" si="23"/>
        <v>1.2911961780324374E-3</v>
      </c>
      <c r="AJ1526" s="155">
        <v>2.8535492765980252E-4</v>
      </c>
    </row>
    <row r="1527" spans="1:36" s="160" customFormat="1">
      <c r="A1527" s="153" t="s">
        <v>1213</v>
      </c>
      <c r="B1527" s="160">
        <v>9302</v>
      </c>
      <c r="C1527" s="153" t="s">
        <v>1550</v>
      </c>
      <c r="D1527" s="153" t="s">
        <v>1551</v>
      </c>
      <c r="E1527" s="153" t="s">
        <v>311</v>
      </c>
      <c r="F1527" s="153" t="s">
        <v>1657</v>
      </c>
      <c r="G1527" s="153" t="s">
        <v>1658</v>
      </c>
      <c r="H1527" s="153" t="s">
        <v>321</v>
      </c>
      <c r="I1527" s="153" t="s">
        <v>951</v>
      </c>
      <c r="J1527" s="153" t="s">
        <v>204</v>
      </c>
      <c r="K1527" s="153" t="s">
        <v>224</v>
      </c>
      <c r="L1527" s="153" t="s">
        <v>325</v>
      </c>
      <c r="M1527" s="153" t="s">
        <v>340</v>
      </c>
      <c r="N1527" s="153" t="s">
        <v>465</v>
      </c>
      <c r="O1527" s="153" t="s">
        <v>339</v>
      </c>
      <c r="P1527" s="153" t="s">
        <v>1560</v>
      </c>
      <c r="Q1527" s="153" t="s">
        <v>413</v>
      </c>
      <c r="R1527" s="153" t="s">
        <v>407</v>
      </c>
      <c r="S1527" s="153" t="s">
        <v>1212</v>
      </c>
      <c r="T1527" s="154">
        <v>2.02</v>
      </c>
      <c r="U1527" s="153" t="s">
        <v>1659</v>
      </c>
      <c r="V1527" s="155">
        <v>7.7929999999999999E-2</v>
      </c>
      <c r="W1527" s="155">
        <v>6.5199999999999994E-2</v>
      </c>
      <c r="X1527" s="153" t="s">
        <v>412</v>
      </c>
      <c r="Y1527" s="153" t="s">
        <v>339</v>
      </c>
      <c r="Z1527" s="154">
        <v>896156.81</v>
      </c>
      <c r="AA1527" s="154">
        <v>1</v>
      </c>
      <c r="AB1527" s="154">
        <v>102.45</v>
      </c>
      <c r="AD1527" s="154">
        <v>918.11300000000006</v>
      </c>
      <c r="AG1527" s="157" t="s">
        <v>15</v>
      </c>
      <c r="AH1527" s="155">
        <v>2.5400000000000002E-3</v>
      </c>
      <c r="AI1527" s="155">
        <f t="shared" si="23"/>
        <v>1.242510121290589E-3</v>
      </c>
      <c r="AJ1527" s="155">
        <v>2.7459528754006374E-4</v>
      </c>
    </row>
    <row r="1528" spans="1:36" s="160" customFormat="1">
      <c r="A1528" s="153" t="s">
        <v>1213</v>
      </c>
      <c r="B1528" s="160">
        <v>9302</v>
      </c>
      <c r="C1528" s="153" t="s">
        <v>3056</v>
      </c>
      <c r="D1528" s="153" t="s">
        <v>3057</v>
      </c>
      <c r="E1528" s="153" t="s">
        <v>309</v>
      </c>
      <c r="F1528" s="153" t="s">
        <v>3058</v>
      </c>
      <c r="G1528" s="153" t="s">
        <v>3059</v>
      </c>
      <c r="H1528" s="153" t="s">
        <v>321</v>
      </c>
      <c r="I1528" s="153" t="s">
        <v>951</v>
      </c>
      <c r="J1528" s="153" t="s">
        <v>204</v>
      </c>
      <c r="K1528" s="153" t="s">
        <v>204</v>
      </c>
      <c r="L1528" s="153" t="s">
        <v>325</v>
      </c>
      <c r="M1528" s="153" t="s">
        <v>340</v>
      </c>
      <c r="N1528" s="153" t="s">
        <v>440</v>
      </c>
      <c r="O1528" s="153" t="s">
        <v>339</v>
      </c>
      <c r="Q1528" s="153" t="s">
        <v>410</v>
      </c>
      <c r="R1528" s="153" t="s">
        <v>410</v>
      </c>
      <c r="S1528" s="153" t="s">
        <v>1212</v>
      </c>
      <c r="T1528" s="154">
        <v>2.58</v>
      </c>
      <c r="U1528" s="153" t="s">
        <v>2057</v>
      </c>
      <c r="V1528" s="155">
        <v>7.4999999999999997E-2</v>
      </c>
      <c r="W1528" s="155">
        <v>6.1800000000000001E-2</v>
      </c>
      <c r="X1528" s="153" t="s">
        <v>412</v>
      </c>
      <c r="Y1528" s="153" t="s">
        <v>339</v>
      </c>
      <c r="Z1528" s="154">
        <v>782153.42</v>
      </c>
      <c r="AA1528" s="154">
        <v>1</v>
      </c>
      <c r="AB1528" s="154">
        <v>115.44</v>
      </c>
      <c r="AD1528" s="154">
        <v>902.91800000000001</v>
      </c>
      <c r="AG1528" s="157" t="s">
        <v>15</v>
      </c>
      <c r="AH1528" s="155">
        <v>5.4599999999999996E-3</v>
      </c>
      <c r="AI1528" s="155">
        <f t="shared" si="23"/>
        <v>1.2219462677202652E-3</v>
      </c>
      <c r="AJ1528" s="155">
        <v>2.7005066678622268E-4</v>
      </c>
    </row>
    <row r="1529" spans="1:36" s="160" customFormat="1">
      <c r="A1529" s="153" t="s">
        <v>1213</v>
      </c>
      <c r="B1529" s="160">
        <v>9302</v>
      </c>
      <c r="C1529" s="153" t="s">
        <v>1687</v>
      </c>
      <c r="D1529" s="153" t="s">
        <v>1688</v>
      </c>
      <c r="E1529" s="153" t="s">
        <v>309</v>
      </c>
      <c r="F1529" s="153" t="s">
        <v>3000</v>
      </c>
      <c r="G1529" s="153" t="s">
        <v>3001</v>
      </c>
      <c r="H1529" s="153" t="s">
        <v>321</v>
      </c>
      <c r="I1529" s="153" t="s">
        <v>754</v>
      </c>
      <c r="J1529" s="153" t="s">
        <v>204</v>
      </c>
      <c r="K1529" s="153" t="s">
        <v>204</v>
      </c>
      <c r="L1529" s="153" t="s">
        <v>325</v>
      </c>
      <c r="M1529" s="153" t="s">
        <v>340</v>
      </c>
      <c r="N1529" s="153" t="s">
        <v>465</v>
      </c>
      <c r="O1529" s="153" t="s">
        <v>339</v>
      </c>
      <c r="P1529" s="153" t="s">
        <v>1614</v>
      </c>
      <c r="Q1529" s="153" t="s">
        <v>415</v>
      </c>
      <c r="R1529" s="153" t="s">
        <v>407</v>
      </c>
      <c r="S1529" s="153" t="s">
        <v>1212</v>
      </c>
      <c r="T1529" s="154">
        <v>0.74</v>
      </c>
      <c r="U1529" s="153" t="s">
        <v>1848</v>
      </c>
      <c r="V1529" s="155">
        <v>3.1390000000000001E-2</v>
      </c>
      <c r="W1529" s="155">
        <v>2.6499999999999999E-2</v>
      </c>
      <c r="X1529" s="153" t="s">
        <v>412</v>
      </c>
      <c r="Y1529" s="153" t="s">
        <v>339</v>
      </c>
      <c r="Z1529" s="154">
        <v>756429</v>
      </c>
      <c r="AA1529" s="154">
        <v>1</v>
      </c>
      <c r="AB1529" s="154">
        <v>114.5</v>
      </c>
      <c r="AD1529" s="154">
        <v>866.11099999999999</v>
      </c>
      <c r="AG1529" s="157" t="s">
        <v>15</v>
      </c>
      <c r="AH1529" s="155">
        <v>3.29E-3</v>
      </c>
      <c r="AI1529" s="155">
        <f t="shared" si="23"/>
        <v>1.1721342401873334E-3</v>
      </c>
      <c r="AJ1529" s="155">
        <v>2.5904218662257489E-4</v>
      </c>
    </row>
    <row r="1530" spans="1:36" s="160" customFormat="1">
      <c r="A1530" s="153" t="s">
        <v>1213</v>
      </c>
      <c r="B1530" s="160">
        <v>9302</v>
      </c>
      <c r="C1530" s="153" t="s">
        <v>455</v>
      </c>
      <c r="D1530" s="153" t="s">
        <v>2106</v>
      </c>
      <c r="E1530" s="153" t="s">
        <v>309</v>
      </c>
      <c r="F1530" s="153" t="s">
        <v>2271</v>
      </c>
      <c r="G1530" s="153" t="s">
        <v>2272</v>
      </c>
      <c r="H1530" s="153" t="s">
        <v>321</v>
      </c>
      <c r="I1530" s="153" t="s">
        <v>754</v>
      </c>
      <c r="J1530" s="153" t="s">
        <v>204</v>
      </c>
      <c r="K1530" s="153" t="s">
        <v>204</v>
      </c>
      <c r="L1530" s="153" t="s">
        <v>325</v>
      </c>
      <c r="M1530" s="153" t="s">
        <v>340</v>
      </c>
      <c r="N1530" s="153" t="s">
        <v>440</v>
      </c>
      <c r="O1530" s="153" t="s">
        <v>339</v>
      </c>
      <c r="P1530" s="153" t="s">
        <v>1923</v>
      </c>
      <c r="Q1530" s="153" t="s">
        <v>415</v>
      </c>
      <c r="R1530" s="153" t="s">
        <v>407</v>
      </c>
      <c r="S1530" s="153" t="s">
        <v>1212</v>
      </c>
      <c r="T1530" s="154">
        <v>10.76</v>
      </c>
      <c r="U1530" s="153" t="s">
        <v>1367</v>
      </c>
      <c r="V1530" s="155">
        <v>1.9519999999999999E-2</v>
      </c>
      <c r="W1530" s="155">
        <v>3.49E-2</v>
      </c>
      <c r="X1530" s="153" t="s">
        <v>412</v>
      </c>
      <c r="Y1530" s="153" t="s">
        <v>339</v>
      </c>
      <c r="Z1530" s="154">
        <v>935282</v>
      </c>
      <c r="AA1530" s="154">
        <v>1</v>
      </c>
      <c r="AB1530" s="154">
        <v>90</v>
      </c>
      <c r="AD1530" s="154">
        <v>841.75400000000002</v>
      </c>
      <c r="AG1530" s="157" t="s">
        <v>15</v>
      </c>
      <c r="AH1530" s="155">
        <v>2.2000000000000001E-4</v>
      </c>
      <c r="AI1530" s="155">
        <f t="shared" si="23"/>
        <v>1.1391711746123172E-3</v>
      </c>
      <c r="AJ1530" s="155">
        <v>2.5175733451982359E-4</v>
      </c>
    </row>
    <row r="1531" spans="1:36" s="160" customFormat="1">
      <c r="A1531" s="153" t="s">
        <v>1213</v>
      </c>
      <c r="B1531" s="160">
        <v>9302</v>
      </c>
      <c r="C1531" s="153" t="s">
        <v>2753</v>
      </c>
      <c r="D1531" s="153" t="s">
        <v>2754</v>
      </c>
      <c r="E1531" s="153" t="s">
        <v>309</v>
      </c>
      <c r="F1531" s="153" t="s">
        <v>2843</v>
      </c>
      <c r="G1531" s="153" t="s">
        <v>2844</v>
      </c>
      <c r="H1531" s="153" t="s">
        <v>321</v>
      </c>
      <c r="I1531" s="153" t="s">
        <v>951</v>
      </c>
      <c r="J1531" s="153" t="s">
        <v>204</v>
      </c>
      <c r="K1531" s="153" t="s">
        <v>204</v>
      </c>
      <c r="L1531" s="153" t="s">
        <v>325</v>
      </c>
      <c r="M1531" s="153" t="s">
        <v>340</v>
      </c>
      <c r="N1531" s="153" t="s">
        <v>447</v>
      </c>
      <c r="O1531" s="153" t="s">
        <v>339</v>
      </c>
      <c r="P1531" s="153" t="s">
        <v>1586</v>
      </c>
      <c r="Q1531" s="153" t="s">
        <v>415</v>
      </c>
      <c r="R1531" s="153" t="s">
        <v>407</v>
      </c>
      <c r="S1531" s="153" t="s">
        <v>1212</v>
      </c>
      <c r="T1531" s="154">
        <v>0.73</v>
      </c>
      <c r="U1531" s="153" t="s">
        <v>1848</v>
      </c>
      <c r="V1531" s="155">
        <v>6.3310000000000005E-2</v>
      </c>
      <c r="W1531" s="155">
        <v>6.1499999999999999E-2</v>
      </c>
      <c r="X1531" s="153" t="s">
        <v>412</v>
      </c>
      <c r="Y1531" s="153" t="s">
        <v>339</v>
      </c>
      <c r="Z1531" s="154">
        <v>838783.5</v>
      </c>
      <c r="AA1531" s="154">
        <v>1</v>
      </c>
      <c r="AB1531" s="154">
        <v>99.92</v>
      </c>
      <c r="AD1531" s="154">
        <v>838.11199999999997</v>
      </c>
      <c r="AG1531" s="157" t="s">
        <v>15</v>
      </c>
      <c r="AH1531" s="155">
        <v>1.2710000000000001E-2</v>
      </c>
      <c r="AI1531" s="155">
        <f t="shared" si="23"/>
        <v>1.1342423457407725E-3</v>
      </c>
      <c r="AJ1531" s="155">
        <v>2.5066806115453966E-4</v>
      </c>
    </row>
    <row r="1532" spans="1:36" s="160" customFormat="1">
      <c r="A1532" s="153" t="s">
        <v>1213</v>
      </c>
      <c r="B1532" s="160">
        <v>9302</v>
      </c>
      <c r="C1532" s="153" t="s">
        <v>1737</v>
      </c>
      <c r="D1532" s="153" t="s">
        <v>1738</v>
      </c>
      <c r="E1532" s="153" t="s">
        <v>309</v>
      </c>
      <c r="F1532" s="153" t="s">
        <v>3037</v>
      </c>
      <c r="G1532" s="153" t="s">
        <v>3038</v>
      </c>
      <c r="H1532" s="153" t="s">
        <v>321</v>
      </c>
      <c r="I1532" s="153" t="s">
        <v>754</v>
      </c>
      <c r="J1532" s="153" t="s">
        <v>204</v>
      </c>
      <c r="K1532" s="153" t="s">
        <v>204</v>
      </c>
      <c r="L1532" s="153" t="s">
        <v>325</v>
      </c>
      <c r="M1532" s="153" t="s">
        <v>340</v>
      </c>
      <c r="N1532" s="153" t="s">
        <v>447</v>
      </c>
      <c r="O1532" s="153" t="s">
        <v>339</v>
      </c>
      <c r="Q1532" s="153" t="s">
        <v>410</v>
      </c>
      <c r="R1532" s="153" t="s">
        <v>410</v>
      </c>
      <c r="S1532" s="153" t="s">
        <v>1212</v>
      </c>
      <c r="T1532" s="154">
        <v>1.63</v>
      </c>
      <c r="U1532" s="153" t="s">
        <v>1659</v>
      </c>
      <c r="V1532" s="155">
        <v>3.1960000000000002E-2</v>
      </c>
      <c r="W1532" s="155">
        <v>4.48E-2</v>
      </c>
      <c r="X1532" s="153" t="s">
        <v>412</v>
      </c>
      <c r="Y1532" s="153" t="s">
        <v>339</v>
      </c>
      <c r="Z1532" s="154">
        <v>767462.2</v>
      </c>
      <c r="AA1532" s="154">
        <v>1</v>
      </c>
      <c r="AB1532" s="154">
        <v>108.54</v>
      </c>
      <c r="AD1532" s="154">
        <v>833.00300000000004</v>
      </c>
      <c r="AG1532" s="157" t="s">
        <v>15</v>
      </c>
      <c r="AH1532" s="155">
        <v>4.4900000000000001E-3</v>
      </c>
      <c r="AI1532" s="155">
        <f t="shared" si="23"/>
        <v>1.1273281813517775E-3</v>
      </c>
      <c r="AJ1532" s="155">
        <v>2.4914002775991157E-4</v>
      </c>
    </row>
    <row r="1533" spans="1:36" s="160" customFormat="1">
      <c r="A1533" s="153" t="s">
        <v>1213</v>
      </c>
      <c r="B1533" s="160">
        <v>9302</v>
      </c>
      <c r="C1533" s="153" t="s">
        <v>2150</v>
      </c>
      <c r="D1533" s="153" t="s">
        <v>2151</v>
      </c>
      <c r="E1533" s="153" t="s">
        <v>309</v>
      </c>
      <c r="F1533" s="153" t="s">
        <v>2191</v>
      </c>
      <c r="G1533" s="153" t="s">
        <v>2192</v>
      </c>
      <c r="H1533" s="153" t="s">
        <v>321</v>
      </c>
      <c r="I1533" s="153" t="s">
        <v>951</v>
      </c>
      <c r="J1533" s="153" t="s">
        <v>204</v>
      </c>
      <c r="K1533" s="153" t="s">
        <v>204</v>
      </c>
      <c r="L1533" s="153" t="s">
        <v>325</v>
      </c>
      <c r="M1533" s="153" t="s">
        <v>340</v>
      </c>
      <c r="N1533" s="153" t="s">
        <v>477</v>
      </c>
      <c r="O1533" s="153" t="s">
        <v>339</v>
      </c>
      <c r="P1533" s="153" t="s">
        <v>1538</v>
      </c>
      <c r="Q1533" s="153" t="s">
        <v>413</v>
      </c>
      <c r="R1533" s="153" t="s">
        <v>407</v>
      </c>
      <c r="S1533" s="153" t="s">
        <v>1212</v>
      </c>
      <c r="T1533" s="154">
        <v>3.31</v>
      </c>
      <c r="U1533" s="153" t="s">
        <v>2154</v>
      </c>
      <c r="V1533" s="155">
        <v>4.727E-2</v>
      </c>
      <c r="W1533" s="155">
        <v>5.8299999999999998E-2</v>
      </c>
      <c r="X1533" s="153" t="s">
        <v>412</v>
      </c>
      <c r="Y1533" s="153" t="s">
        <v>339</v>
      </c>
      <c r="Z1533" s="154">
        <v>832300.1</v>
      </c>
      <c r="AA1533" s="154">
        <v>1</v>
      </c>
      <c r="AB1533" s="154">
        <v>96.43</v>
      </c>
      <c r="AD1533" s="154">
        <v>802.58699999999999</v>
      </c>
      <c r="AG1533" s="157" t="s">
        <v>15</v>
      </c>
      <c r="AH1533" s="155">
        <v>1.2099999999999999E-3</v>
      </c>
      <c r="AI1533" s="155">
        <f t="shared" si="23"/>
        <v>1.0861652876239089E-3</v>
      </c>
      <c r="AJ1533" s="155">
        <v>2.4004301000085733E-4</v>
      </c>
    </row>
    <row r="1534" spans="1:36" s="160" customFormat="1">
      <c r="A1534" s="153" t="s">
        <v>1213</v>
      </c>
      <c r="B1534" s="160">
        <v>9302</v>
      </c>
      <c r="C1534" s="153" t="s">
        <v>2542</v>
      </c>
      <c r="D1534" s="153" t="s">
        <v>2543</v>
      </c>
      <c r="E1534" s="153" t="s">
        <v>309</v>
      </c>
      <c r="F1534" s="153" t="s">
        <v>2544</v>
      </c>
      <c r="G1534" s="153" t="s">
        <v>2545</v>
      </c>
      <c r="H1534" s="153" t="s">
        <v>321</v>
      </c>
      <c r="I1534" s="153" t="s">
        <v>951</v>
      </c>
      <c r="J1534" s="153" t="s">
        <v>204</v>
      </c>
      <c r="K1534" s="153" t="s">
        <v>204</v>
      </c>
      <c r="L1534" s="153" t="s">
        <v>325</v>
      </c>
      <c r="M1534" s="153" t="s">
        <v>340</v>
      </c>
      <c r="N1534" s="153" t="s">
        <v>464</v>
      </c>
      <c r="O1534" s="153" t="s">
        <v>339</v>
      </c>
      <c r="P1534" s="153" t="s">
        <v>2546</v>
      </c>
      <c r="Q1534" s="153" t="s">
        <v>413</v>
      </c>
      <c r="R1534" s="153" t="s">
        <v>407</v>
      </c>
      <c r="S1534" s="153" t="s">
        <v>1212</v>
      </c>
      <c r="T1534" s="154">
        <v>1.18</v>
      </c>
      <c r="U1534" s="153" t="s">
        <v>2547</v>
      </c>
      <c r="V1534" s="155">
        <v>7.2020000000000001E-2</v>
      </c>
      <c r="W1534" s="155">
        <v>7.5800000000000006E-2</v>
      </c>
      <c r="X1534" s="153" t="s">
        <v>412</v>
      </c>
      <c r="Y1534" s="153" t="s">
        <v>339</v>
      </c>
      <c r="Z1534" s="154">
        <v>802492.73</v>
      </c>
      <c r="AA1534" s="154">
        <v>1</v>
      </c>
      <c r="AB1534" s="154">
        <v>98.5</v>
      </c>
      <c r="AD1534" s="154">
        <v>790.45500000000004</v>
      </c>
      <c r="AG1534" s="157" t="s">
        <v>15</v>
      </c>
      <c r="AH1534" s="155">
        <v>9.5E-4</v>
      </c>
      <c r="AI1534" s="155">
        <f t="shared" si="23"/>
        <v>1.0697466846943159E-3</v>
      </c>
      <c r="AJ1534" s="155">
        <v>2.3641449147597418E-4</v>
      </c>
    </row>
    <row r="1535" spans="1:36" s="160" customFormat="1">
      <c r="A1535" s="153" t="s">
        <v>1213</v>
      </c>
      <c r="B1535" s="160">
        <v>9302</v>
      </c>
      <c r="C1535" s="153" t="s">
        <v>2441</v>
      </c>
      <c r="D1535" s="153" t="s">
        <v>2442</v>
      </c>
      <c r="E1535" s="153" t="s">
        <v>309</v>
      </c>
      <c r="F1535" s="153" t="s">
        <v>2443</v>
      </c>
      <c r="G1535" s="153" t="s">
        <v>2444</v>
      </c>
      <c r="H1535" s="153" t="s">
        <v>321</v>
      </c>
      <c r="I1535" s="153" t="s">
        <v>754</v>
      </c>
      <c r="J1535" s="153" t="s">
        <v>204</v>
      </c>
      <c r="K1535" s="153" t="s">
        <v>204</v>
      </c>
      <c r="L1535" s="153" t="s">
        <v>325</v>
      </c>
      <c r="M1535" s="153" t="s">
        <v>340</v>
      </c>
      <c r="N1535" s="153" t="s">
        <v>462</v>
      </c>
      <c r="O1535" s="153" t="s">
        <v>339</v>
      </c>
      <c r="P1535" s="153" t="s">
        <v>1566</v>
      </c>
      <c r="Q1535" s="153" t="s">
        <v>413</v>
      </c>
      <c r="R1535" s="153" t="s">
        <v>407</v>
      </c>
      <c r="S1535" s="153" t="s">
        <v>1212</v>
      </c>
      <c r="T1535" s="154">
        <v>3.06</v>
      </c>
      <c r="U1535" s="153" t="s">
        <v>2267</v>
      </c>
      <c r="V1535" s="155">
        <v>1.8550000000000001E-2</v>
      </c>
      <c r="W1535" s="155">
        <v>2.9000000000000001E-2</v>
      </c>
      <c r="X1535" s="153" t="s">
        <v>412</v>
      </c>
      <c r="Y1535" s="153" t="s">
        <v>339</v>
      </c>
      <c r="Z1535" s="154">
        <v>731364.5</v>
      </c>
      <c r="AA1535" s="154">
        <v>1</v>
      </c>
      <c r="AB1535" s="154">
        <v>105.14</v>
      </c>
      <c r="AD1535" s="154">
        <v>768.95699999999999</v>
      </c>
      <c r="AG1535" s="157" t="s">
        <v>15</v>
      </c>
      <c r="AH1535" s="155">
        <v>2.1700000000000001E-3</v>
      </c>
      <c r="AI1535" s="155">
        <f t="shared" si="23"/>
        <v>1.0406527903833703E-3</v>
      </c>
      <c r="AJ1535" s="155">
        <v>2.2998472793756843E-4</v>
      </c>
    </row>
    <row r="1536" spans="1:36" s="160" customFormat="1">
      <c r="A1536" s="153" t="s">
        <v>1213</v>
      </c>
      <c r="B1536" s="160">
        <v>9302</v>
      </c>
      <c r="C1536" s="153" t="s">
        <v>2238</v>
      </c>
      <c r="D1536" s="153" t="s">
        <v>2239</v>
      </c>
      <c r="E1536" s="153" t="s">
        <v>309</v>
      </c>
      <c r="F1536" s="153" t="s">
        <v>3019</v>
      </c>
      <c r="G1536" s="153" t="s">
        <v>3020</v>
      </c>
      <c r="H1536" s="153" t="s">
        <v>321</v>
      </c>
      <c r="I1536" s="153" t="s">
        <v>951</v>
      </c>
      <c r="J1536" s="153" t="s">
        <v>204</v>
      </c>
      <c r="K1536" s="153" t="s">
        <v>204</v>
      </c>
      <c r="L1536" s="153" t="s">
        <v>325</v>
      </c>
      <c r="M1536" s="153" t="s">
        <v>340</v>
      </c>
      <c r="N1536" s="153" t="s">
        <v>447</v>
      </c>
      <c r="O1536" s="153" t="s">
        <v>339</v>
      </c>
      <c r="P1536" s="153" t="s">
        <v>1544</v>
      </c>
      <c r="Q1536" s="153" t="s">
        <v>415</v>
      </c>
      <c r="R1536" s="153" t="s">
        <v>407</v>
      </c>
      <c r="S1536" s="153" t="s">
        <v>1212</v>
      </c>
      <c r="T1536" s="154">
        <v>0.74</v>
      </c>
      <c r="U1536" s="153" t="s">
        <v>1848</v>
      </c>
      <c r="V1536" s="155">
        <v>5.5379999999999999E-2</v>
      </c>
      <c r="W1536" s="155">
        <v>5.67E-2</v>
      </c>
      <c r="X1536" s="153" t="s">
        <v>412</v>
      </c>
      <c r="Y1536" s="153" t="s">
        <v>339</v>
      </c>
      <c r="Z1536" s="154">
        <v>754263.4</v>
      </c>
      <c r="AA1536" s="154">
        <v>1</v>
      </c>
      <c r="AB1536" s="154">
        <v>98.94</v>
      </c>
      <c r="AD1536" s="154">
        <v>746.26800000000003</v>
      </c>
      <c r="AG1536" s="157" t="s">
        <v>15</v>
      </c>
      <c r="AH1536" s="155">
        <v>3.3709999999999997E-2</v>
      </c>
      <c r="AI1536" s="155">
        <f t="shared" si="23"/>
        <v>1.0099470797116316E-3</v>
      </c>
      <c r="AJ1536" s="155">
        <v>2.2319875226899986E-4</v>
      </c>
    </row>
    <row r="1537" spans="1:36" s="160" customFormat="1">
      <c r="A1537" s="153" t="s">
        <v>1213</v>
      </c>
      <c r="B1537" s="160">
        <v>9302</v>
      </c>
      <c r="C1537" s="153" t="s">
        <v>2155</v>
      </c>
      <c r="D1537" s="153" t="s">
        <v>2156</v>
      </c>
      <c r="E1537" s="153" t="s">
        <v>309</v>
      </c>
      <c r="F1537" s="153" t="s">
        <v>2593</v>
      </c>
      <c r="G1537" s="153" t="s">
        <v>2594</v>
      </c>
      <c r="H1537" s="153" t="s">
        <v>321</v>
      </c>
      <c r="I1537" s="153" t="s">
        <v>951</v>
      </c>
      <c r="J1537" s="153" t="s">
        <v>204</v>
      </c>
      <c r="K1537" s="153" t="s">
        <v>204</v>
      </c>
      <c r="L1537" s="153" t="s">
        <v>325</v>
      </c>
      <c r="M1537" s="153" t="s">
        <v>340</v>
      </c>
      <c r="N1537" s="153" t="s">
        <v>451</v>
      </c>
      <c r="O1537" s="153" t="s">
        <v>339</v>
      </c>
      <c r="P1537" s="153" t="s">
        <v>1521</v>
      </c>
      <c r="Q1537" s="153" t="s">
        <v>413</v>
      </c>
      <c r="R1537" s="153" t="s">
        <v>407</v>
      </c>
      <c r="S1537" s="153" t="s">
        <v>1212</v>
      </c>
      <c r="T1537" s="154">
        <v>1.21</v>
      </c>
      <c r="U1537" s="153" t="s">
        <v>1833</v>
      </c>
      <c r="V1537" s="155">
        <v>4.9360000000000001E-2</v>
      </c>
      <c r="W1537" s="155">
        <v>5.4800000000000001E-2</v>
      </c>
      <c r="X1537" s="153" t="s">
        <v>412</v>
      </c>
      <c r="Y1537" s="153" t="s">
        <v>339</v>
      </c>
      <c r="Z1537" s="154">
        <v>713911.56</v>
      </c>
      <c r="AA1537" s="154">
        <v>1</v>
      </c>
      <c r="AB1537" s="154">
        <v>99.35</v>
      </c>
      <c r="AD1537" s="154">
        <v>709.27099999999996</v>
      </c>
      <c r="AG1537" s="157" t="s">
        <v>15</v>
      </c>
      <c r="AH1537" s="155">
        <v>5.4200000000000003E-3</v>
      </c>
      <c r="AI1537" s="155">
        <f t="shared" si="23"/>
        <v>9.5987791942592823E-4</v>
      </c>
      <c r="AJ1537" s="155">
        <v>2.1213344565301713E-4</v>
      </c>
    </row>
    <row r="1538" spans="1:36" s="160" customFormat="1">
      <c r="A1538" s="153" t="s">
        <v>1213</v>
      </c>
      <c r="B1538" s="160">
        <v>9302</v>
      </c>
      <c r="C1538" s="153" t="s">
        <v>1540</v>
      </c>
      <c r="D1538" s="153" t="s">
        <v>1541</v>
      </c>
      <c r="E1538" s="153" t="s">
        <v>80</v>
      </c>
      <c r="F1538" s="153" t="s">
        <v>1542</v>
      </c>
      <c r="G1538" s="153" t="s">
        <v>1543</v>
      </c>
      <c r="H1538" s="153" t="s">
        <v>321</v>
      </c>
      <c r="I1538" s="153" t="s">
        <v>755</v>
      </c>
      <c r="J1538" s="153" t="s">
        <v>204</v>
      </c>
      <c r="K1538" s="153" t="s">
        <v>224</v>
      </c>
      <c r="L1538" s="153" t="s">
        <v>325</v>
      </c>
      <c r="M1538" s="153" t="s">
        <v>340</v>
      </c>
      <c r="N1538" s="153" t="s">
        <v>443</v>
      </c>
      <c r="O1538" s="153" t="s">
        <v>339</v>
      </c>
      <c r="P1538" s="153" t="s">
        <v>1544</v>
      </c>
      <c r="Q1538" s="153" t="s">
        <v>415</v>
      </c>
      <c r="R1538" s="153" t="s">
        <v>407</v>
      </c>
      <c r="S1538" s="153" t="s">
        <v>1212</v>
      </c>
      <c r="T1538" s="154">
        <v>1.77</v>
      </c>
      <c r="U1538" s="153" t="s">
        <v>1545</v>
      </c>
      <c r="V1538" s="155">
        <v>8.8999999999999995E-4</v>
      </c>
      <c r="W1538" s="155">
        <v>8.1500000000000003E-2</v>
      </c>
      <c r="X1538" s="153" t="s">
        <v>412</v>
      </c>
      <c r="Y1538" s="153" t="s">
        <v>339</v>
      </c>
      <c r="Z1538" s="154">
        <v>662000</v>
      </c>
      <c r="AA1538" s="154">
        <v>1</v>
      </c>
      <c r="AB1538" s="154">
        <v>104.6</v>
      </c>
      <c r="AD1538" s="154">
        <v>692.452</v>
      </c>
      <c r="AG1538" s="157" t="s">
        <v>15</v>
      </c>
      <c r="AH1538" s="155">
        <v>1.57E-3</v>
      </c>
      <c r="AI1538" s="155">
        <f t="shared" si="23"/>
        <v>9.37116257484548E-4</v>
      </c>
      <c r="AJ1538" s="155">
        <v>2.0710310827500776E-4</v>
      </c>
    </row>
    <row r="1539" spans="1:36" s="160" customFormat="1">
      <c r="A1539" s="153" t="s">
        <v>1213</v>
      </c>
      <c r="B1539" s="160">
        <v>9302</v>
      </c>
      <c r="C1539" s="153" t="s">
        <v>1512</v>
      </c>
      <c r="D1539" s="153" t="s">
        <v>1513</v>
      </c>
      <c r="E1539" s="153" t="s">
        <v>309</v>
      </c>
      <c r="F1539" s="153" t="s">
        <v>2510</v>
      </c>
      <c r="G1539" s="153" t="s">
        <v>2511</v>
      </c>
      <c r="H1539" s="153" t="s">
        <v>321</v>
      </c>
      <c r="I1539" s="153" t="s">
        <v>754</v>
      </c>
      <c r="J1539" s="153" t="s">
        <v>204</v>
      </c>
      <c r="K1539" s="153" t="s">
        <v>204</v>
      </c>
      <c r="L1539" s="153" t="s">
        <v>325</v>
      </c>
      <c r="M1539" s="153" t="s">
        <v>340</v>
      </c>
      <c r="N1539" s="153" t="s">
        <v>448</v>
      </c>
      <c r="O1539" s="153" t="s">
        <v>339</v>
      </c>
      <c r="P1539" s="153" t="s">
        <v>1215</v>
      </c>
      <c r="Q1539" s="153" t="s">
        <v>413</v>
      </c>
      <c r="R1539" s="153" t="s">
        <v>407</v>
      </c>
      <c r="S1539" s="153" t="s">
        <v>1212</v>
      </c>
      <c r="T1539" s="154">
        <v>5.72</v>
      </c>
      <c r="U1539" s="153" t="s">
        <v>1865</v>
      </c>
      <c r="V1539" s="155">
        <v>-4.2000000000000002E-4</v>
      </c>
      <c r="W1539" s="155">
        <v>2.6200000000000001E-2</v>
      </c>
      <c r="X1539" s="153" t="s">
        <v>412</v>
      </c>
      <c r="Y1539" s="153" t="s">
        <v>339</v>
      </c>
      <c r="Z1539" s="154">
        <v>684314</v>
      </c>
      <c r="AA1539" s="154">
        <v>1</v>
      </c>
      <c r="AB1539" s="154">
        <v>100.79</v>
      </c>
      <c r="AD1539" s="154">
        <v>689.72</v>
      </c>
      <c r="AG1539" s="157" t="s">
        <v>15</v>
      </c>
      <c r="AH1539" s="155">
        <v>7.1000000000000002E-4</v>
      </c>
      <c r="AI1539" s="155">
        <f t="shared" ref="AI1539:AI1602" si="24">AD1539/SUMIF(B:B,B1539,AD:AD)</f>
        <v>9.3341895916575083E-4</v>
      </c>
      <c r="AJ1539" s="155">
        <v>2.0628600370774922E-4</v>
      </c>
    </row>
    <row r="1540" spans="1:36" s="160" customFormat="1">
      <c r="A1540" s="153" t="s">
        <v>1213</v>
      </c>
      <c r="B1540" s="160">
        <v>9302</v>
      </c>
      <c r="C1540" s="153" t="s">
        <v>3041</v>
      </c>
      <c r="D1540" s="153" t="s">
        <v>3042</v>
      </c>
      <c r="E1540" s="153" t="s">
        <v>309</v>
      </c>
      <c r="F1540" s="153" t="s">
        <v>3043</v>
      </c>
      <c r="G1540" s="153" t="s">
        <v>3044</v>
      </c>
      <c r="H1540" s="153" t="s">
        <v>321</v>
      </c>
      <c r="I1540" s="153" t="s">
        <v>951</v>
      </c>
      <c r="J1540" s="153" t="s">
        <v>204</v>
      </c>
      <c r="K1540" s="153" t="s">
        <v>204</v>
      </c>
      <c r="L1540" s="153" t="s">
        <v>325</v>
      </c>
      <c r="M1540" s="153" t="s">
        <v>340</v>
      </c>
      <c r="N1540" s="153" t="s">
        <v>459</v>
      </c>
      <c r="O1540" s="153" t="s">
        <v>339</v>
      </c>
      <c r="P1540" s="153" t="s">
        <v>1544</v>
      </c>
      <c r="Q1540" s="153" t="s">
        <v>415</v>
      </c>
      <c r="R1540" s="153" t="s">
        <v>407</v>
      </c>
      <c r="S1540" s="153" t="s">
        <v>1212</v>
      </c>
      <c r="T1540" s="154">
        <v>0.25</v>
      </c>
      <c r="U1540" s="153" t="s">
        <v>2541</v>
      </c>
      <c r="V1540" s="155">
        <v>3.0429999999999999E-2</v>
      </c>
      <c r="W1540" s="155">
        <v>5.8900000000000001E-2</v>
      </c>
      <c r="X1540" s="153" t="s">
        <v>412</v>
      </c>
      <c r="Y1540" s="153" t="s">
        <v>339</v>
      </c>
      <c r="Z1540" s="154">
        <v>688208.83</v>
      </c>
      <c r="AA1540" s="154">
        <v>1</v>
      </c>
      <c r="AB1540" s="154">
        <v>100.16</v>
      </c>
      <c r="AD1540" s="154">
        <v>689.31</v>
      </c>
      <c r="AG1540" s="157" t="s">
        <v>15</v>
      </c>
      <c r="AH1540" s="155">
        <v>3.5249999999999997E-2</v>
      </c>
      <c r="AI1540" s="155">
        <f t="shared" si="24"/>
        <v>9.3286409375187556E-4</v>
      </c>
      <c r="AJ1540" s="155">
        <v>2.0616337820534216E-4</v>
      </c>
    </row>
    <row r="1541" spans="1:36" s="160" customFormat="1">
      <c r="A1541" s="153" t="s">
        <v>1213</v>
      </c>
      <c r="B1541" s="160">
        <v>9302</v>
      </c>
      <c r="C1541" s="153" t="s">
        <v>1728</v>
      </c>
      <c r="D1541" s="153" t="s">
        <v>1729</v>
      </c>
      <c r="E1541" s="153" t="s">
        <v>309</v>
      </c>
      <c r="F1541" s="153" t="s">
        <v>3073</v>
      </c>
      <c r="G1541" s="153" t="s">
        <v>3074</v>
      </c>
      <c r="H1541" s="153" t="s">
        <v>321</v>
      </c>
      <c r="I1541" s="153" t="s">
        <v>951</v>
      </c>
      <c r="J1541" s="153" t="s">
        <v>204</v>
      </c>
      <c r="K1541" s="153" t="s">
        <v>204</v>
      </c>
      <c r="L1541" s="153" t="s">
        <v>325</v>
      </c>
      <c r="M1541" s="153" t="s">
        <v>340</v>
      </c>
      <c r="N1541" s="153" t="s">
        <v>461</v>
      </c>
      <c r="O1541" s="153" t="s">
        <v>339</v>
      </c>
      <c r="P1541" s="153" t="s">
        <v>1614</v>
      </c>
      <c r="Q1541" s="153" t="s">
        <v>415</v>
      </c>
      <c r="R1541" s="153" t="s">
        <v>407</v>
      </c>
      <c r="S1541" s="153" t="s">
        <v>1212</v>
      </c>
      <c r="T1541" s="154">
        <v>1.21</v>
      </c>
      <c r="U1541" s="153" t="s">
        <v>1659</v>
      </c>
      <c r="V1541" s="155">
        <v>6.6479999999999997E-2</v>
      </c>
      <c r="W1541" s="155">
        <v>5.5300000000000002E-2</v>
      </c>
      <c r="X1541" s="153" t="s">
        <v>412</v>
      </c>
      <c r="Y1541" s="153" t="s">
        <v>339</v>
      </c>
      <c r="Z1541" s="154">
        <v>687701.06</v>
      </c>
      <c r="AA1541" s="154">
        <v>1</v>
      </c>
      <c r="AB1541" s="154">
        <v>98.21</v>
      </c>
      <c r="AD1541" s="154">
        <v>675.39099999999996</v>
      </c>
      <c r="AG1541" s="157" t="s">
        <v>15</v>
      </c>
      <c r="AH1541" s="155">
        <v>2.5999999999999999E-3</v>
      </c>
      <c r="AI1541" s="155">
        <f t="shared" si="24"/>
        <v>9.1402708961595364E-4</v>
      </c>
      <c r="AJ1541" s="155">
        <v>2.0200039194191908E-4</v>
      </c>
    </row>
    <row r="1542" spans="1:36" s="160" customFormat="1">
      <c r="A1542" s="153" t="s">
        <v>1213</v>
      </c>
      <c r="B1542" s="160">
        <v>9302</v>
      </c>
      <c r="C1542" s="153" t="s">
        <v>2780</v>
      </c>
      <c r="D1542" s="153" t="s">
        <v>2781</v>
      </c>
      <c r="E1542" s="153" t="s">
        <v>309</v>
      </c>
      <c r="F1542" s="153" t="s">
        <v>3017</v>
      </c>
      <c r="G1542" s="153" t="s">
        <v>3018</v>
      </c>
      <c r="H1542" s="153" t="s">
        <v>321</v>
      </c>
      <c r="I1542" s="153" t="s">
        <v>754</v>
      </c>
      <c r="J1542" s="153" t="s">
        <v>204</v>
      </c>
      <c r="K1542" s="153" t="s">
        <v>204</v>
      </c>
      <c r="L1542" s="153" t="s">
        <v>325</v>
      </c>
      <c r="M1542" s="153" t="s">
        <v>340</v>
      </c>
      <c r="N1542" s="153" t="s">
        <v>464</v>
      </c>
      <c r="O1542" s="153" t="s">
        <v>339</v>
      </c>
      <c r="P1542" s="153" t="s">
        <v>1521</v>
      </c>
      <c r="Q1542" s="153" t="s">
        <v>413</v>
      </c>
      <c r="R1542" s="153" t="s">
        <v>407</v>
      </c>
      <c r="S1542" s="153" t="s">
        <v>1212</v>
      </c>
      <c r="T1542" s="154">
        <v>3.43</v>
      </c>
      <c r="U1542" s="153" t="s">
        <v>1266</v>
      </c>
      <c r="V1542" s="155">
        <v>-2.5000000000000001E-4</v>
      </c>
      <c r="W1542" s="155">
        <v>2.8899999999999999E-2</v>
      </c>
      <c r="X1542" s="153" t="s">
        <v>412</v>
      </c>
      <c r="Y1542" s="153" t="s">
        <v>339</v>
      </c>
      <c r="Z1542" s="154">
        <v>591708.5</v>
      </c>
      <c r="AA1542" s="154">
        <v>1</v>
      </c>
      <c r="AB1542" s="154">
        <v>112.07</v>
      </c>
      <c r="AD1542" s="154">
        <v>663.12800000000004</v>
      </c>
      <c r="AG1542" s="157" t="s">
        <v>15</v>
      </c>
      <c r="AH1542" s="155">
        <v>3.0300000000000001E-3</v>
      </c>
      <c r="AI1542" s="155">
        <f t="shared" si="24"/>
        <v>8.9743120041997626E-4</v>
      </c>
      <c r="AJ1542" s="155">
        <v>1.9833269307358394E-4</v>
      </c>
    </row>
    <row r="1543" spans="1:36" s="160" customFormat="1">
      <c r="A1543" s="153" t="s">
        <v>1213</v>
      </c>
      <c r="B1543" s="160">
        <v>9302</v>
      </c>
      <c r="C1543" s="153" t="s">
        <v>1634</v>
      </c>
      <c r="D1543" s="153" t="s">
        <v>1635</v>
      </c>
      <c r="E1543" s="153" t="s">
        <v>309</v>
      </c>
      <c r="F1543" s="153" t="s">
        <v>3045</v>
      </c>
      <c r="G1543" s="153" t="s">
        <v>3046</v>
      </c>
      <c r="H1543" s="153" t="s">
        <v>321</v>
      </c>
      <c r="I1543" s="153" t="s">
        <v>951</v>
      </c>
      <c r="J1543" s="153" t="s">
        <v>204</v>
      </c>
      <c r="K1543" s="153" t="s">
        <v>204</v>
      </c>
      <c r="L1543" s="153" t="s">
        <v>325</v>
      </c>
      <c r="M1543" s="153" t="s">
        <v>340</v>
      </c>
      <c r="N1543" s="153" t="s">
        <v>454</v>
      </c>
      <c r="O1543" s="153" t="s">
        <v>339</v>
      </c>
      <c r="P1543" s="153" t="s">
        <v>1554</v>
      </c>
      <c r="Q1543" s="153" t="s">
        <v>413</v>
      </c>
      <c r="R1543" s="153" t="s">
        <v>407</v>
      </c>
      <c r="S1543" s="153" t="s">
        <v>1212</v>
      </c>
      <c r="T1543" s="154">
        <v>2.39</v>
      </c>
      <c r="U1543" s="153" t="s">
        <v>3047</v>
      </c>
      <c r="V1543" s="155">
        <v>4.9450000000000001E-2</v>
      </c>
      <c r="W1543" s="155">
        <v>6.4199999999999993E-2</v>
      </c>
      <c r="X1543" s="153" t="s">
        <v>412</v>
      </c>
      <c r="Y1543" s="153" t="s">
        <v>339</v>
      </c>
      <c r="Z1543" s="154">
        <v>672000</v>
      </c>
      <c r="AA1543" s="154">
        <v>1</v>
      </c>
      <c r="AB1543" s="154">
        <v>98.6</v>
      </c>
      <c r="AD1543" s="154">
        <v>662.59199999999998</v>
      </c>
      <c r="AG1543" s="157" t="s">
        <v>15</v>
      </c>
      <c r="AH1543" s="155">
        <v>2.0400000000000001E-3</v>
      </c>
      <c r="AI1543" s="155">
        <f t="shared" si="24"/>
        <v>8.9670581539110525E-4</v>
      </c>
      <c r="AJ1543" s="155">
        <v>1.981723826606811E-4</v>
      </c>
    </row>
    <row r="1544" spans="1:36" s="160" customFormat="1">
      <c r="A1544" s="153" t="s">
        <v>1213</v>
      </c>
      <c r="B1544" s="160">
        <v>9302</v>
      </c>
      <c r="C1544" s="153" t="s">
        <v>3027</v>
      </c>
      <c r="D1544" s="153" t="s">
        <v>3028</v>
      </c>
      <c r="E1544" s="153" t="s">
        <v>311</v>
      </c>
      <c r="F1544" s="153" t="s">
        <v>3029</v>
      </c>
      <c r="G1544" s="153" t="s">
        <v>3030</v>
      </c>
      <c r="H1544" s="153" t="s">
        <v>321</v>
      </c>
      <c r="I1544" s="153" t="s">
        <v>754</v>
      </c>
      <c r="J1544" s="153" t="s">
        <v>204</v>
      </c>
      <c r="K1544" s="153" t="s">
        <v>204</v>
      </c>
      <c r="L1544" s="153" t="s">
        <v>325</v>
      </c>
      <c r="M1544" s="153" t="s">
        <v>340</v>
      </c>
      <c r="N1544" s="153" t="s">
        <v>464</v>
      </c>
      <c r="O1544" s="153" t="s">
        <v>339</v>
      </c>
      <c r="Q1544" s="153" t="s">
        <v>410</v>
      </c>
      <c r="R1544" s="153" t="s">
        <v>410</v>
      </c>
      <c r="S1544" s="153" t="s">
        <v>1212</v>
      </c>
      <c r="T1544" s="154">
        <v>2.87</v>
      </c>
      <c r="U1544" s="153" t="s">
        <v>1744</v>
      </c>
      <c r="V1544" s="155">
        <v>6.2350000000000003E-2</v>
      </c>
      <c r="W1544" s="155">
        <v>4.4900000000000002E-2</v>
      </c>
      <c r="X1544" s="153" t="s">
        <v>412</v>
      </c>
      <c r="Y1544" s="153" t="s">
        <v>339</v>
      </c>
      <c r="Z1544" s="154">
        <v>505000</v>
      </c>
      <c r="AA1544" s="154">
        <v>1</v>
      </c>
      <c r="AB1544" s="154">
        <v>110.7</v>
      </c>
      <c r="AD1544" s="154">
        <v>559.03499999999997</v>
      </c>
      <c r="AG1544" s="157" t="s">
        <v>15</v>
      </c>
      <c r="AH1544" s="155">
        <v>6.5799999999999999E-3</v>
      </c>
      <c r="AI1544" s="155">
        <f t="shared" si="24"/>
        <v>7.565589918187459E-4</v>
      </c>
      <c r="AJ1544" s="155">
        <v>1.6719987253198626E-4</v>
      </c>
    </row>
    <row r="1545" spans="1:36" s="160" customFormat="1">
      <c r="A1545" s="153" t="s">
        <v>1213</v>
      </c>
      <c r="B1545" s="160">
        <v>9302</v>
      </c>
      <c r="C1545" s="153" t="s">
        <v>2328</v>
      </c>
      <c r="D1545" s="153" t="s">
        <v>2329</v>
      </c>
      <c r="E1545" s="153" t="s">
        <v>309</v>
      </c>
      <c r="F1545" s="153" t="s">
        <v>3031</v>
      </c>
      <c r="G1545" s="153" t="s">
        <v>3032</v>
      </c>
      <c r="H1545" s="153" t="s">
        <v>321</v>
      </c>
      <c r="I1545" s="153" t="s">
        <v>951</v>
      </c>
      <c r="J1545" s="153" t="s">
        <v>204</v>
      </c>
      <c r="K1545" s="153" t="s">
        <v>204</v>
      </c>
      <c r="L1545" s="153" t="s">
        <v>325</v>
      </c>
      <c r="M1545" s="153" t="s">
        <v>340</v>
      </c>
      <c r="N1545" s="153" t="s">
        <v>465</v>
      </c>
      <c r="O1545" s="153" t="s">
        <v>339</v>
      </c>
      <c r="P1545" s="153" t="s">
        <v>1923</v>
      </c>
      <c r="Q1545" s="153" t="s">
        <v>415</v>
      </c>
      <c r="R1545" s="153" t="s">
        <v>407</v>
      </c>
      <c r="S1545" s="153" t="s">
        <v>1212</v>
      </c>
      <c r="T1545" s="154">
        <v>2.0099999999999998</v>
      </c>
      <c r="U1545" s="153" t="s">
        <v>1659</v>
      </c>
      <c r="V1545" s="155">
        <v>5.0169999999999999E-2</v>
      </c>
      <c r="W1545" s="155">
        <v>5.5100000000000003E-2</v>
      </c>
      <c r="X1545" s="153" t="s">
        <v>412</v>
      </c>
      <c r="Y1545" s="153" t="s">
        <v>339</v>
      </c>
      <c r="Z1545" s="154">
        <v>551170.81000000006</v>
      </c>
      <c r="AA1545" s="154">
        <v>1</v>
      </c>
      <c r="AB1545" s="154">
        <v>95.5</v>
      </c>
      <c r="AD1545" s="154">
        <v>526.36800000000005</v>
      </c>
      <c r="AG1545" s="157" t="s">
        <v>15</v>
      </c>
      <c r="AH1545" s="155">
        <v>6.9100000000000003E-3</v>
      </c>
      <c r="AI1545" s="155">
        <f t="shared" si="24"/>
        <v>7.1234975163567528E-4</v>
      </c>
      <c r="AJ1545" s="155">
        <v>1.5742961085605831E-4</v>
      </c>
    </row>
    <row r="1546" spans="1:36" s="160" customFormat="1">
      <c r="A1546" s="153" t="s">
        <v>1213</v>
      </c>
      <c r="B1546" s="160">
        <v>9302</v>
      </c>
      <c r="C1546" s="153" t="s">
        <v>1512</v>
      </c>
      <c r="D1546" s="153" t="s">
        <v>1513</v>
      </c>
      <c r="E1546" s="153" t="s">
        <v>309</v>
      </c>
      <c r="F1546" s="153" t="s">
        <v>3077</v>
      </c>
      <c r="G1546" s="153" t="s">
        <v>3078</v>
      </c>
      <c r="H1546" s="153" t="s">
        <v>321</v>
      </c>
      <c r="I1546" s="153" t="s">
        <v>754</v>
      </c>
      <c r="J1546" s="153" t="s">
        <v>204</v>
      </c>
      <c r="K1546" s="153" t="s">
        <v>204</v>
      </c>
      <c r="L1546" s="153" t="s">
        <v>325</v>
      </c>
      <c r="M1546" s="153" t="s">
        <v>340</v>
      </c>
      <c r="N1546" s="153" t="s">
        <v>448</v>
      </c>
      <c r="O1546" s="153" t="s">
        <v>339</v>
      </c>
      <c r="P1546" s="153" t="s">
        <v>1215</v>
      </c>
      <c r="Q1546" s="153" t="s">
        <v>413</v>
      </c>
      <c r="R1546" s="153" t="s">
        <v>407</v>
      </c>
      <c r="S1546" s="153" t="s">
        <v>1212</v>
      </c>
      <c r="T1546" s="154">
        <v>5.4</v>
      </c>
      <c r="U1546" s="153" t="s">
        <v>3079</v>
      </c>
      <c r="V1546" s="155">
        <v>2.31E-3</v>
      </c>
      <c r="W1546" s="155">
        <v>2.4799999999999999E-2</v>
      </c>
      <c r="X1546" s="153" t="s">
        <v>412</v>
      </c>
      <c r="Y1546" s="153" t="s">
        <v>339</v>
      </c>
      <c r="Z1546" s="154">
        <v>438183</v>
      </c>
      <c r="AA1546" s="154">
        <v>1</v>
      </c>
      <c r="AB1546" s="154">
        <v>117</v>
      </c>
      <c r="AD1546" s="154">
        <v>512.67399999999998</v>
      </c>
      <c r="AG1546" s="157" t="s">
        <v>15</v>
      </c>
      <c r="AH1546" s="155">
        <v>6.2E-4</v>
      </c>
      <c r="AI1546" s="155">
        <f t="shared" si="24"/>
        <v>6.9381724681224566E-4</v>
      </c>
      <c r="AJ1546" s="155">
        <v>1.5333391907566347E-4</v>
      </c>
    </row>
    <row r="1547" spans="1:36" s="160" customFormat="1">
      <c r="A1547" s="153" t="s">
        <v>1213</v>
      </c>
      <c r="B1547" s="160">
        <v>9302</v>
      </c>
      <c r="C1547" s="153" t="s">
        <v>2984</v>
      </c>
      <c r="D1547" s="153" t="s">
        <v>2985</v>
      </c>
      <c r="E1547" s="153" t="s">
        <v>309</v>
      </c>
      <c r="F1547" s="153" t="s">
        <v>2986</v>
      </c>
      <c r="G1547" s="153" t="s">
        <v>2987</v>
      </c>
      <c r="H1547" s="153" t="s">
        <v>321</v>
      </c>
      <c r="I1547" s="153" t="s">
        <v>952</v>
      </c>
      <c r="J1547" s="153" t="s">
        <v>204</v>
      </c>
      <c r="K1547" s="153" t="s">
        <v>204</v>
      </c>
      <c r="L1547" s="153" t="s">
        <v>325</v>
      </c>
      <c r="M1547" s="153" t="s">
        <v>340</v>
      </c>
      <c r="N1547" s="153" t="s">
        <v>478</v>
      </c>
      <c r="O1547" s="153" t="s">
        <v>339</v>
      </c>
      <c r="P1547" s="153" t="s">
        <v>1544</v>
      </c>
      <c r="Q1547" s="153" t="s">
        <v>415</v>
      </c>
      <c r="R1547" s="153" t="s">
        <v>407</v>
      </c>
      <c r="S1547" s="153" t="s">
        <v>1212</v>
      </c>
      <c r="T1547" s="154">
        <v>1.23</v>
      </c>
      <c r="U1547" s="153" t="s">
        <v>1833</v>
      </c>
      <c r="V1547" s="155">
        <v>5.9330000000000001E-2</v>
      </c>
      <c r="W1547" s="155">
        <v>5.6899999999999999E-2</v>
      </c>
      <c r="X1547" s="153" t="s">
        <v>412</v>
      </c>
      <c r="Y1547" s="153" t="s">
        <v>339</v>
      </c>
      <c r="Z1547" s="154">
        <v>527427.32999999996</v>
      </c>
      <c r="AA1547" s="154">
        <v>1</v>
      </c>
      <c r="AB1547" s="154">
        <v>95.5</v>
      </c>
      <c r="AD1547" s="154">
        <v>503.69299999999998</v>
      </c>
      <c r="AG1547" s="157" t="s">
        <v>15</v>
      </c>
      <c r="AH1547" s="155">
        <v>1.546E-2</v>
      </c>
      <c r="AI1547" s="155">
        <f t="shared" si="24"/>
        <v>6.8166298758782476E-4</v>
      </c>
      <c r="AJ1547" s="155">
        <v>1.5064782239976703E-4</v>
      </c>
    </row>
    <row r="1548" spans="1:36" s="160" customFormat="1">
      <c r="A1548" s="153" t="s">
        <v>1213</v>
      </c>
      <c r="B1548" s="160">
        <v>9302</v>
      </c>
      <c r="C1548" s="153" t="s">
        <v>2141</v>
      </c>
      <c r="D1548" s="153" t="s">
        <v>2142</v>
      </c>
      <c r="E1548" s="153" t="s">
        <v>309</v>
      </c>
      <c r="F1548" s="153" t="s">
        <v>2143</v>
      </c>
      <c r="G1548" s="153" t="s">
        <v>2144</v>
      </c>
      <c r="H1548" s="153" t="s">
        <v>321</v>
      </c>
      <c r="I1548" s="153" t="s">
        <v>951</v>
      </c>
      <c r="J1548" s="153" t="s">
        <v>204</v>
      </c>
      <c r="K1548" s="153" t="s">
        <v>204</v>
      </c>
      <c r="L1548" s="153" t="s">
        <v>325</v>
      </c>
      <c r="M1548" s="153" t="s">
        <v>340</v>
      </c>
      <c r="N1548" s="153" t="s">
        <v>475</v>
      </c>
      <c r="O1548" s="153" t="s">
        <v>339</v>
      </c>
      <c r="P1548" s="153" t="s">
        <v>1566</v>
      </c>
      <c r="Q1548" s="153" t="s">
        <v>413</v>
      </c>
      <c r="R1548" s="153" t="s">
        <v>407</v>
      </c>
      <c r="S1548" s="153" t="s">
        <v>1212</v>
      </c>
      <c r="T1548" s="154">
        <v>2.79</v>
      </c>
      <c r="U1548" s="153" t="s">
        <v>1913</v>
      </c>
      <c r="V1548" s="155">
        <v>4.8419999999999998E-2</v>
      </c>
      <c r="W1548" s="155">
        <v>5.8400000000000001E-2</v>
      </c>
      <c r="X1548" s="153" t="s">
        <v>412</v>
      </c>
      <c r="Y1548" s="153" t="s">
        <v>339</v>
      </c>
      <c r="Z1548" s="154">
        <v>545873.5</v>
      </c>
      <c r="AA1548" s="154">
        <v>1</v>
      </c>
      <c r="AB1548" s="154">
        <v>90.77</v>
      </c>
      <c r="AD1548" s="154">
        <v>495.48899999999998</v>
      </c>
      <c r="AG1548" s="157" t="s">
        <v>15</v>
      </c>
      <c r="AH1548" s="155">
        <v>9.5E-4</v>
      </c>
      <c r="AI1548" s="155">
        <f t="shared" si="24"/>
        <v>6.7056026598921107E-4</v>
      </c>
      <c r="AJ1548" s="155">
        <v>1.4819411600526148E-4</v>
      </c>
    </row>
    <row r="1549" spans="1:36" s="160" customFormat="1">
      <c r="A1549" s="153" t="s">
        <v>1213</v>
      </c>
      <c r="B1549" s="160">
        <v>9302</v>
      </c>
      <c r="C1549" s="153" t="s">
        <v>2150</v>
      </c>
      <c r="D1549" s="153" t="s">
        <v>2151</v>
      </c>
      <c r="E1549" s="153" t="s">
        <v>309</v>
      </c>
      <c r="F1549" s="153" t="s">
        <v>2152</v>
      </c>
      <c r="G1549" s="153" t="s">
        <v>2153</v>
      </c>
      <c r="H1549" s="153" t="s">
        <v>321</v>
      </c>
      <c r="I1549" s="153" t="s">
        <v>754</v>
      </c>
      <c r="J1549" s="153" t="s">
        <v>204</v>
      </c>
      <c r="K1549" s="153" t="s">
        <v>204</v>
      </c>
      <c r="L1549" s="153" t="s">
        <v>325</v>
      </c>
      <c r="M1549" s="153" t="s">
        <v>340</v>
      </c>
      <c r="N1549" s="153" t="s">
        <v>477</v>
      </c>
      <c r="O1549" s="153" t="s">
        <v>339</v>
      </c>
      <c r="P1549" s="153" t="s">
        <v>1538</v>
      </c>
      <c r="Q1549" s="153" t="s">
        <v>413</v>
      </c>
      <c r="R1549" s="153" t="s">
        <v>407</v>
      </c>
      <c r="S1549" s="153" t="s">
        <v>1212</v>
      </c>
      <c r="T1549" s="154">
        <v>3.5</v>
      </c>
      <c r="U1549" s="153" t="s">
        <v>2154</v>
      </c>
      <c r="V1549" s="155">
        <v>1.993E-2</v>
      </c>
      <c r="W1549" s="155">
        <v>3.04E-2</v>
      </c>
      <c r="X1549" s="153" t="s">
        <v>412</v>
      </c>
      <c r="Y1549" s="153" t="s">
        <v>339</v>
      </c>
      <c r="Z1549" s="154">
        <v>400120.37</v>
      </c>
      <c r="AA1549" s="154">
        <v>1</v>
      </c>
      <c r="AB1549" s="154">
        <v>103.8</v>
      </c>
      <c r="AD1549" s="154">
        <v>415.32499999999999</v>
      </c>
      <c r="AG1549" s="157" t="s">
        <v>15</v>
      </c>
      <c r="AH1549" s="155">
        <v>6.2E-4</v>
      </c>
      <c r="AI1549" s="155">
        <f t="shared" si="24"/>
        <v>5.6207189760412257E-4</v>
      </c>
      <c r="AJ1549" s="155">
        <v>1.2421813850536586E-4</v>
      </c>
    </row>
    <row r="1550" spans="1:36" s="160" customFormat="1">
      <c r="A1550" s="153" t="s">
        <v>1213</v>
      </c>
      <c r="B1550" s="160">
        <v>9302</v>
      </c>
      <c r="C1550" s="153" t="s">
        <v>1825</v>
      </c>
      <c r="D1550" s="153" t="s">
        <v>1826</v>
      </c>
      <c r="E1550" s="153" t="s">
        <v>309</v>
      </c>
      <c r="F1550" s="153" t="s">
        <v>1827</v>
      </c>
      <c r="G1550" s="153" t="s">
        <v>1828</v>
      </c>
      <c r="H1550" s="153" t="s">
        <v>321</v>
      </c>
      <c r="I1550" s="153" t="s">
        <v>951</v>
      </c>
      <c r="J1550" s="153" t="s">
        <v>204</v>
      </c>
      <c r="K1550" s="153" t="s">
        <v>204</v>
      </c>
      <c r="L1550" s="153" t="s">
        <v>325</v>
      </c>
      <c r="M1550" s="153" t="s">
        <v>340</v>
      </c>
      <c r="N1550" s="153" t="s">
        <v>441</v>
      </c>
      <c r="O1550" s="153" t="s">
        <v>339</v>
      </c>
      <c r="Q1550" s="153" t="s">
        <v>410</v>
      </c>
      <c r="R1550" s="153" t="s">
        <v>410</v>
      </c>
      <c r="S1550" s="153" t="s">
        <v>1212</v>
      </c>
      <c r="T1550" s="154">
        <v>3.39</v>
      </c>
      <c r="U1550" s="153" t="s">
        <v>1283</v>
      </c>
      <c r="V1550" s="155">
        <v>5.994E-2</v>
      </c>
      <c r="W1550" s="155">
        <v>7.0499999999999993E-2</v>
      </c>
      <c r="X1550" s="153" t="s">
        <v>412</v>
      </c>
      <c r="Y1550" s="153" t="s">
        <v>339</v>
      </c>
      <c r="Z1550" s="154">
        <v>429920</v>
      </c>
      <c r="AA1550" s="154">
        <v>1</v>
      </c>
      <c r="AB1550" s="154">
        <v>95.4</v>
      </c>
      <c r="AD1550" s="154">
        <v>410.14400000000001</v>
      </c>
      <c r="AG1550" s="157" t="s">
        <v>15</v>
      </c>
      <c r="AH1550" s="155">
        <v>1.64E-3</v>
      </c>
      <c r="AI1550" s="155">
        <f t="shared" si="24"/>
        <v>5.5506029343512973E-4</v>
      </c>
      <c r="AJ1550" s="155">
        <v>1.2266857087616872E-4</v>
      </c>
    </row>
    <row r="1551" spans="1:36" s="160" customFormat="1">
      <c r="A1551" s="153" t="s">
        <v>1213</v>
      </c>
      <c r="B1551" s="160">
        <v>9302</v>
      </c>
      <c r="C1551" s="153" t="s">
        <v>2491</v>
      </c>
      <c r="D1551" s="153" t="s">
        <v>2492</v>
      </c>
      <c r="E1551" s="153" t="s">
        <v>311</v>
      </c>
      <c r="F1551" s="153" t="s">
        <v>2493</v>
      </c>
      <c r="G1551" s="153" t="s">
        <v>2494</v>
      </c>
      <c r="H1551" s="153" t="s">
        <v>321</v>
      </c>
      <c r="I1551" s="153" t="s">
        <v>951</v>
      </c>
      <c r="J1551" s="153" t="s">
        <v>204</v>
      </c>
      <c r="K1551" s="153" t="s">
        <v>224</v>
      </c>
      <c r="L1551" s="153" t="s">
        <v>325</v>
      </c>
      <c r="M1551" s="153" t="s">
        <v>340</v>
      </c>
      <c r="N1551" s="153" t="s">
        <v>465</v>
      </c>
      <c r="O1551" s="153" t="s">
        <v>339</v>
      </c>
      <c r="P1551" s="153" t="s">
        <v>1554</v>
      </c>
      <c r="Q1551" s="153" t="s">
        <v>413</v>
      </c>
      <c r="R1551" s="153" t="s">
        <v>407</v>
      </c>
      <c r="S1551" s="153" t="s">
        <v>1212</v>
      </c>
      <c r="T1551" s="154">
        <v>2.69</v>
      </c>
      <c r="U1551" s="153" t="s">
        <v>2495</v>
      </c>
      <c r="V1551" s="155">
        <v>0.08</v>
      </c>
      <c r="W1551" s="155">
        <v>0.17280000000000001</v>
      </c>
      <c r="X1551" s="153" t="s">
        <v>412</v>
      </c>
      <c r="Y1551" s="153" t="s">
        <v>338</v>
      </c>
      <c r="Z1551" s="154">
        <v>435382.64</v>
      </c>
      <c r="AA1551" s="154">
        <v>1</v>
      </c>
      <c r="AB1551" s="154">
        <v>82.33</v>
      </c>
      <c r="AD1551" s="154">
        <v>358.45100000000002</v>
      </c>
      <c r="AG1551" s="157" t="s">
        <v>15</v>
      </c>
      <c r="AH1551" s="155">
        <v>4.8000000000000001E-4</v>
      </c>
      <c r="AI1551" s="155">
        <f t="shared" si="24"/>
        <v>4.8510259138769728E-4</v>
      </c>
      <c r="AJ1551" s="155">
        <v>1.0720788771537206E-4</v>
      </c>
    </row>
    <row r="1552" spans="1:36" s="160" customFormat="1">
      <c r="A1552" s="153" t="s">
        <v>1213</v>
      </c>
      <c r="B1552" s="160">
        <v>9302</v>
      </c>
      <c r="C1552" s="153" t="s">
        <v>2343</v>
      </c>
      <c r="D1552" s="153" t="s">
        <v>2344</v>
      </c>
      <c r="E1552" s="153" t="s">
        <v>309</v>
      </c>
      <c r="F1552" s="153" t="s">
        <v>2345</v>
      </c>
      <c r="G1552" s="153" t="s">
        <v>2346</v>
      </c>
      <c r="H1552" s="153" t="s">
        <v>321</v>
      </c>
      <c r="I1552" s="153" t="s">
        <v>951</v>
      </c>
      <c r="J1552" s="153" t="s">
        <v>204</v>
      </c>
      <c r="K1552" s="153" t="s">
        <v>204</v>
      </c>
      <c r="L1552" s="153" t="s">
        <v>325</v>
      </c>
      <c r="M1552" s="153" t="s">
        <v>340</v>
      </c>
      <c r="N1552" s="153" t="s">
        <v>476</v>
      </c>
      <c r="O1552" s="153" t="s">
        <v>339</v>
      </c>
      <c r="P1552" s="153" t="s">
        <v>1566</v>
      </c>
      <c r="Q1552" s="153" t="s">
        <v>413</v>
      </c>
      <c r="R1552" s="153" t="s">
        <v>407</v>
      </c>
      <c r="S1552" s="153" t="s">
        <v>1212</v>
      </c>
      <c r="T1552" s="154">
        <v>5.63</v>
      </c>
      <c r="U1552" s="153" t="s">
        <v>2347</v>
      </c>
      <c r="V1552" s="155">
        <v>5.552E-2</v>
      </c>
      <c r="W1552" s="155">
        <v>5.6099999999999997E-2</v>
      </c>
      <c r="X1552" s="153" t="s">
        <v>412</v>
      </c>
      <c r="Y1552" s="153" t="s">
        <v>339</v>
      </c>
      <c r="Z1552" s="154">
        <v>338000</v>
      </c>
      <c r="AA1552" s="154">
        <v>1</v>
      </c>
      <c r="AB1552" s="154">
        <v>100.98</v>
      </c>
      <c r="AD1552" s="154">
        <v>341.31200000000001</v>
      </c>
      <c r="AG1552" s="157" t="s">
        <v>15</v>
      </c>
      <c r="AH1552" s="155">
        <v>2.2499999999999998E-3</v>
      </c>
      <c r="AI1552" s="155">
        <f t="shared" si="24"/>
        <v>4.619078637574389E-4</v>
      </c>
      <c r="AJ1552" s="155">
        <v>1.0208184262816694E-4</v>
      </c>
    </row>
    <row r="1553" spans="1:36" s="160" customFormat="1">
      <c r="A1553" s="153" t="s">
        <v>1213</v>
      </c>
      <c r="B1553" s="160">
        <v>9302</v>
      </c>
      <c r="C1553" s="153" t="s">
        <v>3008</v>
      </c>
      <c r="D1553" s="153" t="s">
        <v>3009</v>
      </c>
      <c r="E1553" s="153" t="s">
        <v>309</v>
      </c>
      <c r="F1553" s="153" t="s">
        <v>3010</v>
      </c>
      <c r="G1553" s="153" t="s">
        <v>3011</v>
      </c>
      <c r="H1553" s="153" t="s">
        <v>321</v>
      </c>
      <c r="I1553" s="153" t="s">
        <v>951</v>
      </c>
      <c r="J1553" s="153" t="s">
        <v>204</v>
      </c>
      <c r="K1553" s="153" t="s">
        <v>204</v>
      </c>
      <c r="L1553" s="153" t="s">
        <v>325</v>
      </c>
      <c r="M1553" s="153" t="s">
        <v>340</v>
      </c>
      <c r="N1553" s="153" t="s">
        <v>477</v>
      </c>
      <c r="O1553" s="153" t="s">
        <v>339</v>
      </c>
      <c r="P1553" s="153" t="s">
        <v>1521</v>
      </c>
      <c r="Q1553" s="153" t="s">
        <v>413</v>
      </c>
      <c r="R1553" s="153" t="s">
        <v>407</v>
      </c>
      <c r="S1553" s="153" t="s">
        <v>1212</v>
      </c>
      <c r="T1553" s="154">
        <v>0.25</v>
      </c>
      <c r="U1553" s="153" t="s">
        <v>2541</v>
      </c>
      <c r="V1553" s="155">
        <v>1.9390000000000001E-2</v>
      </c>
      <c r="W1553" s="155">
        <v>5.8400000000000001E-2</v>
      </c>
      <c r="X1553" s="153" t="s">
        <v>412</v>
      </c>
      <c r="Y1553" s="153" t="s">
        <v>339</v>
      </c>
      <c r="Z1553" s="154">
        <v>329890.52</v>
      </c>
      <c r="AA1553" s="154">
        <v>1</v>
      </c>
      <c r="AB1553" s="154">
        <v>100.05</v>
      </c>
      <c r="AD1553" s="154">
        <v>330.05500000000001</v>
      </c>
      <c r="AG1553" s="157" t="s">
        <v>15</v>
      </c>
      <c r="AH1553" s="155">
        <v>1.8450000000000001E-2</v>
      </c>
      <c r="AI1553" s="155">
        <f t="shared" si="24"/>
        <v>4.4667342482087208E-4</v>
      </c>
      <c r="AJ1553" s="155">
        <v>9.8715024870615854E-5</v>
      </c>
    </row>
    <row r="1554" spans="1:36" s="160" customFormat="1">
      <c r="A1554" s="153" t="s">
        <v>1213</v>
      </c>
      <c r="B1554" s="160">
        <v>9302</v>
      </c>
      <c r="C1554" s="153" t="s">
        <v>1807</v>
      </c>
      <c r="D1554" s="153" t="s">
        <v>1808</v>
      </c>
      <c r="E1554" s="153" t="s">
        <v>309</v>
      </c>
      <c r="F1554" s="153" t="s">
        <v>2284</v>
      </c>
      <c r="G1554" s="153" t="s">
        <v>2285</v>
      </c>
      <c r="H1554" s="153" t="s">
        <v>321</v>
      </c>
      <c r="I1554" s="153" t="s">
        <v>754</v>
      </c>
      <c r="J1554" s="153" t="s">
        <v>204</v>
      </c>
      <c r="K1554" s="153" t="s">
        <v>204</v>
      </c>
      <c r="L1554" s="153" t="s">
        <v>325</v>
      </c>
      <c r="M1554" s="153" t="s">
        <v>340</v>
      </c>
      <c r="N1554" s="153" t="s">
        <v>464</v>
      </c>
      <c r="O1554" s="153" t="s">
        <v>339</v>
      </c>
      <c r="P1554" s="153" t="s">
        <v>1923</v>
      </c>
      <c r="Q1554" s="153" t="s">
        <v>415</v>
      </c>
      <c r="R1554" s="153" t="s">
        <v>407</v>
      </c>
      <c r="S1554" s="153" t="s">
        <v>1212</v>
      </c>
      <c r="T1554" s="154">
        <v>5.47</v>
      </c>
      <c r="U1554" s="153" t="s">
        <v>1732</v>
      </c>
      <c r="V1554" s="155">
        <v>2.6950000000000002E-2</v>
      </c>
      <c r="W1554" s="155">
        <v>3.1800000000000002E-2</v>
      </c>
      <c r="X1554" s="153" t="s">
        <v>412</v>
      </c>
      <c r="Y1554" s="153" t="s">
        <v>339</v>
      </c>
      <c r="Z1554" s="154">
        <v>280000</v>
      </c>
      <c r="AA1554" s="154">
        <v>1</v>
      </c>
      <c r="AB1554" s="154">
        <v>111.87</v>
      </c>
      <c r="AD1554" s="154">
        <v>313.23599999999999</v>
      </c>
      <c r="AG1554" s="157" t="s">
        <v>15</v>
      </c>
      <c r="AH1554" s="155">
        <v>8.0000000000000007E-5</v>
      </c>
      <c r="AI1554" s="155">
        <f t="shared" si="24"/>
        <v>4.2391176287949185E-4</v>
      </c>
      <c r="AJ1554" s="155">
        <v>9.3684687492606456E-5</v>
      </c>
    </row>
    <row r="1555" spans="1:36" s="160" customFormat="1">
      <c r="A1555" s="153" t="s">
        <v>1213</v>
      </c>
      <c r="B1555" s="160">
        <v>9302</v>
      </c>
      <c r="C1555" s="153" t="s">
        <v>3309</v>
      </c>
      <c r="D1555" s="153" t="s">
        <v>3310</v>
      </c>
      <c r="E1555" s="153" t="s">
        <v>309</v>
      </c>
      <c r="F1555" s="153" t="s">
        <v>3311</v>
      </c>
      <c r="G1555" s="153" t="s">
        <v>3312</v>
      </c>
      <c r="H1555" s="153" t="s">
        <v>321</v>
      </c>
      <c r="I1555" s="153" t="s">
        <v>754</v>
      </c>
      <c r="J1555" s="153" t="s">
        <v>204</v>
      </c>
      <c r="K1555" s="153" t="s">
        <v>204</v>
      </c>
      <c r="L1555" s="153" t="s">
        <v>325</v>
      </c>
      <c r="M1555" s="153" t="s">
        <v>340</v>
      </c>
      <c r="N1555" s="153" t="s">
        <v>441</v>
      </c>
      <c r="O1555" s="153" t="s">
        <v>339</v>
      </c>
      <c r="Q1555" s="153" t="s">
        <v>410</v>
      </c>
      <c r="R1555" s="153" t="s">
        <v>410</v>
      </c>
      <c r="S1555" s="153" t="s">
        <v>1212</v>
      </c>
      <c r="T1555" s="154">
        <v>2.1</v>
      </c>
      <c r="U1555" s="153" t="s">
        <v>1528</v>
      </c>
      <c r="V1555" s="155">
        <v>2.751E-2</v>
      </c>
      <c r="W1555" s="155">
        <v>3.6299999999999999E-2</v>
      </c>
      <c r="X1555" s="153" t="s">
        <v>412</v>
      </c>
      <c r="Y1555" s="153" t="s">
        <v>339</v>
      </c>
      <c r="Z1555" s="154">
        <v>278953.55</v>
      </c>
      <c r="AA1555" s="154">
        <v>1</v>
      </c>
      <c r="AB1555" s="154">
        <v>110</v>
      </c>
      <c r="AD1555" s="154">
        <v>306.84899999999999</v>
      </c>
      <c r="AG1555" s="157" t="s">
        <v>15</v>
      </c>
      <c r="AH1555" s="155">
        <v>1.24E-3</v>
      </c>
      <c r="AI1555" s="155">
        <f t="shared" si="24"/>
        <v>4.1526804239553944E-4</v>
      </c>
      <c r="AJ1555" s="155">
        <v>9.1774421434377907E-5</v>
      </c>
    </row>
    <row r="1556" spans="1:36" s="160" customFormat="1">
      <c r="A1556" s="153" t="s">
        <v>1213</v>
      </c>
      <c r="B1556" s="160">
        <v>9302</v>
      </c>
      <c r="C1556" s="153" t="s">
        <v>2771</v>
      </c>
      <c r="D1556" s="153" t="s">
        <v>2772</v>
      </c>
      <c r="E1556" s="153" t="s">
        <v>309</v>
      </c>
      <c r="F1556" s="153" t="s">
        <v>2849</v>
      </c>
      <c r="G1556" s="153" t="s">
        <v>2850</v>
      </c>
      <c r="H1556" s="153" t="s">
        <v>321</v>
      </c>
      <c r="I1556" s="153" t="s">
        <v>951</v>
      </c>
      <c r="J1556" s="153" t="s">
        <v>204</v>
      </c>
      <c r="K1556" s="153" t="s">
        <v>204</v>
      </c>
      <c r="L1556" s="153" t="s">
        <v>325</v>
      </c>
      <c r="M1556" s="153" t="s">
        <v>340</v>
      </c>
      <c r="N1556" s="153" t="s">
        <v>447</v>
      </c>
      <c r="O1556" s="153" t="s">
        <v>339</v>
      </c>
      <c r="P1556" s="153" t="s">
        <v>1614</v>
      </c>
      <c r="Q1556" s="153" t="s">
        <v>415</v>
      </c>
      <c r="R1556" s="153" t="s">
        <v>407</v>
      </c>
      <c r="S1556" s="153" t="s">
        <v>1212</v>
      </c>
      <c r="T1556" s="154">
        <v>0.74</v>
      </c>
      <c r="U1556" s="153" t="s">
        <v>1848</v>
      </c>
      <c r="V1556" s="155">
        <v>5.5800000000000002E-2</v>
      </c>
      <c r="W1556" s="155">
        <v>5.8000000000000003E-2</v>
      </c>
      <c r="X1556" s="153" t="s">
        <v>412</v>
      </c>
      <c r="Y1556" s="153" t="s">
        <v>339</v>
      </c>
      <c r="Z1556" s="154">
        <v>302363</v>
      </c>
      <c r="AA1556" s="154">
        <v>1</v>
      </c>
      <c r="AB1556" s="154">
        <v>98.95</v>
      </c>
      <c r="AD1556" s="154">
        <v>299.18799999999999</v>
      </c>
      <c r="AG1556" s="157" t="s">
        <v>15</v>
      </c>
      <c r="AH1556" s="155">
        <v>5.3099999999999996E-3</v>
      </c>
      <c r="AI1556" s="155">
        <f t="shared" si="24"/>
        <v>4.0490017913774086E-4</v>
      </c>
      <c r="AJ1556" s="155">
        <v>8.9483119058913861E-5</v>
      </c>
    </row>
    <row r="1557" spans="1:36" s="160" customFormat="1">
      <c r="A1557" s="153" t="s">
        <v>1213</v>
      </c>
      <c r="B1557" s="160">
        <v>9302</v>
      </c>
      <c r="C1557" s="153" t="s">
        <v>1591</v>
      </c>
      <c r="D1557" s="153" t="s">
        <v>1592</v>
      </c>
      <c r="E1557" s="153" t="s">
        <v>309</v>
      </c>
      <c r="F1557" s="153" t="s">
        <v>2261</v>
      </c>
      <c r="G1557" s="153" t="s">
        <v>2262</v>
      </c>
      <c r="H1557" s="153" t="s">
        <v>321</v>
      </c>
      <c r="I1557" s="153" t="s">
        <v>754</v>
      </c>
      <c r="J1557" s="153" t="s">
        <v>204</v>
      </c>
      <c r="K1557" s="153" t="s">
        <v>204</v>
      </c>
      <c r="L1557" s="153" t="s">
        <v>325</v>
      </c>
      <c r="M1557" s="153" t="s">
        <v>340</v>
      </c>
      <c r="N1557" s="153" t="s">
        <v>464</v>
      </c>
      <c r="O1557" s="153" t="s">
        <v>339</v>
      </c>
      <c r="P1557" s="153" t="s">
        <v>1538</v>
      </c>
      <c r="Q1557" s="153" t="s">
        <v>413</v>
      </c>
      <c r="R1557" s="153" t="s">
        <v>407</v>
      </c>
      <c r="S1557" s="153" t="s">
        <v>1212</v>
      </c>
      <c r="T1557" s="154">
        <v>0.98</v>
      </c>
      <c r="U1557" s="153" t="s">
        <v>1768</v>
      </c>
      <c r="V1557" s="155">
        <v>-1.5610000000000001E-2</v>
      </c>
      <c r="W1557" s="155">
        <v>2.5600000000000001E-2</v>
      </c>
      <c r="X1557" s="153" t="s">
        <v>412</v>
      </c>
      <c r="Y1557" s="153" t="s">
        <v>339</v>
      </c>
      <c r="Z1557" s="154">
        <v>202152.09</v>
      </c>
      <c r="AA1557" s="154">
        <v>1</v>
      </c>
      <c r="AB1557" s="154">
        <v>142.99</v>
      </c>
      <c r="AD1557" s="154">
        <v>289.05700000000002</v>
      </c>
      <c r="AG1557" s="157" t="s">
        <v>15</v>
      </c>
      <c r="AH1557" s="155">
        <v>2.1000000000000001E-4</v>
      </c>
      <c r="AI1557" s="155">
        <f t="shared" si="24"/>
        <v>3.9118959009391412E-4</v>
      </c>
      <c r="AJ1557" s="155">
        <v>8.6453072803095265E-5</v>
      </c>
    </row>
    <row r="1558" spans="1:36" s="160" customFormat="1">
      <c r="A1558" s="153" t="s">
        <v>1213</v>
      </c>
      <c r="B1558" s="160">
        <v>9302</v>
      </c>
      <c r="C1558" s="153" t="s">
        <v>3064</v>
      </c>
      <c r="D1558" s="153" t="s">
        <v>3065</v>
      </c>
      <c r="E1558" s="153" t="s">
        <v>309</v>
      </c>
      <c r="F1558" s="153" t="s">
        <v>3066</v>
      </c>
      <c r="G1558" s="153" t="s">
        <v>3067</v>
      </c>
      <c r="H1558" s="153" t="s">
        <v>321</v>
      </c>
      <c r="I1558" s="153" t="s">
        <v>951</v>
      </c>
      <c r="J1558" s="153" t="s">
        <v>204</v>
      </c>
      <c r="K1558" s="153" t="s">
        <v>204</v>
      </c>
      <c r="L1558" s="153" t="s">
        <v>325</v>
      </c>
      <c r="M1558" s="153" t="s">
        <v>340</v>
      </c>
      <c r="N1558" s="153" t="s">
        <v>451</v>
      </c>
      <c r="O1558" s="153" t="s">
        <v>339</v>
      </c>
      <c r="Q1558" s="153" t="s">
        <v>410</v>
      </c>
      <c r="R1558" s="153" t="s">
        <v>410</v>
      </c>
      <c r="S1558" s="153" t="s">
        <v>1212</v>
      </c>
      <c r="T1558" s="154">
        <v>0.73</v>
      </c>
      <c r="U1558" s="153" t="s">
        <v>1777</v>
      </c>
      <c r="V1558" s="155">
        <v>5.8650000000000001E-2</v>
      </c>
      <c r="W1558" s="155">
        <v>5.9799999999999999E-2</v>
      </c>
      <c r="X1558" s="153" t="s">
        <v>412</v>
      </c>
      <c r="Y1558" s="153" t="s">
        <v>339</v>
      </c>
      <c r="Z1558" s="154">
        <v>281003.33</v>
      </c>
      <c r="AA1558" s="154">
        <v>1</v>
      </c>
      <c r="AB1558" s="154">
        <v>99.16</v>
      </c>
      <c r="AD1558" s="154">
        <v>278.64299999999997</v>
      </c>
      <c r="AG1558" s="157" t="s">
        <v>15</v>
      </c>
      <c r="AH1558" s="155">
        <v>3.5100000000000001E-3</v>
      </c>
      <c r="AI1558" s="155">
        <f t="shared" si="24"/>
        <v>3.7709600858148562E-4</v>
      </c>
      <c r="AJ1558" s="155">
        <v>8.3338385041956673E-5</v>
      </c>
    </row>
    <row r="1559" spans="1:36" s="160" customFormat="1">
      <c r="A1559" s="153" t="s">
        <v>1213</v>
      </c>
      <c r="B1559" s="160">
        <v>9302</v>
      </c>
      <c r="C1559" s="153" t="s">
        <v>2013</v>
      </c>
      <c r="D1559" s="153" t="s">
        <v>2014</v>
      </c>
      <c r="E1559" s="153" t="s">
        <v>309</v>
      </c>
      <c r="F1559" s="153" t="s">
        <v>3313</v>
      </c>
      <c r="G1559" s="153" t="s">
        <v>3314</v>
      </c>
      <c r="H1559" s="153" t="s">
        <v>321</v>
      </c>
      <c r="I1559" s="153" t="s">
        <v>951</v>
      </c>
      <c r="J1559" s="153" t="s">
        <v>204</v>
      </c>
      <c r="K1559" s="153" t="s">
        <v>204</v>
      </c>
      <c r="L1559" s="153" t="s">
        <v>325</v>
      </c>
      <c r="M1559" s="153" t="s">
        <v>340</v>
      </c>
      <c r="N1559" s="153" t="s">
        <v>447</v>
      </c>
      <c r="O1559" s="153" t="s">
        <v>339</v>
      </c>
      <c r="Q1559" s="153" t="s">
        <v>410</v>
      </c>
      <c r="R1559" s="153" t="s">
        <v>410</v>
      </c>
      <c r="S1559" s="153" t="s">
        <v>1212</v>
      </c>
      <c r="T1559" s="154">
        <v>1.69</v>
      </c>
      <c r="U1559" s="153" t="s">
        <v>3315</v>
      </c>
      <c r="V1559" s="155">
        <v>4.6980000000000001E-2</v>
      </c>
      <c r="W1559" s="155">
        <v>6.4899999999999999E-2</v>
      </c>
      <c r="X1559" s="153" t="s">
        <v>412</v>
      </c>
      <c r="Y1559" s="153" t="s">
        <v>339</v>
      </c>
      <c r="Z1559" s="154">
        <v>255846.15</v>
      </c>
      <c r="AA1559" s="154">
        <v>1</v>
      </c>
      <c r="AB1559" s="154">
        <v>97.82</v>
      </c>
      <c r="AD1559" s="154">
        <v>250.26900000000001</v>
      </c>
      <c r="AG1559" s="157" t="s">
        <v>15</v>
      </c>
      <c r="AH1559" s="155">
        <v>2.8400000000000001E-3</v>
      </c>
      <c r="AI1559" s="155">
        <f t="shared" si="24"/>
        <v>3.3869661528077087E-4</v>
      </c>
      <c r="AJ1559" s="155">
        <v>7.4852102102207691E-5</v>
      </c>
    </row>
    <row r="1560" spans="1:36" s="160" customFormat="1">
      <c r="A1560" s="153" t="s">
        <v>1213</v>
      </c>
      <c r="B1560" s="160">
        <v>9302</v>
      </c>
      <c r="C1560" s="153" t="s">
        <v>2145</v>
      </c>
      <c r="D1560" s="153" t="s">
        <v>2146</v>
      </c>
      <c r="E1560" s="153" t="s">
        <v>309</v>
      </c>
      <c r="F1560" s="153" t="s">
        <v>3085</v>
      </c>
      <c r="G1560" s="153" t="s">
        <v>3086</v>
      </c>
      <c r="H1560" s="153" t="s">
        <v>321</v>
      </c>
      <c r="I1560" s="153" t="s">
        <v>952</v>
      </c>
      <c r="J1560" s="153" t="s">
        <v>204</v>
      </c>
      <c r="K1560" s="153" t="s">
        <v>204</v>
      </c>
      <c r="L1560" s="153" t="s">
        <v>325</v>
      </c>
      <c r="M1560" s="153" t="s">
        <v>340</v>
      </c>
      <c r="N1560" s="153" t="s">
        <v>445</v>
      </c>
      <c r="O1560" s="153" t="s">
        <v>339</v>
      </c>
      <c r="P1560" s="153" t="s">
        <v>1566</v>
      </c>
      <c r="Q1560" s="153" t="s">
        <v>413</v>
      </c>
      <c r="R1560" s="153" t="s">
        <v>407</v>
      </c>
      <c r="S1560" s="153" t="s">
        <v>1212</v>
      </c>
      <c r="T1560" s="154">
        <v>3.25</v>
      </c>
      <c r="U1560" s="153" t="s">
        <v>2960</v>
      </c>
      <c r="V1560" s="155">
        <v>1.6500000000000001E-2</v>
      </c>
      <c r="W1560" s="155">
        <v>3.9600000000000003E-2</v>
      </c>
      <c r="X1560" s="153" t="s">
        <v>412</v>
      </c>
      <c r="Y1560" s="153" t="s">
        <v>339</v>
      </c>
      <c r="Z1560" s="154">
        <v>248000</v>
      </c>
      <c r="AA1560" s="154">
        <v>1</v>
      </c>
      <c r="AB1560" s="154">
        <v>98</v>
      </c>
      <c r="AD1560" s="154">
        <v>243.04</v>
      </c>
      <c r="AG1560" s="157" t="s">
        <v>15</v>
      </c>
      <c r="AH1560" s="155">
        <v>1.65E-3</v>
      </c>
      <c r="AI1560" s="155">
        <f t="shared" si="24"/>
        <v>3.2891339070295779E-4</v>
      </c>
      <c r="AJ1560" s="155">
        <v>7.2690005134157866E-5</v>
      </c>
    </row>
    <row r="1561" spans="1:36" s="160" customFormat="1">
      <c r="A1561" s="153" t="s">
        <v>1213</v>
      </c>
      <c r="B1561" s="160">
        <v>9302</v>
      </c>
      <c r="C1561" s="153" t="s">
        <v>1904</v>
      </c>
      <c r="D1561" s="153" t="s">
        <v>1905</v>
      </c>
      <c r="E1561" s="153" t="s">
        <v>309</v>
      </c>
      <c r="F1561" s="153" t="s">
        <v>2268</v>
      </c>
      <c r="G1561" s="153" t="s">
        <v>2269</v>
      </c>
      <c r="H1561" s="153" t="s">
        <v>321</v>
      </c>
      <c r="I1561" s="153" t="s">
        <v>951</v>
      </c>
      <c r="J1561" s="153" t="s">
        <v>204</v>
      </c>
      <c r="K1561" s="153" t="s">
        <v>204</v>
      </c>
      <c r="L1561" s="153" t="s">
        <v>325</v>
      </c>
      <c r="M1561" s="153" t="s">
        <v>340</v>
      </c>
      <c r="N1561" s="153" t="s">
        <v>448</v>
      </c>
      <c r="O1561" s="153" t="s">
        <v>339</v>
      </c>
      <c r="P1561" s="153" t="s">
        <v>1215</v>
      </c>
      <c r="Q1561" s="153" t="s">
        <v>413</v>
      </c>
      <c r="R1561" s="153" t="s">
        <v>407</v>
      </c>
      <c r="S1561" s="153" t="s">
        <v>1212</v>
      </c>
      <c r="T1561" s="154">
        <v>2.89</v>
      </c>
      <c r="U1561" s="153" t="s">
        <v>2270</v>
      </c>
      <c r="V1561" s="155">
        <v>4.1520000000000001E-2</v>
      </c>
      <c r="W1561" s="155">
        <v>5.11E-2</v>
      </c>
      <c r="X1561" s="153" t="s">
        <v>412</v>
      </c>
      <c r="Y1561" s="153" t="s">
        <v>339</v>
      </c>
      <c r="Z1561" s="154">
        <v>245000</v>
      </c>
      <c r="AA1561" s="154">
        <v>1</v>
      </c>
      <c r="AB1561" s="154">
        <v>95.42</v>
      </c>
      <c r="AD1561" s="154">
        <v>233.779</v>
      </c>
      <c r="AG1561" s="157" t="s">
        <v>15</v>
      </c>
      <c r="AH1561" s="155">
        <v>1.1E-4</v>
      </c>
      <c r="AI1561" s="155">
        <f t="shared" si="24"/>
        <v>3.163801990007685E-4</v>
      </c>
      <c r="AJ1561" s="155">
        <v>6.9920164212715157E-5</v>
      </c>
    </row>
    <row r="1562" spans="1:36" s="160" customFormat="1">
      <c r="A1562" s="153" t="s">
        <v>1213</v>
      </c>
      <c r="B1562" s="160">
        <v>9302</v>
      </c>
      <c r="C1562" s="153" t="s">
        <v>1582</v>
      </c>
      <c r="D1562" s="153" t="s">
        <v>1583</v>
      </c>
      <c r="E1562" s="153" t="s">
        <v>309</v>
      </c>
      <c r="F1562" s="153" t="s">
        <v>3324</v>
      </c>
      <c r="G1562" s="153" t="s">
        <v>3325</v>
      </c>
      <c r="H1562" s="153" t="s">
        <v>321</v>
      </c>
      <c r="I1562" s="153" t="s">
        <v>951</v>
      </c>
      <c r="J1562" s="153" t="s">
        <v>204</v>
      </c>
      <c r="K1562" s="153" t="s">
        <v>204</v>
      </c>
      <c r="L1562" s="153" t="s">
        <v>325</v>
      </c>
      <c r="M1562" s="153" t="s">
        <v>340</v>
      </c>
      <c r="N1562" s="153" t="s">
        <v>447</v>
      </c>
      <c r="O1562" s="153" t="s">
        <v>339</v>
      </c>
      <c r="P1562" s="153" t="s">
        <v>1586</v>
      </c>
      <c r="Q1562" s="153" t="s">
        <v>415</v>
      </c>
      <c r="R1562" s="153" t="s">
        <v>407</v>
      </c>
      <c r="S1562" s="153" t="s">
        <v>1212</v>
      </c>
      <c r="T1562" s="154">
        <v>0.99</v>
      </c>
      <c r="U1562" s="153" t="s">
        <v>2761</v>
      </c>
      <c r="V1562" s="155">
        <v>3.1949999999999999E-2</v>
      </c>
      <c r="W1562" s="155">
        <v>6.4799999999999996E-2</v>
      </c>
      <c r="X1562" s="153" t="s">
        <v>412</v>
      </c>
      <c r="Y1562" s="153" t="s">
        <v>339</v>
      </c>
      <c r="Z1562" s="154">
        <v>208159.08</v>
      </c>
      <c r="AA1562" s="154">
        <v>1</v>
      </c>
      <c r="AB1562" s="154">
        <v>98.51</v>
      </c>
      <c r="AD1562" s="154">
        <v>205.05799999999999</v>
      </c>
      <c r="AG1562" s="157" t="s">
        <v>15</v>
      </c>
      <c r="AH1562" s="155">
        <v>3.7799999999999999E-3</v>
      </c>
      <c r="AI1562" s="155">
        <f t="shared" si="24"/>
        <v>2.7751120009367642E-4</v>
      </c>
      <c r="AJ1562" s="155">
        <v>6.1330098225807043E-5</v>
      </c>
    </row>
    <row r="1563" spans="1:36" s="160" customFormat="1">
      <c r="A1563" s="153" t="s">
        <v>1213</v>
      </c>
      <c r="B1563" s="160">
        <v>9302</v>
      </c>
      <c r="C1563" s="153" t="s">
        <v>455</v>
      </c>
      <c r="D1563" s="153" t="s">
        <v>2106</v>
      </c>
      <c r="E1563" s="153" t="s">
        <v>309</v>
      </c>
      <c r="F1563" s="153" t="s">
        <v>2244</v>
      </c>
      <c r="G1563" s="153" t="s">
        <v>2245</v>
      </c>
      <c r="H1563" s="153" t="s">
        <v>321</v>
      </c>
      <c r="I1563" s="153" t="s">
        <v>754</v>
      </c>
      <c r="J1563" s="153" t="s">
        <v>204</v>
      </c>
      <c r="K1563" s="153" t="s">
        <v>204</v>
      </c>
      <c r="L1563" s="153" t="s">
        <v>325</v>
      </c>
      <c r="M1563" s="153" t="s">
        <v>340</v>
      </c>
      <c r="N1563" s="153" t="s">
        <v>440</v>
      </c>
      <c r="O1563" s="153" t="s">
        <v>339</v>
      </c>
      <c r="P1563" s="153" t="s">
        <v>1923</v>
      </c>
      <c r="Q1563" s="153" t="s">
        <v>415</v>
      </c>
      <c r="R1563" s="153" t="s">
        <v>407</v>
      </c>
      <c r="S1563" s="153" t="s">
        <v>1212</v>
      </c>
      <c r="T1563" s="154">
        <v>2.78</v>
      </c>
      <c r="U1563" s="153" t="s">
        <v>2246</v>
      </c>
      <c r="V1563" s="155">
        <v>3.1609999999999999E-2</v>
      </c>
      <c r="W1563" s="155">
        <v>2.24E-2</v>
      </c>
      <c r="X1563" s="153" t="s">
        <v>412</v>
      </c>
      <c r="Y1563" s="153" t="s">
        <v>339</v>
      </c>
      <c r="Z1563" s="154">
        <v>180000</v>
      </c>
      <c r="AA1563" s="154">
        <v>1</v>
      </c>
      <c r="AB1563" s="154">
        <v>110.06</v>
      </c>
      <c r="AD1563" s="154">
        <v>198.108</v>
      </c>
      <c r="AG1563" s="157" t="s">
        <v>15</v>
      </c>
      <c r="AH1563" s="155">
        <v>1.4999999999999999E-4</v>
      </c>
      <c r="AI1563" s="155">
        <f t="shared" si="24"/>
        <v>2.6810555466335407E-4</v>
      </c>
      <c r="AJ1563" s="155">
        <v>5.9251446416712257E-5</v>
      </c>
    </row>
    <row r="1564" spans="1:36" s="160" customFormat="1">
      <c r="A1564" s="153" t="s">
        <v>1213</v>
      </c>
      <c r="B1564" s="160">
        <v>9302</v>
      </c>
      <c r="C1564" s="153" t="s">
        <v>3326</v>
      </c>
      <c r="D1564" s="153" t="s">
        <v>3327</v>
      </c>
      <c r="E1564" s="153" t="s">
        <v>309</v>
      </c>
      <c r="F1564" s="153" t="s">
        <v>3328</v>
      </c>
      <c r="G1564" s="153" t="s">
        <v>3329</v>
      </c>
      <c r="H1564" s="153" t="s">
        <v>321</v>
      </c>
      <c r="I1564" s="153" t="s">
        <v>952</v>
      </c>
      <c r="J1564" s="153" t="s">
        <v>204</v>
      </c>
      <c r="K1564" s="153" t="s">
        <v>204</v>
      </c>
      <c r="L1564" s="153" t="s">
        <v>325</v>
      </c>
      <c r="M1564" s="153" t="s">
        <v>340</v>
      </c>
      <c r="N1564" s="153" t="s">
        <v>447</v>
      </c>
      <c r="O1564" s="153" t="s">
        <v>339</v>
      </c>
      <c r="Q1564" s="153" t="s">
        <v>410</v>
      </c>
      <c r="R1564" s="153" t="s">
        <v>410</v>
      </c>
      <c r="S1564" s="153" t="s">
        <v>1212</v>
      </c>
      <c r="T1564" s="154">
        <v>2.92</v>
      </c>
      <c r="U1564" s="153" t="s">
        <v>1587</v>
      </c>
      <c r="V1564" s="155">
        <v>6.9370000000000001E-2</v>
      </c>
      <c r="W1564" s="155">
        <v>7.3300000000000004E-2</v>
      </c>
      <c r="X1564" s="153" t="s">
        <v>412</v>
      </c>
      <c r="Y1564" s="153" t="s">
        <v>339</v>
      </c>
      <c r="Z1564" s="154">
        <v>163458</v>
      </c>
      <c r="AA1564" s="154">
        <v>1</v>
      </c>
      <c r="AB1564" s="154">
        <v>96.6</v>
      </c>
      <c r="AD1564" s="154">
        <v>157.9</v>
      </c>
      <c r="AG1564" s="157" t="s">
        <v>15</v>
      </c>
      <c r="AH1564" s="155">
        <v>3.0300000000000001E-3</v>
      </c>
      <c r="AI1564" s="155">
        <f t="shared" si="24"/>
        <v>2.1369085085581402E-4</v>
      </c>
      <c r="AJ1564" s="155">
        <v>4.7225772756268631E-5</v>
      </c>
    </row>
    <row r="1565" spans="1:36" s="160" customFormat="1">
      <c r="A1565" s="153" t="s">
        <v>1213</v>
      </c>
      <c r="B1565" s="160">
        <v>9302</v>
      </c>
      <c r="C1565" s="153" t="s">
        <v>1986</v>
      </c>
      <c r="D1565" s="153" t="s">
        <v>1987</v>
      </c>
      <c r="E1565" s="153" t="s">
        <v>309</v>
      </c>
      <c r="F1565" s="153" t="s">
        <v>2370</v>
      </c>
      <c r="G1565" s="153" t="s">
        <v>2371</v>
      </c>
      <c r="H1565" s="153" t="s">
        <v>321</v>
      </c>
      <c r="I1565" s="153" t="s">
        <v>754</v>
      </c>
      <c r="J1565" s="153" t="s">
        <v>204</v>
      </c>
      <c r="K1565" s="153" t="s">
        <v>204</v>
      </c>
      <c r="L1565" s="153" t="s">
        <v>325</v>
      </c>
      <c r="M1565" s="153" t="s">
        <v>340</v>
      </c>
      <c r="N1565" s="153" t="s">
        <v>484</v>
      </c>
      <c r="O1565" s="153" t="s">
        <v>339</v>
      </c>
      <c r="P1565" s="153" t="s">
        <v>1538</v>
      </c>
      <c r="Q1565" s="153" t="s">
        <v>413</v>
      </c>
      <c r="R1565" s="153" t="s">
        <v>407</v>
      </c>
      <c r="S1565" s="153" t="s">
        <v>1212</v>
      </c>
      <c r="T1565" s="154">
        <v>0.66</v>
      </c>
      <c r="U1565" s="153" t="s">
        <v>2372</v>
      </c>
      <c r="V1565" s="155">
        <v>2.2839999999999999E-2</v>
      </c>
      <c r="W1565" s="155">
        <v>2.1100000000000001E-2</v>
      </c>
      <c r="X1565" s="153" t="s">
        <v>412</v>
      </c>
      <c r="Y1565" s="153" t="s">
        <v>339</v>
      </c>
      <c r="Z1565" s="154">
        <v>124830</v>
      </c>
      <c r="AA1565" s="154">
        <v>1</v>
      </c>
      <c r="AB1565" s="154">
        <v>116.47</v>
      </c>
      <c r="AD1565" s="154">
        <v>145.38999999999999</v>
      </c>
      <c r="AG1565" s="157" t="s">
        <v>15</v>
      </c>
      <c r="AH1565" s="155">
        <v>2.4000000000000001E-4</v>
      </c>
      <c r="AI1565" s="155">
        <f t="shared" si="24"/>
        <v>1.9676068908123368E-4</v>
      </c>
      <c r="AJ1565" s="155">
        <v>4.3484199499898005E-5</v>
      </c>
    </row>
    <row r="1566" spans="1:36" s="160" customFormat="1">
      <c r="A1566" s="153" t="s">
        <v>1213</v>
      </c>
      <c r="B1566" s="160">
        <v>9302</v>
      </c>
      <c r="C1566" s="153" t="s">
        <v>3316</v>
      </c>
      <c r="D1566" s="153" t="s">
        <v>3317</v>
      </c>
      <c r="E1566" s="153" t="s">
        <v>309</v>
      </c>
      <c r="F1566" s="153" t="s">
        <v>3318</v>
      </c>
      <c r="G1566" s="153" t="s">
        <v>3319</v>
      </c>
      <c r="H1566" s="153" t="s">
        <v>321</v>
      </c>
      <c r="I1566" s="153" t="s">
        <v>755</v>
      </c>
      <c r="J1566" s="153" t="s">
        <v>204</v>
      </c>
      <c r="K1566" s="153" t="s">
        <v>204</v>
      </c>
      <c r="L1566" s="153" t="s">
        <v>325</v>
      </c>
      <c r="M1566" s="153" t="s">
        <v>340</v>
      </c>
      <c r="N1566" s="153" t="s">
        <v>454</v>
      </c>
      <c r="O1566" s="153" t="s">
        <v>339</v>
      </c>
      <c r="Q1566" s="153" t="s">
        <v>410</v>
      </c>
      <c r="R1566" s="153" t="s">
        <v>410</v>
      </c>
      <c r="S1566" s="153" t="s">
        <v>1212</v>
      </c>
      <c r="T1566" s="154">
        <v>2.5</v>
      </c>
      <c r="U1566" s="153" t="s">
        <v>1539</v>
      </c>
      <c r="V1566" s="155">
        <v>4.8730000000000002E-2</v>
      </c>
      <c r="W1566" s="155">
        <v>7.51E-2</v>
      </c>
      <c r="X1566" s="153" t="s">
        <v>412</v>
      </c>
      <c r="Y1566" s="153" t="s">
        <v>339</v>
      </c>
      <c r="Z1566" s="154">
        <v>128124.48</v>
      </c>
      <c r="AA1566" s="154">
        <v>1</v>
      </c>
      <c r="AB1566" s="154">
        <v>112.24</v>
      </c>
      <c r="AD1566" s="154">
        <v>143.80699999999999</v>
      </c>
      <c r="AG1566" s="157" t="s">
        <v>15</v>
      </c>
      <c r="AH1566" s="155">
        <v>4.8999999999999998E-4</v>
      </c>
      <c r="AI1566" s="155">
        <f t="shared" si="24"/>
        <v>1.9461836725156455E-4</v>
      </c>
      <c r="AJ1566" s="155">
        <v>4.3010745425970377E-5</v>
      </c>
    </row>
    <row r="1567" spans="1:36" s="160" customFormat="1">
      <c r="A1567" s="153" t="s">
        <v>1213</v>
      </c>
      <c r="B1567" s="160">
        <v>9302</v>
      </c>
      <c r="C1567" s="153" t="s">
        <v>1629</v>
      </c>
      <c r="D1567" s="153" t="s">
        <v>1630</v>
      </c>
      <c r="E1567" s="153" t="s">
        <v>309</v>
      </c>
      <c r="F1567" s="153" t="s">
        <v>1631</v>
      </c>
      <c r="G1567" s="153" t="s">
        <v>1632</v>
      </c>
      <c r="H1567" s="153" t="s">
        <v>321</v>
      </c>
      <c r="I1567" s="153" t="s">
        <v>754</v>
      </c>
      <c r="J1567" s="153" t="s">
        <v>204</v>
      </c>
      <c r="K1567" s="153" t="s">
        <v>204</v>
      </c>
      <c r="L1567" s="153" t="s">
        <v>325</v>
      </c>
      <c r="M1567" s="153" t="s">
        <v>340</v>
      </c>
      <c r="N1567" s="153" t="s">
        <v>447</v>
      </c>
      <c r="O1567" s="153" t="s">
        <v>339</v>
      </c>
      <c r="P1567" s="153" t="s">
        <v>1586</v>
      </c>
      <c r="Q1567" s="153" t="s">
        <v>415</v>
      </c>
      <c r="R1567" s="153" t="s">
        <v>407</v>
      </c>
      <c r="S1567" s="153" t="s">
        <v>1212</v>
      </c>
      <c r="T1567" s="154">
        <v>3.66</v>
      </c>
      <c r="U1567" s="153" t="s">
        <v>1633</v>
      </c>
      <c r="V1567" s="155">
        <v>5.033E-2</v>
      </c>
      <c r="W1567" s="155">
        <v>4.9700000000000001E-2</v>
      </c>
      <c r="X1567" s="153" t="s">
        <v>412</v>
      </c>
      <c r="Y1567" s="153" t="s">
        <v>339</v>
      </c>
      <c r="Z1567" s="154">
        <v>126929.02</v>
      </c>
      <c r="AA1567" s="154">
        <v>1</v>
      </c>
      <c r="AB1567" s="154">
        <v>101.96</v>
      </c>
      <c r="AD1567" s="154">
        <v>129.417</v>
      </c>
      <c r="AG1567" s="157" t="s">
        <v>15</v>
      </c>
      <c r="AH1567" s="155">
        <v>2.7E-4</v>
      </c>
      <c r="AI1567" s="155">
        <f t="shared" si="24"/>
        <v>1.7514394455482512E-4</v>
      </c>
      <c r="AJ1567" s="155">
        <v>3.870688937807484E-5</v>
      </c>
    </row>
    <row r="1568" spans="1:36" s="160" customFormat="1">
      <c r="A1568" s="153" t="s">
        <v>1213</v>
      </c>
      <c r="B1568" s="160">
        <v>9302</v>
      </c>
      <c r="C1568" s="153" t="s">
        <v>1674</v>
      </c>
      <c r="D1568" s="153" t="s">
        <v>1675</v>
      </c>
      <c r="E1568" s="153" t="s">
        <v>309</v>
      </c>
      <c r="F1568" s="153" t="s">
        <v>1980</v>
      </c>
      <c r="G1568" s="153" t="s">
        <v>1981</v>
      </c>
      <c r="H1568" s="153" t="s">
        <v>321</v>
      </c>
      <c r="I1568" s="153" t="s">
        <v>754</v>
      </c>
      <c r="J1568" s="153" t="s">
        <v>204</v>
      </c>
      <c r="K1568" s="153" t="s">
        <v>204</v>
      </c>
      <c r="L1568" s="153" t="s">
        <v>325</v>
      </c>
      <c r="M1568" s="153" t="s">
        <v>340</v>
      </c>
      <c r="N1568" s="153" t="s">
        <v>464</v>
      </c>
      <c r="O1568" s="153" t="s">
        <v>339</v>
      </c>
      <c r="P1568" s="153" t="s">
        <v>1982</v>
      </c>
      <c r="Q1568" s="153" t="s">
        <v>415</v>
      </c>
      <c r="R1568" s="153" t="s">
        <v>407</v>
      </c>
      <c r="S1568" s="153" t="s">
        <v>1212</v>
      </c>
      <c r="T1568" s="154">
        <v>0.6</v>
      </c>
      <c r="U1568" s="153" t="s">
        <v>1983</v>
      </c>
      <c r="V1568" s="155">
        <v>3.1040000000000002E-2</v>
      </c>
      <c r="W1568" s="155">
        <v>2.81E-2</v>
      </c>
      <c r="X1568" s="153" t="s">
        <v>412</v>
      </c>
      <c r="Y1568" s="153" t="s">
        <v>339</v>
      </c>
      <c r="Z1568" s="154">
        <v>79121</v>
      </c>
      <c r="AA1568" s="154">
        <v>1</v>
      </c>
      <c r="AB1568" s="154">
        <v>116.48</v>
      </c>
      <c r="AD1568" s="154">
        <v>92.16</v>
      </c>
      <c r="AG1568" s="157" t="s">
        <v>15</v>
      </c>
      <c r="AH1568" s="155">
        <v>3.4000000000000002E-4</v>
      </c>
      <c r="AI1568" s="155">
        <f t="shared" si="24"/>
        <v>1.2472291839690829E-4</v>
      </c>
      <c r="AJ1568" s="155">
        <v>2.7563820248370592E-5</v>
      </c>
    </row>
    <row r="1569" spans="1:36" s="160" customFormat="1">
      <c r="A1569" s="153" t="s">
        <v>1213</v>
      </c>
      <c r="B1569" s="160">
        <v>9302</v>
      </c>
      <c r="C1569" s="153" t="s">
        <v>2835</v>
      </c>
      <c r="D1569" s="153" t="s">
        <v>2836</v>
      </c>
      <c r="E1569" s="153" t="s">
        <v>309</v>
      </c>
      <c r="F1569" s="153" t="s">
        <v>2837</v>
      </c>
      <c r="G1569" s="153" t="s">
        <v>2838</v>
      </c>
      <c r="H1569" s="153" t="s">
        <v>321</v>
      </c>
      <c r="I1569" s="153" t="s">
        <v>755</v>
      </c>
      <c r="J1569" s="153" t="s">
        <v>204</v>
      </c>
      <c r="K1569" s="153" t="s">
        <v>204</v>
      </c>
      <c r="L1569" s="153" t="s">
        <v>325</v>
      </c>
      <c r="M1569" s="153" t="s">
        <v>340</v>
      </c>
      <c r="N1569" s="153" t="s">
        <v>466</v>
      </c>
      <c r="O1569" s="153" t="s">
        <v>339</v>
      </c>
      <c r="P1569" s="153" t="s">
        <v>1521</v>
      </c>
      <c r="Q1569" s="153" t="s">
        <v>413</v>
      </c>
      <c r="R1569" s="153" t="s">
        <v>407</v>
      </c>
      <c r="S1569" s="153" t="s">
        <v>1212</v>
      </c>
      <c r="T1569" s="154">
        <v>0.73</v>
      </c>
      <c r="U1569" s="153" t="s">
        <v>1777</v>
      </c>
      <c r="V1569" s="155">
        <v>7.4620000000000006E-2</v>
      </c>
      <c r="W1569" s="155">
        <v>6.8500000000000005E-2</v>
      </c>
      <c r="X1569" s="153" t="s">
        <v>412</v>
      </c>
      <c r="Y1569" s="153" t="s">
        <v>339</v>
      </c>
      <c r="Z1569" s="154">
        <v>64000</v>
      </c>
      <c r="AA1569" s="154">
        <v>1</v>
      </c>
      <c r="AB1569" s="154">
        <v>100.82</v>
      </c>
      <c r="AD1569" s="154">
        <v>64.525000000000006</v>
      </c>
      <c r="AG1569" s="157" t="s">
        <v>15</v>
      </c>
      <c r="AH1569" s="155">
        <v>8.0999999999999996E-4</v>
      </c>
      <c r="AI1569" s="155">
        <f t="shared" si="24"/>
        <v>8.7323636171446486E-5</v>
      </c>
      <c r="AJ1569" s="155">
        <v>1.9298562299545495E-5</v>
      </c>
    </row>
    <row r="1570" spans="1:36" s="160" customFormat="1">
      <c r="A1570" s="153" t="s">
        <v>1213</v>
      </c>
      <c r="B1570" s="160">
        <v>9302</v>
      </c>
      <c r="C1570" s="153" t="s">
        <v>2013</v>
      </c>
      <c r="D1570" s="153" t="s">
        <v>2014</v>
      </c>
      <c r="E1570" s="153" t="s">
        <v>309</v>
      </c>
      <c r="F1570" s="153" t="s">
        <v>3087</v>
      </c>
      <c r="G1570" s="153" t="s">
        <v>3088</v>
      </c>
      <c r="H1570" s="153" t="s">
        <v>321</v>
      </c>
      <c r="I1570" s="153" t="s">
        <v>951</v>
      </c>
      <c r="J1570" s="153" t="s">
        <v>204</v>
      </c>
      <c r="K1570" s="153" t="s">
        <v>204</v>
      </c>
      <c r="L1570" s="153" t="s">
        <v>325</v>
      </c>
      <c r="M1570" s="153" t="s">
        <v>340</v>
      </c>
      <c r="N1570" s="153" t="s">
        <v>447</v>
      </c>
      <c r="O1570" s="153" t="s">
        <v>339</v>
      </c>
      <c r="Q1570" s="153" t="s">
        <v>410</v>
      </c>
      <c r="R1570" s="153" t="s">
        <v>410</v>
      </c>
      <c r="S1570" s="153" t="s">
        <v>1212</v>
      </c>
      <c r="T1570" s="154">
        <v>0.77</v>
      </c>
      <c r="U1570" s="153" t="s">
        <v>2017</v>
      </c>
      <c r="V1570" s="155">
        <v>3.2890000000000003E-2</v>
      </c>
      <c r="W1570" s="155">
        <v>6.59E-2</v>
      </c>
      <c r="X1570" s="153" t="s">
        <v>412</v>
      </c>
      <c r="Y1570" s="153" t="s">
        <v>339</v>
      </c>
      <c r="Z1570" s="154">
        <v>65352.160000000003</v>
      </c>
      <c r="AA1570" s="154">
        <v>1</v>
      </c>
      <c r="AB1570" s="154">
        <v>98.56</v>
      </c>
      <c r="AD1570" s="154">
        <v>64.411000000000001</v>
      </c>
      <c r="AG1570" s="157" t="s">
        <v>15</v>
      </c>
      <c r="AH1570" s="155">
        <v>2.1800000000000001E-3</v>
      </c>
      <c r="AI1570" s="155">
        <f t="shared" si="24"/>
        <v>8.7169356519783644E-5</v>
      </c>
      <c r="AJ1570" s="155">
        <v>1.9264466428144515E-5</v>
      </c>
    </row>
    <row r="1571" spans="1:36" s="160" customFormat="1">
      <c r="A1571" s="153" t="s">
        <v>1213</v>
      </c>
      <c r="B1571" s="160">
        <v>9302</v>
      </c>
      <c r="C1571" s="153" t="s">
        <v>2032</v>
      </c>
      <c r="D1571" s="153" t="s">
        <v>2033</v>
      </c>
      <c r="E1571" s="153" t="s">
        <v>309</v>
      </c>
      <c r="F1571" s="153" t="s">
        <v>3097</v>
      </c>
      <c r="G1571" s="153" t="s">
        <v>3098</v>
      </c>
      <c r="H1571" s="153" t="s">
        <v>321</v>
      </c>
      <c r="I1571" s="153" t="s">
        <v>951</v>
      </c>
      <c r="J1571" s="153" t="s">
        <v>204</v>
      </c>
      <c r="K1571" s="153" t="s">
        <v>204</v>
      </c>
      <c r="L1571" s="153" t="s">
        <v>325</v>
      </c>
      <c r="M1571" s="153" t="s">
        <v>340</v>
      </c>
      <c r="N1571" s="153" t="s">
        <v>445</v>
      </c>
      <c r="O1571" s="153" t="s">
        <v>339</v>
      </c>
      <c r="P1571" s="153" t="s">
        <v>2011</v>
      </c>
      <c r="Q1571" s="153" t="s">
        <v>415</v>
      </c>
      <c r="R1571" s="153" t="s">
        <v>407</v>
      </c>
      <c r="S1571" s="153" t="s">
        <v>1212</v>
      </c>
      <c r="T1571" s="154">
        <v>0.82</v>
      </c>
      <c r="U1571" s="153" t="s">
        <v>2419</v>
      </c>
      <c r="V1571" s="155">
        <v>5.253E-2</v>
      </c>
      <c r="W1571" s="155">
        <v>5.1900000000000002E-2</v>
      </c>
      <c r="X1571" s="153" t="s">
        <v>412</v>
      </c>
      <c r="Y1571" s="153" t="s">
        <v>339</v>
      </c>
      <c r="Z1571" s="154">
        <v>27758</v>
      </c>
      <c r="AA1571" s="154">
        <v>1</v>
      </c>
      <c r="AB1571" s="154">
        <v>99.39</v>
      </c>
      <c r="AD1571" s="154">
        <v>27.588999999999999</v>
      </c>
      <c r="AG1571" s="157" t="s">
        <v>15</v>
      </c>
      <c r="AH1571" s="155">
        <v>4.0000000000000003E-5</v>
      </c>
      <c r="AI1571" s="155">
        <f t="shared" si="24"/>
        <v>3.7337029032685576E-5</v>
      </c>
      <c r="AJ1571" s="155">
        <v>8.251499965628215E-6</v>
      </c>
    </row>
    <row r="1572" spans="1:36" s="160" customFormat="1">
      <c r="A1572" s="153" t="s">
        <v>1213</v>
      </c>
      <c r="B1572" s="160">
        <v>9302</v>
      </c>
      <c r="C1572" s="153" t="s">
        <v>3093</v>
      </c>
      <c r="D1572" s="153" t="s">
        <v>3094</v>
      </c>
      <c r="E1572" s="153" t="s">
        <v>309</v>
      </c>
      <c r="F1572" s="153" t="s">
        <v>3095</v>
      </c>
      <c r="G1572" s="153" t="s">
        <v>3096</v>
      </c>
      <c r="H1572" s="153" t="s">
        <v>321</v>
      </c>
      <c r="I1572" s="153" t="s">
        <v>951</v>
      </c>
      <c r="J1572" s="153" t="s">
        <v>204</v>
      </c>
      <c r="K1572" s="153" t="s">
        <v>204</v>
      </c>
      <c r="L1572" s="159" t="s">
        <v>325</v>
      </c>
      <c r="M1572" s="153" t="s">
        <v>340</v>
      </c>
      <c r="N1572" s="153" t="s">
        <v>464</v>
      </c>
      <c r="O1572" s="153" t="s">
        <v>339</v>
      </c>
      <c r="P1572" s="153" t="s">
        <v>1554</v>
      </c>
      <c r="Q1572" s="153" t="s">
        <v>413</v>
      </c>
      <c r="R1572" s="153" t="s">
        <v>407</v>
      </c>
      <c r="S1572" s="153" t="s">
        <v>1212</v>
      </c>
      <c r="T1572" s="154">
        <v>0.56999999999999995</v>
      </c>
      <c r="U1572" s="153" t="s">
        <v>1270</v>
      </c>
      <c r="V1572" s="155">
        <v>6.3270000000000007E-2</v>
      </c>
      <c r="W1572" s="155">
        <v>0.06</v>
      </c>
      <c r="X1572" s="177"/>
      <c r="Y1572" s="177"/>
      <c r="Z1572" s="154">
        <v>23052</v>
      </c>
      <c r="AA1572" s="154">
        <v>1</v>
      </c>
      <c r="AB1572" s="154">
        <v>100.17</v>
      </c>
      <c r="AD1572" s="154">
        <v>23.091000000000001</v>
      </c>
      <c r="AG1572" s="157" t="s">
        <v>15</v>
      </c>
      <c r="AH1572" s="155">
        <v>4.0999999999999999E-4</v>
      </c>
      <c r="AI1572" s="155">
        <f t="shared" si="24"/>
        <v>3.1249749443392035E-5</v>
      </c>
      <c r="AJ1572" s="155">
        <v>6.9062084782457188E-6</v>
      </c>
    </row>
    <row r="1573" spans="1:36" s="160" customFormat="1">
      <c r="A1573" s="153" t="s">
        <v>1213</v>
      </c>
      <c r="B1573" s="160">
        <v>9302</v>
      </c>
      <c r="C1573" s="153" t="s">
        <v>3099</v>
      </c>
      <c r="D1573" s="153" t="s">
        <v>3100</v>
      </c>
      <c r="E1573" s="153" t="s">
        <v>311</v>
      </c>
      <c r="F1573" s="153" t="s">
        <v>3101</v>
      </c>
      <c r="G1573" s="153" t="s">
        <v>3102</v>
      </c>
      <c r="H1573" s="153" t="s">
        <v>312</v>
      </c>
      <c r="I1573" s="153" t="s">
        <v>951</v>
      </c>
      <c r="J1573" s="153" t="s">
        <v>204</v>
      </c>
      <c r="K1573" s="153" t="s">
        <v>224</v>
      </c>
      <c r="L1573" s="153" t="s">
        <v>314</v>
      </c>
      <c r="M1573" s="153" t="s">
        <v>340</v>
      </c>
      <c r="N1573" s="153" t="s">
        <v>465</v>
      </c>
      <c r="O1573" s="153" t="s">
        <v>339</v>
      </c>
      <c r="Q1573" s="153" t="s">
        <v>410</v>
      </c>
      <c r="R1573" s="153" t="s">
        <v>410</v>
      </c>
      <c r="S1573" s="153" t="s">
        <v>1212</v>
      </c>
      <c r="T1573" s="154">
        <v>6.44</v>
      </c>
      <c r="U1573" s="153" t="s">
        <v>3103</v>
      </c>
      <c r="V1573" s="155">
        <v>0.03</v>
      </c>
      <c r="W1573" s="155">
        <v>9.99</v>
      </c>
      <c r="X1573" s="153" t="s">
        <v>412</v>
      </c>
      <c r="Y1573" s="153" t="s">
        <v>338</v>
      </c>
      <c r="Z1573" s="154">
        <v>669421.12</v>
      </c>
      <c r="AA1573" s="154">
        <v>1</v>
      </c>
      <c r="AB1573" s="154">
        <v>0</v>
      </c>
      <c r="AD1573" s="154">
        <v>0</v>
      </c>
      <c r="AG1573" s="157" t="s">
        <v>15</v>
      </c>
      <c r="AH1573" s="155">
        <v>8.1600000000000006E-3</v>
      </c>
      <c r="AI1573" s="155">
        <f t="shared" si="24"/>
        <v>0</v>
      </c>
      <c r="AJ1573" s="155">
        <v>0</v>
      </c>
    </row>
    <row r="1574" spans="1:36" s="160" customFormat="1">
      <c r="A1574" s="153" t="s">
        <v>1213</v>
      </c>
      <c r="B1574" s="160">
        <v>9302</v>
      </c>
      <c r="C1574" s="153" t="s">
        <v>3104</v>
      </c>
      <c r="D1574" s="153" t="s">
        <v>3105</v>
      </c>
      <c r="E1574" s="153" t="s">
        <v>311</v>
      </c>
      <c r="F1574" s="153" t="s">
        <v>3106</v>
      </c>
      <c r="G1574" s="153" t="s">
        <v>3107</v>
      </c>
      <c r="H1574" s="153" t="s">
        <v>312</v>
      </c>
      <c r="I1574" s="153" t="s">
        <v>951</v>
      </c>
      <c r="J1574" s="153" t="s">
        <v>204</v>
      </c>
      <c r="K1574" s="153" t="s">
        <v>204</v>
      </c>
      <c r="L1574" s="153" t="s">
        <v>314</v>
      </c>
      <c r="M1574" s="153" t="s">
        <v>340</v>
      </c>
      <c r="N1574" s="153" t="s">
        <v>447</v>
      </c>
      <c r="O1574" s="153" t="s">
        <v>339</v>
      </c>
      <c r="Q1574" s="153" t="s">
        <v>410</v>
      </c>
      <c r="R1574" s="153" t="s">
        <v>410</v>
      </c>
      <c r="S1574" s="153" t="s">
        <v>1212</v>
      </c>
      <c r="T1574" s="154">
        <v>0.28999999999999998</v>
      </c>
      <c r="U1574" s="153" t="s">
        <v>3108</v>
      </c>
      <c r="V1574" s="155">
        <v>9.8500000000000004E-2</v>
      </c>
      <c r="W1574" s="155">
        <v>9.8500000000000004E-2</v>
      </c>
      <c r="X1574" s="153" t="s">
        <v>412</v>
      </c>
      <c r="Y1574" s="153" t="s">
        <v>338</v>
      </c>
      <c r="Z1574" s="154">
        <v>446897.55</v>
      </c>
      <c r="AA1574" s="154">
        <v>1</v>
      </c>
      <c r="AB1574" s="154">
        <v>0</v>
      </c>
      <c r="AD1574" s="154">
        <v>0</v>
      </c>
      <c r="AG1574" s="157" t="s">
        <v>15</v>
      </c>
      <c r="AH1574" s="155">
        <v>7.0299999999999998E-3</v>
      </c>
      <c r="AI1574" s="155">
        <f t="shared" si="24"/>
        <v>0</v>
      </c>
      <c r="AJ1574" s="155">
        <v>0</v>
      </c>
    </row>
    <row r="1575" spans="1:36" s="160" customFormat="1">
      <c r="A1575" s="153" t="s">
        <v>1213</v>
      </c>
      <c r="B1575" s="160">
        <v>9302</v>
      </c>
      <c r="C1575" s="153" t="s">
        <v>2408</v>
      </c>
      <c r="D1575" s="153" t="s">
        <v>2409</v>
      </c>
      <c r="E1575" s="153" t="s">
        <v>309</v>
      </c>
      <c r="F1575" s="153" t="s">
        <v>3015</v>
      </c>
      <c r="G1575" s="153" t="s">
        <v>3016</v>
      </c>
      <c r="H1575" s="153" t="s">
        <v>321</v>
      </c>
      <c r="I1575" s="153" t="s">
        <v>754</v>
      </c>
      <c r="J1575" s="153" t="s">
        <v>204</v>
      </c>
      <c r="K1575" s="153" t="s">
        <v>204</v>
      </c>
      <c r="L1575" s="153" t="s">
        <v>327</v>
      </c>
      <c r="M1575" s="153" t="s">
        <v>340</v>
      </c>
      <c r="N1575" s="153" t="s">
        <v>451</v>
      </c>
      <c r="O1575" s="153" t="s">
        <v>339</v>
      </c>
      <c r="P1575" s="153" t="s">
        <v>1521</v>
      </c>
      <c r="Q1575" s="153" t="s">
        <v>413</v>
      </c>
      <c r="R1575" s="153" t="s">
        <v>407</v>
      </c>
      <c r="S1575" s="153" t="s">
        <v>1212</v>
      </c>
      <c r="T1575" s="154">
        <v>4</v>
      </c>
      <c r="U1575" s="153" t="s">
        <v>1717</v>
      </c>
      <c r="V1575" s="155">
        <v>3.7089999999999998E-2</v>
      </c>
      <c r="W1575" s="155">
        <v>3.4500000000000003E-2</v>
      </c>
      <c r="X1575" s="153" t="s">
        <v>412</v>
      </c>
      <c r="Y1575" s="153" t="s">
        <v>339</v>
      </c>
      <c r="Z1575" s="154">
        <v>855451</v>
      </c>
      <c r="AA1575" s="154">
        <v>1</v>
      </c>
      <c r="AB1575" s="154">
        <f>AD1575*1000/Z1575*100</f>
        <v>103.46</v>
      </c>
      <c r="AD1575" s="154">
        <f>885049.6046/1000</f>
        <v>885.04960459999995</v>
      </c>
      <c r="AG1575" s="157" t="s">
        <v>15</v>
      </c>
      <c r="AI1575" s="155">
        <f t="shared" si="24"/>
        <v>1.1977644272107395E-3</v>
      </c>
      <c r="AJ1575" s="155">
        <v>2.6470646931516781E-4</v>
      </c>
    </row>
    <row r="1576" spans="1:36" s="160" customFormat="1">
      <c r="A1576" s="153" t="s">
        <v>1213</v>
      </c>
      <c r="B1576" s="160">
        <v>9302</v>
      </c>
      <c r="C1576" s="153" t="s">
        <v>1924</v>
      </c>
      <c r="D1576" s="153" t="s">
        <v>1925</v>
      </c>
      <c r="E1576" s="153" t="s">
        <v>309</v>
      </c>
      <c r="F1576" s="153" t="s">
        <v>1926</v>
      </c>
      <c r="G1576" s="153" t="s">
        <v>1927</v>
      </c>
      <c r="H1576" s="153" t="s">
        <v>321</v>
      </c>
      <c r="I1576" s="153" t="s">
        <v>754</v>
      </c>
      <c r="J1576" s="153" t="s">
        <v>204</v>
      </c>
      <c r="K1576" s="153" t="s">
        <v>204</v>
      </c>
      <c r="L1576" s="153" t="s">
        <v>327</v>
      </c>
      <c r="M1576" s="153" t="s">
        <v>340</v>
      </c>
      <c r="N1576" s="153" t="s">
        <v>441</v>
      </c>
      <c r="O1576" s="153" t="s">
        <v>339</v>
      </c>
      <c r="Q1576" s="153" t="s">
        <v>410</v>
      </c>
      <c r="R1576" s="153" t="s">
        <v>410</v>
      </c>
      <c r="S1576" s="153" t="s">
        <v>1212</v>
      </c>
      <c r="T1576" s="154">
        <v>2.09</v>
      </c>
      <c r="U1576" s="153" t="s">
        <v>1528</v>
      </c>
      <c r="V1576" s="155">
        <v>4.1770000000000002E-2</v>
      </c>
      <c r="W1576" s="155">
        <v>5.04E-2</v>
      </c>
      <c r="X1576" s="153" t="s">
        <v>412</v>
      </c>
      <c r="Y1576" s="153" t="s">
        <v>339</v>
      </c>
      <c r="Z1576" s="154">
        <v>2378091.1</v>
      </c>
      <c r="AA1576" s="154">
        <v>1</v>
      </c>
      <c r="AB1576" s="154">
        <f>AD1576*1000/Z1576*100</f>
        <v>106.84</v>
      </c>
      <c r="AD1576" s="154">
        <f>2540752.53124/1000</f>
        <v>2540.7525312399998</v>
      </c>
      <c r="AG1576" s="157" t="s">
        <v>15</v>
      </c>
      <c r="AI1576" s="155">
        <f t="shared" si="24"/>
        <v>3.438477328782386E-3</v>
      </c>
      <c r="AJ1576" s="155">
        <v>7.5990501374448727E-4</v>
      </c>
    </row>
    <row r="1577" spans="1:36" s="160" customFormat="1">
      <c r="A1577" s="153" t="s">
        <v>1213</v>
      </c>
      <c r="B1577" s="160">
        <v>9302</v>
      </c>
      <c r="C1577" s="153" t="s">
        <v>2391</v>
      </c>
      <c r="D1577" s="153" t="s">
        <v>2392</v>
      </c>
      <c r="E1577" s="153" t="s">
        <v>309</v>
      </c>
      <c r="F1577" s="153" t="s">
        <v>2909</v>
      </c>
      <c r="G1577" s="153" t="s">
        <v>2910</v>
      </c>
      <c r="H1577" s="153" t="s">
        <v>321</v>
      </c>
      <c r="I1577" s="153" t="s">
        <v>754</v>
      </c>
      <c r="J1577" s="153" t="s">
        <v>204</v>
      </c>
      <c r="K1577" s="153" t="s">
        <v>204</v>
      </c>
      <c r="L1577" s="153" t="s">
        <v>327</v>
      </c>
      <c r="M1577" s="153" t="s">
        <v>340</v>
      </c>
      <c r="N1577" s="153" t="s">
        <v>464</v>
      </c>
      <c r="O1577" s="153" t="s">
        <v>339</v>
      </c>
      <c r="P1577" s="153" t="s">
        <v>1538</v>
      </c>
      <c r="Q1577" s="153" t="s">
        <v>413</v>
      </c>
      <c r="R1577" s="153" t="s">
        <v>407</v>
      </c>
      <c r="S1577" s="153" t="s">
        <v>1212</v>
      </c>
      <c r="T1577" s="154">
        <v>1.1599999999999999</v>
      </c>
      <c r="U1577" s="153" t="s">
        <v>2530</v>
      </c>
      <c r="V1577" s="155">
        <v>1.8579999999999999E-2</v>
      </c>
      <c r="W1577" s="155">
        <v>2.4500000000000001E-2</v>
      </c>
      <c r="X1577" s="153" t="s">
        <v>412</v>
      </c>
      <c r="Y1577" s="153" t="s">
        <v>339</v>
      </c>
      <c r="Z1577" s="154">
        <v>3461322.0300000003</v>
      </c>
      <c r="AA1577" s="154">
        <v>1</v>
      </c>
      <c r="AB1577" s="154">
        <f>AD1577*1000/Z1577*100</f>
        <v>116.45999999999998</v>
      </c>
      <c r="AD1577" s="154">
        <f>4031055.636138/1000</f>
        <v>4031.055636138</v>
      </c>
      <c r="AG1577" s="157" t="s">
        <v>15</v>
      </c>
      <c r="AI1577" s="155">
        <f t="shared" si="24"/>
        <v>5.4553496436570859E-3</v>
      </c>
      <c r="AJ1577" s="155">
        <v>1.2056346892978407E-3</v>
      </c>
    </row>
    <row r="1578" spans="1:36" s="160" customFormat="1">
      <c r="A1578" s="153" t="s">
        <v>1213</v>
      </c>
      <c r="B1578" s="160">
        <v>9302</v>
      </c>
      <c r="C1578" s="153" t="s">
        <v>2866</v>
      </c>
      <c r="D1578" s="153" t="s">
        <v>2867</v>
      </c>
      <c r="E1578" s="153" t="s">
        <v>309</v>
      </c>
      <c r="F1578" s="153" t="s">
        <v>2965</v>
      </c>
      <c r="G1578" s="153" t="s">
        <v>2966</v>
      </c>
      <c r="H1578" s="153" t="s">
        <v>321</v>
      </c>
      <c r="I1578" s="153" t="s">
        <v>754</v>
      </c>
      <c r="J1578" s="153" t="s">
        <v>204</v>
      </c>
      <c r="K1578" s="153" t="s">
        <v>204</v>
      </c>
      <c r="L1578" s="153" t="s">
        <v>327</v>
      </c>
      <c r="M1578" s="153" t="s">
        <v>340</v>
      </c>
      <c r="N1578" s="153" t="s">
        <v>464</v>
      </c>
      <c r="O1578" s="153" t="s">
        <v>339</v>
      </c>
      <c r="P1578" s="153" t="s">
        <v>1554</v>
      </c>
      <c r="Q1578" s="153" t="s">
        <v>413</v>
      </c>
      <c r="R1578" s="153" t="s">
        <v>407</v>
      </c>
      <c r="S1578" s="153" t="s">
        <v>1212</v>
      </c>
      <c r="T1578" s="154">
        <v>2.2400000000000002</v>
      </c>
      <c r="U1578" s="153" t="s">
        <v>1659</v>
      </c>
      <c r="V1578" s="155">
        <v>3.7900000000000003E-2</v>
      </c>
      <c r="W1578" s="155">
        <v>3.1699999999999999E-2</v>
      </c>
      <c r="X1578" s="153" t="s">
        <v>412</v>
      </c>
      <c r="Y1578" s="153" t="s">
        <v>339</v>
      </c>
      <c r="Z1578" s="154">
        <v>863872</v>
      </c>
      <c r="AA1578" s="154">
        <v>1</v>
      </c>
      <c r="AB1578" s="154">
        <f>AD1578*1000/Z1578*100</f>
        <v>97.34</v>
      </c>
      <c r="AD1578" s="154">
        <f>840893.0048/1000</f>
        <v>840.89300479999997</v>
      </c>
      <c r="AG1578" s="157" t="s">
        <v>15</v>
      </c>
      <c r="AI1578" s="155">
        <f t="shared" si="24"/>
        <v>1.1380059637391647E-3</v>
      </c>
      <c r="AJ1578" s="155">
        <v>2.5149982240038447E-4</v>
      </c>
    </row>
    <row r="1579" spans="1:36" s="160" customFormat="1">
      <c r="A1579" s="153" t="s">
        <v>1213</v>
      </c>
      <c r="B1579" s="160">
        <v>9302</v>
      </c>
      <c r="C1579" s="153" t="s">
        <v>2089</v>
      </c>
      <c r="D1579" s="153" t="s">
        <v>2090</v>
      </c>
      <c r="E1579" s="153" t="s">
        <v>309</v>
      </c>
      <c r="F1579" s="153" t="s">
        <v>3130</v>
      </c>
      <c r="G1579" s="153" t="s">
        <v>3131</v>
      </c>
      <c r="H1579" s="153" t="s">
        <v>321</v>
      </c>
      <c r="I1579" s="153" t="s">
        <v>755</v>
      </c>
      <c r="J1579" s="153" t="s">
        <v>205</v>
      </c>
      <c r="K1579" s="153" t="s">
        <v>204</v>
      </c>
      <c r="L1579" s="153" t="s">
        <v>325</v>
      </c>
      <c r="M1579" s="153" t="s">
        <v>314</v>
      </c>
      <c r="N1579" s="153" t="s">
        <v>534</v>
      </c>
      <c r="O1579" s="153" t="s">
        <v>339</v>
      </c>
      <c r="P1579" s="153" t="s">
        <v>1890</v>
      </c>
      <c r="Q1579" s="153" t="s">
        <v>433</v>
      </c>
      <c r="R1579" s="153" t="s">
        <v>407</v>
      </c>
      <c r="S1579" s="153" t="s">
        <v>1218</v>
      </c>
      <c r="T1579" s="154">
        <v>2.4159999999999999</v>
      </c>
      <c r="U1579" s="153" t="s">
        <v>2093</v>
      </c>
      <c r="V1579" s="155">
        <v>3.5209999999999998E-2</v>
      </c>
      <c r="W1579" s="155">
        <v>4.0030000000000003E-2</v>
      </c>
      <c r="X1579" s="153" t="s">
        <v>412</v>
      </c>
      <c r="Y1579" s="153" t="s">
        <v>339</v>
      </c>
      <c r="Z1579" s="154">
        <v>1420000</v>
      </c>
      <c r="AA1579" s="154">
        <v>4.1524000000000001</v>
      </c>
      <c r="AB1579" s="154">
        <f>(AD1579-(AC1579*AA1579))*1000/AA1579/Z1579*100</f>
        <v>100.53875172817077</v>
      </c>
      <c r="AD1579" s="154">
        <v>5928.1750000000002</v>
      </c>
      <c r="AG1579" s="157" t="s">
        <v>15</v>
      </c>
      <c r="AH1579" s="155">
        <v>1.2899999999999999E-3</v>
      </c>
      <c r="AI1579" s="155">
        <f t="shared" si="24"/>
        <v>8.0227787192664046E-3</v>
      </c>
      <c r="AJ1579" s="155">
        <v>1.7730376530043874E-3</v>
      </c>
    </row>
    <row r="1580" spans="1:36" s="160" customFormat="1">
      <c r="A1580" s="153" t="s">
        <v>1213</v>
      </c>
      <c r="B1580" s="160">
        <v>9302</v>
      </c>
      <c r="C1580" s="153" t="s">
        <v>1573</v>
      </c>
      <c r="D1580" s="153" t="s">
        <v>1574</v>
      </c>
      <c r="E1580" s="153" t="s">
        <v>309</v>
      </c>
      <c r="F1580" s="153" t="s">
        <v>3109</v>
      </c>
      <c r="G1580" s="153" t="s">
        <v>3110</v>
      </c>
      <c r="H1580" s="153" t="s">
        <v>321</v>
      </c>
      <c r="I1580" s="153" t="s">
        <v>755</v>
      </c>
      <c r="J1580" s="153" t="s">
        <v>205</v>
      </c>
      <c r="K1580" s="153" t="s">
        <v>204</v>
      </c>
      <c r="L1580" s="153" t="s">
        <v>325</v>
      </c>
      <c r="M1580" s="153" t="s">
        <v>340</v>
      </c>
      <c r="N1580" s="153" t="s">
        <v>536</v>
      </c>
      <c r="O1580" s="153" t="s">
        <v>339</v>
      </c>
      <c r="P1580" s="153" t="s">
        <v>3111</v>
      </c>
      <c r="Q1580" s="153" t="s">
        <v>433</v>
      </c>
      <c r="R1580" s="153" t="s">
        <v>407</v>
      </c>
      <c r="S1580" s="153" t="s">
        <v>1216</v>
      </c>
      <c r="T1580" s="154">
        <v>2.5019999999999998</v>
      </c>
      <c r="U1580" s="153" t="s">
        <v>3112</v>
      </c>
      <c r="V1580" s="155">
        <v>4.7289999999999999E-2</v>
      </c>
      <c r="W1580" s="155">
        <v>5.0999999999999997E-2</v>
      </c>
      <c r="X1580" s="153" t="s">
        <v>412</v>
      </c>
      <c r="Y1580" s="153" t="s">
        <v>339</v>
      </c>
      <c r="Z1580" s="154">
        <v>1345000</v>
      </c>
      <c r="AA1580" s="154">
        <v>3.71</v>
      </c>
      <c r="AB1580" s="154">
        <f>(AD1580-(AC1580*AA1580))*1000/AA1580/Z1580*100</f>
        <v>100.82986803474985</v>
      </c>
      <c r="AD1580" s="154">
        <v>5031.3599999999997</v>
      </c>
      <c r="AG1580" s="157" t="s">
        <v>15</v>
      </c>
      <c r="AH1580" s="155">
        <v>2.6900000000000001E-3</v>
      </c>
      <c r="AI1580" s="155">
        <f t="shared" si="24"/>
        <v>6.8090918262312117E-3</v>
      </c>
      <c r="AJ1580" s="155">
        <v>1.5048123116844819E-3</v>
      </c>
    </row>
    <row r="1581" spans="1:36" s="160" customFormat="1">
      <c r="A1581" s="153" t="s">
        <v>1213</v>
      </c>
      <c r="B1581" s="160">
        <v>9302</v>
      </c>
      <c r="C1581" s="153" t="s">
        <v>3125</v>
      </c>
      <c r="D1581" s="153" t="s">
        <v>3126</v>
      </c>
      <c r="E1581" s="153" t="s">
        <v>309</v>
      </c>
      <c r="F1581" s="153" t="s">
        <v>3127</v>
      </c>
      <c r="G1581" s="153" t="s">
        <v>3128</v>
      </c>
      <c r="H1581" s="153" t="s">
        <v>321</v>
      </c>
      <c r="I1581" s="153" t="s">
        <v>755</v>
      </c>
      <c r="J1581" s="153" t="s">
        <v>205</v>
      </c>
      <c r="K1581" s="153" t="s">
        <v>224</v>
      </c>
      <c r="L1581" s="153" t="s">
        <v>325</v>
      </c>
      <c r="M1581" s="153" t="s">
        <v>314</v>
      </c>
      <c r="N1581" s="153" t="s">
        <v>554</v>
      </c>
      <c r="O1581" s="153" t="s">
        <v>339</v>
      </c>
      <c r="P1581" s="159" t="s">
        <v>410</v>
      </c>
      <c r="Q1581" s="153" t="s">
        <v>415</v>
      </c>
      <c r="R1581" s="153" t="s">
        <v>407</v>
      </c>
      <c r="S1581" s="153" t="s">
        <v>1216</v>
      </c>
      <c r="T1581" s="180">
        <v>2.7</v>
      </c>
      <c r="U1581" s="153" t="s">
        <v>3129</v>
      </c>
      <c r="V1581" s="155">
        <v>2.7810000000000001E-2</v>
      </c>
      <c r="W1581" s="181">
        <v>2.5000000000000001E-2</v>
      </c>
      <c r="X1581" s="177"/>
      <c r="Y1581" s="177"/>
      <c r="Z1581" s="154">
        <v>1080000</v>
      </c>
      <c r="AA1581" s="154">
        <v>3.71</v>
      </c>
      <c r="AB1581" s="154">
        <f>(AD1581-(AC1581*AA1581))*1000/AA1581/Z1581*100</f>
        <v>99.772836178496561</v>
      </c>
      <c r="AD1581" s="154">
        <v>3997.6979999999999</v>
      </c>
      <c r="AG1581" s="157" t="s">
        <v>15</v>
      </c>
      <c r="AH1581" s="155">
        <v>2.3900000000000001E-2</v>
      </c>
      <c r="AI1581" s="155">
        <f t="shared" si="24"/>
        <v>5.4102057446775553E-3</v>
      </c>
      <c r="AJ1581" s="155">
        <v>1.1956578676136135E-3</v>
      </c>
    </row>
    <row r="1582" spans="1:36" s="160" customFormat="1">
      <c r="A1582" s="153" t="s">
        <v>1213</v>
      </c>
      <c r="B1582" s="160">
        <v>9302</v>
      </c>
      <c r="C1582" s="153" t="s">
        <v>3113</v>
      </c>
      <c r="D1582" s="153" t="s">
        <v>3114</v>
      </c>
      <c r="E1582" s="153" t="s">
        <v>309</v>
      </c>
      <c r="F1582" s="153" t="s">
        <v>3115</v>
      </c>
      <c r="G1582" s="153" t="s">
        <v>3116</v>
      </c>
      <c r="H1582" s="153" t="s">
        <v>321</v>
      </c>
      <c r="I1582" s="153" t="s">
        <v>755</v>
      </c>
      <c r="J1582" s="153" t="s">
        <v>205</v>
      </c>
      <c r="K1582" s="153" t="s">
        <v>204</v>
      </c>
      <c r="L1582" s="153" t="s">
        <v>325</v>
      </c>
      <c r="M1582" s="153" t="s">
        <v>340</v>
      </c>
      <c r="N1582" s="153" t="s">
        <v>536</v>
      </c>
      <c r="O1582" s="153" t="s">
        <v>339</v>
      </c>
      <c r="P1582" s="153" t="s">
        <v>3117</v>
      </c>
      <c r="Q1582" s="153" t="s">
        <v>431</v>
      </c>
      <c r="R1582" s="153" t="s">
        <v>407</v>
      </c>
      <c r="S1582" s="153" t="s">
        <v>1216</v>
      </c>
      <c r="T1582" s="154">
        <v>2.907</v>
      </c>
      <c r="U1582" s="153" t="s">
        <v>3118</v>
      </c>
      <c r="V1582" s="155">
        <v>4.8280000000000003E-2</v>
      </c>
      <c r="W1582" s="155">
        <v>5.3560000000000003E-2</v>
      </c>
      <c r="X1582" s="153" t="s">
        <v>412</v>
      </c>
      <c r="Y1582" s="153" t="s">
        <v>339</v>
      </c>
      <c r="Z1582" s="154">
        <v>710000</v>
      </c>
      <c r="AA1582" s="154">
        <v>3.71</v>
      </c>
      <c r="AB1582" s="154">
        <f>(AD1582-(AC1582*AA1582))*1000/AA1582/Z1582*100</f>
        <v>100.83155536995558</v>
      </c>
      <c r="AD1582" s="154">
        <v>2656.0039999999999</v>
      </c>
      <c r="AG1582" s="157" t="s">
        <v>15</v>
      </c>
      <c r="AH1582" s="155">
        <v>8.8999999999999995E-4</v>
      </c>
      <c r="AI1582" s="155">
        <f t="shared" si="24"/>
        <v>3.5944506310097877E-3</v>
      </c>
      <c r="AJ1582" s="155">
        <v>7.9437518267093409E-4</v>
      </c>
    </row>
    <row r="1583" spans="1:36" s="160" customFormat="1">
      <c r="A1583" s="153" t="s">
        <v>1213</v>
      </c>
      <c r="B1583" s="160">
        <v>9302</v>
      </c>
      <c r="C1583" s="153" t="s">
        <v>3132</v>
      </c>
      <c r="D1583" s="153" t="s">
        <v>3133</v>
      </c>
      <c r="E1583" s="153" t="s">
        <v>80</v>
      </c>
      <c r="F1583" s="153" t="s">
        <v>3134</v>
      </c>
      <c r="G1583" s="153" t="s">
        <v>3135</v>
      </c>
      <c r="H1583" s="153" t="s">
        <v>321</v>
      </c>
      <c r="I1583" s="153" t="s">
        <v>755</v>
      </c>
      <c r="J1583" s="153" t="s">
        <v>205</v>
      </c>
      <c r="K1583" s="153" t="s">
        <v>224</v>
      </c>
      <c r="L1583" s="153" t="s">
        <v>325</v>
      </c>
      <c r="M1583" s="153" t="s">
        <v>314</v>
      </c>
      <c r="N1583" s="153" t="s">
        <v>534</v>
      </c>
      <c r="O1583" s="153" t="s">
        <v>339</v>
      </c>
      <c r="P1583" s="153" t="s">
        <v>2779</v>
      </c>
      <c r="Q1583" s="153" t="s">
        <v>433</v>
      </c>
      <c r="R1583" s="153" t="s">
        <v>407</v>
      </c>
      <c r="S1583" s="153" t="s">
        <v>1216</v>
      </c>
      <c r="T1583" s="154">
        <v>3.7450000000000001</v>
      </c>
      <c r="U1583" s="153" t="s">
        <v>3136</v>
      </c>
      <c r="V1583" s="155">
        <v>5.0369999999999998E-2</v>
      </c>
      <c r="W1583" s="155">
        <v>4.684E-2</v>
      </c>
      <c r="X1583" s="153" t="s">
        <v>412</v>
      </c>
      <c r="Y1583" s="153" t="s">
        <v>339</v>
      </c>
      <c r="Z1583" s="154">
        <v>650000</v>
      </c>
      <c r="AA1583" s="154">
        <v>3.71</v>
      </c>
      <c r="AB1583" s="154">
        <v>99.855999999999995</v>
      </c>
      <c r="AD1583" s="154">
        <v>2408.0279999999998</v>
      </c>
      <c r="AG1583" s="157" t="s">
        <v>15</v>
      </c>
      <c r="AH1583" s="155">
        <v>1.9000000000000001E-4</v>
      </c>
      <c r="AI1583" s="155">
        <f t="shared" si="24"/>
        <v>3.2588572020558842E-3</v>
      </c>
      <c r="AJ1583" s="155">
        <v>7.2020888612243212E-4</v>
      </c>
    </row>
    <row r="1584" spans="1:36" s="160" customFormat="1">
      <c r="A1584" s="153" t="s">
        <v>1213</v>
      </c>
      <c r="B1584" s="160">
        <v>9302</v>
      </c>
      <c r="C1584" s="153" t="s">
        <v>2089</v>
      </c>
      <c r="D1584" s="153" t="s">
        <v>2090</v>
      </c>
      <c r="E1584" s="153" t="s">
        <v>309</v>
      </c>
      <c r="F1584" s="153" t="s">
        <v>2091</v>
      </c>
      <c r="G1584" s="153" t="s">
        <v>2092</v>
      </c>
      <c r="H1584" s="153" t="s">
        <v>321</v>
      </c>
      <c r="I1584" s="153" t="s">
        <v>755</v>
      </c>
      <c r="J1584" s="153" t="s">
        <v>205</v>
      </c>
      <c r="K1584" s="153" t="s">
        <v>204</v>
      </c>
      <c r="L1584" s="153" t="s">
        <v>325</v>
      </c>
      <c r="M1584" s="153" t="s">
        <v>314</v>
      </c>
      <c r="N1584" s="153" t="s">
        <v>534</v>
      </c>
      <c r="O1584" s="153" t="s">
        <v>339</v>
      </c>
      <c r="P1584" s="153" t="s">
        <v>1890</v>
      </c>
      <c r="Q1584" s="153" t="s">
        <v>433</v>
      </c>
      <c r="R1584" s="153" t="s">
        <v>407</v>
      </c>
      <c r="S1584" s="153" t="s">
        <v>1218</v>
      </c>
      <c r="T1584" s="154">
        <v>4.8339999999999996</v>
      </c>
      <c r="U1584" s="153" t="s">
        <v>2093</v>
      </c>
      <c r="V1584" s="155">
        <v>4.1000000000000002E-2</v>
      </c>
      <c r="W1584" s="155">
        <v>4.4069999999999998E-2</v>
      </c>
      <c r="X1584" s="153" t="s">
        <v>412</v>
      </c>
      <c r="Y1584" s="153" t="s">
        <v>339</v>
      </c>
      <c r="Z1584" s="154">
        <v>560000</v>
      </c>
      <c r="AA1584" s="154">
        <v>4.1524000000000001</v>
      </c>
      <c r="AB1584" s="154">
        <f>(AD1584-(AC1584*AA1584))*1000/AA1584/Z1584*100</f>
        <v>101.10353564891903</v>
      </c>
      <c r="AD1584" s="154">
        <v>2351.0050000000001</v>
      </c>
      <c r="AG1584" s="157" t="s">
        <v>15</v>
      </c>
      <c r="AH1584" s="155">
        <v>3.6999999999999999E-4</v>
      </c>
      <c r="AI1584" s="155">
        <f t="shared" si="24"/>
        <v>3.1816862496280751E-3</v>
      </c>
      <c r="AJ1584" s="155">
        <v>7.0315407143034406E-4</v>
      </c>
    </row>
    <row r="1585" spans="1:36" s="160" customFormat="1">
      <c r="A1585" s="153" t="s">
        <v>1213</v>
      </c>
      <c r="B1585" s="160">
        <v>9302</v>
      </c>
      <c r="C1585" s="153" t="s">
        <v>3181</v>
      </c>
      <c r="D1585" s="153" t="s">
        <v>3182</v>
      </c>
      <c r="E1585" s="153" t="s">
        <v>80</v>
      </c>
      <c r="F1585" s="153" t="s">
        <v>3183</v>
      </c>
      <c r="G1585" s="153" t="s">
        <v>3184</v>
      </c>
      <c r="H1585" s="153" t="s">
        <v>321</v>
      </c>
      <c r="I1585" s="153" t="s">
        <v>755</v>
      </c>
      <c r="J1585" s="153" t="s">
        <v>205</v>
      </c>
      <c r="K1585" s="153" t="s">
        <v>224</v>
      </c>
      <c r="L1585" s="153" t="s">
        <v>325</v>
      </c>
      <c r="M1585" s="153" t="s">
        <v>314</v>
      </c>
      <c r="N1585" s="153" t="s">
        <v>537</v>
      </c>
      <c r="O1585" s="153" t="s">
        <v>339</v>
      </c>
      <c r="P1585" s="153" t="s">
        <v>1876</v>
      </c>
      <c r="Q1585" s="153" t="s">
        <v>433</v>
      </c>
      <c r="R1585" s="153" t="s">
        <v>407</v>
      </c>
      <c r="S1585" s="153" t="s">
        <v>1216</v>
      </c>
      <c r="T1585" s="154">
        <v>3.6760000000000002</v>
      </c>
      <c r="U1585" s="153" t="s">
        <v>2798</v>
      </c>
      <c r="V1585" s="155">
        <v>6.1920000000000003E-2</v>
      </c>
      <c r="W1585" s="155">
        <v>5.8479999999999997E-2</v>
      </c>
      <c r="X1585" s="153" t="s">
        <v>412</v>
      </c>
      <c r="Y1585" s="153" t="s">
        <v>339</v>
      </c>
      <c r="Z1585" s="154">
        <v>530000</v>
      </c>
      <c r="AA1585" s="154">
        <v>3.71</v>
      </c>
      <c r="AB1585" s="154">
        <f>(AD1585-(AC1585*AA1585))*1000/AA1585/Z1585*100</f>
        <v>107.51029853023446</v>
      </c>
      <c r="AD1585" s="154">
        <v>2113.9749999999999</v>
      </c>
      <c r="AG1585" s="157" t="s">
        <v>15</v>
      </c>
      <c r="AH1585" s="155">
        <v>5.2999999999999998E-4</v>
      </c>
      <c r="AI1585" s="155">
        <f t="shared" si="24"/>
        <v>2.8609063738943598E-3</v>
      </c>
      <c r="AJ1585" s="155">
        <v>6.3226157670951853E-4</v>
      </c>
    </row>
    <row r="1586" spans="1:36" s="160" customFormat="1">
      <c r="A1586" s="153" t="s">
        <v>1213</v>
      </c>
      <c r="B1586" s="160">
        <v>9302</v>
      </c>
      <c r="C1586" s="153" t="s">
        <v>3119</v>
      </c>
      <c r="D1586" s="153" t="s">
        <v>3120</v>
      </c>
      <c r="E1586" s="153" t="s">
        <v>80</v>
      </c>
      <c r="F1586" s="153" t="s">
        <v>3121</v>
      </c>
      <c r="G1586" s="153" t="s">
        <v>3122</v>
      </c>
      <c r="H1586" s="153" t="s">
        <v>321</v>
      </c>
      <c r="I1586" s="153" t="s">
        <v>755</v>
      </c>
      <c r="J1586" s="153" t="s">
        <v>205</v>
      </c>
      <c r="K1586" s="153" t="s">
        <v>224</v>
      </c>
      <c r="L1586" s="153" t="s">
        <v>325</v>
      </c>
      <c r="M1586" s="153" t="s">
        <v>314</v>
      </c>
      <c r="N1586" s="153" t="s">
        <v>521</v>
      </c>
      <c r="O1586" s="153" t="s">
        <v>339</v>
      </c>
      <c r="P1586" s="153" t="s">
        <v>3123</v>
      </c>
      <c r="Q1586" s="153" t="s">
        <v>431</v>
      </c>
      <c r="R1586" s="153" t="s">
        <v>407</v>
      </c>
      <c r="S1586" s="153" t="s">
        <v>1216</v>
      </c>
      <c r="T1586" s="154">
        <v>2.8159999999999998</v>
      </c>
      <c r="U1586" s="153" t="s">
        <v>3124</v>
      </c>
      <c r="V1586" s="155">
        <v>4.1070000000000002E-2</v>
      </c>
      <c r="W1586" s="155">
        <v>3.7620000000000001E-2</v>
      </c>
      <c r="X1586" s="153" t="s">
        <v>412</v>
      </c>
      <c r="Y1586" s="153" t="s">
        <v>339</v>
      </c>
      <c r="Z1586" s="154">
        <v>535000</v>
      </c>
      <c r="AA1586" s="154">
        <v>3.71</v>
      </c>
      <c r="AB1586" s="154">
        <v>103.593</v>
      </c>
      <c r="AD1586" s="154">
        <v>2056.1660000000002</v>
      </c>
      <c r="AG1586" s="157" t="s">
        <v>15</v>
      </c>
      <c r="AH1586" s="155">
        <v>2.7E-4</v>
      </c>
      <c r="AI1586" s="155">
        <f t="shared" si="24"/>
        <v>2.7826717038682441E-3</v>
      </c>
      <c r="AJ1586" s="155">
        <v>6.149716799567185E-4</v>
      </c>
    </row>
    <row r="1587" spans="1:36" s="160" customFormat="1">
      <c r="A1587" s="153" t="s">
        <v>1213</v>
      </c>
      <c r="B1587" s="160">
        <v>9302</v>
      </c>
      <c r="C1587" s="153" t="s">
        <v>1886</v>
      </c>
      <c r="D1587" s="153" t="s">
        <v>1887</v>
      </c>
      <c r="E1587" s="153" t="s">
        <v>80</v>
      </c>
      <c r="F1587" s="153" t="s">
        <v>1888</v>
      </c>
      <c r="G1587" s="153" t="s">
        <v>1889</v>
      </c>
      <c r="H1587" s="153" t="s">
        <v>321</v>
      </c>
      <c r="I1587" s="153" t="s">
        <v>755</v>
      </c>
      <c r="J1587" s="153" t="s">
        <v>205</v>
      </c>
      <c r="K1587" s="153" t="s">
        <v>204</v>
      </c>
      <c r="L1587" s="153" t="s">
        <v>325</v>
      </c>
      <c r="M1587" s="153" t="s">
        <v>314</v>
      </c>
      <c r="N1587" s="153" t="s">
        <v>486</v>
      </c>
      <c r="O1587" s="153" t="s">
        <v>339</v>
      </c>
      <c r="P1587" s="153" t="s">
        <v>1890</v>
      </c>
      <c r="Q1587" s="153" t="s">
        <v>433</v>
      </c>
      <c r="R1587" s="153" t="s">
        <v>407</v>
      </c>
      <c r="S1587" s="153" t="s">
        <v>1216</v>
      </c>
      <c r="T1587" s="154">
        <v>0.69799999999999995</v>
      </c>
      <c r="U1587" s="153" t="s">
        <v>1848</v>
      </c>
      <c r="V1587" s="155">
        <v>7.4529999999999999E-2</v>
      </c>
      <c r="W1587" s="155">
        <v>8.0320000000000003E-2</v>
      </c>
      <c r="X1587" s="153" t="s">
        <v>412</v>
      </c>
      <c r="Y1587" s="153" t="s">
        <v>339</v>
      </c>
      <c r="Z1587" s="154">
        <v>555000</v>
      </c>
      <c r="AA1587" s="154">
        <v>3.71</v>
      </c>
      <c r="AB1587" s="154">
        <f>(AD1587-(AC1587*AA1587))*1000/AA1587/Z1587*100</f>
        <v>99.778247249945366</v>
      </c>
      <c r="AD1587" s="154">
        <v>2054.4839999999999</v>
      </c>
      <c r="AG1587" s="157" t="s">
        <v>15</v>
      </c>
      <c r="AH1587" s="155">
        <v>9.2000000000000003E-4</v>
      </c>
      <c r="AI1587" s="155">
        <f t="shared" si="24"/>
        <v>2.7803954023410777E-3</v>
      </c>
      <c r="AJ1587" s="155">
        <v>6.1446861631025832E-4</v>
      </c>
    </row>
    <row r="1588" spans="1:36" s="160" customFormat="1">
      <c r="A1588" s="153" t="s">
        <v>1213</v>
      </c>
      <c r="B1588" s="160">
        <v>9302</v>
      </c>
      <c r="C1588" s="153" t="s">
        <v>2649</v>
      </c>
      <c r="D1588" s="153" t="s">
        <v>2650</v>
      </c>
      <c r="E1588" s="153" t="s">
        <v>80</v>
      </c>
      <c r="F1588" s="153" t="s">
        <v>3150</v>
      </c>
      <c r="G1588" s="153" t="s">
        <v>3151</v>
      </c>
      <c r="H1588" s="153" t="s">
        <v>321</v>
      </c>
      <c r="I1588" s="153" t="s">
        <v>755</v>
      </c>
      <c r="J1588" s="153" t="s">
        <v>205</v>
      </c>
      <c r="K1588" s="153" t="s">
        <v>293</v>
      </c>
      <c r="L1588" s="153" t="s">
        <v>325</v>
      </c>
      <c r="M1588" s="153" t="s">
        <v>314</v>
      </c>
      <c r="N1588" s="153" t="s">
        <v>568</v>
      </c>
      <c r="O1588" s="153" t="s">
        <v>339</v>
      </c>
      <c r="P1588" s="153" t="s">
        <v>2081</v>
      </c>
      <c r="Q1588" s="153" t="s">
        <v>433</v>
      </c>
      <c r="R1588" s="153" t="s">
        <v>407</v>
      </c>
      <c r="S1588" s="153" t="s">
        <v>1218</v>
      </c>
      <c r="T1588" s="154">
        <v>3.153</v>
      </c>
      <c r="U1588" s="153" t="s">
        <v>3152</v>
      </c>
      <c r="V1588" s="155">
        <v>6.9269999999999998E-2</v>
      </c>
      <c r="W1588" s="155">
        <v>3.5549999999999998E-2</v>
      </c>
      <c r="X1588" s="153" t="s">
        <v>412</v>
      </c>
      <c r="Y1588" s="153" t="s">
        <v>339</v>
      </c>
      <c r="Z1588" s="154">
        <v>550000</v>
      </c>
      <c r="AA1588" s="154">
        <v>4.1524000000000001</v>
      </c>
      <c r="AB1588" s="154">
        <v>89.442999999999998</v>
      </c>
      <c r="AD1588" s="154">
        <v>2042.7159999999999</v>
      </c>
      <c r="AG1588" s="157" t="s">
        <v>15</v>
      </c>
      <c r="AH1588" s="155">
        <v>5.5000000000000003E-4</v>
      </c>
      <c r="AI1588" s="155">
        <f t="shared" si="24"/>
        <v>2.7644694116325838E-3</v>
      </c>
      <c r="AJ1588" s="155">
        <v>6.1094896530458534E-4</v>
      </c>
    </row>
    <row r="1589" spans="1:36" s="160" customFormat="1">
      <c r="A1589" s="153" t="s">
        <v>1213</v>
      </c>
      <c r="B1589" s="160">
        <v>9302</v>
      </c>
      <c r="C1589" s="153" t="s">
        <v>3204</v>
      </c>
      <c r="D1589" s="153" t="s">
        <v>3205</v>
      </c>
      <c r="E1589" s="153" t="s">
        <v>80</v>
      </c>
      <c r="F1589" s="153" t="s">
        <v>3206</v>
      </c>
      <c r="G1589" s="153" t="s">
        <v>3207</v>
      </c>
      <c r="H1589" s="153" t="s">
        <v>321</v>
      </c>
      <c r="I1589" s="153" t="s">
        <v>755</v>
      </c>
      <c r="J1589" s="153" t="s">
        <v>205</v>
      </c>
      <c r="K1589" s="153" t="s">
        <v>224</v>
      </c>
      <c r="L1589" s="153" t="s">
        <v>325</v>
      </c>
      <c r="M1589" s="153" t="s">
        <v>314</v>
      </c>
      <c r="N1589" s="153" t="s">
        <v>548</v>
      </c>
      <c r="O1589" s="153" t="s">
        <v>339</v>
      </c>
      <c r="P1589" s="153" t="s">
        <v>1876</v>
      </c>
      <c r="Q1589" s="153" t="s">
        <v>433</v>
      </c>
      <c r="R1589" s="153" t="s">
        <v>407</v>
      </c>
      <c r="S1589" s="153" t="s">
        <v>1216</v>
      </c>
      <c r="T1589" s="154">
        <v>6.9420000000000002</v>
      </c>
      <c r="U1589" s="153" t="s">
        <v>3208</v>
      </c>
      <c r="V1589" s="155">
        <v>5.5559999999999998E-2</v>
      </c>
      <c r="W1589" s="155">
        <v>5.3379999999999997E-2</v>
      </c>
      <c r="X1589" s="153" t="s">
        <v>412</v>
      </c>
      <c r="Y1589" s="153" t="s">
        <v>339</v>
      </c>
      <c r="Z1589" s="154">
        <v>510000</v>
      </c>
      <c r="AA1589" s="154">
        <v>3.71</v>
      </c>
      <c r="AB1589" s="154">
        <f>(AD1589-(AC1589*AA1589))*1000/AA1589/Z1589*100</f>
        <v>106.35262406849533</v>
      </c>
      <c r="AD1589" s="154">
        <v>2012.298</v>
      </c>
      <c r="AG1589" s="157" t="s">
        <v>15</v>
      </c>
      <c r="AH1589" s="155">
        <v>1.0200000000000001E-3</v>
      </c>
      <c r="AI1589" s="155">
        <f t="shared" si="24"/>
        <v>2.7233038112441598E-3</v>
      </c>
      <c r="AJ1589" s="155">
        <v>6.0185134937234869E-4</v>
      </c>
    </row>
    <row r="1590" spans="1:36" s="160" customFormat="1">
      <c r="A1590" s="153" t="s">
        <v>1213</v>
      </c>
      <c r="B1590" s="160">
        <v>9302</v>
      </c>
      <c r="C1590" s="153" t="s">
        <v>2072</v>
      </c>
      <c r="D1590" s="153" t="s">
        <v>2073</v>
      </c>
      <c r="E1590" s="153" t="s">
        <v>80</v>
      </c>
      <c r="F1590" s="153" t="s">
        <v>3137</v>
      </c>
      <c r="G1590" s="153" t="s">
        <v>3138</v>
      </c>
      <c r="H1590" s="153" t="s">
        <v>321</v>
      </c>
      <c r="I1590" s="153" t="s">
        <v>755</v>
      </c>
      <c r="J1590" s="153" t="s">
        <v>205</v>
      </c>
      <c r="K1590" s="153" t="s">
        <v>224</v>
      </c>
      <c r="L1590" s="153" t="s">
        <v>325</v>
      </c>
      <c r="M1590" s="153" t="s">
        <v>314</v>
      </c>
      <c r="N1590" s="153" t="s">
        <v>537</v>
      </c>
      <c r="O1590" s="153" t="s">
        <v>339</v>
      </c>
      <c r="P1590" s="153" t="s">
        <v>1876</v>
      </c>
      <c r="Q1590" s="153" t="s">
        <v>423</v>
      </c>
      <c r="R1590" s="153" t="s">
        <v>407</v>
      </c>
      <c r="S1590" s="153" t="s">
        <v>1216</v>
      </c>
      <c r="T1590" s="154">
        <v>3.6389999999999998</v>
      </c>
      <c r="U1590" s="153" t="s">
        <v>3139</v>
      </c>
      <c r="V1590" s="155">
        <v>2.9420000000000002E-2</v>
      </c>
      <c r="W1590" s="155">
        <v>5.6890000000000003E-2</v>
      </c>
      <c r="X1590" s="153" t="s">
        <v>412</v>
      </c>
      <c r="Y1590" s="153" t="s">
        <v>339</v>
      </c>
      <c r="Z1590" s="154">
        <v>560000</v>
      </c>
      <c r="AA1590" s="154">
        <v>3.71</v>
      </c>
      <c r="AB1590" s="154">
        <f>(AD1590-(AC1590*AA1590))*1000/AA1590/Z1590*100</f>
        <v>92.187331536388157</v>
      </c>
      <c r="AD1590" s="154">
        <v>1915.2840000000001</v>
      </c>
      <c r="AG1590" s="157" t="s">
        <v>15</v>
      </c>
      <c r="AH1590" s="155">
        <v>7.5000000000000002E-4</v>
      </c>
      <c r="AI1590" s="155">
        <f t="shared" si="24"/>
        <v>2.5920118276790811E-3</v>
      </c>
      <c r="AJ1590" s="155">
        <v>5.7283576281011537E-4</v>
      </c>
    </row>
    <row r="1591" spans="1:36" s="160" customFormat="1">
      <c r="A1591" s="153" t="s">
        <v>1213</v>
      </c>
      <c r="B1591" s="160">
        <v>9302</v>
      </c>
      <c r="C1591" s="153" t="s">
        <v>2052</v>
      </c>
      <c r="D1591" s="153" t="s">
        <v>2053</v>
      </c>
      <c r="E1591" s="153" t="s">
        <v>80</v>
      </c>
      <c r="F1591" s="153" t="s">
        <v>2054</v>
      </c>
      <c r="G1591" s="153" t="s">
        <v>2055</v>
      </c>
      <c r="H1591" s="153" t="s">
        <v>321</v>
      </c>
      <c r="I1591" s="153" t="s">
        <v>755</v>
      </c>
      <c r="J1591" s="153" t="s">
        <v>205</v>
      </c>
      <c r="K1591" s="153" t="s">
        <v>233</v>
      </c>
      <c r="L1591" s="153" t="s">
        <v>325</v>
      </c>
      <c r="M1591" s="153" t="s">
        <v>314</v>
      </c>
      <c r="N1591" s="153" t="s">
        <v>486</v>
      </c>
      <c r="O1591" s="153" t="s">
        <v>339</v>
      </c>
      <c r="P1591" s="153" t="s">
        <v>2056</v>
      </c>
      <c r="Q1591" s="153" t="s">
        <v>433</v>
      </c>
      <c r="R1591" s="153" t="s">
        <v>407</v>
      </c>
      <c r="S1591" s="153" t="s">
        <v>1216</v>
      </c>
      <c r="T1591" s="154">
        <v>2.27</v>
      </c>
      <c r="U1591" s="153" t="s">
        <v>2057</v>
      </c>
      <c r="V1591" s="155">
        <v>6.5839999999999996E-2</v>
      </c>
      <c r="W1591" s="155">
        <v>7.1489999999999998E-2</v>
      </c>
      <c r="X1591" s="153" t="s">
        <v>412</v>
      </c>
      <c r="Y1591" s="153" t="s">
        <v>339</v>
      </c>
      <c r="Z1591" s="154">
        <v>460000</v>
      </c>
      <c r="AA1591" s="154">
        <v>3.71</v>
      </c>
      <c r="AB1591" s="154">
        <f>(AD1591-(AC1591*AA1591))*1000/AA1591/Z1591*100</f>
        <v>101.16735028712058</v>
      </c>
      <c r="AD1591" s="154">
        <v>1726.5219999999999</v>
      </c>
      <c r="AG1591" s="157" t="s">
        <v>15</v>
      </c>
      <c r="AH1591" s="155">
        <v>1.0200000000000001E-3</v>
      </c>
      <c r="AI1591" s="155">
        <f t="shared" si="24"/>
        <v>2.3365544977915244E-3</v>
      </c>
      <c r="AJ1591" s="155">
        <v>5.1637957967510086E-4</v>
      </c>
    </row>
    <row r="1592" spans="1:36" s="160" customFormat="1">
      <c r="A1592" s="153" t="s">
        <v>1213</v>
      </c>
      <c r="B1592" s="160">
        <v>9302</v>
      </c>
      <c r="C1592" s="153" t="s">
        <v>3158</v>
      </c>
      <c r="D1592" s="153" t="s">
        <v>3159</v>
      </c>
      <c r="E1592" s="153" t="s">
        <v>80</v>
      </c>
      <c r="F1592" s="153" t="s">
        <v>3160</v>
      </c>
      <c r="G1592" s="153" t="s">
        <v>3161</v>
      </c>
      <c r="H1592" s="153" t="s">
        <v>321</v>
      </c>
      <c r="I1592" s="153" t="s">
        <v>755</v>
      </c>
      <c r="J1592" s="153" t="s">
        <v>205</v>
      </c>
      <c r="K1592" s="153" t="s">
        <v>293</v>
      </c>
      <c r="L1592" s="153" t="s">
        <v>325</v>
      </c>
      <c r="M1592" s="153" t="s">
        <v>314</v>
      </c>
      <c r="N1592" s="153" t="s">
        <v>568</v>
      </c>
      <c r="O1592" s="153" t="s">
        <v>339</v>
      </c>
      <c r="P1592" s="153" t="s">
        <v>2070</v>
      </c>
      <c r="Q1592" s="153" t="s">
        <v>431</v>
      </c>
      <c r="R1592" s="153" t="s">
        <v>407</v>
      </c>
      <c r="S1592" s="153" t="s">
        <v>1218</v>
      </c>
      <c r="T1592" s="154">
        <v>2.66</v>
      </c>
      <c r="U1592" s="153" t="s">
        <v>3162</v>
      </c>
      <c r="V1592" s="155">
        <v>4.6179999999999999E-2</v>
      </c>
      <c r="W1592" s="155">
        <v>6.8640000000000007E-2</v>
      </c>
      <c r="X1592" s="153" t="s">
        <v>412</v>
      </c>
      <c r="Y1592" s="153" t="s">
        <v>339</v>
      </c>
      <c r="Z1592" s="154">
        <v>440000</v>
      </c>
      <c r="AA1592" s="154">
        <v>4.1524000000000001</v>
      </c>
      <c r="AB1592" s="154">
        <f>(AD1592-(AC1592*AA1592))*1000/AA1592/Z1592*100</f>
        <v>88.607300487779256</v>
      </c>
      <c r="AD1592" s="154">
        <v>1618.905</v>
      </c>
      <c r="AG1592" s="157" t="s">
        <v>15</v>
      </c>
      <c r="AH1592" s="155">
        <v>1.8400000000000001E-3</v>
      </c>
      <c r="AI1592" s="155">
        <f t="shared" si="24"/>
        <v>2.1909131532915236E-3</v>
      </c>
      <c r="AJ1592" s="155">
        <v>4.8419277798598519E-4</v>
      </c>
    </row>
    <row r="1593" spans="1:36" s="160" customFormat="1">
      <c r="A1593" s="153" t="s">
        <v>1213</v>
      </c>
      <c r="B1593" s="160">
        <v>9302</v>
      </c>
      <c r="C1593" s="153" t="s">
        <v>3145</v>
      </c>
      <c r="D1593" s="153" t="s">
        <v>3146</v>
      </c>
      <c r="E1593" s="153" t="s">
        <v>80</v>
      </c>
      <c r="F1593" s="153" t="s">
        <v>3147</v>
      </c>
      <c r="G1593" s="153" t="s">
        <v>3148</v>
      </c>
      <c r="H1593" s="153" t="s">
        <v>321</v>
      </c>
      <c r="I1593" s="153" t="s">
        <v>755</v>
      </c>
      <c r="J1593" s="153" t="s">
        <v>205</v>
      </c>
      <c r="K1593" s="153" t="s">
        <v>224</v>
      </c>
      <c r="L1593" s="153" t="s">
        <v>325</v>
      </c>
      <c r="M1593" s="153" t="s">
        <v>314</v>
      </c>
      <c r="N1593" s="153" t="s">
        <v>512</v>
      </c>
      <c r="O1593" s="153" t="s">
        <v>339</v>
      </c>
      <c r="P1593" s="153" t="s">
        <v>3149</v>
      </c>
      <c r="Q1593" s="153" t="s">
        <v>431</v>
      </c>
      <c r="R1593" s="153" t="s">
        <v>407</v>
      </c>
      <c r="S1593" s="153" t="s">
        <v>1216</v>
      </c>
      <c r="T1593" s="154">
        <v>6.0430000000000001</v>
      </c>
      <c r="U1593" s="153" t="s">
        <v>1476</v>
      </c>
      <c r="V1593" s="155">
        <v>4.2610000000000002E-2</v>
      </c>
      <c r="W1593" s="155">
        <v>6.3539999999999999E-2</v>
      </c>
      <c r="X1593" s="153" t="s">
        <v>412</v>
      </c>
      <c r="Y1593" s="153" t="s">
        <v>339</v>
      </c>
      <c r="Z1593" s="154">
        <v>455000</v>
      </c>
      <c r="AA1593" s="154">
        <v>3.71</v>
      </c>
      <c r="AB1593" s="154">
        <f>(AD1593-(AC1593*AA1593))*1000/AA1593/Z1593*100</f>
        <v>88.944521785492142</v>
      </c>
      <c r="AD1593" s="154">
        <v>1501.4280000000001</v>
      </c>
      <c r="AG1593" s="157" t="s">
        <v>15</v>
      </c>
      <c r="AH1593" s="155">
        <v>1.2999999999999999E-3</v>
      </c>
      <c r="AI1593" s="155">
        <f t="shared" si="24"/>
        <v>2.031927972252965E-3</v>
      </c>
      <c r="AJ1593" s="155">
        <v>4.4905698250727614E-4</v>
      </c>
    </row>
    <row r="1594" spans="1:36" s="160" customFormat="1">
      <c r="A1594" s="153" t="s">
        <v>1213</v>
      </c>
      <c r="B1594" s="160">
        <v>9302</v>
      </c>
      <c r="C1594" s="153" t="s">
        <v>3185</v>
      </c>
      <c r="D1594" s="153" t="s">
        <v>3186</v>
      </c>
      <c r="E1594" s="153" t="s">
        <v>80</v>
      </c>
      <c r="F1594" s="153" t="s">
        <v>3187</v>
      </c>
      <c r="G1594" s="153" t="s">
        <v>3190</v>
      </c>
      <c r="H1594" s="153" t="s">
        <v>321</v>
      </c>
      <c r="I1594" s="153" t="s">
        <v>755</v>
      </c>
      <c r="J1594" s="153" t="s">
        <v>205</v>
      </c>
      <c r="K1594" s="153" t="s">
        <v>224</v>
      </c>
      <c r="L1594" s="153" t="s">
        <v>325</v>
      </c>
      <c r="M1594" s="153" t="s">
        <v>314</v>
      </c>
      <c r="N1594" s="153" t="s">
        <v>556</v>
      </c>
      <c r="O1594" s="153" t="s">
        <v>339</v>
      </c>
      <c r="P1594" s="153" t="s">
        <v>2779</v>
      </c>
      <c r="Q1594" s="153" t="s">
        <v>433</v>
      </c>
      <c r="R1594" s="153" t="s">
        <v>407</v>
      </c>
      <c r="S1594" s="153" t="s">
        <v>1216</v>
      </c>
      <c r="T1594" s="154">
        <v>3.1459999999999999</v>
      </c>
      <c r="U1594" s="153" t="s">
        <v>3189</v>
      </c>
      <c r="V1594" s="155">
        <v>5.0650000000000001E-2</v>
      </c>
      <c r="W1594" s="155">
        <v>4.394E-2</v>
      </c>
      <c r="X1594" s="153" t="s">
        <v>412</v>
      </c>
      <c r="Y1594" s="153" t="s">
        <v>339</v>
      </c>
      <c r="Z1594" s="154">
        <v>370000</v>
      </c>
      <c r="AA1594" s="154">
        <v>3.71</v>
      </c>
      <c r="AB1594" s="154">
        <v>106.107</v>
      </c>
      <c r="AD1594" s="154">
        <v>1456.529</v>
      </c>
      <c r="AG1594" s="157" t="s">
        <v>15</v>
      </c>
      <c r="AH1594" s="155">
        <v>3.6999999999999999E-4</v>
      </c>
      <c r="AI1594" s="155">
        <f t="shared" si="24"/>
        <v>1.9711647961125267E-3</v>
      </c>
      <c r="AJ1594" s="155">
        <v>4.3562829364734128E-4</v>
      </c>
    </row>
    <row r="1595" spans="1:36" s="160" customFormat="1">
      <c r="A1595" s="153" t="s">
        <v>1213</v>
      </c>
      <c r="B1595" s="160">
        <v>9302</v>
      </c>
      <c r="C1595" s="153" t="s">
        <v>3222</v>
      </c>
      <c r="D1595" s="153" t="s">
        <v>3223</v>
      </c>
      <c r="E1595" s="153" t="s">
        <v>80</v>
      </c>
      <c r="F1595" s="153" t="s">
        <v>3224</v>
      </c>
      <c r="G1595" s="153" t="s">
        <v>3225</v>
      </c>
      <c r="H1595" s="153" t="s">
        <v>321</v>
      </c>
      <c r="I1595" s="153" t="s">
        <v>755</v>
      </c>
      <c r="J1595" s="153" t="s">
        <v>205</v>
      </c>
      <c r="K1595" s="153" t="s">
        <v>224</v>
      </c>
      <c r="L1595" s="153" t="s">
        <v>325</v>
      </c>
      <c r="M1595" s="153" t="s">
        <v>314</v>
      </c>
      <c r="N1595" s="153" t="s">
        <v>546</v>
      </c>
      <c r="O1595" s="153" t="s">
        <v>339</v>
      </c>
      <c r="P1595" s="153" t="s">
        <v>1876</v>
      </c>
      <c r="Q1595" s="153" t="s">
        <v>421</v>
      </c>
      <c r="R1595" s="153" t="s">
        <v>407</v>
      </c>
      <c r="S1595" s="153" t="s">
        <v>1216</v>
      </c>
      <c r="T1595" s="154">
        <v>3.879</v>
      </c>
      <c r="U1595" s="153" t="s">
        <v>3226</v>
      </c>
      <c r="V1595" s="155">
        <v>5.0869999999999999E-2</v>
      </c>
      <c r="W1595" s="155">
        <v>4.3400000000000001E-2</v>
      </c>
      <c r="X1595" s="153" t="s">
        <v>412</v>
      </c>
      <c r="Y1595" s="153" t="s">
        <v>339</v>
      </c>
      <c r="Z1595" s="154">
        <v>380000</v>
      </c>
      <c r="AA1595" s="154">
        <v>3.71</v>
      </c>
      <c r="AB1595" s="154">
        <v>102.44199999999999</v>
      </c>
      <c r="AD1595" s="154">
        <v>1444.2239999999999</v>
      </c>
      <c r="AG1595" s="157" t="s">
        <v>15</v>
      </c>
      <c r="AH1595" s="155">
        <v>4.8000000000000001E-4</v>
      </c>
      <c r="AI1595" s="155">
        <f t="shared" si="24"/>
        <v>1.9545120670448838E-3</v>
      </c>
      <c r="AJ1595" s="155">
        <v>4.3194803314217415E-4</v>
      </c>
    </row>
    <row r="1596" spans="1:36" s="160" customFormat="1">
      <c r="A1596" s="153" t="s">
        <v>1213</v>
      </c>
      <c r="B1596" s="160">
        <v>9302</v>
      </c>
      <c r="C1596" s="153" t="s">
        <v>3241</v>
      </c>
      <c r="D1596" s="153" t="s">
        <v>3242</v>
      </c>
      <c r="E1596" s="153" t="s">
        <v>80</v>
      </c>
      <c r="F1596" s="153" t="s">
        <v>3243</v>
      </c>
      <c r="G1596" s="153" t="s">
        <v>3244</v>
      </c>
      <c r="H1596" s="153" t="s">
        <v>321</v>
      </c>
      <c r="I1596" s="153" t="s">
        <v>755</v>
      </c>
      <c r="J1596" s="153" t="s">
        <v>205</v>
      </c>
      <c r="K1596" s="153" t="s">
        <v>224</v>
      </c>
      <c r="L1596" s="153" t="s">
        <v>325</v>
      </c>
      <c r="M1596" s="153" t="s">
        <v>314</v>
      </c>
      <c r="N1596" s="153" t="s">
        <v>525</v>
      </c>
      <c r="O1596" s="153" t="s">
        <v>339</v>
      </c>
      <c r="P1596" s="153" t="s">
        <v>2779</v>
      </c>
      <c r="Q1596" s="153" t="s">
        <v>433</v>
      </c>
      <c r="R1596" s="153" t="s">
        <v>407</v>
      </c>
      <c r="S1596" s="153" t="s">
        <v>1216</v>
      </c>
      <c r="T1596" s="154">
        <v>4.907</v>
      </c>
      <c r="U1596" s="153" t="s">
        <v>3245</v>
      </c>
      <c r="V1596" s="155">
        <v>4.6580000000000003E-2</v>
      </c>
      <c r="W1596" s="155">
        <v>4.2130000000000001E-2</v>
      </c>
      <c r="X1596" s="153" t="s">
        <v>412</v>
      </c>
      <c r="Y1596" s="153" t="s">
        <v>339</v>
      </c>
      <c r="Z1596" s="154">
        <v>380000</v>
      </c>
      <c r="AA1596" s="154">
        <v>3.71</v>
      </c>
      <c r="AB1596" s="154">
        <f>(AD1596-(AC1596*AA1596))*1000/AA1596/Z1596*100</f>
        <v>97.465970350404305</v>
      </c>
      <c r="AC1596" s="154">
        <v>7.125</v>
      </c>
      <c r="AD1596" s="154">
        <v>1400.509</v>
      </c>
      <c r="AG1596" s="157" t="s">
        <v>15</v>
      </c>
      <c r="AH1596" s="155">
        <v>5.1000000000000004E-4</v>
      </c>
      <c r="AI1596" s="155">
        <f t="shared" si="24"/>
        <v>1.8953512339532949E-3</v>
      </c>
      <c r="AJ1596" s="155">
        <v>4.1887346280626358E-4</v>
      </c>
    </row>
    <row r="1597" spans="1:36" s="160" customFormat="1">
      <c r="A1597" s="153" t="s">
        <v>1213</v>
      </c>
      <c r="B1597" s="160">
        <v>9302</v>
      </c>
      <c r="C1597" s="153" t="s">
        <v>3166</v>
      </c>
      <c r="D1597" s="153" t="s">
        <v>3167</v>
      </c>
      <c r="E1597" s="153" t="s">
        <v>80</v>
      </c>
      <c r="F1597" s="153" t="s">
        <v>3168</v>
      </c>
      <c r="G1597" s="153" t="s">
        <v>3169</v>
      </c>
      <c r="H1597" s="153" t="s">
        <v>321</v>
      </c>
      <c r="I1597" s="153" t="s">
        <v>755</v>
      </c>
      <c r="J1597" s="153" t="s">
        <v>205</v>
      </c>
      <c r="K1597" s="153" t="s">
        <v>224</v>
      </c>
      <c r="L1597" s="153" t="s">
        <v>325</v>
      </c>
      <c r="M1597" s="153" t="s">
        <v>314</v>
      </c>
      <c r="N1597" s="153" t="s">
        <v>509</v>
      </c>
      <c r="O1597" s="153" t="s">
        <v>339</v>
      </c>
      <c r="P1597" s="153" t="s">
        <v>2779</v>
      </c>
      <c r="Q1597" s="153" t="s">
        <v>433</v>
      </c>
      <c r="R1597" s="153" t="s">
        <v>407</v>
      </c>
      <c r="S1597" s="153" t="s">
        <v>1216</v>
      </c>
      <c r="T1597" s="154">
        <v>4.875</v>
      </c>
      <c r="U1597" s="153" t="s">
        <v>3170</v>
      </c>
      <c r="V1597" s="155">
        <v>4.4589999999999998E-2</v>
      </c>
      <c r="W1597" s="155">
        <v>4.2259999999999999E-2</v>
      </c>
      <c r="X1597" s="153" t="s">
        <v>412</v>
      </c>
      <c r="Y1597" s="153" t="s">
        <v>339</v>
      </c>
      <c r="Z1597" s="154">
        <v>370000</v>
      </c>
      <c r="AA1597" s="154">
        <v>3.71</v>
      </c>
      <c r="AB1597" s="154">
        <v>101.521</v>
      </c>
      <c r="AD1597" s="154">
        <v>1393.575</v>
      </c>
      <c r="AG1597" s="157" t="s">
        <v>15</v>
      </c>
      <c r="AH1597" s="155">
        <v>4.8999999999999998E-4</v>
      </c>
      <c r="AI1597" s="155">
        <f t="shared" si="24"/>
        <v>1.8859672418074162E-3</v>
      </c>
      <c r="AJ1597" s="155">
        <v>4.1679959638262859E-4</v>
      </c>
    </row>
    <row r="1598" spans="1:36" s="160" customFormat="1">
      <c r="A1598" s="153" t="s">
        <v>1213</v>
      </c>
      <c r="B1598" s="160">
        <v>9302</v>
      </c>
      <c r="C1598" s="153" t="s">
        <v>3246</v>
      </c>
      <c r="D1598" s="153" t="s">
        <v>3247</v>
      </c>
      <c r="E1598" s="153" t="s">
        <v>80</v>
      </c>
      <c r="F1598" s="153" t="s">
        <v>3248</v>
      </c>
      <c r="G1598" s="153" t="s">
        <v>3249</v>
      </c>
      <c r="H1598" s="153" t="s">
        <v>321</v>
      </c>
      <c r="I1598" s="153" t="s">
        <v>755</v>
      </c>
      <c r="J1598" s="153" t="s">
        <v>205</v>
      </c>
      <c r="K1598" s="153" t="s">
        <v>224</v>
      </c>
      <c r="L1598" s="153" t="s">
        <v>325</v>
      </c>
      <c r="M1598" s="153" t="s">
        <v>314</v>
      </c>
      <c r="N1598" s="153" t="s">
        <v>544</v>
      </c>
      <c r="O1598" s="153" t="s">
        <v>339</v>
      </c>
      <c r="P1598" s="153" t="s">
        <v>2779</v>
      </c>
      <c r="Q1598" s="153" t="s">
        <v>433</v>
      </c>
      <c r="R1598" s="153" t="s">
        <v>407</v>
      </c>
      <c r="S1598" s="153" t="s">
        <v>1216</v>
      </c>
      <c r="T1598" s="154">
        <v>2.8929999999999998</v>
      </c>
      <c r="U1598" s="153" t="s">
        <v>3250</v>
      </c>
      <c r="V1598" s="155">
        <v>4.53E-2</v>
      </c>
      <c r="W1598" s="155">
        <v>4.1520000000000001E-2</v>
      </c>
      <c r="X1598" s="153" t="s">
        <v>412</v>
      </c>
      <c r="Y1598" s="153" t="s">
        <v>339</v>
      </c>
      <c r="Z1598" s="154">
        <v>380000</v>
      </c>
      <c r="AA1598" s="154">
        <v>3.71</v>
      </c>
      <c r="AB1598" s="154">
        <v>98.495999999999995</v>
      </c>
      <c r="AD1598" s="154">
        <v>1388.5930000000001</v>
      </c>
      <c r="AG1598" s="157" t="s">
        <v>15</v>
      </c>
      <c r="AH1598" s="155">
        <v>1.3999999999999999E-4</v>
      </c>
      <c r="AI1598" s="155">
        <f t="shared" si="24"/>
        <v>1.8792249503636945E-3</v>
      </c>
      <c r="AJ1598" s="155">
        <v>4.1530954698508759E-4</v>
      </c>
    </row>
    <row r="1599" spans="1:36" s="160" customFormat="1">
      <c r="A1599" s="153" t="s">
        <v>1213</v>
      </c>
      <c r="B1599" s="160">
        <v>9302</v>
      </c>
      <c r="C1599" s="153" t="s">
        <v>3251</v>
      </c>
      <c r="D1599" s="153" t="s">
        <v>3252</v>
      </c>
      <c r="E1599" s="153" t="s">
        <v>80</v>
      </c>
      <c r="F1599" s="153" t="s">
        <v>3253</v>
      </c>
      <c r="G1599" s="153" t="s">
        <v>3254</v>
      </c>
      <c r="H1599" s="153" t="s">
        <v>321</v>
      </c>
      <c r="I1599" s="153" t="s">
        <v>755</v>
      </c>
      <c r="J1599" s="153" t="s">
        <v>205</v>
      </c>
      <c r="K1599" s="153" t="s">
        <v>224</v>
      </c>
      <c r="L1599" s="153" t="s">
        <v>325</v>
      </c>
      <c r="M1599" s="153" t="s">
        <v>314</v>
      </c>
      <c r="N1599" s="153" t="s">
        <v>525</v>
      </c>
      <c r="O1599" s="153" t="s">
        <v>339</v>
      </c>
      <c r="P1599" s="153" t="s">
        <v>1876</v>
      </c>
      <c r="Q1599" s="153" t="s">
        <v>421</v>
      </c>
      <c r="R1599" s="153" t="s">
        <v>407</v>
      </c>
      <c r="S1599" s="153" t="s">
        <v>1216</v>
      </c>
      <c r="T1599" s="154">
        <v>5.0810000000000004</v>
      </c>
      <c r="U1599" s="153" t="s">
        <v>1865</v>
      </c>
      <c r="V1599" s="155">
        <v>4.1959999999999997E-2</v>
      </c>
      <c r="W1599" s="155">
        <v>4.1410000000000002E-2</v>
      </c>
      <c r="X1599" s="153" t="s">
        <v>412</v>
      </c>
      <c r="Y1599" s="153" t="s">
        <v>339</v>
      </c>
      <c r="Z1599" s="154">
        <v>380000</v>
      </c>
      <c r="AA1599" s="154">
        <v>3.71</v>
      </c>
      <c r="AB1599" s="154">
        <v>97.903000000000006</v>
      </c>
      <c r="AD1599" s="154">
        <v>1380.2360000000001</v>
      </c>
      <c r="AG1599" s="157" t="s">
        <v>15</v>
      </c>
      <c r="AH1599" s="155">
        <v>3.8000000000000002E-4</v>
      </c>
      <c r="AI1599" s="155">
        <f t="shared" si="24"/>
        <v>1.867915169232586E-3</v>
      </c>
      <c r="AJ1599" s="155">
        <v>4.1281008034212282E-4</v>
      </c>
    </row>
    <row r="1600" spans="1:36" s="160" customFormat="1">
      <c r="A1600" s="153" t="s">
        <v>1213</v>
      </c>
      <c r="B1600" s="160">
        <v>9302</v>
      </c>
      <c r="C1600" s="153" t="s">
        <v>3171</v>
      </c>
      <c r="D1600" s="153" t="s">
        <v>3172</v>
      </c>
      <c r="E1600" s="153" t="s">
        <v>80</v>
      </c>
      <c r="F1600" s="153" t="s">
        <v>3173</v>
      </c>
      <c r="G1600" s="153" t="s">
        <v>3174</v>
      </c>
      <c r="H1600" s="153" t="s">
        <v>321</v>
      </c>
      <c r="I1600" s="153" t="s">
        <v>755</v>
      </c>
      <c r="J1600" s="153" t="s">
        <v>205</v>
      </c>
      <c r="K1600" s="153" t="s">
        <v>224</v>
      </c>
      <c r="L1600" s="153" t="s">
        <v>325</v>
      </c>
      <c r="M1600" s="153" t="s">
        <v>314</v>
      </c>
      <c r="N1600" s="153" t="s">
        <v>550</v>
      </c>
      <c r="O1600" s="153" t="s">
        <v>339</v>
      </c>
      <c r="P1600" s="153" t="s">
        <v>2081</v>
      </c>
      <c r="Q1600" s="153" t="s">
        <v>433</v>
      </c>
      <c r="R1600" s="153" t="s">
        <v>407</v>
      </c>
      <c r="S1600" s="153" t="s">
        <v>1216</v>
      </c>
      <c r="T1600" s="154">
        <v>4.556</v>
      </c>
      <c r="U1600" s="153" t="s">
        <v>3175</v>
      </c>
      <c r="V1600" s="155">
        <v>4.4350000000000001E-2</v>
      </c>
      <c r="W1600" s="155">
        <v>4.3130000000000002E-2</v>
      </c>
      <c r="X1600" s="153" t="s">
        <v>412</v>
      </c>
      <c r="Y1600" s="153" t="s">
        <v>339</v>
      </c>
      <c r="Z1600" s="154">
        <v>370000</v>
      </c>
      <c r="AA1600" s="154">
        <v>3.71</v>
      </c>
      <c r="AB1600" s="154">
        <v>99.834000000000003</v>
      </c>
      <c r="AD1600" s="154">
        <v>1370.424</v>
      </c>
      <c r="AG1600" s="157" t="s">
        <v>15</v>
      </c>
      <c r="AH1600" s="155">
        <v>9.0000000000000006E-5</v>
      </c>
      <c r="AI1600" s="155">
        <f t="shared" si="24"/>
        <v>1.8546362925473596E-3</v>
      </c>
      <c r="AJ1600" s="155">
        <v>4.0987544270890868E-4</v>
      </c>
    </row>
    <row r="1601" spans="1:36" s="160" customFormat="1">
      <c r="A1601" s="153" t="s">
        <v>1213</v>
      </c>
      <c r="B1601" s="160">
        <v>9302</v>
      </c>
      <c r="C1601" s="153" t="s">
        <v>3153</v>
      </c>
      <c r="D1601" s="153" t="s">
        <v>3154</v>
      </c>
      <c r="E1601" s="153" t="s">
        <v>80</v>
      </c>
      <c r="F1601" s="153" t="s">
        <v>3155</v>
      </c>
      <c r="G1601" s="153" t="s">
        <v>3156</v>
      </c>
      <c r="H1601" s="153" t="s">
        <v>321</v>
      </c>
      <c r="I1601" s="153" t="s">
        <v>755</v>
      </c>
      <c r="J1601" s="153" t="s">
        <v>205</v>
      </c>
      <c r="K1601" s="153" t="s">
        <v>224</v>
      </c>
      <c r="L1601" s="153" t="s">
        <v>325</v>
      </c>
      <c r="M1601" s="153" t="s">
        <v>314</v>
      </c>
      <c r="N1601" s="153" t="s">
        <v>534</v>
      </c>
      <c r="O1601" s="153" t="s">
        <v>339</v>
      </c>
      <c r="P1601" s="153" t="s">
        <v>2056</v>
      </c>
      <c r="Q1601" s="153" t="s">
        <v>433</v>
      </c>
      <c r="R1601" s="153" t="s">
        <v>407</v>
      </c>
      <c r="S1601" s="153" t="s">
        <v>1216</v>
      </c>
      <c r="T1601" s="154">
        <v>3.0000000000000001E-3</v>
      </c>
      <c r="U1601" s="153" t="s">
        <v>3157</v>
      </c>
      <c r="V1601" s="155">
        <v>6.8760000000000002E-2</v>
      </c>
      <c r="W1601" s="155">
        <v>-0.17002</v>
      </c>
      <c r="X1601" s="153" t="s">
        <v>412</v>
      </c>
      <c r="Y1601" s="153" t="s">
        <v>339</v>
      </c>
      <c r="Z1601" s="154">
        <v>360000</v>
      </c>
      <c r="AA1601" s="154">
        <v>3.71</v>
      </c>
      <c r="AB1601" s="154">
        <v>99.822000000000003</v>
      </c>
      <c r="AD1601" s="154">
        <v>1333.2270000000001</v>
      </c>
      <c r="AG1601" s="157" t="s">
        <v>15</v>
      </c>
      <c r="AH1601" s="155">
        <v>5.1000000000000004E-4</v>
      </c>
      <c r="AI1601" s="155">
        <f t="shared" si="24"/>
        <v>1.8042964662061075E-3</v>
      </c>
      <c r="AJ1601" s="155">
        <v>3.9875031877467865E-4</v>
      </c>
    </row>
    <row r="1602" spans="1:36" s="160" customFormat="1">
      <c r="A1602" s="153" t="s">
        <v>1213</v>
      </c>
      <c r="B1602" s="160">
        <v>9302</v>
      </c>
      <c r="C1602" s="153" t="s">
        <v>3255</v>
      </c>
      <c r="D1602" s="153" t="s">
        <v>3256</v>
      </c>
      <c r="E1602" s="153" t="s">
        <v>80</v>
      </c>
      <c r="F1602" s="153" t="s">
        <v>3257</v>
      </c>
      <c r="G1602" s="153" t="s">
        <v>3258</v>
      </c>
      <c r="H1602" s="153" t="s">
        <v>321</v>
      </c>
      <c r="I1602" s="153" t="s">
        <v>755</v>
      </c>
      <c r="J1602" s="153" t="s">
        <v>205</v>
      </c>
      <c r="K1602" s="153" t="s">
        <v>224</v>
      </c>
      <c r="L1602" s="153" t="s">
        <v>325</v>
      </c>
      <c r="M1602" s="153" t="s">
        <v>314</v>
      </c>
      <c r="N1602" s="153" t="s">
        <v>521</v>
      </c>
      <c r="O1602" s="153" t="s">
        <v>339</v>
      </c>
      <c r="P1602" s="153" t="s">
        <v>2081</v>
      </c>
      <c r="Q1602" s="153" t="s">
        <v>433</v>
      </c>
      <c r="R1602" s="153" t="s">
        <v>407</v>
      </c>
      <c r="S1602" s="153" t="s">
        <v>1216</v>
      </c>
      <c r="T1602" s="154">
        <v>4.9649999999999999</v>
      </c>
      <c r="U1602" s="153" t="s">
        <v>3259</v>
      </c>
      <c r="V1602" s="155">
        <v>4.6699999999999998E-2</v>
      </c>
      <c r="W1602" s="155">
        <v>4.2709999999999998E-2</v>
      </c>
      <c r="X1602" s="153" t="s">
        <v>412</v>
      </c>
      <c r="Y1602" s="153" t="s">
        <v>339</v>
      </c>
      <c r="Z1602" s="154">
        <v>380000</v>
      </c>
      <c r="AA1602" s="154">
        <v>3.71</v>
      </c>
      <c r="AB1602" s="154">
        <f>(AD1602-(AC1602*AA1602))*1000/AA1602/Z1602*100</f>
        <v>92.314512696836431</v>
      </c>
      <c r="AD1602" s="154">
        <v>1301.45</v>
      </c>
      <c r="AG1602" s="157" t="s">
        <v>15</v>
      </c>
      <c r="AH1602" s="155">
        <v>4.0000000000000002E-4</v>
      </c>
      <c r="AI1602" s="155">
        <f t="shared" si="24"/>
        <v>1.7612916899702291E-3</v>
      </c>
      <c r="AJ1602" s="155">
        <v>3.8924624416495127E-4</v>
      </c>
    </row>
    <row r="1603" spans="1:36" s="160" customFormat="1">
      <c r="A1603" s="153" t="s">
        <v>1213</v>
      </c>
      <c r="B1603" s="160">
        <v>9302</v>
      </c>
      <c r="C1603" s="153" t="s">
        <v>1872</v>
      </c>
      <c r="D1603" s="153" t="s">
        <v>1873</v>
      </c>
      <c r="E1603" s="153" t="s">
        <v>80</v>
      </c>
      <c r="F1603" s="153" t="s">
        <v>3163</v>
      </c>
      <c r="G1603" s="153" t="s">
        <v>3164</v>
      </c>
      <c r="H1603" s="153" t="s">
        <v>321</v>
      </c>
      <c r="I1603" s="153" t="s">
        <v>755</v>
      </c>
      <c r="J1603" s="153" t="s">
        <v>205</v>
      </c>
      <c r="K1603" s="153" t="s">
        <v>224</v>
      </c>
      <c r="L1603" s="153" t="s">
        <v>325</v>
      </c>
      <c r="M1603" s="153" t="s">
        <v>314</v>
      </c>
      <c r="N1603" s="153" t="s">
        <v>534</v>
      </c>
      <c r="O1603" s="153" t="s">
        <v>339</v>
      </c>
      <c r="P1603" s="153" t="s">
        <v>1876</v>
      </c>
      <c r="Q1603" s="153" t="s">
        <v>433</v>
      </c>
      <c r="R1603" s="153" t="s">
        <v>407</v>
      </c>
      <c r="S1603" s="153" t="s">
        <v>1216</v>
      </c>
      <c r="T1603" s="154">
        <v>2.5760000000000001</v>
      </c>
      <c r="U1603" s="153" t="s">
        <v>3165</v>
      </c>
      <c r="V1603" s="155">
        <v>6.7309999999999995E-2</v>
      </c>
      <c r="W1603" s="155">
        <v>4.5370000000000001E-2</v>
      </c>
      <c r="X1603" s="153" t="s">
        <v>412</v>
      </c>
      <c r="Y1603" s="153" t="s">
        <v>339</v>
      </c>
      <c r="Z1603" s="154">
        <v>350000</v>
      </c>
      <c r="AA1603" s="154">
        <v>3.71</v>
      </c>
      <c r="AB1603" s="154">
        <v>94.784999999999997</v>
      </c>
      <c r="AD1603" s="154">
        <v>1230.7850000000001</v>
      </c>
      <c r="AG1603" s="157" t="s">
        <v>15</v>
      </c>
      <c r="AH1603" s="155">
        <v>4.6999999999999999E-4</v>
      </c>
      <c r="AI1603" s="155">
        <f t="shared" ref="AI1603:AI1666" si="25">AD1603/SUMIF(B:B,B1603,AD:AD)</f>
        <v>1.6656586058934331E-3</v>
      </c>
      <c r="AJ1603" s="155">
        <v>3.6811129019521271E-4</v>
      </c>
    </row>
    <row r="1604" spans="1:36" s="160" customFormat="1">
      <c r="A1604" s="153" t="s">
        <v>1213</v>
      </c>
      <c r="B1604" s="160">
        <v>9302</v>
      </c>
      <c r="C1604" s="153" t="s">
        <v>3140</v>
      </c>
      <c r="D1604" s="153" t="s">
        <v>3141</v>
      </c>
      <c r="E1604" s="153" t="s">
        <v>80</v>
      </c>
      <c r="F1604" s="153" t="s">
        <v>3142</v>
      </c>
      <c r="G1604" s="153" t="s">
        <v>3143</v>
      </c>
      <c r="H1604" s="153" t="s">
        <v>321</v>
      </c>
      <c r="I1604" s="153" t="s">
        <v>755</v>
      </c>
      <c r="J1604" s="153" t="s">
        <v>205</v>
      </c>
      <c r="K1604" s="153" t="s">
        <v>224</v>
      </c>
      <c r="L1604" s="153" t="s">
        <v>325</v>
      </c>
      <c r="M1604" s="153" t="s">
        <v>314</v>
      </c>
      <c r="N1604" s="153" t="s">
        <v>521</v>
      </c>
      <c r="O1604" s="153" t="s">
        <v>339</v>
      </c>
      <c r="P1604" s="153" t="s">
        <v>2779</v>
      </c>
      <c r="Q1604" s="153" t="s">
        <v>433</v>
      </c>
      <c r="R1604" s="153" t="s">
        <v>407</v>
      </c>
      <c r="S1604" s="153" t="s">
        <v>1216</v>
      </c>
      <c r="T1604" s="154">
        <v>6.3220000000000001</v>
      </c>
      <c r="U1604" s="153" t="s">
        <v>3144</v>
      </c>
      <c r="V1604" s="155">
        <v>6.7449999999999996E-2</v>
      </c>
      <c r="W1604" s="155">
        <v>4.7579999999999997E-2</v>
      </c>
      <c r="X1604" s="153" t="s">
        <v>412</v>
      </c>
      <c r="Y1604" s="153" t="s">
        <v>339</v>
      </c>
      <c r="Z1604" s="154">
        <v>355000</v>
      </c>
      <c r="AA1604" s="154">
        <v>3.71</v>
      </c>
      <c r="AB1604" s="154">
        <v>90.686000000000007</v>
      </c>
      <c r="AD1604" s="154">
        <v>1194.383</v>
      </c>
      <c r="AG1604" s="157" t="s">
        <v>15</v>
      </c>
      <c r="AH1604" s="155">
        <v>4.6999999999999999E-4</v>
      </c>
      <c r="AI1604" s="155">
        <f t="shared" si="25"/>
        <v>1.6163946771229876E-3</v>
      </c>
      <c r="AJ1604" s="155">
        <v>3.572239401010158E-4</v>
      </c>
    </row>
    <row r="1605" spans="1:36" s="160" customFormat="1">
      <c r="A1605" s="153" t="s">
        <v>1213</v>
      </c>
      <c r="B1605" s="160">
        <v>9302</v>
      </c>
      <c r="C1605" s="153" t="s">
        <v>2066</v>
      </c>
      <c r="D1605" s="153" t="s">
        <v>2067</v>
      </c>
      <c r="E1605" s="153" t="s">
        <v>80</v>
      </c>
      <c r="F1605" s="153" t="s">
        <v>2068</v>
      </c>
      <c r="G1605" s="153" t="s">
        <v>2069</v>
      </c>
      <c r="H1605" s="153" t="s">
        <v>321</v>
      </c>
      <c r="I1605" s="153" t="s">
        <v>755</v>
      </c>
      <c r="J1605" s="153" t="s">
        <v>205</v>
      </c>
      <c r="K1605" s="153" t="s">
        <v>233</v>
      </c>
      <c r="L1605" s="153" t="s">
        <v>325</v>
      </c>
      <c r="M1605" s="153" t="s">
        <v>314</v>
      </c>
      <c r="N1605" s="153" t="s">
        <v>486</v>
      </c>
      <c r="O1605" s="153" t="s">
        <v>339</v>
      </c>
      <c r="P1605" s="153" t="s">
        <v>2070</v>
      </c>
      <c r="Q1605" s="153" t="s">
        <v>431</v>
      </c>
      <c r="R1605" s="153" t="s">
        <v>407</v>
      </c>
      <c r="S1605" s="153" t="s">
        <v>1216</v>
      </c>
      <c r="T1605" s="154">
        <v>0.73899999999999999</v>
      </c>
      <c r="U1605" s="153" t="s">
        <v>2071</v>
      </c>
      <c r="V1605" s="155">
        <v>0.09</v>
      </c>
      <c r="W1605" s="155">
        <v>6.2449999999999999E-2</v>
      </c>
      <c r="X1605" s="153" t="s">
        <v>412</v>
      </c>
      <c r="Y1605" s="153" t="s">
        <v>339</v>
      </c>
      <c r="Z1605" s="154">
        <v>310000</v>
      </c>
      <c r="AA1605" s="154">
        <v>3.71</v>
      </c>
      <c r="AB1605" s="154">
        <v>102.819</v>
      </c>
      <c r="AD1605" s="154">
        <v>1182.521</v>
      </c>
      <c r="AG1605" s="157" t="s">
        <v>15</v>
      </c>
      <c r="AH1605" s="155">
        <v>5.0000000000000001E-4</v>
      </c>
      <c r="AI1605" s="155">
        <f t="shared" si="25"/>
        <v>1.6003414733683854E-3</v>
      </c>
      <c r="AJ1605" s="155">
        <v>3.5367617495576654E-4</v>
      </c>
    </row>
    <row r="1606" spans="1:36" s="160" customFormat="1">
      <c r="A1606" s="153" t="s">
        <v>1213</v>
      </c>
      <c r="B1606" s="160">
        <v>9302</v>
      </c>
      <c r="C1606" s="153" t="s">
        <v>3176</v>
      </c>
      <c r="D1606" s="153" t="s">
        <v>3177</v>
      </c>
      <c r="E1606" s="153" t="s">
        <v>80</v>
      </c>
      <c r="F1606" s="153" t="s">
        <v>3178</v>
      </c>
      <c r="G1606" s="153" t="s">
        <v>3179</v>
      </c>
      <c r="H1606" s="153" t="s">
        <v>321</v>
      </c>
      <c r="I1606" s="153" t="s">
        <v>755</v>
      </c>
      <c r="J1606" s="153" t="s">
        <v>205</v>
      </c>
      <c r="K1606" s="153" t="s">
        <v>224</v>
      </c>
      <c r="L1606" s="153" t="s">
        <v>325</v>
      </c>
      <c r="M1606" s="153" t="s">
        <v>314</v>
      </c>
      <c r="N1606" s="153" t="s">
        <v>488</v>
      </c>
      <c r="O1606" s="153" t="s">
        <v>339</v>
      </c>
      <c r="P1606" s="153" t="s">
        <v>2779</v>
      </c>
      <c r="Q1606" s="153" t="s">
        <v>433</v>
      </c>
      <c r="R1606" s="153" t="s">
        <v>407</v>
      </c>
      <c r="S1606" s="153" t="s">
        <v>1216</v>
      </c>
      <c r="T1606" s="154">
        <v>5.92</v>
      </c>
      <c r="U1606" s="153" t="s">
        <v>3180</v>
      </c>
      <c r="V1606" s="155">
        <v>6.166E-2</v>
      </c>
      <c r="W1606" s="155">
        <v>5.2850000000000001E-2</v>
      </c>
      <c r="X1606" s="153" t="s">
        <v>412</v>
      </c>
      <c r="Y1606" s="153" t="s">
        <v>339</v>
      </c>
      <c r="Z1606" s="154">
        <v>270000</v>
      </c>
      <c r="AA1606" s="154">
        <v>3.71</v>
      </c>
      <c r="AB1606" s="154">
        <v>115.922</v>
      </c>
      <c r="AD1606" s="154">
        <v>1161.193</v>
      </c>
      <c r="AG1606" s="157" t="s">
        <v>15</v>
      </c>
      <c r="AH1606" s="155">
        <v>4.4999999999999999E-4</v>
      </c>
      <c r="AI1606" s="155">
        <f t="shared" si="25"/>
        <v>1.5714776452046564E-3</v>
      </c>
      <c r="AJ1606" s="155">
        <v>3.4729725613787105E-4</v>
      </c>
    </row>
    <row r="1607" spans="1:36" s="160" customFormat="1">
      <c r="A1607" s="153" t="s">
        <v>1213</v>
      </c>
      <c r="B1607" s="160">
        <v>9302</v>
      </c>
      <c r="C1607" s="153" t="s">
        <v>3158</v>
      </c>
      <c r="D1607" s="153" t="s">
        <v>3159</v>
      </c>
      <c r="E1607" s="153" t="s">
        <v>80</v>
      </c>
      <c r="F1607" s="153" t="s">
        <v>3201</v>
      </c>
      <c r="G1607" s="153" t="s">
        <v>3202</v>
      </c>
      <c r="H1607" s="153" t="s">
        <v>321</v>
      </c>
      <c r="I1607" s="153" t="s">
        <v>755</v>
      </c>
      <c r="J1607" s="153" t="s">
        <v>205</v>
      </c>
      <c r="K1607" s="153" t="s">
        <v>293</v>
      </c>
      <c r="L1607" s="153" t="s">
        <v>325</v>
      </c>
      <c r="M1607" s="153" t="s">
        <v>314</v>
      </c>
      <c r="N1607" s="153" t="s">
        <v>568</v>
      </c>
      <c r="O1607" s="153" t="s">
        <v>339</v>
      </c>
      <c r="P1607" s="153" t="s">
        <v>2070</v>
      </c>
      <c r="Q1607" s="153" t="s">
        <v>431</v>
      </c>
      <c r="R1607" s="153" t="s">
        <v>407</v>
      </c>
      <c r="S1607" s="153" t="s">
        <v>1218</v>
      </c>
      <c r="T1607" s="154">
        <v>0.88500000000000001</v>
      </c>
      <c r="U1607" s="153" t="s">
        <v>3203</v>
      </c>
      <c r="V1607" s="155">
        <v>4.2500000000000003E-2</v>
      </c>
      <c r="W1607" s="155">
        <v>6.7129999999999995E-2</v>
      </c>
      <c r="X1607" s="153" t="s">
        <v>412</v>
      </c>
      <c r="Y1607" s="153" t="s">
        <v>339</v>
      </c>
      <c r="Z1607" s="154">
        <v>275000</v>
      </c>
      <c r="AA1607" s="154">
        <v>4.1524000000000001</v>
      </c>
      <c r="AB1607" s="154">
        <v>97.453999999999994</v>
      </c>
      <c r="AD1607" s="154">
        <v>1112.8399999999999</v>
      </c>
      <c r="AG1607" s="157" t="s">
        <v>15</v>
      </c>
      <c r="AH1607" s="155">
        <v>2.14E-3</v>
      </c>
      <c r="AI1607" s="155">
        <f t="shared" si="25"/>
        <v>1.5060400662848896E-3</v>
      </c>
      <c r="AJ1607" s="155">
        <v>3.3283552219180479E-4</v>
      </c>
    </row>
    <row r="1608" spans="1:36" s="160" customFormat="1">
      <c r="A1608" s="153" t="s">
        <v>1213</v>
      </c>
      <c r="B1608" s="160">
        <v>9302</v>
      </c>
      <c r="C1608" s="153" t="s">
        <v>3185</v>
      </c>
      <c r="D1608" s="153" t="s">
        <v>3186</v>
      </c>
      <c r="E1608" s="153" t="s">
        <v>80</v>
      </c>
      <c r="F1608" s="153" t="s">
        <v>3187</v>
      </c>
      <c r="G1608" s="153" t="s">
        <v>3188</v>
      </c>
      <c r="H1608" s="153" t="s">
        <v>321</v>
      </c>
      <c r="I1608" s="153" t="s">
        <v>755</v>
      </c>
      <c r="J1608" s="153" t="s">
        <v>205</v>
      </c>
      <c r="K1608" s="153" t="s">
        <v>224</v>
      </c>
      <c r="L1608" s="153" t="s">
        <v>325</v>
      </c>
      <c r="M1608" s="153" t="s">
        <v>314</v>
      </c>
      <c r="N1608" s="153" t="s">
        <v>556</v>
      </c>
      <c r="O1608" s="153" t="s">
        <v>339</v>
      </c>
      <c r="P1608" s="153" t="s">
        <v>2779</v>
      </c>
      <c r="Q1608" s="153" t="s">
        <v>433</v>
      </c>
      <c r="R1608" s="153" t="s">
        <v>407</v>
      </c>
      <c r="S1608" s="153" t="s">
        <v>1216</v>
      </c>
      <c r="T1608" s="154">
        <v>3.1469999999999998</v>
      </c>
      <c r="U1608" s="153" t="s">
        <v>3189</v>
      </c>
      <c r="V1608" s="155">
        <v>4.8349999999999997E-2</v>
      </c>
      <c r="W1608" s="155">
        <v>4.351E-2</v>
      </c>
      <c r="X1608" s="153" t="s">
        <v>412</v>
      </c>
      <c r="Y1608" s="153" t="s">
        <v>339</v>
      </c>
      <c r="Z1608" s="154">
        <v>280000</v>
      </c>
      <c r="AA1608" s="154">
        <v>3.71</v>
      </c>
      <c r="AB1608" s="154">
        <v>106.136</v>
      </c>
      <c r="AD1608" s="154">
        <v>1102.539</v>
      </c>
      <c r="AG1608" s="157" t="s">
        <v>15</v>
      </c>
      <c r="AH1608" s="155">
        <v>2.7999999999999998E-4</v>
      </c>
      <c r="AI1608" s="155">
        <f t="shared" si="25"/>
        <v>1.4920994110938462E-3</v>
      </c>
      <c r="AJ1608" s="155">
        <v>3.2975463121547597E-4</v>
      </c>
    </row>
    <row r="1609" spans="1:36" s="160" customFormat="1">
      <c r="A1609" s="153" t="s">
        <v>1213</v>
      </c>
      <c r="B1609" s="160">
        <v>9302</v>
      </c>
      <c r="C1609" s="153" t="s">
        <v>3214</v>
      </c>
      <c r="D1609" s="153" t="s">
        <v>3215</v>
      </c>
      <c r="E1609" s="153" t="s">
        <v>80</v>
      </c>
      <c r="F1609" s="153" t="s">
        <v>3216</v>
      </c>
      <c r="G1609" s="153" t="s">
        <v>3217</v>
      </c>
      <c r="H1609" s="153" t="s">
        <v>321</v>
      </c>
      <c r="I1609" s="153" t="s">
        <v>755</v>
      </c>
      <c r="J1609" s="153" t="s">
        <v>205</v>
      </c>
      <c r="K1609" s="153" t="s">
        <v>224</v>
      </c>
      <c r="L1609" s="153" t="s">
        <v>325</v>
      </c>
      <c r="M1609" s="153" t="s">
        <v>314</v>
      </c>
      <c r="N1609" s="153" t="s">
        <v>521</v>
      </c>
      <c r="O1609" s="153" t="s">
        <v>339</v>
      </c>
      <c r="P1609" s="153" t="s">
        <v>2779</v>
      </c>
      <c r="Q1609" s="153" t="s">
        <v>433</v>
      </c>
      <c r="R1609" s="153" t="s">
        <v>407</v>
      </c>
      <c r="S1609" s="153" t="s">
        <v>1216</v>
      </c>
      <c r="T1609" s="154">
        <v>3.2810000000000001</v>
      </c>
      <c r="U1609" s="153" t="s">
        <v>3218</v>
      </c>
      <c r="V1609" s="155">
        <v>4.6780000000000002E-2</v>
      </c>
      <c r="W1609" s="155">
        <v>4.5319999999999999E-2</v>
      </c>
      <c r="X1609" s="153" t="s">
        <v>412</v>
      </c>
      <c r="Y1609" s="153" t="s">
        <v>339</v>
      </c>
      <c r="Z1609" s="154">
        <v>275000</v>
      </c>
      <c r="AA1609" s="154">
        <v>3.71</v>
      </c>
      <c r="AB1609" s="154">
        <v>103.27200000000001</v>
      </c>
      <c r="AD1609" s="154">
        <v>1053.6300000000001</v>
      </c>
      <c r="AG1609" s="157" t="s">
        <v>15</v>
      </c>
      <c r="AH1609" s="155">
        <v>5.5000000000000003E-4</v>
      </c>
      <c r="AI1609" s="155">
        <f t="shared" si="25"/>
        <v>1.425909380539654E-3</v>
      </c>
      <c r="AJ1609" s="155">
        <v>3.1512660512468223E-4</v>
      </c>
    </row>
    <row r="1610" spans="1:36" s="160" customFormat="1">
      <c r="A1610" s="153" t="s">
        <v>1213</v>
      </c>
      <c r="B1610" s="160">
        <v>9302</v>
      </c>
      <c r="C1610" s="153" t="s">
        <v>3191</v>
      </c>
      <c r="D1610" s="153" t="s">
        <v>3192</v>
      </c>
      <c r="E1610" s="153" t="s">
        <v>80</v>
      </c>
      <c r="F1610" s="153" t="s">
        <v>3193</v>
      </c>
      <c r="G1610" s="153" t="s">
        <v>3194</v>
      </c>
      <c r="H1610" s="153" t="s">
        <v>321</v>
      </c>
      <c r="I1610" s="153" t="s">
        <v>755</v>
      </c>
      <c r="J1610" s="153" t="s">
        <v>205</v>
      </c>
      <c r="K1610" s="153" t="s">
        <v>245</v>
      </c>
      <c r="L1610" s="153" t="s">
        <v>325</v>
      </c>
      <c r="M1610" s="153" t="s">
        <v>364</v>
      </c>
      <c r="N1610" s="153" t="s">
        <v>568</v>
      </c>
      <c r="O1610" s="153" t="s">
        <v>339</v>
      </c>
      <c r="P1610" s="153" t="s">
        <v>2661</v>
      </c>
      <c r="Q1610" s="153" t="s">
        <v>431</v>
      </c>
      <c r="R1610" s="153" t="s">
        <v>407</v>
      </c>
      <c r="S1610" s="153" t="s">
        <v>1218</v>
      </c>
      <c r="T1610" s="154">
        <v>3.2010000000000001</v>
      </c>
      <c r="U1610" s="153" t="s">
        <v>3195</v>
      </c>
      <c r="V1610" s="155">
        <v>3.687E-2</v>
      </c>
      <c r="W1610" s="155">
        <v>4.095E-2</v>
      </c>
      <c r="X1610" s="153" t="s">
        <v>412</v>
      </c>
      <c r="Y1610" s="153" t="s">
        <v>339</v>
      </c>
      <c r="Z1610" s="154">
        <v>275000</v>
      </c>
      <c r="AA1610" s="154">
        <v>4.1524000000000001</v>
      </c>
      <c r="AB1610" s="154">
        <v>92.247</v>
      </c>
      <c r="AD1610" s="154">
        <v>1053.375</v>
      </c>
      <c r="AG1610" s="157" t="s">
        <v>15</v>
      </c>
      <c r="AH1610" s="155">
        <v>8.0000000000000004E-4</v>
      </c>
      <c r="AI1610" s="155">
        <f t="shared" si="25"/>
        <v>1.425564281318829E-3</v>
      </c>
      <c r="AJ1610" s="155">
        <v>3.1505033804391685E-4</v>
      </c>
    </row>
    <row r="1611" spans="1:36" s="160" customFormat="1">
      <c r="A1611" s="153" t="s">
        <v>1213</v>
      </c>
      <c r="B1611" s="160">
        <v>9302</v>
      </c>
      <c r="C1611" s="153" t="s">
        <v>3214</v>
      </c>
      <c r="D1611" s="153" t="s">
        <v>3215</v>
      </c>
      <c r="E1611" s="153" t="s">
        <v>80</v>
      </c>
      <c r="F1611" s="153" t="s">
        <v>3219</v>
      </c>
      <c r="G1611" s="153" t="s">
        <v>3220</v>
      </c>
      <c r="H1611" s="153" t="s">
        <v>321</v>
      </c>
      <c r="I1611" s="153" t="s">
        <v>755</v>
      </c>
      <c r="J1611" s="153" t="s">
        <v>205</v>
      </c>
      <c r="K1611" s="153" t="s">
        <v>224</v>
      </c>
      <c r="L1611" s="153" t="s">
        <v>325</v>
      </c>
      <c r="M1611" s="153" t="s">
        <v>314</v>
      </c>
      <c r="N1611" s="153" t="s">
        <v>521</v>
      </c>
      <c r="O1611" s="153" t="s">
        <v>339</v>
      </c>
      <c r="P1611" s="153" t="s">
        <v>2779</v>
      </c>
      <c r="Q1611" s="153" t="s">
        <v>433</v>
      </c>
      <c r="R1611" s="153" t="s">
        <v>407</v>
      </c>
      <c r="S1611" s="153" t="s">
        <v>1216</v>
      </c>
      <c r="T1611" s="154">
        <v>6.6790000000000003</v>
      </c>
      <c r="U1611" s="153" t="s">
        <v>3221</v>
      </c>
      <c r="V1611" s="155">
        <v>5.185E-2</v>
      </c>
      <c r="W1611" s="155">
        <v>5.1569999999999998E-2</v>
      </c>
      <c r="X1611" s="153" t="s">
        <v>412</v>
      </c>
      <c r="Y1611" s="153" t="s">
        <v>339</v>
      </c>
      <c r="Z1611" s="154">
        <v>275000</v>
      </c>
      <c r="AA1611" s="154">
        <v>3.71</v>
      </c>
      <c r="AB1611" s="154">
        <v>103.003</v>
      </c>
      <c r="AD1611" s="154">
        <v>1050.886</v>
      </c>
      <c r="AG1611" s="157" t="s">
        <v>15</v>
      </c>
      <c r="AH1611" s="155">
        <v>2.7999999999999998E-4</v>
      </c>
      <c r="AI1611" s="155">
        <f t="shared" si="25"/>
        <v>1.4221958422575235E-3</v>
      </c>
      <c r="AJ1611" s="155">
        <v>3.1430591151832877E-4</v>
      </c>
    </row>
    <row r="1612" spans="1:36" s="160" customFormat="1">
      <c r="A1612" s="153" t="s">
        <v>1213</v>
      </c>
      <c r="B1612" s="160">
        <v>9302</v>
      </c>
      <c r="C1612" s="153" t="s">
        <v>3231</v>
      </c>
      <c r="D1612" s="153" t="s">
        <v>3232</v>
      </c>
      <c r="E1612" s="153" t="s">
        <v>80</v>
      </c>
      <c r="F1612" s="153" t="s">
        <v>3233</v>
      </c>
      <c r="G1612" s="153" t="s">
        <v>3234</v>
      </c>
      <c r="H1612" s="153" t="s">
        <v>321</v>
      </c>
      <c r="I1612" s="153" t="s">
        <v>755</v>
      </c>
      <c r="J1612" s="153" t="s">
        <v>205</v>
      </c>
      <c r="K1612" s="153" t="s">
        <v>224</v>
      </c>
      <c r="L1612" s="153" t="s">
        <v>325</v>
      </c>
      <c r="M1612" s="153" t="s">
        <v>314</v>
      </c>
      <c r="N1612" s="153" t="s">
        <v>548</v>
      </c>
      <c r="O1612" s="153" t="s">
        <v>339</v>
      </c>
      <c r="P1612" s="153" t="s">
        <v>2081</v>
      </c>
      <c r="Q1612" s="153" t="s">
        <v>433</v>
      </c>
      <c r="R1612" s="153" t="s">
        <v>407</v>
      </c>
      <c r="S1612" s="153" t="s">
        <v>1216</v>
      </c>
      <c r="T1612" s="154">
        <v>1.2909999999999999</v>
      </c>
      <c r="U1612" s="153" t="s">
        <v>3235</v>
      </c>
      <c r="V1612" s="155">
        <v>5.3629999999999997E-2</v>
      </c>
      <c r="W1612" s="155">
        <v>4.4389999999999999E-2</v>
      </c>
      <c r="X1612" s="153" t="s">
        <v>412</v>
      </c>
      <c r="Y1612" s="153" t="s">
        <v>339</v>
      </c>
      <c r="Z1612" s="154">
        <v>275000</v>
      </c>
      <c r="AA1612" s="154">
        <v>3.71</v>
      </c>
      <c r="AB1612" s="154">
        <v>101.11</v>
      </c>
      <c r="AD1612" s="154">
        <v>1031.576</v>
      </c>
      <c r="AG1612" s="157" t="s">
        <v>15</v>
      </c>
      <c r="AH1612" s="155">
        <v>1.8000000000000001E-4</v>
      </c>
      <c r="AI1612" s="155">
        <f t="shared" si="25"/>
        <v>1.3960630345942824E-3</v>
      </c>
      <c r="AJ1612" s="155">
        <v>3.085305494415489E-4</v>
      </c>
    </row>
    <row r="1613" spans="1:36" s="160" customFormat="1">
      <c r="A1613" s="153" t="s">
        <v>1213</v>
      </c>
      <c r="B1613" s="160">
        <v>9302</v>
      </c>
      <c r="C1613" s="153" t="s">
        <v>3236</v>
      </c>
      <c r="D1613" s="153" t="s">
        <v>3237</v>
      </c>
      <c r="E1613" s="153" t="s">
        <v>80</v>
      </c>
      <c r="F1613" s="153" t="s">
        <v>3238</v>
      </c>
      <c r="G1613" s="153" t="s">
        <v>3239</v>
      </c>
      <c r="H1613" s="153" t="s">
        <v>321</v>
      </c>
      <c r="I1613" s="153" t="s">
        <v>755</v>
      </c>
      <c r="J1613" s="153" t="s">
        <v>205</v>
      </c>
      <c r="K1613" s="153" t="s">
        <v>224</v>
      </c>
      <c r="L1613" s="153" t="s">
        <v>325</v>
      </c>
      <c r="M1613" s="153" t="s">
        <v>314</v>
      </c>
      <c r="N1613" s="153" t="s">
        <v>545</v>
      </c>
      <c r="O1613" s="153" t="s">
        <v>339</v>
      </c>
      <c r="P1613" s="153" t="s">
        <v>3111</v>
      </c>
      <c r="Q1613" s="153" t="s">
        <v>433</v>
      </c>
      <c r="R1613" s="153" t="s">
        <v>407</v>
      </c>
      <c r="S1613" s="153" t="s">
        <v>1216</v>
      </c>
      <c r="T1613" s="154">
        <v>0.46800000000000003</v>
      </c>
      <c r="U1613" s="153" t="s">
        <v>3240</v>
      </c>
      <c r="V1613" s="155">
        <v>5.6340000000000001E-2</v>
      </c>
      <c r="W1613" s="155">
        <v>4.5859999999999998E-2</v>
      </c>
      <c r="X1613" s="153" t="s">
        <v>412</v>
      </c>
      <c r="Y1613" s="153" t="s">
        <v>339</v>
      </c>
      <c r="Z1613" s="154">
        <v>275000</v>
      </c>
      <c r="AA1613" s="154">
        <v>3.71</v>
      </c>
      <c r="AB1613" s="154">
        <v>99.426000000000002</v>
      </c>
      <c r="AD1613" s="154">
        <v>1014.3920000000001</v>
      </c>
      <c r="AG1613" s="157" t="s">
        <v>15</v>
      </c>
      <c r="AH1613" s="155">
        <v>1.6000000000000001E-4</v>
      </c>
      <c r="AI1613" s="155">
        <f t="shared" si="25"/>
        <v>1.3728074071015256E-3</v>
      </c>
      <c r="AJ1613" s="155">
        <v>3.0339104545773813E-4</v>
      </c>
    </row>
    <row r="1614" spans="1:36" s="160" customFormat="1">
      <c r="A1614" s="153" t="s">
        <v>1213</v>
      </c>
      <c r="B1614" s="160">
        <v>9302</v>
      </c>
      <c r="C1614" s="153" t="s">
        <v>3196</v>
      </c>
      <c r="D1614" s="153" t="s">
        <v>3197</v>
      </c>
      <c r="E1614" s="153" t="s">
        <v>80</v>
      </c>
      <c r="F1614" s="153" t="s">
        <v>3198</v>
      </c>
      <c r="G1614" s="153" t="s">
        <v>3199</v>
      </c>
      <c r="H1614" s="153" t="s">
        <v>321</v>
      </c>
      <c r="I1614" s="153" t="s">
        <v>755</v>
      </c>
      <c r="J1614" s="153" t="s">
        <v>205</v>
      </c>
      <c r="K1614" s="153" t="s">
        <v>224</v>
      </c>
      <c r="L1614" s="153" t="s">
        <v>325</v>
      </c>
      <c r="M1614" s="153" t="s">
        <v>314</v>
      </c>
      <c r="N1614" s="153" t="s">
        <v>537</v>
      </c>
      <c r="O1614" s="153" t="s">
        <v>339</v>
      </c>
      <c r="P1614" s="153" t="s">
        <v>1876</v>
      </c>
      <c r="Q1614" s="153" t="s">
        <v>433</v>
      </c>
      <c r="R1614" s="153" t="s">
        <v>407</v>
      </c>
      <c r="S1614" s="153" t="s">
        <v>1216</v>
      </c>
      <c r="T1614" s="154">
        <v>3.069</v>
      </c>
      <c r="U1614" s="153" t="s">
        <v>3200</v>
      </c>
      <c r="V1614" s="155">
        <v>7.9500000000000001E-2</v>
      </c>
      <c r="W1614" s="155">
        <v>5.7549999999999997E-2</v>
      </c>
      <c r="X1614" s="153" t="s">
        <v>412</v>
      </c>
      <c r="Y1614" s="153" t="s">
        <v>339</v>
      </c>
      <c r="Z1614" s="154">
        <v>225000</v>
      </c>
      <c r="AA1614" s="154">
        <v>3.71</v>
      </c>
      <c r="AB1614" s="154">
        <v>109.217</v>
      </c>
      <c r="AD1614" s="154">
        <v>911.68799999999999</v>
      </c>
      <c r="AG1614" s="157" t="s">
        <v>15</v>
      </c>
      <c r="AH1614" s="155">
        <v>3.6000000000000002E-4</v>
      </c>
      <c r="AI1614" s="155">
        <f t="shared" si="25"/>
        <v>1.2338149742560822E-3</v>
      </c>
      <c r="AJ1614" s="155">
        <v>2.7267365619136819E-4</v>
      </c>
    </row>
    <row r="1615" spans="1:36" s="160" customFormat="1">
      <c r="A1615" s="153" t="s">
        <v>1213</v>
      </c>
      <c r="B1615" s="160">
        <v>9302</v>
      </c>
      <c r="C1615" s="153" t="s">
        <v>3284</v>
      </c>
      <c r="D1615" s="153" t="s">
        <v>3285</v>
      </c>
      <c r="E1615" s="153" t="s">
        <v>311</v>
      </c>
      <c r="F1615" s="153" t="s">
        <v>3286</v>
      </c>
      <c r="G1615" s="153" t="s">
        <v>3287</v>
      </c>
      <c r="H1615" s="153" t="s">
        <v>321</v>
      </c>
      <c r="I1615" s="153" t="s">
        <v>755</v>
      </c>
      <c r="J1615" s="153" t="s">
        <v>205</v>
      </c>
      <c r="K1615" s="153" t="s">
        <v>233</v>
      </c>
      <c r="L1615" s="153" t="s">
        <v>325</v>
      </c>
      <c r="M1615" s="153" t="s">
        <v>314</v>
      </c>
      <c r="N1615" s="153" t="s">
        <v>486</v>
      </c>
      <c r="O1615" s="153" t="s">
        <v>339</v>
      </c>
      <c r="P1615" s="153" t="s">
        <v>1890</v>
      </c>
      <c r="Q1615" s="153" t="s">
        <v>433</v>
      </c>
      <c r="R1615" s="153" t="s">
        <v>407</v>
      </c>
      <c r="S1615" s="153" t="s">
        <v>1216</v>
      </c>
      <c r="T1615" s="154">
        <v>6.1020000000000003</v>
      </c>
      <c r="U1615" s="153" t="s">
        <v>2174</v>
      </c>
      <c r="V1615" s="155">
        <v>8.0229999999999996E-2</v>
      </c>
      <c r="W1615" s="155">
        <v>9.35E-2</v>
      </c>
      <c r="X1615" s="153" t="s">
        <v>412</v>
      </c>
      <c r="Y1615" s="153" t="s">
        <v>339</v>
      </c>
      <c r="Z1615" s="154">
        <v>230000</v>
      </c>
      <c r="AA1615" s="154">
        <v>3.71</v>
      </c>
      <c r="AB1615" s="154">
        <v>94.460999999999999</v>
      </c>
      <c r="AD1615" s="154">
        <v>806.03599999999994</v>
      </c>
      <c r="AG1615" s="157" t="s">
        <v>15</v>
      </c>
      <c r="AH1615" s="155">
        <v>3.1E-4</v>
      </c>
      <c r="AI1615" s="155">
        <f t="shared" si="25"/>
        <v>1.0908329237518486E-3</v>
      </c>
      <c r="AJ1615" s="155">
        <v>2.4107455965403254E-4</v>
      </c>
    </row>
    <row r="1616" spans="1:36" s="160" customFormat="1">
      <c r="A1616" s="153" t="s">
        <v>1213</v>
      </c>
      <c r="B1616" s="160">
        <v>9302</v>
      </c>
      <c r="C1616" s="153" t="s">
        <v>3330</v>
      </c>
      <c r="D1616" s="153" t="s">
        <v>3331</v>
      </c>
      <c r="E1616" s="153" t="s">
        <v>80</v>
      </c>
      <c r="F1616" s="153" t="s">
        <v>3332</v>
      </c>
      <c r="G1616" s="153" t="s">
        <v>3333</v>
      </c>
      <c r="H1616" s="153" t="s">
        <v>321</v>
      </c>
      <c r="I1616" s="153" t="s">
        <v>755</v>
      </c>
      <c r="J1616" s="153" t="s">
        <v>205</v>
      </c>
      <c r="K1616" s="153" t="s">
        <v>224</v>
      </c>
      <c r="L1616" s="153" t="s">
        <v>325</v>
      </c>
      <c r="M1616" s="153" t="s">
        <v>368</v>
      </c>
      <c r="N1616" s="153" t="s">
        <v>568</v>
      </c>
      <c r="O1616" s="153" t="s">
        <v>339</v>
      </c>
      <c r="P1616" s="153" t="s">
        <v>1876</v>
      </c>
      <c r="Q1616" s="153" t="s">
        <v>433</v>
      </c>
      <c r="R1616" s="153" t="s">
        <v>407</v>
      </c>
      <c r="S1616" s="153" t="s">
        <v>1216</v>
      </c>
      <c r="T1616" s="154">
        <v>0.64100000000000001</v>
      </c>
      <c r="U1616" s="153" t="s">
        <v>3334</v>
      </c>
      <c r="V1616" s="155">
        <v>6.6600000000000006E-2</v>
      </c>
      <c r="W1616" s="155">
        <v>0.31723000000000001</v>
      </c>
      <c r="X1616" s="153" t="s">
        <v>411</v>
      </c>
      <c r="Y1616" s="153" t="s">
        <v>338</v>
      </c>
      <c r="Z1616" s="154">
        <v>250000</v>
      </c>
      <c r="AA1616" s="154">
        <v>3.71</v>
      </c>
      <c r="AB1616" s="154">
        <v>84.593999999999994</v>
      </c>
      <c r="AD1616" s="154">
        <v>784.60799999999995</v>
      </c>
      <c r="AG1616" s="157" t="s">
        <v>15</v>
      </c>
      <c r="AH1616" s="155">
        <v>3.6900000000000001E-3</v>
      </c>
      <c r="AI1616" s="155">
        <f t="shared" si="25"/>
        <v>1.0618337625603453E-3</v>
      </c>
      <c r="AJ1616" s="155">
        <v>2.3466573217701339E-4</v>
      </c>
    </row>
    <row r="1617" spans="1:36" s="160" customFormat="1">
      <c r="A1617" s="153" t="s">
        <v>1213</v>
      </c>
      <c r="B1617" s="160">
        <v>9302</v>
      </c>
      <c r="C1617" s="153" t="s">
        <v>3265</v>
      </c>
      <c r="D1617" s="153" t="s">
        <v>3266</v>
      </c>
      <c r="E1617" s="153" t="s">
        <v>80</v>
      </c>
      <c r="F1617" s="153" t="s">
        <v>3267</v>
      </c>
      <c r="G1617" s="153" t="s">
        <v>3268</v>
      </c>
      <c r="H1617" s="153" t="s">
        <v>321</v>
      </c>
      <c r="I1617" s="153" t="s">
        <v>755</v>
      </c>
      <c r="J1617" s="153" t="s">
        <v>205</v>
      </c>
      <c r="K1617" s="153" t="s">
        <v>224</v>
      </c>
      <c r="L1617" s="153" t="s">
        <v>325</v>
      </c>
      <c r="M1617" s="153" t="s">
        <v>314</v>
      </c>
      <c r="N1617" s="153" t="s">
        <v>530</v>
      </c>
      <c r="O1617" s="153" t="s">
        <v>339</v>
      </c>
      <c r="P1617" s="153" t="s">
        <v>1876</v>
      </c>
      <c r="Q1617" s="153" t="s">
        <v>433</v>
      </c>
      <c r="R1617" s="153" t="s">
        <v>407</v>
      </c>
      <c r="S1617" s="153" t="s">
        <v>1216</v>
      </c>
      <c r="T1617" s="154">
        <v>3.1230000000000002</v>
      </c>
      <c r="U1617" s="153" t="s">
        <v>3213</v>
      </c>
      <c r="V1617" s="155">
        <v>5.7000000000000002E-2</v>
      </c>
      <c r="W1617" s="155">
        <v>4.4659999999999998E-2</v>
      </c>
      <c r="X1617" s="153" t="s">
        <v>412</v>
      </c>
      <c r="Y1617" s="153" t="s">
        <v>339</v>
      </c>
      <c r="Z1617" s="154">
        <v>185000</v>
      </c>
      <c r="AA1617" s="154">
        <v>3.71</v>
      </c>
      <c r="AB1617" s="154">
        <v>106.02200000000001</v>
      </c>
      <c r="AD1617" s="154">
        <v>727.67899999999997</v>
      </c>
      <c r="AG1617" s="157" t="s">
        <v>15</v>
      </c>
      <c r="AH1617" s="155">
        <v>2.5000000000000001E-4</v>
      </c>
      <c r="AI1617" s="155">
        <f t="shared" si="25"/>
        <v>9.8479002317864404E-4</v>
      </c>
      <c r="AJ1617" s="155">
        <v>2.1763903162450157E-4</v>
      </c>
    </row>
    <row r="1618" spans="1:36" s="160" customFormat="1">
      <c r="A1618" s="153" t="s">
        <v>1213</v>
      </c>
      <c r="B1618" s="160">
        <v>9302</v>
      </c>
      <c r="C1618" s="153" t="s">
        <v>3196</v>
      </c>
      <c r="D1618" s="153" t="s">
        <v>3197</v>
      </c>
      <c r="E1618" s="153" t="s">
        <v>80</v>
      </c>
      <c r="F1618" s="153" t="s">
        <v>3298</v>
      </c>
      <c r="G1618" s="153" t="s">
        <v>3299</v>
      </c>
      <c r="H1618" s="153" t="s">
        <v>321</v>
      </c>
      <c r="I1618" s="153" t="s">
        <v>755</v>
      </c>
      <c r="J1618" s="153" t="s">
        <v>205</v>
      </c>
      <c r="K1618" s="153" t="s">
        <v>224</v>
      </c>
      <c r="L1618" s="153" t="s">
        <v>325</v>
      </c>
      <c r="M1618" s="153" t="s">
        <v>314</v>
      </c>
      <c r="N1618" s="153" t="s">
        <v>537</v>
      </c>
      <c r="O1618" s="153" t="s">
        <v>339</v>
      </c>
      <c r="P1618" s="153" t="s">
        <v>1876</v>
      </c>
      <c r="Q1618" s="153" t="s">
        <v>433</v>
      </c>
      <c r="R1618" s="153" t="s">
        <v>407</v>
      </c>
      <c r="S1618" s="153" t="s">
        <v>1216</v>
      </c>
      <c r="T1618" s="154">
        <v>5.0780000000000003</v>
      </c>
      <c r="U1618" s="153" t="s">
        <v>3300</v>
      </c>
      <c r="V1618" s="155">
        <v>6.6500000000000004E-2</v>
      </c>
      <c r="W1618" s="155">
        <v>6.2129999999999998E-2</v>
      </c>
      <c r="X1618" s="153" t="s">
        <v>412</v>
      </c>
      <c r="Y1618" s="153" t="s">
        <v>339</v>
      </c>
      <c r="Z1618" s="154">
        <v>190000</v>
      </c>
      <c r="AA1618" s="154">
        <v>3.71</v>
      </c>
      <c r="AB1618" s="154">
        <v>102.33799999999999</v>
      </c>
      <c r="AD1618" s="154">
        <v>721.38099999999997</v>
      </c>
      <c r="AG1618" s="157" t="s">
        <v>15</v>
      </c>
      <c r="AH1618" s="155">
        <v>2.5000000000000001E-4</v>
      </c>
      <c r="AI1618" s="155">
        <f t="shared" si="25"/>
        <v>9.7626674908941077E-4</v>
      </c>
      <c r="AJ1618" s="155">
        <v>2.1575538427289308E-4</v>
      </c>
    </row>
    <row r="1619" spans="1:36" s="160" customFormat="1">
      <c r="A1619" s="153" t="s">
        <v>1213</v>
      </c>
      <c r="B1619" s="160">
        <v>9302</v>
      </c>
      <c r="C1619" s="153" t="s">
        <v>3274</v>
      </c>
      <c r="D1619" s="153" t="s">
        <v>3275</v>
      </c>
      <c r="E1619" s="153" t="s">
        <v>312</v>
      </c>
      <c r="F1619" s="153" t="s">
        <v>3276</v>
      </c>
      <c r="G1619" s="153" t="s">
        <v>3277</v>
      </c>
      <c r="H1619" s="153" t="s">
        <v>321</v>
      </c>
      <c r="I1619" s="153" t="s">
        <v>755</v>
      </c>
      <c r="J1619" s="153" t="s">
        <v>205</v>
      </c>
      <c r="K1619" s="153" t="s">
        <v>224</v>
      </c>
      <c r="L1619" s="153" t="s">
        <v>325</v>
      </c>
      <c r="M1619" s="153" t="s">
        <v>314</v>
      </c>
      <c r="N1619" s="153" t="s">
        <v>537</v>
      </c>
      <c r="O1619" s="153" t="s">
        <v>339</v>
      </c>
      <c r="P1619" s="153" t="s">
        <v>1876</v>
      </c>
      <c r="Q1619" s="153" t="s">
        <v>433</v>
      </c>
      <c r="R1619" s="153" t="s">
        <v>407</v>
      </c>
      <c r="S1619" s="153" t="s">
        <v>1216</v>
      </c>
      <c r="T1619" s="154">
        <v>4.2300000000000004</v>
      </c>
      <c r="U1619" s="153" t="s">
        <v>3278</v>
      </c>
      <c r="V1619" s="155">
        <v>5.4539999999999998E-2</v>
      </c>
      <c r="W1619" s="155">
        <v>5.8470000000000001E-2</v>
      </c>
      <c r="X1619" s="153" t="s">
        <v>412</v>
      </c>
      <c r="Y1619" s="153" t="s">
        <v>339</v>
      </c>
      <c r="Z1619" s="154">
        <v>185000</v>
      </c>
      <c r="AA1619" s="154">
        <v>3.71</v>
      </c>
      <c r="AB1619" s="154">
        <v>99.81</v>
      </c>
      <c r="AD1619" s="154">
        <v>685.04700000000003</v>
      </c>
      <c r="AG1619" s="157" t="s">
        <v>15</v>
      </c>
      <c r="AH1619" s="155">
        <v>3.6999999999999999E-4</v>
      </c>
      <c r="AI1619" s="155">
        <f t="shared" si="25"/>
        <v>9.2709484677785199E-4</v>
      </c>
      <c r="AJ1619" s="155">
        <v>2.0488837206690029E-4</v>
      </c>
    </row>
    <row r="1620" spans="1:36" s="160" customFormat="1">
      <c r="A1620" s="153" t="s">
        <v>1213</v>
      </c>
      <c r="B1620" s="160">
        <v>9302</v>
      </c>
      <c r="C1620" s="153" t="s">
        <v>3269</v>
      </c>
      <c r="D1620" s="153" t="s">
        <v>3270</v>
      </c>
      <c r="E1620" s="153" t="s">
        <v>312</v>
      </c>
      <c r="F1620" s="153" t="s">
        <v>3271</v>
      </c>
      <c r="G1620" s="153" t="s">
        <v>3272</v>
      </c>
      <c r="H1620" s="153" t="s">
        <v>321</v>
      </c>
      <c r="I1620" s="153" t="s">
        <v>755</v>
      </c>
      <c r="J1620" s="153" t="s">
        <v>205</v>
      </c>
      <c r="K1620" s="153" t="s">
        <v>282</v>
      </c>
      <c r="L1620" s="153" t="s">
        <v>325</v>
      </c>
      <c r="M1620" s="153" t="s">
        <v>314</v>
      </c>
      <c r="N1620" s="153" t="s">
        <v>487</v>
      </c>
      <c r="O1620" s="153" t="s">
        <v>339</v>
      </c>
      <c r="P1620" s="153" t="s">
        <v>1876</v>
      </c>
      <c r="Q1620" s="153" t="s">
        <v>433</v>
      </c>
      <c r="R1620" s="153" t="s">
        <v>407</v>
      </c>
      <c r="S1620" s="153" t="s">
        <v>1216</v>
      </c>
      <c r="T1620" s="154">
        <v>4.2910000000000004</v>
      </c>
      <c r="U1620" s="153" t="s">
        <v>3273</v>
      </c>
      <c r="V1620" s="155">
        <v>4.4859999999999997E-2</v>
      </c>
      <c r="W1620" s="155">
        <v>4.8959999999999997E-2</v>
      </c>
      <c r="X1620" s="153" t="s">
        <v>412</v>
      </c>
      <c r="Y1620" s="153" t="s">
        <v>339</v>
      </c>
      <c r="Z1620" s="154">
        <v>182000</v>
      </c>
      <c r="AA1620" s="154">
        <v>3.71</v>
      </c>
      <c r="AB1620" s="154">
        <v>100.753</v>
      </c>
      <c r="AD1620" s="154">
        <v>680.30200000000002</v>
      </c>
      <c r="AG1620" s="157" t="s">
        <v>15</v>
      </c>
      <c r="AH1620" s="155">
        <v>1.8000000000000001E-4</v>
      </c>
      <c r="AI1620" s="155">
        <f t="shared" si="25"/>
        <v>9.2067329460995568E-4</v>
      </c>
      <c r="AJ1620" s="155">
        <v>2.0346920619148233E-4</v>
      </c>
    </row>
    <row r="1621" spans="1:36" s="160" customFormat="1">
      <c r="A1621" s="153" t="s">
        <v>1213</v>
      </c>
      <c r="B1621" s="160">
        <v>9302</v>
      </c>
      <c r="C1621" s="153" t="s">
        <v>3227</v>
      </c>
      <c r="D1621" s="153" t="s">
        <v>3228</v>
      </c>
      <c r="E1621" s="153" t="s">
        <v>80</v>
      </c>
      <c r="F1621" s="153" t="s">
        <v>3229</v>
      </c>
      <c r="G1621" s="153" t="s">
        <v>3230</v>
      </c>
      <c r="H1621" s="153" t="s">
        <v>321</v>
      </c>
      <c r="I1621" s="153" t="s">
        <v>755</v>
      </c>
      <c r="J1621" s="153" t="s">
        <v>205</v>
      </c>
      <c r="K1621" s="153" t="s">
        <v>301</v>
      </c>
      <c r="L1621" s="153" t="s">
        <v>325</v>
      </c>
      <c r="M1621" s="153" t="s">
        <v>314</v>
      </c>
      <c r="N1621" s="153" t="s">
        <v>546</v>
      </c>
      <c r="O1621" s="153" t="s">
        <v>339</v>
      </c>
      <c r="P1621" s="153" t="s">
        <v>2612</v>
      </c>
      <c r="Q1621" s="153" t="s">
        <v>433</v>
      </c>
      <c r="R1621" s="153" t="s">
        <v>407</v>
      </c>
      <c r="S1621" s="153" t="s">
        <v>1216</v>
      </c>
      <c r="T1621" s="154">
        <v>2.5219999999999998</v>
      </c>
      <c r="U1621" s="153" t="s">
        <v>2246</v>
      </c>
      <c r="V1621" s="155">
        <v>3.9320000000000001E-2</v>
      </c>
      <c r="W1621" s="155">
        <v>4.1730000000000003E-2</v>
      </c>
      <c r="X1621" s="153" t="s">
        <v>412</v>
      </c>
      <c r="Y1621" s="153" t="s">
        <v>339</v>
      </c>
      <c r="Z1621" s="154">
        <v>180000</v>
      </c>
      <c r="AA1621" s="154">
        <v>3.71</v>
      </c>
      <c r="AB1621" s="154">
        <v>101.327</v>
      </c>
      <c r="AD1621" s="154">
        <v>676.66399999999999</v>
      </c>
      <c r="AG1621" s="157" t="s">
        <v>15</v>
      </c>
      <c r="AH1621" s="155">
        <v>4.4999999999999999E-4</v>
      </c>
      <c r="AI1621" s="155">
        <f t="shared" si="25"/>
        <v>9.157498790595221E-4</v>
      </c>
      <c r="AJ1621" s="155">
        <v>2.0238112917256336E-4</v>
      </c>
    </row>
    <row r="1622" spans="1:36" s="160" customFormat="1">
      <c r="A1622" s="153" t="s">
        <v>1213</v>
      </c>
      <c r="B1622" s="160">
        <v>9302</v>
      </c>
      <c r="C1622" s="153" t="s">
        <v>3209</v>
      </c>
      <c r="D1622" s="153" t="s">
        <v>3210</v>
      </c>
      <c r="E1622" s="153" t="s">
        <v>80</v>
      </c>
      <c r="F1622" s="153" t="s">
        <v>3211</v>
      </c>
      <c r="G1622" s="153" t="s">
        <v>3212</v>
      </c>
      <c r="H1622" s="153" t="s">
        <v>321</v>
      </c>
      <c r="I1622" s="153" t="s">
        <v>755</v>
      </c>
      <c r="J1622" s="153" t="s">
        <v>205</v>
      </c>
      <c r="K1622" s="153" t="s">
        <v>224</v>
      </c>
      <c r="L1622" s="153" t="s">
        <v>325</v>
      </c>
      <c r="M1622" s="153" t="s">
        <v>314</v>
      </c>
      <c r="N1622" s="153" t="s">
        <v>545</v>
      </c>
      <c r="O1622" s="153" t="s">
        <v>339</v>
      </c>
      <c r="P1622" s="153" t="s">
        <v>2612</v>
      </c>
      <c r="Q1622" s="153" t="s">
        <v>433</v>
      </c>
      <c r="R1622" s="153" t="s">
        <v>407</v>
      </c>
      <c r="S1622" s="153" t="s">
        <v>1216</v>
      </c>
      <c r="T1622" s="154">
        <v>3.1909999999999998</v>
      </c>
      <c r="U1622" s="153" t="s">
        <v>3213</v>
      </c>
      <c r="V1622" s="155">
        <v>4.1320000000000003E-2</v>
      </c>
      <c r="W1622" s="155">
        <v>3.7949999999999998E-2</v>
      </c>
      <c r="X1622" s="153" t="s">
        <v>412</v>
      </c>
      <c r="Y1622" s="153" t="s">
        <v>339</v>
      </c>
      <c r="Z1622" s="154">
        <v>130000</v>
      </c>
      <c r="AA1622" s="154">
        <v>3.71</v>
      </c>
      <c r="AB1622" s="154">
        <v>104.238</v>
      </c>
      <c r="AD1622" s="154">
        <v>502.74</v>
      </c>
      <c r="AG1622" s="157" t="s">
        <v>15</v>
      </c>
      <c r="AH1622" s="155">
        <v>9.0000000000000006E-5</v>
      </c>
      <c r="AI1622" s="155">
        <f t="shared" si="25"/>
        <v>6.8037326383313455E-4</v>
      </c>
      <c r="AJ1622" s="155">
        <v>1.503627928783185E-4</v>
      </c>
    </row>
    <row r="1623" spans="1:36" s="160" customFormat="1">
      <c r="A1623" s="153" t="s">
        <v>1213</v>
      </c>
      <c r="B1623" s="160">
        <v>9302</v>
      </c>
      <c r="C1623" s="153" t="s">
        <v>3293</v>
      </c>
      <c r="D1623" s="153" t="s">
        <v>3294</v>
      </c>
      <c r="E1623" s="153" t="s">
        <v>80</v>
      </c>
      <c r="F1623" s="153" t="s">
        <v>3295</v>
      </c>
      <c r="G1623" s="153" t="s">
        <v>3296</v>
      </c>
      <c r="H1623" s="153" t="s">
        <v>321</v>
      </c>
      <c r="I1623" s="153" t="s">
        <v>755</v>
      </c>
      <c r="J1623" s="153" t="s">
        <v>205</v>
      </c>
      <c r="K1623" s="153" t="s">
        <v>224</v>
      </c>
      <c r="L1623" s="153" t="s">
        <v>325</v>
      </c>
      <c r="M1623" s="153" t="s">
        <v>314</v>
      </c>
      <c r="N1623" s="153" t="s">
        <v>539</v>
      </c>
      <c r="O1623" s="153" t="s">
        <v>339</v>
      </c>
      <c r="P1623" s="153" t="s">
        <v>3111</v>
      </c>
      <c r="Q1623" s="153" t="s">
        <v>433</v>
      </c>
      <c r="R1623" s="153" t="s">
        <v>407</v>
      </c>
      <c r="S1623" s="153" t="s">
        <v>1218</v>
      </c>
      <c r="T1623" s="154">
        <v>3.6070000000000002</v>
      </c>
      <c r="U1623" s="153" t="s">
        <v>3297</v>
      </c>
      <c r="V1623" s="155">
        <v>3.6360000000000003E-2</v>
      </c>
      <c r="W1623" s="155">
        <v>2.733E-2</v>
      </c>
      <c r="X1623" s="153" t="s">
        <v>412</v>
      </c>
      <c r="Y1623" s="153" t="s">
        <v>339</v>
      </c>
      <c r="Z1623" s="154">
        <v>90000</v>
      </c>
      <c r="AA1623" s="154">
        <v>4.1524000000000001</v>
      </c>
      <c r="AB1623" s="154">
        <v>106.422</v>
      </c>
      <c r="AD1623" s="154">
        <v>397.71600000000001</v>
      </c>
      <c r="AG1623" s="157" t="s">
        <v>15</v>
      </c>
      <c r="AH1623" s="155">
        <v>1.8000000000000001E-4</v>
      </c>
      <c r="AI1623" s="155">
        <f t="shared" si="25"/>
        <v>5.3824110474332443E-4</v>
      </c>
      <c r="AJ1623" s="155">
        <v>1.189515227202795E-4</v>
      </c>
    </row>
    <row r="1624" spans="1:36" s="160" customFormat="1">
      <c r="A1624" s="153" t="s">
        <v>1213</v>
      </c>
      <c r="B1624" s="160">
        <v>9302</v>
      </c>
      <c r="C1624" s="153" t="s">
        <v>3260</v>
      </c>
      <c r="D1624" s="153" t="s">
        <v>3261</v>
      </c>
      <c r="E1624" s="153" t="s">
        <v>80</v>
      </c>
      <c r="F1624" s="153" t="s">
        <v>3262</v>
      </c>
      <c r="G1624" s="153" t="s">
        <v>3263</v>
      </c>
      <c r="H1624" s="153" t="s">
        <v>321</v>
      </c>
      <c r="I1624" s="153" t="s">
        <v>755</v>
      </c>
      <c r="J1624" s="153" t="s">
        <v>205</v>
      </c>
      <c r="K1624" s="153" t="s">
        <v>224</v>
      </c>
      <c r="L1624" s="153" t="s">
        <v>325</v>
      </c>
      <c r="M1624" s="153" t="s">
        <v>314</v>
      </c>
      <c r="N1624" s="153" t="s">
        <v>548</v>
      </c>
      <c r="O1624" s="153" t="s">
        <v>339</v>
      </c>
      <c r="P1624" s="153" t="s">
        <v>2680</v>
      </c>
      <c r="Q1624" s="153" t="s">
        <v>431</v>
      </c>
      <c r="R1624" s="153" t="s">
        <v>407</v>
      </c>
      <c r="S1624" s="153" t="s">
        <v>1216</v>
      </c>
      <c r="T1624" s="154">
        <v>5.7539999999999996</v>
      </c>
      <c r="U1624" s="153" t="s">
        <v>3264</v>
      </c>
      <c r="V1624" s="155">
        <v>2.334E-2</v>
      </c>
      <c r="W1624" s="155">
        <v>4.5069999999999999E-2</v>
      </c>
      <c r="X1624" s="153" t="s">
        <v>412</v>
      </c>
      <c r="Y1624" s="153" t="s">
        <v>339</v>
      </c>
      <c r="Z1624" s="154">
        <v>108000</v>
      </c>
      <c r="AA1624" s="154">
        <v>3.71</v>
      </c>
      <c r="AB1624" s="154">
        <v>88.834999999999994</v>
      </c>
      <c r="AD1624" s="154">
        <v>355.94499999999999</v>
      </c>
      <c r="AG1624" s="157" t="s">
        <v>15</v>
      </c>
      <c r="AH1624" s="155">
        <v>4.0000000000000003E-5</v>
      </c>
      <c r="AI1624" s="155">
        <f t="shared" si="25"/>
        <v>4.8171114571167017E-4</v>
      </c>
      <c r="AJ1624" s="155">
        <v>1.0645837671773298E-4</v>
      </c>
    </row>
    <row r="1625" spans="1:36" s="160" customFormat="1">
      <c r="A1625" s="153" t="s">
        <v>1213</v>
      </c>
      <c r="B1625" s="160">
        <v>9302</v>
      </c>
      <c r="C1625" s="153" t="s">
        <v>3279</v>
      </c>
      <c r="D1625" s="153" t="s">
        <v>3280</v>
      </c>
      <c r="E1625" s="153" t="s">
        <v>80</v>
      </c>
      <c r="F1625" s="153" t="s">
        <v>3281</v>
      </c>
      <c r="G1625" s="153" t="s">
        <v>3282</v>
      </c>
      <c r="H1625" s="153" t="s">
        <v>321</v>
      </c>
      <c r="I1625" s="153" t="s">
        <v>755</v>
      </c>
      <c r="J1625" s="153" t="s">
        <v>205</v>
      </c>
      <c r="K1625" s="153" t="s">
        <v>224</v>
      </c>
      <c r="L1625" s="153" t="s">
        <v>325</v>
      </c>
      <c r="M1625" s="153" t="s">
        <v>314</v>
      </c>
      <c r="N1625" s="153" t="s">
        <v>486</v>
      </c>
      <c r="O1625" s="153" t="s">
        <v>339</v>
      </c>
      <c r="P1625" s="153" t="s">
        <v>1876</v>
      </c>
      <c r="Q1625" s="153" t="s">
        <v>433</v>
      </c>
      <c r="R1625" s="153" t="s">
        <v>407</v>
      </c>
      <c r="S1625" s="153" t="s">
        <v>1216</v>
      </c>
      <c r="T1625" s="154">
        <v>5.1849999999999996</v>
      </c>
      <c r="U1625" s="153" t="s">
        <v>3283</v>
      </c>
      <c r="V1625" s="155">
        <v>4.4999999999999998E-2</v>
      </c>
      <c r="W1625" s="155">
        <v>4.9250000000000002E-2</v>
      </c>
      <c r="X1625" s="153" t="s">
        <v>412</v>
      </c>
      <c r="Y1625" s="153" t="s">
        <v>339</v>
      </c>
      <c r="Z1625" s="154">
        <v>85000</v>
      </c>
      <c r="AA1625" s="154">
        <v>3.71</v>
      </c>
      <c r="AB1625" s="154">
        <f>(AD1625-(AC1625*AA1625))*1000/AA1625/Z1625*100</f>
        <v>97.492554304740779</v>
      </c>
      <c r="AC1625" s="154">
        <v>1.913</v>
      </c>
      <c r="AD1625" s="154">
        <v>314.54000000000002</v>
      </c>
      <c r="AG1625" s="157" t="s">
        <v>15</v>
      </c>
      <c r="AH1625" s="155">
        <v>2.5999999999999998E-4</v>
      </c>
      <c r="AI1625" s="155">
        <f t="shared" si="25"/>
        <v>4.2567650556167032E-4</v>
      </c>
      <c r="AJ1625" s="155">
        <v>9.4074696407579072E-5</v>
      </c>
    </row>
    <row r="1626" spans="1:36" s="160" customFormat="1">
      <c r="A1626" s="153" t="s">
        <v>1213</v>
      </c>
      <c r="B1626" s="160">
        <v>9302</v>
      </c>
      <c r="C1626" s="153" t="s">
        <v>3288</v>
      </c>
      <c r="D1626" s="153" t="s">
        <v>3289</v>
      </c>
      <c r="E1626" s="153" t="s">
        <v>80</v>
      </c>
      <c r="F1626" s="153" t="s">
        <v>3290</v>
      </c>
      <c r="G1626" s="153" t="s">
        <v>3291</v>
      </c>
      <c r="H1626" s="153" t="s">
        <v>321</v>
      </c>
      <c r="I1626" s="153" t="s">
        <v>755</v>
      </c>
      <c r="J1626" s="153" t="s">
        <v>205</v>
      </c>
      <c r="K1626" s="153" t="s">
        <v>233</v>
      </c>
      <c r="L1626" s="153" t="s">
        <v>325</v>
      </c>
      <c r="M1626" s="153" t="s">
        <v>314</v>
      </c>
      <c r="N1626" s="153" t="s">
        <v>503</v>
      </c>
      <c r="O1626" s="153" t="s">
        <v>339</v>
      </c>
      <c r="P1626" s="153" t="s">
        <v>2612</v>
      </c>
      <c r="Q1626" s="153" t="s">
        <v>433</v>
      </c>
      <c r="R1626" s="153" t="s">
        <v>407</v>
      </c>
      <c r="S1626" s="153" t="s">
        <v>1216</v>
      </c>
      <c r="T1626" s="154">
        <v>5.0460000000000003</v>
      </c>
      <c r="U1626" s="153" t="s">
        <v>3292</v>
      </c>
      <c r="V1626" s="155">
        <v>2.921E-2</v>
      </c>
      <c r="W1626" s="155">
        <v>5.0610000000000002E-2</v>
      </c>
      <c r="X1626" s="153" t="s">
        <v>412</v>
      </c>
      <c r="Y1626" s="153" t="s">
        <v>339</v>
      </c>
      <c r="Z1626" s="154">
        <v>85000</v>
      </c>
      <c r="AA1626" s="154">
        <v>3.71</v>
      </c>
      <c r="AB1626" s="154">
        <v>85.248000000000005</v>
      </c>
      <c r="AD1626" s="154">
        <v>268.82799999999997</v>
      </c>
      <c r="AG1626" s="157" t="s">
        <v>15</v>
      </c>
      <c r="AH1626" s="155">
        <v>2.1000000000000001E-4</v>
      </c>
      <c r="AI1626" s="155">
        <f t="shared" si="25"/>
        <v>3.63813071905426E-4</v>
      </c>
      <c r="AJ1626" s="155">
        <v>8.0402850148968849E-5</v>
      </c>
    </row>
    <row r="1627" spans="1:36" s="160" customFormat="1">
      <c r="A1627" s="153" t="s">
        <v>1213</v>
      </c>
      <c r="B1627" s="160">
        <v>9302</v>
      </c>
      <c r="C1627" s="153" t="s">
        <v>2089</v>
      </c>
      <c r="D1627" s="153" t="s">
        <v>2090</v>
      </c>
      <c r="E1627" s="153" t="s">
        <v>309</v>
      </c>
      <c r="F1627" s="153" t="s">
        <v>3301</v>
      </c>
      <c r="G1627" s="153" t="s">
        <v>3302</v>
      </c>
      <c r="H1627" s="153" t="s">
        <v>321</v>
      </c>
      <c r="I1627" s="153" t="s">
        <v>755</v>
      </c>
      <c r="J1627" s="153" t="s">
        <v>205</v>
      </c>
      <c r="K1627" s="153" t="s">
        <v>204</v>
      </c>
      <c r="L1627" s="153" t="s">
        <v>325</v>
      </c>
      <c r="M1627" s="153" t="s">
        <v>314</v>
      </c>
      <c r="N1627" s="153" t="s">
        <v>534</v>
      </c>
      <c r="O1627" s="153" t="s">
        <v>339</v>
      </c>
      <c r="P1627" s="153" t="s">
        <v>1890</v>
      </c>
      <c r="Q1627" s="153" t="s">
        <v>433</v>
      </c>
      <c r="R1627" s="153" t="s">
        <v>407</v>
      </c>
      <c r="S1627" s="153" t="s">
        <v>1218</v>
      </c>
      <c r="T1627" s="154">
        <v>5.32</v>
      </c>
      <c r="U1627" s="153" t="s">
        <v>3303</v>
      </c>
      <c r="V1627" s="155">
        <v>7.3660000000000003E-2</v>
      </c>
      <c r="W1627" s="155">
        <v>4.607E-2</v>
      </c>
      <c r="X1627" s="153" t="s">
        <v>412</v>
      </c>
      <c r="Y1627" s="153" t="s">
        <v>339</v>
      </c>
      <c r="Z1627" s="154">
        <v>46000</v>
      </c>
      <c r="AA1627" s="154">
        <v>4.1524000000000001</v>
      </c>
      <c r="AB1627" s="154">
        <v>118.607</v>
      </c>
      <c r="AD1627" s="154">
        <v>226.55199999999999</v>
      </c>
      <c r="AG1627" s="157" t="s">
        <v>15</v>
      </c>
      <c r="AH1627" s="155">
        <v>9.0000000000000006E-5</v>
      </c>
      <c r="AI1627" s="155">
        <f t="shared" si="25"/>
        <v>3.0659968108351094E-4</v>
      </c>
      <c r="AJ1627" s="155">
        <v>6.7758665417847814E-5</v>
      </c>
    </row>
    <row r="1628" spans="1:36" s="160" customFormat="1">
      <c r="A1628" s="153" t="s">
        <v>1213</v>
      </c>
      <c r="B1628" s="160">
        <v>9302</v>
      </c>
      <c r="C1628" s="153" t="s">
        <v>2089</v>
      </c>
      <c r="D1628" s="153" t="s">
        <v>2090</v>
      </c>
      <c r="E1628" s="153" t="s">
        <v>309</v>
      </c>
      <c r="F1628" s="153" t="s">
        <v>3304</v>
      </c>
      <c r="G1628" s="153" t="s">
        <v>3305</v>
      </c>
      <c r="H1628" s="153" t="s">
        <v>321</v>
      </c>
      <c r="I1628" s="153" t="s">
        <v>755</v>
      </c>
      <c r="J1628" s="153" t="s">
        <v>205</v>
      </c>
      <c r="K1628" s="153" t="s">
        <v>204</v>
      </c>
      <c r="L1628" s="153" t="s">
        <v>325</v>
      </c>
      <c r="M1628" s="153" t="s">
        <v>314</v>
      </c>
      <c r="N1628" s="153" t="s">
        <v>534</v>
      </c>
      <c r="O1628" s="153" t="s">
        <v>339</v>
      </c>
      <c r="P1628" s="153" t="s">
        <v>1890</v>
      </c>
      <c r="Q1628" s="153" t="s">
        <v>433</v>
      </c>
      <c r="R1628" s="153" t="s">
        <v>407</v>
      </c>
      <c r="S1628" s="153" t="s">
        <v>1218</v>
      </c>
      <c r="T1628" s="154">
        <v>3.9969999999999999</v>
      </c>
      <c r="U1628" s="153" t="s">
        <v>3306</v>
      </c>
      <c r="V1628" s="155">
        <v>6.762E-2</v>
      </c>
      <c r="W1628" s="155">
        <v>4.3929999999999997E-2</v>
      </c>
      <c r="X1628" s="153" t="s">
        <v>412</v>
      </c>
      <c r="Y1628" s="153" t="s">
        <v>339</v>
      </c>
      <c r="Z1628" s="154">
        <v>46000</v>
      </c>
      <c r="AA1628" s="154">
        <v>4.1524000000000001</v>
      </c>
      <c r="AB1628" s="154">
        <v>112.438</v>
      </c>
      <c r="AD1628" s="154">
        <v>214.76900000000001</v>
      </c>
      <c r="AG1628" s="157" t="s">
        <v>15</v>
      </c>
      <c r="AH1628" s="155">
        <v>6.0000000000000002E-5</v>
      </c>
      <c r="AI1628" s="155">
        <f t="shared" si="25"/>
        <v>2.9065339042085069E-4</v>
      </c>
      <c r="AJ1628" s="155">
        <v>6.4234528113306255E-5</v>
      </c>
    </row>
    <row r="1629" spans="1:36" s="160" customFormat="1">
      <c r="A1629" s="153" t="s">
        <v>1213</v>
      </c>
      <c r="B1629" s="160">
        <v>9629</v>
      </c>
      <c r="C1629" s="153" t="s">
        <v>1573</v>
      </c>
      <c r="D1629" s="153" t="s">
        <v>1574</v>
      </c>
      <c r="E1629" s="153" t="s">
        <v>309</v>
      </c>
      <c r="F1629" s="153" t="s">
        <v>2277</v>
      </c>
      <c r="G1629" s="153" t="s">
        <v>2278</v>
      </c>
      <c r="H1629" s="153" t="s">
        <v>321</v>
      </c>
      <c r="I1629" s="153" t="s">
        <v>754</v>
      </c>
      <c r="J1629" s="153" t="s">
        <v>204</v>
      </c>
      <c r="K1629" s="153" t="s">
        <v>204</v>
      </c>
      <c r="L1629" s="153" t="s">
        <v>325</v>
      </c>
      <c r="M1629" s="153" t="s">
        <v>340</v>
      </c>
      <c r="N1629" s="153" t="s">
        <v>448</v>
      </c>
      <c r="O1629" s="153" t="s">
        <v>339</v>
      </c>
      <c r="P1629" s="153" t="s">
        <v>1215</v>
      </c>
      <c r="Q1629" s="153" t="s">
        <v>413</v>
      </c>
      <c r="R1629" s="153" t="s">
        <v>407</v>
      </c>
      <c r="S1629" s="153" t="s">
        <v>1212</v>
      </c>
      <c r="T1629" s="154">
        <v>3.14</v>
      </c>
      <c r="U1629" s="153" t="s">
        <v>2279</v>
      </c>
      <c r="V1629" s="155">
        <v>1.49E-2</v>
      </c>
      <c r="W1629" s="155">
        <v>2.3099999999999999E-2</v>
      </c>
      <c r="X1629" s="153" t="s">
        <v>412</v>
      </c>
      <c r="Y1629" s="153" t="s">
        <v>339</v>
      </c>
      <c r="Z1629" s="154">
        <v>744100</v>
      </c>
      <c r="AA1629" s="154">
        <v>1</v>
      </c>
      <c r="AB1629" s="154">
        <v>105.15</v>
      </c>
      <c r="AD1629" s="154">
        <v>782.42100000000005</v>
      </c>
      <c r="AG1629" s="157" t="s">
        <v>15</v>
      </c>
      <c r="AH1629" s="155">
        <v>2.4000000000000001E-4</v>
      </c>
      <c r="AI1629" s="155">
        <f t="shared" si="25"/>
        <v>3.636924727997963E-2</v>
      </c>
      <c r="AJ1629" s="155">
        <v>2.820505442992555E-3</v>
      </c>
    </row>
    <row r="1630" spans="1:36" s="160" customFormat="1">
      <c r="A1630" s="153" t="s">
        <v>1213</v>
      </c>
      <c r="B1630" s="160">
        <v>9629</v>
      </c>
      <c r="C1630" s="153" t="s">
        <v>1529</v>
      </c>
      <c r="D1630" s="153" t="s">
        <v>1530</v>
      </c>
      <c r="E1630" s="153" t="s">
        <v>309</v>
      </c>
      <c r="F1630" s="153" t="s">
        <v>1960</v>
      </c>
      <c r="G1630" s="153" t="s">
        <v>1961</v>
      </c>
      <c r="H1630" s="153" t="s">
        <v>321</v>
      </c>
      <c r="I1630" s="153" t="s">
        <v>754</v>
      </c>
      <c r="J1630" s="153" t="s">
        <v>204</v>
      </c>
      <c r="K1630" s="153" t="s">
        <v>204</v>
      </c>
      <c r="L1630" s="153" t="s">
        <v>325</v>
      </c>
      <c r="M1630" s="153" t="s">
        <v>340</v>
      </c>
      <c r="N1630" s="153" t="s">
        <v>440</v>
      </c>
      <c r="O1630" s="153" t="s">
        <v>339</v>
      </c>
      <c r="P1630" s="153" t="s">
        <v>1527</v>
      </c>
      <c r="Q1630" s="153" t="s">
        <v>415</v>
      </c>
      <c r="R1630" s="153" t="s">
        <v>407</v>
      </c>
      <c r="S1630" s="153" t="s">
        <v>1212</v>
      </c>
      <c r="T1630" s="154">
        <v>3.67</v>
      </c>
      <c r="U1630" s="153" t="s">
        <v>1962</v>
      </c>
      <c r="V1630" s="155">
        <v>1.7999999999999999E-2</v>
      </c>
      <c r="W1630" s="155">
        <v>3.6600000000000001E-2</v>
      </c>
      <c r="X1630" s="153" t="s">
        <v>412</v>
      </c>
      <c r="Y1630" s="153" t="s">
        <v>339</v>
      </c>
      <c r="Z1630" s="154">
        <v>677250</v>
      </c>
      <c r="AA1630" s="154">
        <v>1</v>
      </c>
      <c r="AB1630" s="154">
        <v>107.89</v>
      </c>
      <c r="AD1630" s="154">
        <v>730.68499999999995</v>
      </c>
      <c r="AG1630" s="157" t="s">
        <v>15</v>
      </c>
      <c r="AH1630" s="155">
        <v>7.2000000000000005E-4</v>
      </c>
      <c r="AI1630" s="155">
        <f t="shared" si="25"/>
        <v>3.3964404647589867E-2</v>
      </c>
      <c r="AJ1630" s="155">
        <v>2.6340052473195568E-3</v>
      </c>
    </row>
    <row r="1631" spans="1:36" s="160" customFormat="1">
      <c r="A1631" s="153" t="s">
        <v>1213</v>
      </c>
      <c r="B1631" s="160">
        <v>9629</v>
      </c>
      <c r="C1631" s="153" t="s">
        <v>455</v>
      </c>
      <c r="D1631" s="153" t="s">
        <v>2106</v>
      </c>
      <c r="E1631" s="153" t="s">
        <v>309</v>
      </c>
      <c r="F1631" s="153" t="s">
        <v>2289</v>
      </c>
      <c r="G1631" s="153" t="s">
        <v>2290</v>
      </c>
      <c r="H1631" s="153" t="s">
        <v>321</v>
      </c>
      <c r="I1631" s="153" t="s">
        <v>754</v>
      </c>
      <c r="J1631" s="153" t="s">
        <v>204</v>
      </c>
      <c r="K1631" s="153" t="s">
        <v>204</v>
      </c>
      <c r="L1631" s="153" t="s">
        <v>325</v>
      </c>
      <c r="M1631" s="153" t="s">
        <v>340</v>
      </c>
      <c r="N1631" s="153" t="s">
        <v>440</v>
      </c>
      <c r="O1631" s="153" t="s">
        <v>339</v>
      </c>
      <c r="P1631" s="153" t="s">
        <v>1923</v>
      </c>
      <c r="Q1631" s="153" t="s">
        <v>415</v>
      </c>
      <c r="R1631" s="153" t="s">
        <v>407</v>
      </c>
      <c r="S1631" s="153" t="s">
        <v>1212</v>
      </c>
      <c r="T1631" s="154">
        <v>3.44</v>
      </c>
      <c r="U1631" s="153" t="s">
        <v>2291</v>
      </c>
      <c r="V1631" s="155">
        <v>1.7399999999999999E-2</v>
      </c>
      <c r="W1631" s="155">
        <v>2.5700000000000001E-2</v>
      </c>
      <c r="X1631" s="153" t="s">
        <v>412</v>
      </c>
      <c r="Y1631" s="153" t="s">
        <v>339</v>
      </c>
      <c r="Z1631" s="154">
        <v>579655.78</v>
      </c>
      <c r="AA1631" s="154">
        <v>1</v>
      </c>
      <c r="AB1631" s="154">
        <v>121.2</v>
      </c>
      <c r="AC1631" s="154">
        <v>12.959</v>
      </c>
      <c r="AD1631" s="154">
        <v>715.50099999999998</v>
      </c>
      <c r="AG1631" s="157" t="s">
        <v>15</v>
      </c>
      <c r="AH1631" s="155">
        <v>2.3000000000000001E-4</v>
      </c>
      <c r="AI1631" s="155">
        <f t="shared" si="25"/>
        <v>3.3258607320192965E-2</v>
      </c>
      <c r="AJ1631" s="155">
        <v>2.5792692999889013E-3</v>
      </c>
    </row>
    <row r="1632" spans="1:36" s="160" customFormat="1">
      <c r="A1632" s="153" t="s">
        <v>1213</v>
      </c>
      <c r="B1632" s="160">
        <v>9629</v>
      </c>
      <c r="C1632" s="153" t="s">
        <v>1759</v>
      </c>
      <c r="D1632" s="153" t="s">
        <v>1760</v>
      </c>
      <c r="E1632" s="153" t="s">
        <v>309</v>
      </c>
      <c r="F1632" s="153" t="s">
        <v>1914</v>
      </c>
      <c r="G1632" s="153" t="s">
        <v>1915</v>
      </c>
      <c r="H1632" s="153" t="s">
        <v>321</v>
      </c>
      <c r="I1632" s="153" t="s">
        <v>754</v>
      </c>
      <c r="J1632" s="153" t="s">
        <v>204</v>
      </c>
      <c r="K1632" s="153" t="s">
        <v>204</v>
      </c>
      <c r="L1632" s="153" t="s">
        <v>325</v>
      </c>
      <c r="M1632" s="153" t="s">
        <v>340</v>
      </c>
      <c r="N1632" s="153" t="s">
        <v>465</v>
      </c>
      <c r="O1632" s="153" t="s">
        <v>339</v>
      </c>
      <c r="P1632" s="153" t="s">
        <v>1614</v>
      </c>
      <c r="Q1632" s="153" t="s">
        <v>415</v>
      </c>
      <c r="R1632" s="153" t="s">
        <v>407</v>
      </c>
      <c r="S1632" s="153" t="s">
        <v>1212</v>
      </c>
      <c r="T1632" s="154">
        <v>4.05</v>
      </c>
      <c r="U1632" s="153" t="s">
        <v>1916</v>
      </c>
      <c r="V1632" s="155">
        <v>4.8500000000000001E-3</v>
      </c>
      <c r="W1632" s="155">
        <v>4.02E-2</v>
      </c>
      <c r="X1632" s="153" t="s">
        <v>412</v>
      </c>
      <c r="Y1632" s="153" t="s">
        <v>339</v>
      </c>
      <c r="Z1632" s="154">
        <v>719000</v>
      </c>
      <c r="AA1632" s="154">
        <v>1</v>
      </c>
      <c r="AB1632" s="154">
        <v>97.5</v>
      </c>
      <c r="AD1632" s="154">
        <v>701.02499999999998</v>
      </c>
      <c r="AG1632" s="157" t="s">
        <v>15</v>
      </c>
      <c r="AH1632" s="155">
        <v>1.15E-3</v>
      </c>
      <c r="AI1632" s="155">
        <f t="shared" si="25"/>
        <v>3.2585719931402295E-2</v>
      </c>
      <c r="AJ1632" s="155">
        <v>2.5270855820253495E-3</v>
      </c>
    </row>
    <row r="1633" spans="1:36" s="160" customFormat="1">
      <c r="A1633" s="153" t="s">
        <v>1213</v>
      </c>
      <c r="B1633" s="160">
        <v>9629</v>
      </c>
      <c r="C1633" s="153" t="s">
        <v>455</v>
      </c>
      <c r="D1633" s="153" t="s">
        <v>2106</v>
      </c>
      <c r="E1633" s="153" t="s">
        <v>309</v>
      </c>
      <c r="F1633" s="153" t="s">
        <v>2160</v>
      </c>
      <c r="G1633" s="153" t="s">
        <v>2161</v>
      </c>
      <c r="H1633" s="153" t="s">
        <v>321</v>
      </c>
      <c r="I1633" s="153" t="s">
        <v>754</v>
      </c>
      <c r="J1633" s="153" t="s">
        <v>204</v>
      </c>
      <c r="K1633" s="153" t="s">
        <v>204</v>
      </c>
      <c r="L1633" s="153" t="s">
        <v>325</v>
      </c>
      <c r="M1633" s="153" t="s">
        <v>340</v>
      </c>
      <c r="N1633" s="153" t="s">
        <v>440</v>
      </c>
      <c r="O1633" s="153" t="s">
        <v>339</v>
      </c>
      <c r="P1633" s="153" t="s">
        <v>1923</v>
      </c>
      <c r="Q1633" s="153" t="s">
        <v>415</v>
      </c>
      <c r="R1633" s="153" t="s">
        <v>407</v>
      </c>
      <c r="S1633" s="153" t="s">
        <v>1212</v>
      </c>
      <c r="T1633" s="154">
        <v>0.9</v>
      </c>
      <c r="U1633" s="153" t="s">
        <v>2162</v>
      </c>
      <c r="V1633" s="155">
        <v>1.908E-2</v>
      </c>
      <c r="W1633" s="155">
        <v>2.6100000000000002E-2</v>
      </c>
      <c r="X1633" s="153" t="s">
        <v>412</v>
      </c>
      <c r="Y1633" s="153" t="s">
        <v>339</v>
      </c>
      <c r="Z1633" s="154">
        <v>554055</v>
      </c>
      <c r="AA1633" s="154">
        <v>1</v>
      </c>
      <c r="AB1633" s="154">
        <v>119.4</v>
      </c>
      <c r="AD1633" s="154">
        <v>661.54200000000003</v>
      </c>
      <c r="AG1633" s="157" t="s">
        <v>15</v>
      </c>
      <c r="AH1633" s="155">
        <v>1.9000000000000001E-4</v>
      </c>
      <c r="AI1633" s="155">
        <f t="shared" si="25"/>
        <v>3.0750433058535344E-2</v>
      </c>
      <c r="AJ1633" s="155">
        <v>2.3847555366844461E-3</v>
      </c>
    </row>
    <row r="1634" spans="1:36" s="160" customFormat="1">
      <c r="A1634" s="153" t="s">
        <v>1213</v>
      </c>
      <c r="B1634" s="160">
        <v>9629</v>
      </c>
      <c r="C1634" s="153" t="s">
        <v>1600</v>
      </c>
      <c r="D1634" s="153" t="s">
        <v>1601</v>
      </c>
      <c r="E1634" s="153" t="s">
        <v>309</v>
      </c>
      <c r="F1634" s="153" t="s">
        <v>2701</v>
      </c>
      <c r="G1634" s="153" t="s">
        <v>2702</v>
      </c>
      <c r="H1634" s="153" t="s">
        <v>321</v>
      </c>
      <c r="I1634" s="153" t="s">
        <v>754</v>
      </c>
      <c r="J1634" s="153" t="s">
        <v>204</v>
      </c>
      <c r="K1634" s="153" t="s">
        <v>204</v>
      </c>
      <c r="L1634" s="153" t="s">
        <v>325</v>
      </c>
      <c r="M1634" s="153" t="s">
        <v>340</v>
      </c>
      <c r="N1634" s="153" t="s">
        <v>448</v>
      </c>
      <c r="O1634" s="153" t="s">
        <v>339</v>
      </c>
      <c r="P1634" s="153" t="s">
        <v>1566</v>
      </c>
      <c r="Q1634" s="153" t="s">
        <v>413</v>
      </c>
      <c r="R1634" s="153" t="s">
        <v>407</v>
      </c>
      <c r="S1634" s="153" t="s">
        <v>1212</v>
      </c>
      <c r="T1634" s="154">
        <v>4.68</v>
      </c>
      <c r="U1634" s="153" t="s">
        <v>2703</v>
      </c>
      <c r="V1634" s="155">
        <v>3.7100000000000001E-2</v>
      </c>
      <c r="W1634" s="155">
        <v>3.1600000000000003E-2</v>
      </c>
      <c r="X1634" s="153" t="s">
        <v>411</v>
      </c>
      <c r="Y1634" s="153" t="s">
        <v>339</v>
      </c>
      <c r="Z1634" s="154">
        <v>600000</v>
      </c>
      <c r="AA1634" s="154">
        <v>1</v>
      </c>
      <c r="AB1634" s="154">
        <v>108.99</v>
      </c>
      <c r="AD1634" s="154">
        <v>653.94000000000005</v>
      </c>
      <c r="AG1634" s="157" t="s">
        <v>15</v>
      </c>
      <c r="AH1634" s="155">
        <v>1.56E-3</v>
      </c>
      <c r="AI1634" s="155">
        <f t="shared" si="25"/>
        <v>3.0397069565195566E-2</v>
      </c>
      <c r="AJ1634" s="155">
        <v>2.3573515145817298E-3</v>
      </c>
    </row>
    <row r="1635" spans="1:36" s="160" customFormat="1">
      <c r="A1635" s="153" t="s">
        <v>1213</v>
      </c>
      <c r="B1635" s="160">
        <v>9629</v>
      </c>
      <c r="C1635" s="153" t="s">
        <v>1600</v>
      </c>
      <c r="D1635" s="153" t="s">
        <v>1601</v>
      </c>
      <c r="E1635" s="153" t="s">
        <v>309</v>
      </c>
      <c r="F1635" s="153" t="s">
        <v>2333</v>
      </c>
      <c r="G1635" s="153" t="s">
        <v>2334</v>
      </c>
      <c r="H1635" s="153" t="s">
        <v>321</v>
      </c>
      <c r="I1635" s="153" t="s">
        <v>754</v>
      </c>
      <c r="J1635" s="153" t="s">
        <v>204</v>
      </c>
      <c r="K1635" s="153" t="s">
        <v>204</v>
      </c>
      <c r="L1635" s="153" t="s">
        <v>325</v>
      </c>
      <c r="M1635" s="153" t="s">
        <v>340</v>
      </c>
      <c r="N1635" s="153" t="s">
        <v>448</v>
      </c>
      <c r="O1635" s="153" t="s">
        <v>339</v>
      </c>
      <c r="P1635" s="153" t="s">
        <v>1215</v>
      </c>
      <c r="Q1635" s="153" t="s">
        <v>413</v>
      </c>
      <c r="R1635" s="153" t="s">
        <v>407</v>
      </c>
      <c r="S1635" s="153" t="s">
        <v>1212</v>
      </c>
      <c r="T1635" s="154">
        <v>3.56</v>
      </c>
      <c r="U1635" s="153" t="s">
        <v>2335</v>
      </c>
      <c r="V1635" s="155">
        <v>-5.3200000000000001E-3</v>
      </c>
      <c r="W1635" s="155">
        <v>2.4E-2</v>
      </c>
      <c r="X1635" s="153" t="s">
        <v>412</v>
      </c>
      <c r="Y1635" s="153" t="s">
        <v>339</v>
      </c>
      <c r="Z1635" s="154">
        <v>600000</v>
      </c>
      <c r="AA1635" s="154">
        <v>1</v>
      </c>
      <c r="AB1635" s="154">
        <v>103.73</v>
      </c>
      <c r="AD1635" s="154">
        <v>622.38</v>
      </c>
      <c r="AG1635" s="157" t="s">
        <v>15</v>
      </c>
      <c r="AH1635" s="155">
        <v>5.2999999999999998E-4</v>
      </c>
      <c r="AI1635" s="155">
        <f t="shared" si="25"/>
        <v>2.8930067217155114E-2</v>
      </c>
      <c r="AJ1635" s="155">
        <v>2.2435826461837125E-3</v>
      </c>
    </row>
    <row r="1636" spans="1:36" s="160" customFormat="1">
      <c r="A1636" s="153" t="s">
        <v>1213</v>
      </c>
      <c r="B1636" s="160">
        <v>9629</v>
      </c>
      <c r="C1636" s="153" t="s">
        <v>2638</v>
      </c>
      <c r="D1636" s="153" t="s">
        <v>2639</v>
      </c>
      <c r="E1636" s="153" t="s">
        <v>311</v>
      </c>
      <c r="F1636" s="153" t="s">
        <v>2640</v>
      </c>
      <c r="G1636" s="153" t="s">
        <v>2641</v>
      </c>
      <c r="H1636" s="153" t="s">
        <v>321</v>
      </c>
      <c r="I1636" s="153" t="s">
        <v>755</v>
      </c>
      <c r="J1636" s="153" t="s">
        <v>204</v>
      </c>
      <c r="K1636" s="153" t="s">
        <v>204</v>
      </c>
      <c r="L1636" s="153" t="s">
        <v>325</v>
      </c>
      <c r="M1636" s="153" t="s">
        <v>340</v>
      </c>
      <c r="N1636" s="153" t="s">
        <v>465</v>
      </c>
      <c r="O1636" s="153" t="s">
        <v>339</v>
      </c>
      <c r="P1636" s="153" t="s">
        <v>1982</v>
      </c>
      <c r="Q1636" s="153" t="s">
        <v>415</v>
      </c>
      <c r="R1636" s="153" t="s">
        <v>407</v>
      </c>
      <c r="S1636" s="153" t="s">
        <v>1212</v>
      </c>
      <c r="T1636" s="154">
        <v>2.91</v>
      </c>
      <c r="U1636" s="153" t="s">
        <v>1664</v>
      </c>
      <c r="V1636" s="155">
        <v>7.0559999999999998E-2</v>
      </c>
      <c r="W1636" s="155">
        <v>0.10150000000000001</v>
      </c>
      <c r="X1636" s="153" t="s">
        <v>412</v>
      </c>
      <c r="Y1636" s="153" t="s">
        <v>339</v>
      </c>
      <c r="Z1636" s="154">
        <v>649517.05000000005</v>
      </c>
      <c r="AA1636" s="154">
        <v>1</v>
      </c>
      <c r="AB1636" s="154">
        <v>89.69</v>
      </c>
      <c r="AD1636" s="154">
        <v>582.55200000000002</v>
      </c>
      <c r="AG1636" s="157" t="s">
        <v>15</v>
      </c>
      <c r="AH1636" s="155">
        <v>5.9000000000000003E-4</v>
      </c>
      <c r="AI1636" s="155">
        <f t="shared" si="25"/>
        <v>2.7078743721662239E-2</v>
      </c>
      <c r="AJ1636" s="155">
        <v>2.1000089297529066E-3</v>
      </c>
    </row>
    <row r="1637" spans="1:36" s="160" customFormat="1">
      <c r="A1637" s="153" t="s">
        <v>1213</v>
      </c>
      <c r="B1637" s="160">
        <v>9629</v>
      </c>
      <c r="C1637" s="153" t="s">
        <v>2373</v>
      </c>
      <c r="D1637" s="153" t="s">
        <v>2374</v>
      </c>
      <c r="E1637" s="153" t="s">
        <v>309</v>
      </c>
      <c r="F1637" s="153" t="s">
        <v>2375</v>
      </c>
      <c r="G1637" s="153" t="s">
        <v>2376</v>
      </c>
      <c r="H1637" s="153" t="s">
        <v>321</v>
      </c>
      <c r="I1637" s="153" t="s">
        <v>755</v>
      </c>
      <c r="J1637" s="153" t="s">
        <v>204</v>
      </c>
      <c r="K1637" s="153" t="s">
        <v>204</v>
      </c>
      <c r="L1637" s="153" t="s">
        <v>325</v>
      </c>
      <c r="M1637" s="153" t="s">
        <v>340</v>
      </c>
      <c r="N1637" s="153" t="s">
        <v>454</v>
      </c>
      <c r="O1637" s="153" t="s">
        <v>339</v>
      </c>
      <c r="P1637" s="153" t="s">
        <v>1544</v>
      </c>
      <c r="Q1637" s="153" t="s">
        <v>415</v>
      </c>
      <c r="R1637" s="153" t="s">
        <v>407</v>
      </c>
      <c r="S1637" s="153" t="s">
        <v>1212</v>
      </c>
      <c r="T1637" s="154">
        <v>2.97</v>
      </c>
      <c r="U1637" s="153" t="s">
        <v>2377</v>
      </c>
      <c r="V1637" s="155">
        <v>4.3470000000000002E-2</v>
      </c>
      <c r="W1637" s="155">
        <v>7.6100000000000001E-2</v>
      </c>
      <c r="X1637" s="153" t="s">
        <v>412</v>
      </c>
      <c r="Y1637" s="153" t="s">
        <v>339</v>
      </c>
      <c r="Z1637" s="154">
        <v>575932.89</v>
      </c>
      <c r="AA1637" s="154">
        <v>1</v>
      </c>
      <c r="AB1637" s="154">
        <v>97.95</v>
      </c>
      <c r="AD1637" s="154">
        <v>564.12599999999998</v>
      </c>
      <c r="AG1637" s="157" t="s">
        <v>15</v>
      </c>
      <c r="AH1637" s="155">
        <v>4.2999999999999999E-4</v>
      </c>
      <c r="AI1637" s="155">
        <f t="shared" si="25"/>
        <v>2.6222248624545846E-2</v>
      </c>
      <c r="AJ1637" s="155">
        <v>2.0335860790209083E-3</v>
      </c>
    </row>
    <row r="1638" spans="1:36" s="160" customFormat="1">
      <c r="A1638" s="153" t="s">
        <v>1213</v>
      </c>
      <c r="B1638" s="160">
        <v>9629</v>
      </c>
      <c r="C1638" s="153" t="s">
        <v>2110</v>
      </c>
      <c r="D1638" s="153" t="s">
        <v>2111</v>
      </c>
      <c r="E1638" s="153" t="s">
        <v>309</v>
      </c>
      <c r="F1638" s="153" t="s">
        <v>2115</v>
      </c>
      <c r="G1638" s="153" t="s">
        <v>2116</v>
      </c>
      <c r="H1638" s="153" t="s">
        <v>321</v>
      </c>
      <c r="I1638" s="153" t="s">
        <v>754</v>
      </c>
      <c r="J1638" s="153" t="s">
        <v>204</v>
      </c>
      <c r="K1638" s="153" t="s">
        <v>204</v>
      </c>
      <c r="L1638" s="153" t="s">
        <v>325</v>
      </c>
      <c r="M1638" s="153" t="s">
        <v>340</v>
      </c>
      <c r="N1638" s="153" t="s">
        <v>465</v>
      </c>
      <c r="O1638" s="153" t="s">
        <v>339</v>
      </c>
      <c r="P1638" s="153" t="s">
        <v>1538</v>
      </c>
      <c r="Q1638" s="153" t="s">
        <v>413</v>
      </c>
      <c r="R1638" s="153" t="s">
        <v>407</v>
      </c>
      <c r="S1638" s="153" t="s">
        <v>1212</v>
      </c>
      <c r="T1638" s="154">
        <v>2.95</v>
      </c>
      <c r="U1638" s="153" t="s">
        <v>1951</v>
      </c>
      <c r="V1638" s="155">
        <v>8.9999999999999998E-4</v>
      </c>
      <c r="W1638" s="155">
        <v>2.63E-2</v>
      </c>
      <c r="X1638" s="153" t="s">
        <v>412</v>
      </c>
      <c r="Y1638" s="153" t="s">
        <v>339</v>
      </c>
      <c r="Z1638" s="154">
        <v>517770</v>
      </c>
      <c r="AA1638" s="154">
        <v>1</v>
      </c>
      <c r="AB1638" s="154">
        <v>105.76</v>
      </c>
      <c r="AC1638" s="154">
        <v>7.3559999999999999</v>
      </c>
      <c r="AD1638" s="154">
        <v>554.94899999999996</v>
      </c>
      <c r="AG1638" s="157" t="s">
        <v>15</v>
      </c>
      <c r="AH1638" s="155">
        <v>7.6000000000000004E-4</v>
      </c>
      <c r="AI1638" s="155">
        <f t="shared" si="25"/>
        <v>2.5795674462696441E-2</v>
      </c>
      <c r="AJ1638" s="155">
        <v>2.0005044280295074E-3</v>
      </c>
    </row>
    <row r="1639" spans="1:36" s="160" customFormat="1">
      <c r="A1639" s="153" t="s">
        <v>1213</v>
      </c>
      <c r="B1639" s="160">
        <v>9629</v>
      </c>
      <c r="C1639" s="153" t="s">
        <v>1718</v>
      </c>
      <c r="D1639" s="153" t="s">
        <v>1719</v>
      </c>
      <c r="E1639" s="153" t="s">
        <v>309</v>
      </c>
      <c r="F1639" s="153" t="s">
        <v>1720</v>
      </c>
      <c r="G1639" s="153" t="s">
        <v>1721</v>
      </c>
      <c r="H1639" s="153" t="s">
        <v>321</v>
      </c>
      <c r="I1639" s="153" t="s">
        <v>951</v>
      </c>
      <c r="J1639" s="153" t="s">
        <v>204</v>
      </c>
      <c r="K1639" s="153" t="s">
        <v>204</v>
      </c>
      <c r="L1639" s="153" t="s">
        <v>325</v>
      </c>
      <c r="M1639" s="153" t="s">
        <v>340</v>
      </c>
      <c r="N1639" s="153" t="s">
        <v>440</v>
      </c>
      <c r="O1639" s="153" t="s">
        <v>339</v>
      </c>
      <c r="P1639" s="153" t="s">
        <v>1527</v>
      </c>
      <c r="Q1639" s="153" t="s">
        <v>415</v>
      </c>
      <c r="R1639" s="153" t="s">
        <v>407</v>
      </c>
      <c r="S1639" s="153" t="s">
        <v>1212</v>
      </c>
      <c r="T1639" s="154">
        <v>3</v>
      </c>
      <c r="U1639" s="153" t="s">
        <v>1722</v>
      </c>
      <c r="V1639" s="155">
        <v>7.2499999999999995E-2</v>
      </c>
      <c r="W1639" s="155">
        <v>6.4000000000000001E-2</v>
      </c>
      <c r="X1639" s="153" t="s">
        <v>412</v>
      </c>
      <c r="Y1639" s="153" t="s">
        <v>339</v>
      </c>
      <c r="Z1639" s="154">
        <v>516600</v>
      </c>
      <c r="AA1639" s="154">
        <v>1</v>
      </c>
      <c r="AB1639" s="154">
        <v>105.92</v>
      </c>
      <c r="AD1639" s="154">
        <v>547.18299999999999</v>
      </c>
      <c r="AG1639" s="157" t="s">
        <v>15</v>
      </c>
      <c r="AH1639" s="155">
        <v>7.2000000000000005E-4</v>
      </c>
      <c r="AI1639" s="155">
        <f t="shared" si="25"/>
        <v>2.5434687763238834E-2</v>
      </c>
      <c r="AJ1639" s="155">
        <v>1.9725092115536204E-3</v>
      </c>
    </row>
    <row r="1640" spans="1:36" s="160" customFormat="1">
      <c r="A1640" s="153" t="s">
        <v>1213</v>
      </c>
      <c r="B1640" s="160">
        <v>9629</v>
      </c>
      <c r="C1640" s="153" t="s">
        <v>2741</v>
      </c>
      <c r="D1640" s="153" t="s">
        <v>2742</v>
      </c>
      <c r="E1640" s="153" t="s">
        <v>309</v>
      </c>
      <c r="F1640" s="153" t="s">
        <v>2743</v>
      </c>
      <c r="G1640" s="153" t="s">
        <v>2744</v>
      </c>
      <c r="H1640" s="153" t="s">
        <v>321</v>
      </c>
      <c r="I1640" s="153" t="s">
        <v>754</v>
      </c>
      <c r="J1640" s="153" t="s">
        <v>204</v>
      </c>
      <c r="K1640" s="153" t="s">
        <v>204</v>
      </c>
      <c r="L1640" s="153" t="s">
        <v>325</v>
      </c>
      <c r="M1640" s="153" t="s">
        <v>340</v>
      </c>
      <c r="N1640" s="153" t="s">
        <v>464</v>
      </c>
      <c r="O1640" s="153" t="s">
        <v>339</v>
      </c>
      <c r="P1640" s="153" t="s">
        <v>1544</v>
      </c>
      <c r="Q1640" s="153" t="s">
        <v>415</v>
      </c>
      <c r="R1640" s="153" t="s">
        <v>407</v>
      </c>
      <c r="S1640" s="153" t="s">
        <v>1212</v>
      </c>
      <c r="T1640" s="154">
        <v>6.4</v>
      </c>
      <c r="U1640" s="153" t="s">
        <v>2745</v>
      </c>
      <c r="V1640" s="155">
        <v>1.0999999999999999E-2</v>
      </c>
      <c r="W1640" s="155">
        <v>3.6600000000000001E-2</v>
      </c>
      <c r="X1640" s="153" t="s">
        <v>412</v>
      </c>
      <c r="Y1640" s="153" t="s">
        <v>339</v>
      </c>
      <c r="Z1640" s="154">
        <v>588219.28</v>
      </c>
      <c r="AA1640" s="154">
        <v>1</v>
      </c>
      <c r="AB1640" s="154">
        <v>91</v>
      </c>
      <c r="AD1640" s="154">
        <v>535.28</v>
      </c>
      <c r="AG1640" s="157" t="s">
        <v>15</v>
      </c>
      <c r="AH1640" s="155">
        <v>2.6700000000000001E-3</v>
      </c>
      <c r="AI1640" s="155">
        <f t="shared" si="25"/>
        <v>2.4881401041162612E-2</v>
      </c>
      <c r="AJ1640" s="155">
        <v>1.9296007565301223E-3</v>
      </c>
    </row>
    <row r="1641" spans="1:36" s="160" customFormat="1">
      <c r="A1641" s="153" t="s">
        <v>1213</v>
      </c>
      <c r="B1641" s="160">
        <v>9629</v>
      </c>
      <c r="C1641" s="153" t="s">
        <v>1512</v>
      </c>
      <c r="D1641" s="153" t="s">
        <v>1513</v>
      </c>
      <c r="E1641" s="153" t="s">
        <v>309</v>
      </c>
      <c r="F1641" s="153" t="s">
        <v>1898</v>
      </c>
      <c r="G1641" s="153" t="s">
        <v>1899</v>
      </c>
      <c r="H1641" s="153" t="s">
        <v>321</v>
      </c>
      <c r="I1641" s="153" t="s">
        <v>754</v>
      </c>
      <c r="J1641" s="153" t="s">
        <v>204</v>
      </c>
      <c r="K1641" s="153" t="s">
        <v>204</v>
      </c>
      <c r="L1641" s="153" t="s">
        <v>325</v>
      </c>
      <c r="M1641" s="153" t="s">
        <v>340</v>
      </c>
      <c r="N1641" s="153" t="s">
        <v>448</v>
      </c>
      <c r="O1641" s="153" t="s">
        <v>339</v>
      </c>
      <c r="P1641" s="153" t="s">
        <v>1215</v>
      </c>
      <c r="Q1641" s="153" t="s">
        <v>413</v>
      </c>
      <c r="R1641" s="153" t="s">
        <v>407</v>
      </c>
      <c r="S1641" s="153" t="s">
        <v>1212</v>
      </c>
      <c r="T1641" s="154">
        <v>3.43</v>
      </c>
      <c r="U1641" s="153" t="s">
        <v>1900</v>
      </c>
      <c r="V1641" s="155">
        <v>-3.5899999999999999E-3</v>
      </c>
      <c r="W1641" s="155">
        <v>2.4799999999999999E-2</v>
      </c>
      <c r="X1641" s="153" t="s">
        <v>412</v>
      </c>
      <c r="Y1641" s="153" t="s">
        <v>339</v>
      </c>
      <c r="Z1641" s="154">
        <v>504014.4</v>
      </c>
      <c r="AA1641" s="154">
        <v>1</v>
      </c>
      <c r="AB1641" s="154">
        <v>102.63</v>
      </c>
      <c r="AD1641" s="154">
        <v>517.27</v>
      </c>
      <c r="AG1641" s="157" t="s">
        <v>15</v>
      </c>
      <c r="AH1641" s="155">
        <v>1.9000000000000001E-4</v>
      </c>
      <c r="AI1641" s="155">
        <f t="shared" si="25"/>
        <v>2.404424285712559E-2</v>
      </c>
      <c r="AJ1641" s="155">
        <v>1.8646775207934844E-3</v>
      </c>
    </row>
    <row r="1642" spans="1:36" s="160" customFormat="1">
      <c r="A1642" s="153" t="s">
        <v>1213</v>
      </c>
      <c r="B1642" s="160">
        <v>9629</v>
      </c>
      <c r="C1642" s="153" t="s">
        <v>2748</v>
      </c>
      <c r="D1642" s="153" t="s">
        <v>2749</v>
      </c>
      <c r="E1642" s="153" t="s">
        <v>309</v>
      </c>
      <c r="F1642" s="153" t="s">
        <v>2750</v>
      </c>
      <c r="G1642" s="153" t="s">
        <v>2751</v>
      </c>
      <c r="H1642" s="153" t="s">
        <v>321</v>
      </c>
      <c r="I1642" s="153" t="s">
        <v>754</v>
      </c>
      <c r="J1642" s="153" t="s">
        <v>204</v>
      </c>
      <c r="K1642" s="153" t="s">
        <v>204</v>
      </c>
      <c r="L1642" s="153" t="s">
        <v>325</v>
      </c>
      <c r="M1642" s="153" t="s">
        <v>340</v>
      </c>
      <c r="N1642" s="153" t="s">
        <v>464</v>
      </c>
      <c r="O1642" s="153" t="s">
        <v>339</v>
      </c>
      <c r="P1642" s="153" t="s">
        <v>1560</v>
      </c>
      <c r="Q1642" s="153" t="s">
        <v>413</v>
      </c>
      <c r="R1642" s="153" t="s">
        <v>407</v>
      </c>
      <c r="S1642" s="153" t="s">
        <v>1212</v>
      </c>
      <c r="T1642" s="154">
        <v>4.3600000000000003</v>
      </c>
      <c r="U1642" s="153" t="s">
        <v>2752</v>
      </c>
      <c r="V1642" s="155">
        <v>3.9379999999999998E-2</v>
      </c>
      <c r="W1642" s="155">
        <v>3.5099999999999999E-2</v>
      </c>
      <c r="X1642" s="153" t="s">
        <v>412</v>
      </c>
      <c r="Y1642" s="153" t="s">
        <v>339</v>
      </c>
      <c r="Z1642" s="154">
        <v>471037.5</v>
      </c>
      <c r="AA1642" s="154">
        <v>1</v>
      </c>
      <c r="AB1642" s="154">
        <v>108.78</v>
      </c>
      <c r="AD1642" s="154">
        <v>512.39499999999998</v>
      </c>
      <c r="AG1642" s="157" t="s">
        <v>15</v>
      </c>
      <c r="AH1642" s="155">
        <v>1.14E-3</v>
      </c>
      <c r="AI1642" s="155">
        <f t="shared" si="25"/>
        <v>2.3817638406976756E-2</v>
      </c>
      <c r="AJ1642" s="155">
        <v>1.8471039075666044E-3</v>
      </c>
    </row>
    <row r="1643" spans="1:36" s="160" customFormat="1">
      <c r="A1643" s="153" t="s">
        <v>1213</v>
      </c>
      <c r="B1643" s="160">
        <v>9629</v>
      </c>
      <c r="C1643" s="153" t="s">
        <v>455</v>
      </c>
      <c r="D1643" s="153" t="s">
        <v>2106</v>
      </c>
      <c r="E1643" s="153" t="s">
        <v>309</v>
      </c>
      <c r="F1643" s="153" t="s">
        <v>2255</v>
      </c>
      <c r="G1643" s="153" t="s">
        <v>2256</v>
      </c>
      <c r="H1643" s="153" t="s">
        <v>321</v>
      </c>
      <c r="I1643" s="153" t="s">
        <v>754</v>
      </c>
      <c r="J1643" s="153" t="s">
        <v>204</v>
      </c>
      <c r="K1643" s="153" t="s">
        <v>204</v>
      </c>
      <c r="L1643" s="153" t="s">
        <v>325</v>
      </c>
      <c r="M1643" s="153" t="s">
        <v>340</v>
      </c>
      <c r="N1643" s="153" t="s">
        <v>440</v>
      </c>
      <c r="O1643" s="153" t="s">
        <v>339</v>
      </c>
      <c r="P1643" s="153" t="s">
        <v>1923</v>
      </c>
      <c r="Q1643" s="153" t="s">
        <v>415</v>
      </c>
      <c r="R1643" s="153" t="s">
        <v>407</v>
      </c>
      <c r="S1643" s="153" t="s">
        <v>1212</v>
      </c>
      <c r="T1643" s="154">
        <v>5.8</v>
      </c>
      <c r="U1643" s="153" t="s">
        <v>2257</v>
      </c>
      <c r="V1643" s="155">
        <v>6.8100000000000001E-3</v>
      </c>
      <c r="W1643" s="155">
        <v>2.92E-2</v>
      </c>
      <c r="X1643" s="153" t="s">
        <v>412</v>
      </c>
      <c r="Y1643" s="153" t="s">
        <v>339</v>
      </c>
      <c r="Z1643" s="154">
        <v>453000</v>
      </c>
      <c r="AA1643" s="154">
        <v>1</v>
      </c>
      <c r="AB1643" s="154">
        <v>111.74</v>
      </c>
      <c r="AD1643" s="154">
        <v>506.18200000000002</v>
      </c>
      <c r="AG1643" s="157" t="s">
        <v>15</v>
      </c>
      <c r="AH1643" s="155">
        <v>1.2E-4</v>
      </c>
      <c r="AI1643" s="155">
        <f t="shared" si="25"/>
        <v>2.3528839750817845E-2</v>
      </c>
      <c r="AJ1643" s="155">
        <v>1.824707013417147E-3</v>
      </c>
    </row>
    <row r="1644" spans="1:36" s="160" customFormat="1">
      <c r="A1644" s="153" t="s">
        <v>1213</v>
      </c>
      <c r="B1644" s="160">
        <v>9629</v>
      </c>
      <c r="C1644" s="153" t="s">
        <v>2391</v>
      </c>
      <c r="D1644" s="153" t="s">
        <v>2392</v>
      </c>
      <c r="E1644" s="153" t="s">
        <v>309</v>
      </c>
      <c r="F1644" s="153" t="s">
        <v>2528</v>
      </c>
      <c r="G1644" s="153" t="s">
        <v>2529</v>
      </c>
      <c r="H1644" s="153" t="s">
        <v>321</v>
      </c>
      <c r="I1644" s="153" t="s">
        <v>754</v>
      </c>
      <c r="J1644" s="153" t="s">
        <v>204</v>
      </c>
      <c r="K1644" s="153" t="s">
        <v>204</v>
      </c>
      <c r="L1644" s="153" t="s">
        <v>325</v>
      </c>
      <c r="M1644" s="153" t="s">
        <v>340</v>
      </c>
      <c r="N1644" s="153" t="s">
        <v>464</v>
      </c>
      <c r="O1644" s="153" t="s">
        <v>339</v>
      </c>
      <c r="P1644" s="153" t="s">
        <v>1566</v>
      </c>
      <c r="Q1644" s="153" t="s">
        <v>413</v>
      </c>
      <c r="R1644" s="153" t="s">
        <v>407</v>
      </c>
      <c r="S1644" s="153" t="s">
        <v>1212</v>
      </c>
      <c r="T1644" s="154">
        <v>1.21</v>
      </c>
      <c r="U1644" s="153" t="s">
        <v>2530</v>
      </c>
      <c r="V1644" s="155">
        <v>1.507E-2</v>
      </c>
      <c r="W1644" s="155">
        <v>2.6499999999999999E-2</v>
      </c>
      <c r="X1644" s="153" t="s">
        <v>412</v>
      </c>
      <c r="Y1644" s="153" t="s">
        <v>339</v>
      </c>
      <c r="Z1644" s="154">
        <v>390606.3</v>
      </c>
      <c r="AA1644" s="154">
        <v>1</v>
      </c>
      <c r="AB1644" s="154">
        <v>117.11</v>
      </c>
      <c r="AD1644" s="154">
        <v>457.43900000000002</v>
      </c>
      <c r="AG1644" s="157" t="s">
        <v>15</v>
      </c>
      <c r="AH1644" s="155">
        <v>2.0000000000000001E-4</v>
      </c>
      <c r="AI1644" s="155">
        <f t="shared" si="25"/>
        <v>2.1263120630078437E-2</v>
      </c>
      <c r="AJ1644" s="155">
        <v>1.6489961150545184E-3</v>
      </c>
    </row>
    <row r="1645" spans="1:36" s="160" customFormat="1">
      <c r="A1645" s="153" t="s">
        <v>1213</v>
      </c>
      <c r="B1645" s="160">
        <v>9629</v>
      </c>
      <c r="C1645" s="153" t="s">
        <v>1904</v>
      </c>
      <c r="D1645" s="153" t="s">
        <v>1905</v>
      </c>
      <c r="E1645" s="153" t="s">
        <v>309</v>
      </c>
      <c r="F1645" s="153" t="s">
        <v>1906</v>
      </c>
      <c r="G1645" s="153" t="s">
        <v>1907</v>
      </c>
      <c r="H1645" s="153" t="s">
        <v>321</v>
      </c>
      <c r="I1645" s="153" t="s">
        <v>754</v>
      </c>
      <c r="J1645" s="153" t="s">
        <v>204</v>
      </c>
      <c r="K1645" s="153" t="s">
        <v>204</v>
      </c>
      <c r="L1645" s="153" t="s">
        <v>325</v>
      </c>
      <c r="M1645" s="153" t="s">
        <v>340</v>
      </c>
      <c r="N1645" s="153" t="s">
        <v>448</v>
      </c>
      <c r="O1645" s="153" t="s">
        <v>339</v>
      </c>
      <c r="P1645" s="153" t="s">
        <v>1215</v>
      </c>
      <c r="Q1645" s="153" t="s">
        <v>413</v>
      </c>
      <c r="R1645" s="153" t="s">
        <v>407</v>
      </c>
      <c r="S1645" s="153" t="s">
        <v>1212</v>
      </c>
      <c r="T1645" s="154">
        <v>3.98</v>
      </c>
      <c r="U1645" s="153" t="s">
        <v>1908</v>
      </c>
      <c r="V1645" s="155">
        <v>2.7040000000000002E-2</v>
      </c>
      <c r="W1645" s="155">
        <v>2.52E-2</v>
      </c>
      <c r="X1645" s="153" t="s">
        <v>412</v>
      </c>
      <c r="Y1645" s="153" t="s">
        <v>339</v>
      </c>
      <c r="Z1645" s="154">
        <v>427976.88</v>
      </c>
      <c r="AA1645" s="154">
        <v>1</v>
      </c>
      <c r="AB1645" s="154">
        <v>102.6</v>
      </c>
      <c r="AD1645" s="154">
        <v>439.10399999999998</v>
      </c>
      <c r="AG1645" s="157" t="s">
        <v>15</v>
      </c>
      <c r="AH1645" s="155">
        <v>1.2E-4</v>
      </c>
      <c r="AI1645" s="155">
        <f t="shared" si="25"/>
        <v>2.0410855482698154E-2</v>
      </c>
      <c r="AJ1645" s="155">
        <v>1.5829013051027552E-3</v>
      </c>
    </row>
    <row r="1646" spans="1:36" s="160" customFormat="1">
      <c r="A1646" s="153" t="s">
        <v>1213</v>
      </c>
      <c r="B1646" s="160">
        <v>9629</v>
      </c>
      <c r="C1646" s="153" t="s">
        <v>2753</v>
      </c>
      <c r="D1646" s="153" t="s">
        <v>2754</v>
      </c>
      <c r="E1646" s="153" t="s">
        <v>309</v>
      </c>
      <c r="F1646" s="153" t="s">
        <v>2755</v>
      </c>
      <c r="G1646" s="153" t="s">
        <v>2756</v>
      </c>
      <c r="H1646" s="153" t="s">
        <v>321</v>
      </c>
      <c r="I1646" s="153" t="s">
        <v>951</v>
      </c>
      <c r="J1646" s="153" t="s">
        <v>204</v>
      </c>
      <c r="K1646" s="153" t="s">
        <v>204</v>
      </c>
      <c r="L1646" s="153" t="s">
        <v>325</v>
      </c>
      <c r="M1646" s="153" t="s">
        <v>340</v>
      </c>
      <c r="N1646" s="153" t="s">
        <v>447</v>
      </c>
      <c r="O1646" s="153" t="s">
        <v>339</v>
      </c>
      <c r="P1646" s="153" t="s">
        <v>1586</v>
      </c>
      <c r="Q1646" s="153" t="s">
        <v>415</v>
      </c>
      <c r="R1646" s="153" t="s">
        <v>407</v>
      </c>
      <c r="S1646" s="153" t="s">
        <v>1212</v>
      </c>
      <c r="T1646" s="154">
        <v>1.89</v>
      </c>
      <c r="U1646" s="153" t="s">
        <v>1528</v>
      </c>
      <c r="V1646" s="155">
        <v>5.7119999999999997E-2</v>
      </c>
      <c r="W1646" s="155">
        <v>6.6299999999999998E-2</v>
      </c>
      <c r="X1646" s="153" t="s">
        <v>412</v>
      </c>
      <c r="Y1646" s="153" t="s">
        <v>339</v>
      </c>
      <c r="Z1646" s="154">
        <v>402000</v>
      </c>
      <c r="AA1646" s="154">
        <v>1</v>
      </c>
      <c r="AB1646" s="154">
        <v>102.16</v>
      </c>
      <c r="AD1646" s="154">
        <v>410.68299999999999</v>
      </c>
      <c r="AG1646" s="157" t="s">
        <v>15</v>
      </c>
      <c r="AH1646" s="155">
        <v>2.5100000000000001E-3</v>
      </c>
      <c r="AI1646" s="155">
        <f t="shared" si="25"/>
        <v>1.9089763159071488E-2</v>
      </c>
      <c r="AJ1646" s="155">
        <v>1.4804480412009794E-3</v>
      </c>
    </row>
    <row r="1647" spans="1:36" s="160" customFormat="1">
      <c r="A1647" s="153" t="s">
        <v>1213</v>
      </c>
      <c r="B1647" s="160">
        <v>9629</v>
      </c>
      <c r="C1647" s="153" t="s">
        <v>1600</v>
      </c>
      <c r="D1647" s="153" t="s">
        <v>1601</v>
      </c>
      <c r="E1647" s="153" t="s">
        <v>309</v>
      </c>
      <c r="F1647" s="153" t="s">
        <v>2380</v>
      </c>
      <c r="G1647" s="153" t="s">
        <v>2381</v>
      </c>
      <c r="H1647" s="153" t="s">
        <v>321</v>
      </c>
      <c r="I1647" s="153" t="s">
        <v>951</v>
      </c>
      <c r="J1647" s="153" t="s">
        <v>204</v>
      </c>
      <c r="K1647" s="153" t="s">
        <v>204</v>
      </c>
      <c r="L1647" s="153" t="s">
        <v>325</v>
      </c>
      <c r="M1647" s="153" t="s">
        <v>340</v>
      </c>
      <c r="N1647" s="153" t="s">
        <v>448</v>
      </c>
      <c r="O1647" s="153" t="s">
        <v>339</v>
      </c>
      <c r="P1647" s="153" t="s">
        <v>1215</v>
      </c>
      <c r="Q1647" s="153" t="s">
        <v>413</v>
      </c>
      <c r="R1647" s="153" t="s">
        <v>407</v>
      </c>
      <c r="S1647" s="153" t="s">
        <v>1212</v>
      </c>
      <c r="T1647" s="154">
        <v>0.65</v>
      </c>
      <c r="U1647" s="153" t="s">
        <v>2382</v>
      </c>
      <c r="V1647" s="155">
        <v>3.9210000000000002E-2</v>
      </c>
      <c r="W1647" s="155">
        <v>4.4499999999999998E-2</v>
      </c>
      <c r="X1647" s="153" t="s">
        <v>412</v>
      </c>
      <c r="Y1647" s="153" t="s">
        <v>339</v>
      </c>
      <c r="Z1647" s="154">
        <v>380000</v>
      </c>
      <c r="AA1647" s="154">
        <v>1</v>
      </c>
      <c r="AB1647" s="154">
        <v>100.87</v>
      </c>
      <c r="AD1647" s="154">
        <v>383.30599999999998</v>
      </c>
      <c r="AG1647" s="157" t="s">
        <v>15</v>
      </c>
      <c r="AH1647" s="155">
        <v>3.2000000000000003E-4</v>
      </c>
      <c r="AI1647" s="155">
        <f t="shared" si="25"/>
        <v>1.7817199049999771E-2</v>
      </c>
      <c r="AJ1647" s="155">
        <v>1.3817582341625599E-3</v>
      </c>
    </row>
    <row r="1648" spans="1:36" s="160" customFormat="1">
      <c r="A1648" s="153" t="s">
        <v>1213</v>
      </c>
      <c r="B1648" s="160">
        <v>9629</v>
      </c>
      <c r="C1648" s="153" t="s">
        <v>1893</v>
      </c>
      <c r="D1648" s="153" t="s">
        <v>1894</v>
      </c>
      <c r="E1648" s="153" t="s">
        <v>309</v>
      </c>
      <c r="F1648" s="153" t="s">
        <v>3335</v>
      </c>
      <c r="G1648" s="153" t="s">
        <v>3336</v>
      </c>
      <c r="H1648" s="153" t="s">
        <v>321</v>
      </c>
      <c r="I1648" s="153" t="s">
        <v>754</v>
      </c>
      <c r="J1648" s="153" t="s">
        <v>204</v>
      </c>
      <c r="K1648" s="153" t="s">
        <v>204</v>
      </c>
      <c r="L1648" s="153" t="s">
        <v>325</v>
      </c>
      <c r="M1648" s="153" t="s">
        <v>340</v>
      </c>
      <c r="N1648" s="153" t="s">
        <v>464</v>
      </c>
      <c r="O1648" s="153" t="s">
        <v>339</v>
      </c>
      <c r="P1648" s="153" t="s">
        <v>1521</v>
      </c>
      <c r="Q1648" s="153" t="s">
        <v>413</v>
      </c>
      <c r="R1648" s="153" t="s">
        <v>407</v>
      </c>
      <c r="S1648" s="153" t="s">
        <v>1212</v>
      </c>
      <c r="T1648" s="154">
        <v>5.7</v>
      </c>
      <c r="U1648" s="153" t="s">
        <v>2294</v>
      </c>
      <c r="V1648" s="155">
        <v>5.4599999999999996E-3</v>
      </c>
      <c r="W1648" s="155">
        <v>3.5499999999999997E-2</v>
      </c>
      <c r="X1648" s="153" t="s">
        <v>412</v>
      </c>
      <c r="Y1648" s="153" t="s">
        <v>339</v>
      </c>
      <c r="Z1648" s="154">
        <v>388450</v>
      </c>
      <c r="AA1648" s="154">
        <v>1</v>
      </c>
      <c r="AB1648" s="154">
        <v>95.68</v>
      </c>
      <c r="AD1648" s="154">
        <v>371.66899999999998</v>
      </c>
      <c r="AG1648" s="157" t="s">
        <v>15</v>
      </c>
      <c r="AH1648" s="155">
        <v>3.5100000000000001E-3</v>
      </c>
      <c r="AI1648" s="155">
        <f t="shared" si="25"/>
        <v>1.7276276796382953E-2</v>
      </c>
      <c r="AJ1648" s="155">
        <v>1.3398086675735952E-3</v>
      </c>
    </row>
    <row r="1649" spans="1:36" s="160" customFormat="1">
      <c r="A1649" s="153" t="s">
        <v>1213</v>
      </c>
      <c r="B1649" s="160">
        <v>9629</v>
      </c>
      <c r="C1649" s="153" t="s">
        <v>1600</v>
      </c>
      <c r="D1649" s="153" t="s">
        <v>1601</v>
      </c>
      <c r="E1649" s="153" t="s">
        <v>309</v>
      </c>
      <c r="F1649" s="153" t="s">
        <v>2706</v>
      </c>
      <c r="G1649" s="153" t="s">
        <v>2707</v>
      </c>
      <c r="H1649" s="153" t="s">
        <v>321</v>
      </c>
      <c r="I1649" s="153" t="s">
        <v>754</v>
      </c>
      <c r="J1649" s="153" t="s">
        <v>204</v>
      </c>
      <c r="K1649" s="153" t="s">
        <v>204</v>
      </c>
      <c r="L1649" s="153" t="s">
        <v>325</v>
      </c>
      <c r="M1649" s="153" t="s">
        <v>340</v>
      </c>
      <c r="N1649" s="153" t="s">
        <v>448</v>
      </c>
      <c r="O1649" s="153" t="s">
        <v>339</v>
      </c>
      <c r="P1649" s="153" t="s">
        <v>1566</v>
      </c>
      <c r="Q1649" s="153" t="s">
        <v>413</v>
      </c>
      <c r="R1649" s="153" t="s">
        <v>407</v>
      </c>
      <c r="S1649" s="153" t="s">
        <v>1212</v>
      </c>
      <c r="T1649" s="154">
        <v>1.6</v>
      </c>
      <c r="U1649" s="153" t="s">
        <v>2708</v>
      </c>
      <c r="V1649" s="155">
        <v>2.6519999999999998E-2</v>
      </c>
      <c r="W1649" s="155">
        <v>2.3800000000000002E-2</v>
      </c>
      <c r="X1649" s="153" t="s">
        <v>411</v>
      </c>
      <c r="Y1649" s="153" t="s">
        <v>339</v>
      </c>
      <c r="Z1649" s="154">
        <v>315223</v>
      </c>
      <c r="AA1649" s="154">
        <v>1</v>
      </c>
      <c r="AB1649" s="154">
        <v>116.6</v>
      </c>
      <c r="AD1649" s="154">
        <v>367.55</v>
      </c>
      <c r="AG1649" s="157" t="s">
        <v>15</v>
      </c>
      <c r="AH1649" s="155">
        <v>2.9999999999999997E-4</v>
      </c>
      <c r="AI1649" s="155">
        <f t="shared" si="25"/>
        <v>1.708481346711874E-2</v>
      </c>
      <c r="AJ1649" s="155">
        <v>1.3249603162132837E-3</v>
      </c>
    </row>
    <row r="1650" spans="1:36" s="160" customFormat="1">
      <c r="A1650" s="153" t="s">
        <v>1213</v>
      </c>
      <c r="B1650" s="160">
        <v>9629</v>
      </c>
      <c r="C1650" s="153" t="s">
        <v>2250</v>
      </c>
      <c r="D1650" s="153" t="s">
        <v>2251</v>
      </c>
      <c r="E1650" s="153" t="s">
        <v>309</v>
      </c>
      <c r="F1650" s="153" t="s">
        <v>2704</v>
      </c>
      <c r="G1650" s="153" t="s">
        <v>2705</v>
      </c>
      <c r="H1650" s="153" t="s">
        <v>321</v>
      </c>
      <c r="I1650" s="153" t="s">
        <v>754</v>
      </c>
      <c r="J1650" s="153" t="s">
        <v>204</v>
      </c>
      <c r="K1650" s="153" t="s">
        <v>204</v>
      </c>
      <c r="L1650" s="153" t="s">
        <v>325</v>
      </c>
      <c r="M1650" s="153" t="s">
        <v>340</v>
      </c>
      <c r="N1650" s="153" t="s">
        <v>448</v>
      </c>
      <c r="O1650" s="153" t="s">
        <v>339</v>
      </c>
      <c r="P1650" s="153" t="s">
        <v>1566</v>
      </c>
      <c r="Q1650" s="153" t="s">
        <v>413</v>
      </c>
      <c r="R1650" s="153" t="s">
        <v>407</v>
      </c>
      <c r="S1650" s="153" t="s">
        <v>1212</v>
      </c>
      <c r="T1650" s="154">
        <v>3.43</v>
      </c>
      <c r="U1650" s="153" t="s">
        <v>1851</v>
      </c>
      <c r="V1650" s="155">
        <v>2.707E-2</v>
      </c>
      <c r="W1650" s="155">
        <v>2.98E-2</v>
      </c>
      <c r="X1650" s="153" t="s">
        <v>411</v>
      </c>
      <c r="Y1650" s="153" t="s">
        <v>339</v>
      </c>
      <c r="Z1650" s="154">
        <v>349097</v>
      </c>
      <c r="AA1650" s="154">
        <v>1</v>
      </c>
      <c r="AB1650" s="154">
        <v>105.03</v>
      </c>
      <c r="AD1650" s="154">
        <v>366.65699999999998</v>
      </c>
      <c r="AG1650" s="157" t="s">
        <v>15</v>
      </c>
      <c r="AH1650" s="155">
        <v>3.8000000000000002E-4</v>
      </c>
      <c r="AI1650" s="155">
        <f t="shared" si="25"/>
        <v>1.7043304180147885E-2</v>
      </c>
      <c r="AJ1650" s="155">
        <v>1.3217411907544931E-3</v>
      </c>
    </row>
    <row r="1651" spans="1:36" s="160" customFormat="1">
      <c r="A1651" s="153" t="s">
        <v>1213</v>
      </c>
      <c r="B1651" s="160">
        <v>9629</v>
      </c>
      <c r="C1651" s="153" t="s">
        <v>1600</v>
      </c>
      <c r="D1651" s="153" t="s">
        <v>1601</v>
      </c>
      <c r="E1651" s="153" t="s">
        <v>309</v>
      </c>
      <c r="F1651" s="153" t="s">
        <v>1957</v>
      </c>
      <c r="G1651" s="153" t="s">
        <v>1958</v>
      </c>
      <c r="H1651" s="153" t="s">
        <v>321</v>
      </c>
      <c r="I1651" s="153" t="s">
        <v>754</v>
      </c>
      <c r="J1651" s="153" t="s">
        <v>204</v>
      </c>
      <c r="K1651" s="153" t="s">
        <v>204</v>
      </c>
      <c r="L1651" s="153" t="s">
        <v>325</v>
      </c>
      <c r="M1651" s="153" t="s">
        <v>340</v>
      </c>
      <c r="N1651" s="153" t="s">
        <v>448</v>
      </c>
      <c r="O1651" s="153" t="s">
        <v>339</v>
      </c>
      <c r="P1651" s="153" t="s">
        <v>1215</v>
      </c>
      <c r="Q1651" s="153" t="s">
        <v>413</v>
      </c>
      <c r="R1651" s="153" t="s">
        <v>407</v>
      </c>
      <c r="S1651" s="153" t="s">
        <v>1212</v>
      </c>
      <c r="T1651" s="154">
        <v>3.91</v>
      </c>
      <c r="U1651" s="153" t="s">
        <v>1959</v>
      </c>
      <c r="V1651" s="155">
        <v>1.242E-2</v>
      </c>
      <c r="W1651" s="155">
        <v>2.4799999999999999E-2</v>
      </c>
      <c r="X1651" s="153" t="s">
        <v>412</v>
      </c>
      <c r="Y1651" s="153" t="s">
        <v>339</v>
      </c>
      <c r="Z1651" s="154">
        <v>342000</v>
      </c>
      <c r="AA1651" s="154">
        <v>1</v>
      </c>
      <c r="AB1651" s="154">
        <v>103.84</v>
      </c>
      <c r="AD1651" s="154">
        <v>355.13299999999998</v>
      </c>
      <c r="AG1651" s="157" t="s">
        <v>15</v>
      </c>
      <c r="AH1651" s="155">
        <v>1.9000000000000001E-4</v>
      </c>
      <c r="AI1651" s="155">
        <f t="shared" si="25"/>
        <v>1.6507634501478109E-2</v>
      </c>
      <c r="AJ1651" s="155">
        <v>1.2801989715080181E-3</v>
      </c>
    </row>
    <row r="1652" spans="1:36" s="160" customFormat="1">
      <c r="A1652" s="153" t="s">
        <v>1213</v>
      </c>
      <c r="B1652" s="160">
        <v>9629</v>
      </c>
      <c r="C1652" s="153" t="s">
        <v>1674</v>
      </c>
      <c r="D1652" s="153" t="s">
        <v>1675</v>
      </c>
      <c r="E1652" s="153" t="s">
        <v>309</v>
      </c>
      <c r="F1652" s="153" t="s">
        <v>2746</v>
      </c>
      <c r="G1652" s="153" t="s">
        <v>2747</v>
      </c>
      <c r="H1652" s="153" t="s">
        <v>321</v>
      </c>
      <c r="I1652" s="153" t="s">
        <v>754</v>
      </c>
      <c r="J1652" s="153" t="s">
        <v>204</v>
      </c>
      <c r="K1652" s="153" t="s">
        <v>204</v>
      </c>
      <c r="L1652" s="153" t="s">
        <v>325</v>
      </c>
      <c r="M1652" s="153" t="s">
        <v>340</v>
      </c>
      <c r="N1652" s="153" t="s">
        <v>464</v>
      </c>
      <c r="O1652" s="153" t="s">
        <v>339</v>
      </c>
      <c r="P1652" s="153" t="s">
        <v>1566</v>
      </c>
      <c r="Q1652" s="153" t="s">
        <v>413</v>
      </c>
      <c r="R1652" s="153" t="s">
        <v>407</v>
      </c>
      <c r="S1652" s="153" t="s">
        <v>1212</v>
      </c>
      <c r="T1652" s="154">
        <v>5.31</v>
      </c>
      <c r="U1652" s="153" t="s">
        <v>1897</v>
      </c>
      <c r="V1652" s="155">
        <v>1.8769999999999998E-2</v>
      </c>
      <c r="W1652" s="155">
        <v>3.3700000000000001E-2</v>
      </c>
      <c r="X1652" s="153" t="s">
        <v>412</v>
      </c>
      <c r="Y1652" s="153" t="s">
        <v>339</v>
      </c>
      <c r="Z1652" s="154">
        <v>343200</v>
      </c>
      <c r="AA1652" s="154">
        <v>1</v>
      </c>
      <c r="AB1652" s="154">
        <v>103.16</v>
      </c>
      <c r="AD1652" s="154">
        <v>354.04500000000002</v>
      </c>
      <c r="AG1652" s="157" t="s">
        <v>15</v>
      </c>
      <c r="AH1652" s="155">
        <v>6.6E-4</v>
      </c>
      <c r="AI1652" s="155">
        <f t="shared" si="25"/>
        <v>1.6457061036501304E-2</v>
      </c>
      <c r="AJ1652" s="155">
        <v>1.2762769015201524E-3</v>
      </c>
    </row>
    <row r="1653" spans="1:36" s="160" customFormat="1">
      <c r="A1653" s="153" t="s">
        <v>1213</v>
      </c>
      <c r="B1653" s="160">
        <v>9629</v>
      </c>
      <c r="C1653" s="153" t="s">
        <v>2802</v>
      </c>
      <c r="D1653" s="153" t="s">
        <v>2803</v>
      </c>
      <c r="E1653" s="153" t="s">
        <v>309</v>
      </c>
      <c r="F1653" s="153" t="s">
        <v>2804</v>
      </c>
      <c r="G1653" s="153" t="s">
        <v>2805</v>
      </c>
      <c r="H1653" s="153" t="s">
        <v>321</v>
      </c>
      <c r="I1653" s="153" t="s">
        <v>951</v>
      </c>
      <c r="J1653" s="153" t="s">
        <v>204</v>
      </c>
      <c r="K1653" s="153" t="s">
        <v>204</v>
      </c>
      <c r="L1653" s="153" t="s">
        <v>325</v>
      </c>
      <c r="M1653" s="153" t="s">
        <v>340</v>
      </c>
      <c r="N1653" s="153" t="s">
        <v>447</v>
      </c>
      <c r="O1653" s="153" t="s">
        <v>339</v>
      </c>
      <c r="P1653" s="153" t="s">
        <v>1527</v>
      </c>
      <c r="Q1653" s="153" t="s">
        <v>415</v>
      </c>
      <c r="R1653" s="153" t="s">
        <v>407</v>
      </c>
      <c r="S1653" s="153" t="s">
        <v>1212</v>
      </c>
      <c r="T1653" s="154">
        <v>2.2400000000000002</v>
      </c>
      <c r="U1653" s="153" t="s">
        <v>1528</v>
      </c>
      <c r="V1653" s="155">
        <v>4.7039999999999998E-2</v>
      </c>
      <c r="W1653" s="155">
        <v>6.3299999999999995E-2</v>
      </c>
      <c r="X1653" s="153" t="s">
        <v>412</v>
      </c>
      <c r="Y1653" s="153" t="s">
        <v>339</v>
      </c>
      <c r="Z1653" s="154">
        <v>361864</v>
      </c>
      <c r="AA1653" s="154">
        <v>1</v>
      </c>
      <c r="AB1653" s="154">
        <v>97.43</v>
      </c>
      <c r="AD1653" s="154">
        <v>352.56400000000002</v>
      </c>
      <c r="AG1653" s="157" t="s">
        <v>15</v>
      </c>
      <c r="AH1653" s="155">
        <v>5.1999999999999995E-4</v>
      </c>
      <c r="AI1653" s="155">
        <f t="shared" si="25"/>
        <v>1.6388219766620193E-2</v>
      </c>
      <c r="AJ1653" s="155">
        <v>1.2709381279429198E-3</v>
      </c>
    </row>
    <row r="1654" spans="1:36" s="160" customFormat="1">
      <c r="A1654" s="153" t="s">
        <v>1213</v>
      </c>
      <c r="B1654" s="160">
        <v>9629</v>
      </c>
      <c r="C1654" s="153" t="s">
        <v>2428</v>
      </c>
      <c r="D1654" s="153" t="s">
        <v>2429</v>
      </c>
      <c r="E1654" s="153" t="s">
        <v>309</v>
      </c>
      <c r="F1654" s="153" t="s">
        <v>2430</v>
      </c>
      <c r="G1654" s="153" t="s">
        <v>2431</v>
      </c>
      <c r="H1654" s="153" t="s">
        <v>321</v>
      </c>
      <c r="I1654" s="153" t="s">
        <v>755</v>
      </c>
      <c r="J1654" s="153" t="s">
        <v>204</v>
      </c>
      <c r="K1654" s="153" t="s">
        <v>204</v>
      </c>
      <c r="L1654" s="153" t="s">
        <v>325</v>
      </c>
      <c r="M1654" s="153" t="s">
        <v>340</v>
      </c>
      <c r="N1654" s="153" t="s">
        <v>454</v>
      </c>
      <c r="O1654" s="153" t="s">
        <v>339</v>
      </c>
      <c r="P1654" s="153" t="s">
        <v>1538</v>
      </c>
      <c r="Q1654" s="153" t="s">
        <v>413</v>
      </c>
      <c r="R1654" s="153" t="s">
        <v>407</v>
      </c>
      <c r="S1654" s="153" t="s">
        <v>1212</v>
      </c>
      <c r="T1654" s="154">
        <v>0.5</v>
      </c>
      <c r="U1654" s="153" t="s">
        <v>2432</v>
      </c>
      <c r="V1654" s="155">
        <v>4.6649999999999997E-2</v>
      </c>
      <c r="W1654" s="155">
        <v>8.8599999999999998E-2</v>
      </c>
      <c r="X1654" s="153" t="s">
        <v>412</v>
      </c>
      <c r="Y1654" s="153" t="s">
        <v>339</v>
      </c>
      <c r="Z1654" s="154">
        <v>341749.75</v>
      </c>
      <c r="AA1654" s="154">
        <v>1</v>
      </c>
      <c r="AB1654" s="154">
        <v>102.3</v>
      </c>
      <c r="AD1654" s="154">
        <v>349.61</v>
      </c>
      <c r="AG1654" s="157" t="s">
        <v>15</v>
      </c>
      <c r="AH1654" s="155">
        <v>6.8000000000000005E-4</v>
      </c>
      <c r="AI1654" s="155">
        <f t="shared" si="25"/>
        <v>1.6250909090571031E-2</v>
      </c>
      <c r="AJ1654" s="155">
        <v>1.2602894195383651E-3</v>
      </c>
    </row>
    <row r="1655" spans="1:36" s="160" customFormat="1">
      <c r="A1655" s="153" t="s">
        <v>1213</v>
      </c>
      <c r="B1655" s="160">
        <v>9629</v>
      </c>
      <c r="C1655" s="153" t="s">
        <v>1904</v>
      </c>
      <c r="D1655" s="153" t="s">
        <v>1905</v>
      </c>
      <c r="E1655" s="153" t="s">
        <v>309</v>
      </c>
      <c r="F1655" s="153" t="s">
        <v>2709</v>
      </c>
      <c r="G1655" s="153" t="s">
        <v>2710</v>
      </c>
      <c r="H1655" s="153" t="s">
        <v>321</v>
      </c>
      <c r="I1655" s="153" t="s">
        <v>754</v>
      </c>
      <c r="J1655" s="153" t="s">
        <v>204</v>
      </c>
      <c r="K1655" s="153" t="s">
        <v>204</v>
      </c>
      <c r="L1655" s="153" t="s">
        <v>325</v>
      </c>
      <c r="M1655" s="153" t="s">
        <v>340</v>
      </c>
      <c r="N1655" s="153" t="s">
        <v>448</v>
      </c>
      <c r="O1655" s="153" t="s">
        <v>339</v>
      </c>
      <c r="P1655" s="153" t="s">
        <v>1566</v>
      </c>
      <c r="Q1655" s="153" t="s">
        <v>413</v>
      </c>
      <c r="R1655" s="153" t="s">
        <v>407</v>
      </c>
      <c r="S1655" s="153" t="s">
        <v>1212</v>
      </c>
      <c r="T1655" s="154">
        <v>1.06</v>
      </c>
      <c r="U1655" s="153" t="s">
        <v>2711</v>
      </c>
      <c r="V1655" s="155">
        <v>2.6120000000000001E-2</v>
      </c>
      <c r="W1655" s="155">
        <v>2.9600000000000001E-2</v>
      </c>
      <c r="X1655" s="153" t="s">
        <v>411</v>
      </c>
      <c r="Y1655" s="153" t="s">
        <v>339</v>
      </c>
      <c r="Z1655" s="154">
        <v>304428</v>
      </c>
      <c r="AA1655" s="154">
        <v>1</v>
      </c>
      <c r="AB1655" s="154">
        <v>114.39</v>
      </c>
      <c r="AD1655" s="154">
        <v>348.23500000000001</v>
      </c>
      <c r="AG1655" s="157" t="s">
        <v>15</v>
      </c>
      <c r="AH1655" s="155">
        <v>2.3000000000000001E-4</v>
      </c>
      <c r="AI1655" s="155">
        <f t="shared" si="25"/>
        <v>1.6186995014888027E-2</v>
      </c>
      <c r="AJ1655" s="155">
        <v>1.2553327593974502E-3</v>
      </c>
    </row>
    <row r="1656" spans="1:36" s="160" customFormat="1">
      <c r="A1656" s="153" t="s">
        <v>1213</v>
      </c>
      <c r="B1656" s="160">
        <v>9629</v>
      </c>
      <c r="C1656" s="153" t="s">
        <v>2356</v>
      </c>
      <c r="D1656" s="153" t="s">
        <v>2357</v>
      </c>
      <c r="E1656" s="153" t="s">
        <v>309</v>
      </c>
      <c r="F1656" s="153" t="s">
        <v>2358</v>
      </c>
      <c r="G1656" s="153" t="s">
        <v>2359</v>
      </c>
      <c r="H1656" s="153" t="s">
        <v>321</v>
      </c>
      <c r="I1656" s="153" t="s">
        <v>754</v>
      </c>
      <c r="J1656" s="153" t="s">
        <v>204</v>
      </c>
      <c r="K1656" s="153" t="s">
        <v>204</v>
      </c>
      <c r="L1656" s="153" t="s">
        <v>325</v>
      </c>
      <c r="M1656" s="153" t="s">
        <v>340</v>
      </c>
      <c r="N1656" s="153" t="s">
        <v>447</v>
      </c>
      <c r="O1656" s="153" t="s">
        <v>339</v>
      </c>
      <c r="P1656" s="153" t="s">
        <v>1560</v>
      </c>
      <c r="Q1656" s="153" t="s">
        <v>413</v>
      </c>
      <c r="R1656" s="153" t="s">
        <v>407</v>
      </c>
      <c r="S1656" s="153" t="s">
        <v>1212</v>
      </c>
      <c r="T1656" s="154">
        <v>2.79</v>
      </c>
      <c r="U1656" s="153" t="s">
        <v>2360</v>
      </c>
      <c r="V1656" s="155">
        <v>3.0980000000000001E-2</v>
      </c>
      <c r="W1656" s="155">
        <v>3.95E-2</v>
      </c>
      <c r="X1656" s="153" t="s">
        <v>412</v>
      </c>
      <c r="Y1656" s="153" t="s">
        <v>339</v>
      </c>
      <c r="Z1656" s="154">
        <v>294308.36</v>
      </c>
      <c r="AA1656" s="154">
        <v>1</v>
      </c>
      <c r="AB1656" s="154">
        <v>117.74</v>
      </c>
      <c r="AD1656" s="154">
        <v>346.51900000000001</v>
      </c>
      <c r="AG1656" s="157" t="s">
        <v>15</v>
      </c>
      <c r="AH1656" s="155">
        <v>2.1000000000000001E-4</v>
      </c>
      <c r="AI1656" s="155">
        <f t="shared" si="25"/>
        <v>1.6107230248435637E-2</v>
      </c>
      <c r="AJ1656" s="155">
        <v>1.2491468475415884E-3</v>
      </c>
    </row>
    <row r="1657" spans="1:36" s="160" customFormat="1">
      <c r="A1657" s="153" t="s">
        <v>1213</v>
      </c>
      <c r="B1657" s="160">
        <v>9629</v>
      </c>
      <c r="C1657" s="153" t="s">
        <v>1998</v>
      </c>
      <c r="D1657" s="153" t="s">
        <v>1999</v>
      </c>
      <c r="E1657" s="153" t="s">
        <v>309</v>
      </c>
      <c r="F1657" s="153" t="s">
        <v>2806</v>
      </c>
      <c r="G1657" s="153" t="s">
        <v>2807</v>
      </c>
      <c r="H1657" s="153" t="s">
        <v>321</v>
      </c>
      <c r="I1657" s="153" t="s">
        <v>754</v>
      </c>
      <c r="J1657" s="153" t="s">
        <v>204</v>
      </c>
      <c r="K1657" s="153" t="s">
        <v>204</v>
      </c>
      <c r="L1657" s="153" t="s">
        <v>325</v>
      </c>
      <c r="M1657" s="153" t="s">
        <v>340</v>
      </c>
      <c r="N1657" s="153" t="s">
        <v>464</v>
      </c>
      <c r="O1657" s="153" t="s">
        <v>339</v>
      </c>
      <c r="P1657" s="153" t="s">
        <v>1554</v>
      </c>
      <c r="Q1657" s="153" t="s">
        <v>413</v>
      </c>
      <c r="R1657" s="153" t="s">
        <v>407</v>
      </c>
      <c r="S1657" s="153" t="s">
        <v>1212</v>
      </c>
      <c r="T1657" s="154">
        <v>2.0099999999999998</v>
      </c>
      <c r="U1657" s="153" t="s">
        <v>1638</v>
      </c>
      <c r="V1657" s="155">
        <v>9.6100000000000005E-3</v>
      </c>
      <c r="W1657" s="155">
        <v>3.4099999999999998E-2</v>
      </c>
      <c r="X1657" s="153" t="s">
        <v>412</v>
      </c>
      <c r="Y1657" s="153" t="s">
        <v>339</v>
      </c>
      <c r="Z1657" s="154">
        <v>298300</v>
      </c>
      <c r="AA1657" s="154">
        <v>1</v>
      </c>
      <c r="AB1657" s="154">
        <v>115.86</v>
      </c>
      <c r="AD1657" s="154">
        <v>345.61</v>
      </c>
      <c r="AG1657" s="157" t="s">
        <v>15</v>
      </c>
      <c r="AH1657" s="155">
        <v>5.0000000000000001E-4</v>
      </c>
      <c r="AI1657" s="155">
        <f t="shared" si="25"/>
        <v>1.6064977234038658E-2</v>
      </c>
      <c r="AJ1657" s="155">
        <v>1.2458700445829765E-3</v>
      </c>
    </row>
    <row r="1658" spans="1:36" s="160" customFormat="1">
      <c r="A1658" s="153" t="s">
        <v>1213</v>
      </c>
      <c r="B1658" s="160">
        <v>9629</v>
      </c>
      <c r="C1658" s="153" t="s">
        <v>2178</v>
      </c>
      <c r="D1658" s="153" t="s">
        <v>2179</v>
      </c>
      <c r="E1658" s="153" t="s">
        <v>309</v>
      </c>
      <c r="F1658" s="153" t="s">
        <v>2189</v>
      </c>
      <c r="G1658" s="153" t="s">
        <v>2190</v>
      </c>
      <c r="H1658" s="153" t="s">
        <v>321</v>
      </c>
      <c r="I1658" s="153" t="s">
        <v>951</v>
      </c>
      <c r="J1658" s="153" t="s">
        <v>204</v>
      </c>
      <c r="K1658" s="153" t="s">
        <v>204</v>
      </c>
      <c r="L1658" s="153" t="s">
        <v>325</v>
      </c>
      <c r="M1658" s="153" t="s">
        <v>340</v>
      </c>
      <c r="N1658" s="153" t="s">
        <v>464</v>
      </c>
      <c r="O1658" s="153" t="s">
        <v>339</v>
      </c>
      <c r="P1658" s="153" t="s">
        <v>1566</v>
      </c>
      <c r="Q1658" s="153" t="s">
        <v>413</v>
      </c>
      <c r="R1658" s="153" t="s">
        <v>407</v>
      </c>
      <c r="S1658" s="153" t="s">
        <v>1212</v>
      </c>
      <c r="T1658" s="154">
        <v>6.24</v>
      </c>
      <c r="U1658" s="153" t="s">
        <v>2182</v>
      </c>
      <c r="V1658" s="155">
        <v>4.4639999999999999E-2</v>
      </c>
      <c r="W1658" s="155">
        <v>6.6799999999999998E-2</v>
      </c>
      <c r="X1658" s="153" t="s">
        <v>412</v>
      </c>
      <c r="Y1658" s="153" t="s">
        <v>339</v>
      </c>
      <c r="Z1658" s="154">
        <v>370000</v>
      </c>
      <c r="AA1658" s="154">
        <v>1</v>
      </c>
      <c r="AB1658" s="154">
        <v>92.67</v>
      </c>
      <c r="AD1658" s="154">
        <v>342.87900000000002</v>
      </c>
      <c r="AG1658" s="157" t="s">
        <v>15</v>
      </c>
      <c r="AH1658" s="155">
        <v>4.0999999999999999E-4</v>
      </c>
      <c r="AI1658" s="155">
        <f t="shared" si="25"/>
        <v>1.5938032258991177E-2</v>
      </c>
      <c r="AJ1658" s="155">
        <v>1.2360252163321848E-3</v>
      </c>
    </row>
    <row r="1659" spans="1:36" s="160" customFormat="1">
      <c r="A1659" s="153" t="s">
        <v>1213</v>
      </c>
      <c r="B1659" s="160">
        <v>9629</v>
      </c>
      <c r="C1659" s="153" t="s">
        <v>2298</v>
      </c>
      <c r="D1659" s="153" t="s">
        <v>2299</v>
      </c>
      <c r="E1659" s="153" t="s">
        <v>309</v>
      </c>
      <c r="F1659" s="153" t="s">
        <v>2712</v>
      </c>
      <c r="G1659" s="153" t="s">
        <v>2713</v>
      </c>
      <c r="H1659" s="153" t="s">
        <v>321</v>
      </c>
      <c r="I1659" s="153" t="s">
        <v>951</v>
      </c>
      <c r="J1659" s="153" t="s">
        <v>204</v>
      </c>
      <c r="K1659" s="153" t="s">
        <v>204</v>
      </c>
      <c r="L1659" s="153" t="s">
        <v>325</v>
      </c>
      <c r="M1659" s="153" t="s">
        <v>340</v>
      </c>
      <c r="N1659" s="153" t="s">
        <v>462</v>
      </c>
      <c r="O1659" s="153" t="s">
        <v>339</v>
      </c>
      <c r="P1659" s="153" t="s">
        <v>1566</v>
      </c>
      <c r="Q1659" s="153" t="s">
        <v>413</v>
      </c>
      <c r="R1659" s="153" t="s">
        <v>407</v>
      </c>
      <c r="S1659" s="153" t="s">
        <v>1212</v>
      </c>
      <c r="T1659" s="154">
        <v>3.09</v>
      </c>
      <c r="U1659" s="153" t="s">
        <v>2714</v>
      </c>
      <c r="V1659" s="155">
        <v>4.897E-2</v>
      </c>
      <c r="W1659" s="155">
        <v>5.8900000000000001E-2</v>
      </c>
      <c r="X1659" s="153" t="s">
        <v>412</v>
      </c>
      <c r="Y1659" s="153" t="s">
        <v>339</v>
      </c>
      <c r="Z1659" s="154">
        <v>344424.6</v>
      </c>
      <c r="AA1659" s="154">
        <v>1</v>
      </c>
      <c r="AB1659" s="154">
        <v>99.02</v>
      </c>
      <c r="AD1659" s="154">
        <v>341.04899999999998</v>
      </c>
      <c r="AG1659" s="157" t="s">
        <v>15</v>
      </c>
      <c r="AH1659" s="155">
        <v>1.4400000000000001E-3</v>
      </c>
      <c r="AI1659" s="155">
        <f t="shared" si="25"/>
        <v>1.5852968434627614E-2</v>
      </c>
      <c r="AJ1659" s="155">
        <v>1.2294283522900943E-3</v>
      </c>
    </row>
    <row r="1660" spans="1:36" s="160" customFormat="1">
      <c r="A1660" s="153" t="s">
        <v>1213</v>
      </c>
      <c r="B1660" s="160">
        <v>9629</v>
      </c>
      <c r="C1660" s="153" t="s">
        <v>1769</v>
      </c>
      <c r="D1660" s="153" t="s">
        <v>1770</v>
      </c>
      <c r="E1660" s="153" t="s">
        <v>309</v>
      </c>
      <c r="F1660" s="153" t="s">
        <v>1771</v>
      </c>
      <c r="G1660" s="153" t="s">
        <v>1772</v>
      </c>
      <c r="H1660" s="153" t="s">
        <v>321</v>
      </c>
      <c r="I1660" s="153" t="s">
        <v>754</v>
      </c>
      <c r="J1660" s="153" t="s">
        <v>204</v>
      </c>
      <c r="K1660" s="153" t="s">
        <v>204</v>
      </c>
      <c r="L1660" s="153" t="s">
        <v>325</v>
      </c>
      <c r="M1660" s="153" t="s">
        <v>340</v>
      </c>
      <c r="N1660" s="153" t="s">
        <v>464</v>
      </c>
      <c r="O1660" s="153" t="s">
        <v>339</v>
      </c>
      <c r="P1660" s="153" t="s">
        <v>1560</v>
      </c>
      <c r="Q1660" s="153" t="s">
        <v>413</v>
      </c>
      <c r="R1660" s="153" t="s">
        <v>407</v>
      </c>
      <c r="S1660" s="153" t="s">
        <v>1212</v>
      </c>
      <c r="T1660" s="154">
        <v>4.05</v>
      </c>
      <c r="U1660" s="153" t="s">
        <v>1587</v>
      </c>
      <c r="V1660" s="155">
        <v>3.5409999999999997E-2</v>
      </c>
      <c r="W1660" s="155">
        <v>3.9E-2</v>
      </c>
      <c r="X1660" s="153" t="s">
        <v>412</v>
      </c>
      <c r="Y1660" s="153" t="s">
        <v>339</v>
      </c>
      <c r="Z1660" s="154">
        <v>317060</v>
      </c>
      <c r="AA1660" s="154">
        <v>1</v>
      </c>
      <c r="AB1660" s="154">
        <v>106.27</v>
      </c>
      <c r="AD1660" s="154">
        <v>336.94</v>
      </c>
      <c r="AG1660" s="157" t="s">
        <v>15</v>
      </c>
      <c r="AH1660" s="155">
        <v>1.8000000000000001E-4</v>
      </c>
      <c r="AI1660" s="155">
        <f t="shared" si="25"/>
        <v>1.5661969935004728E-2</v>
      </c>
      <c r="AJ1660" s="155">
        <v>1.2146160493671711E-3</v>
      </c>
    </row>
    <row r="1661" spans="1:36" s="160" customFormat="1">
      <c r="A1661" s="153" t="s">
        <v>1213</v>
      </c>
      <c r="B1661" s="160">
        <v>9629</v>
      </c>
      <c r="C1661" s="153" t="s">
        <v>2757</v>
      </c>
      <c r="D1661" s="153" t="s">
        <v>2758</v>
      </c>
      <c r="E1661" s="153" t="s">
        <v>309</v>
      </c>
      <c r="F1661" s="153" t="s">
        <v>2784</v>
      </c>
      <c r="G1661" s="153" t="s">
        <v>2785</v>
      </c>
      <c r="H1661" s="153" t="s">
        <v>321</v>
      </c>
      <c r="I1661" s="153" t="s">
        <v>951</v>
      </c>
      <c r="J1661" s="153" t="s">
        <v>204</v>
      </c>
      <c r="K1661" s="153" t="s">
        <v>204</v>
      </c>
      <c r="L1661" s="153" t="s">
        <v>325</v>
      </c>
      <c r="M1661" s="153" t="s">
        <v>340</v>
      </c>
      <c r="N1661" s="153" t="s">
        <v>440</v>
      </c>
      <c r="O1661" s="153" t="s">
        <v>339</v>
      </c>
      <c r="P1661" s="153" t="s">
        <v>1521</v>
      </c>
      <c r="Q1661" s="153" t="s">
        <v>413</v>
      </c>
      <c r="R1661" s="153" t="s">
        <v>407</v>
      </c>
      <c r="S1661" s="153" t="s">
        <v>1212</v>
      </c>
      <c r="T1661" s="154">
        <v>2.31</v>
      </c>
      <c r="U1661" s="153" t="s">
        <v>2786</v>
      </c>
      <c r="V1661" s="155">
        <v>5.7110000000000001E-2</v>
      </c>
      <c r="W1661" s="155">
        <v>5.8999999999999997E-2</v>
      </c>
      <c r="X1661" s="153" t="s">
        <v>412</v>
      </c>
      <c r="Y1661" s="153" t="s">
        <v>339</v>
      </c>
      <c r="Z1661" s="154">
        <v>352476.2</v>
      </c>
      <c r="AA1661" s="154">
        <v>1</v>
      </c>
      <c r="AB1661" s="154">
        <v>93.07</v>
      </c>
      <c r="AD1661" s="154">
        <v>328.05</v>
      </c>
      <c r="AG1661" s="157" t="s">
        <v>15</v>
      </c>
      <c r="AH1661" s="155">
        <v>5.1999999999999995E-4</v>
      </c>
      <c r="AI1661" s="155">
        <f t="shared" si="25"/>
        <v>1.5248736383861523E-2</v>
      </c>
      <c r="AJ1661" s="155">
        <v>1.1825689885288197E-3</v>
      </c>
    </row>
    <row r="1662" spans="1:36" s="160" customFormat="1">
      <c r="A1662" s="153" t="s">
        <v>1213</v>
      </c>
      <c r="B1662" s="160">
        <v>9629</v>
      </c>
      <c r="C1662" s="153" t="s">
        <v>2356</v>
      </c>
      <c r="D1662" s="153" t="s">
        <v>2357</v>
      </c>
      <c r="E1662" s="153" t="s">
        <v>309</v>
      </c>
      <c r="F1662" s="153" t="s">
        <v>2808</v>
      </c>
      <c r="G1662" s="153" t="s">
        <v>2809</v>
      </c>
      <c r="H1662" s="153" t="s">
        <v>321</v>
      </c>
      <c r="I1662" s="153" t="s">
        <v>754</v>
      </c>
      <c r="J1662" s="153" t="s">
        <v>204</v>
      </c>
      <c r="K1662" s="153" t="s">
        <v>204</v>
      </c>
      <c r="L1662" s="153" t="s">
        <v>325</v>
      </c>
      <c r="M1662" s="153" t="s">
        <v>340</v>
      </c>
      <c r="N1662" s="153" t="s">
        <v>447</v>
      </c>
      <c r="O1662" s="153" t="s">
        <v>339</v>
      </c>
      <c r="P1662" s="153" t="s">
        <v>1560</v>
      </c>
      <c r="Q1662" s="153" t="s">
        <v>413</v>
      </c>
      <c r="R1662" s="153" t="s">
        <v>407</v>
      </c>
      <c r="S1662" s="153" t="s">
        <v>1212</v>
      </c>
      <c r="T1662" s="154">
        <v>4.1100000000000003</v>
      </c>
      <c r="U1662" s="153" t="s">
        <v>1916</v>
      </c>
      <c r="V1662" s="155">
        <v>1.158E-2</v>
      </c>
      <c r="W1662" s="155">
        <v>4.1700000000000001E-2</v>
      </c>
      <c r="X1662" s="153" t="s">
        <v>412</v>
      </c>
      <c r="Y1662" s="153" t="s">
        <v>339</v>
      </c>
      <c r="Z1662" s="154">
        <v>290489.36</v>
      </c>
      <c r="AA1662" s="154">
        <v>1</v>
      </c>
      <c r="AB1662" s="154">
        <v>111.41</v>
      </c>
      <c r="AD1662" s="154">
        <v>323.63400000000001</v>
      </c>
      <c r="AG1662" s="157" t="s">
        <v>15</v>
      </c>
      <c r="AH1662" s="155">
        <v>7.9000000000000001E-4</v>
      </c>
      <c r="AI1662" s="155">
        <f t="shared" si="25"/>
        <v>1.5043467614249779E-2</v>
      </c>
      <c r="AJ1662" s="155">
        <v>1.1666499985780706E-3</v>
      </c>
    </row>
    <row r="1663" spans="1:36" s="160" customFormat="1">
      <c r="A1663" s="153" t="s">
        <v>1213</v>
      </c>
      <c r="B1663" s="160">
        <v>9629</v>
      </c>
      <c r="C1663" s="153" t="s">
        <v>1591</v>
      </c>
      <c r="D1663" s="153" t="s">
        <v>1592</v>
      </c>
      <c r="E1663" s="153" t="s">
        <v>309</v>
      </c>
      <c r="F1663" s="153" t="s">
        <v>1858</v>
      </c>
      <c r="G1663" s="153" t="s">
        <v>1859</v>
      </c>
      <c r="H1663" s="153" t="s">
        <v>321</v>
      </c>
      <c r="I1663" s="153" t="s">
        <v>754</v>
      </c>
      <c r="J1663" s="153" t="s">
        <v>204</v>
      </c>
      <c r="K1663" s="153" t="s">
        <v>204</v>
      </c>
      <c r="L1663" s="153" t="s">
        <v>325</v>
      </c>
      <c r="M1663" s="153" t="s">
        <v>340</v>
      </c>
      <c r="N1663" s="153" t="s">
        <v>464</v>
      </c>
      <c r="O1663" s="153" t="s">
        <v>339</v>
      </c>
      <c r="P1663" s="153" t="s">
        <v>1538</v>
      </c>
      <c r="Q1663" s="153" t="s">
        <v>413</v>
      </c>
      <c r="R1663" s="153" t="s">
        <v>407</v>
      </c>
      <c r="S1663" s="153" t="s">
        <v>1212</v>
      </c>
      <c r="T1663" s="154">
        <v>5.14</v>
      </c>
      <c r="U1663" s="153" t="s">
        <v>1860</v>
      </c>
      <c r="V1663" s="155">
        <v>9.2300000000000004E-3</v>
      </c>
      <c r="W1663" s="155">
        <v>3.32E-2</v>
      </c>
      <c r="X1663" s="153" t="s">
        <v>412</v>
      </c>
      <c r="Y1663" s="153" t="s">
        <v>339</v>
      </c>
      <c r="Z1663" s="154">
        <v>331331</v>
      </c>
      <c r="AA1663" s="154">
        <v>1</v>
      </c>
      <c r="AB1663" s="154">
        <v>97.54</v>
      </c>
      <c r="AD1663" s="154">
        <v>323.18</v>
      </c>
      <c r="AG1663" s="157" t="s">
        <v>15</v>
      </c>
      <c r="AH1663" s="155">
        <v>2.4000000000000001E-4</v>
      </c>
      <c r="AI1663" s="155">
        <f t="shared" si="25"/>
        <v>1.5022364348533355E-2</v>
      </c>
      <c r="AJ1663" s="155">
        <v>1.1650133995206339E-3</v>
      </c>
    </row>
    <row r="1664" spans="1:36" s="160" customFormat="1">
      <c r="A1664" s="153" t="s">
        <v>1213</v>
      </c>
      <c r="B1664" s="160">
        <v>9629</v>
      </c>
      <c r="C1664" s="153" t="s">
        <v>1591</v>
      </c>
      <c r="D1664" s="153" t="s">
        <v>1592</v>
      </c>
      <c r="E1664" s="153" t="s">
        <v>309</v>
      </c>
      <c r="F1664" s="153" t="s">
        <v>2175</v>
      </c>
      <c r="G1664" s="153" t="s">
        <v>2176</v>
      </c>
      <c r="H1664" s="153" t="s">
        <v>321</v>
      </c>
      <c r="I1664" s="153" t="s">
        <v>754</v>
      </c>
      <c r="J1664" s="153" t="s">
        <v>204</v>
      </c>
      <c r="K1664" s="153" t="s">
        <v>204</v>
      </c>
      <c r="L1664" s="153" t="s">
        <v>325</v>
      </c>
      <c r="M1664" s="153" t="s">
        <v>340</v>
      </c>
      <c r="N1664" s="153" t="s">
        <v>464</v>
      </c>
      <c r="O1664" s="153" t="s">
        <v>339</v>
      </c>
      <c r="P1664" s="153" t="s">
        <v>1538</v>
      </c>
      <c r="Q1664" s="153" t="s">
        <v>413</v>
      </c>
      <c r="R1664" s="153" t="s">
        <v>407</v>
      </c>
      <c r="S1664" s="153" t="s">
        <v>1212</v>
      </c>
      <c r="T1664" s="154">
        <v>3.97</v>
      </c>
      <c r="U1664" s="153" t="s">
        <v>2177</v>
      </c>
      <c r="V1664" s="155">
        <v>3.5290000000000002E-2</v>
      </c>
      <c r="W1664" s="155">
        <v>3.1899999999999998E-2</v>
      </c>
      <c r="X1664" s="153" t="s">
        <v>412</v>
      </c>
      <c r="Y1664" s="153" t="s">
        <v>339</v>
      </c>
      <c r="Z1664" s="154">
        <v>307137.56</v>
      </c>
      <c r="AA1664" s="154">
        <v>1</v>
      </c>
      <c r="AB1664" s="154">
        <v>103.53</v>
      </c>
      <c r="AD1664" s="154">
        <v>317.98</v>
      </c>
      <c r="AG1664" s="157" t="s">
        <v>15</v>
      </c>
      <c r="AH1664" s="155">
        <v>1.9000000000000001E-4</v>
      </c>
      <c r="AI1664" s="155">
        <f t="shared" si="25"/>
        <v>1.4780652935041267E-2</v>
      </c>
      <c r="AJ1664" s="155">
        <v>1.1462682120786285E-3</v>
      </c>
    </row>
    <row r="1665" spans="1:36" s="160" customFormat="1">
      <c r="A1665" s="153" t="s">
        <v>1213</v>
      </c>
      <c r="B1665" s="160">
        <v>9629</v>
      </c>
      <c r="C1665" s="153" t="s">
        <v>1825</v>
      </c>
      <c r="D1665" s="153" t="s">
        <v>1826</v>
      </c>
      <c r="E1665" s="153" t="s">
        <v>309</v>
      </c>
      <c r="F1665" s="153" t="s">
        <v>2787</v>
      </c>
      <c r="G1665" s="153" t="s">
        <v>2788</v>
      </c>
      <c r="H1665" s="153" t="s">
        <v>321</v>
      </c>
      <c r="I1665" s="153" t="s">
        <v>951</v>
      </c>
      <c r="J1665" s="153" t="s">
        <v>204</v>
      </c>
      <c r="K1665" s="153" t="s">
        <v>204</v>
      </c>
      <c r="L1665" s="153" t="s">
        <v>325</v>
      </c>
      <c r="M1665" s="153" t="s">
        <v>340</v>
      </c>
      <c r="N1665" s="153" t="s">
        <v>441</v>
      </c>
      <c r="O1665" s="153" t="s">
        <v>339</v>
      </c>
      <c r="Q1665" s="153" t="s">
        <v>410</v>
      </c>
      <c r="R1665" s="153" t="s">
        <v>410</v>
      </c>
      <c r="S1665" s="153" t="s">
        <v>1212</v>
      </c>
      <c r="T1665" s="154">
        <v>2.76</v>
      </c>
      <c r="U1665" s="153" t="s">
        <v>1669</v>
      </c>
      <c r="V1665" s="155">
        <v>5.101E-2</v>
      </c>
      <c r="W1665" s="155">
        <v>5.9299999999999999E-2</v>
      </c>
      <c r="X1665" s="153" t="s">
        <v>412</v>
      </c>
      <c r="Y1665" s="153" t="s">
        <v>339</v>
      </c>
      <c r="Z1665" s="154">
        <v>305000</v>
      </c>
      <c r="AA1665" s="154">
        <v>1</v>
      </c>
      <c r="AB1665" s="154">
        <v>100.56</v>
      </c>
      <c r="AD1665" s="154">
        <v>306.70800000000003</v>
      </c>
      <c r="AG1665" s="157" t="s">
        <v>15</v>
      </c>
      <c r="AH1665" s="155">
        <v>1.39E-3</v>
      </c>
      <c r="AI1665" s="155">
        <f t="shared" si="25"/>
        <v>1.4256696963333029E-2</v>
      </c>
      <c r="AJ1665" s="155">
        <v>1.1056344134543431E-3</v>
      </c>
    </row>
    <row r="1666" spans="1:36" s="160" customFormat="1">
      <c r="A1666" s="153" t="s">
        <v>1213</v>
      </c>
      <c r="B1666" s="160">
        <v>9629</v>
      </c>
      <c r="C1666" s="153" t="s">
        <v>2136</v>
      </c>
      <c r="D1666" s="153" t="s">
        <v>2137</v>
      </c>
      <c r="E1666" s="153" t="s">
        <v>309</v>
      </c>
      <c r="F1666" s="153" t="s">
        <v>2698</v>
      </c>
      <c r="G1666" s="153" t="s">
        <v>2699</v>
      </c>
      <c r="H1666" s="153" t="s">
        <v>321</v>
      </c>
      <c r="I1666" s="153" t="s">
        <v>754</v>
      </c>
      <c r="J1666" s="153" t="s">
        <v>204</v>
      </c>
      <c r="K1666" s="153" t="s">
        <v>204</v>
      </c>
      <c r="L1666" s="153" t="s">
        <v>325</v>
      </c>
      <c r="M1666" s="153" t="s">
        <v>340</v>
      </c>
      <c r="N1666" s="153" t="s">
        <v>440</v>
      </c>
      <c r="O1666" s="153" t="s">
        <v>339</v>
      </c>
      <c r="P1666" s="153" t="s">
        <v>1566</v>
      </c>
      <c r="Q1666" s="153" t="s">
        <v>413</v>
      </c>
      <c r="R1666" s="153" t="s">
        <v>407</v>
      </c>
      <c r="S1666" s="153" t="s">
        <v>1212</v>
      </c>
      <c r="T1666" s="154">
        <v>3.07</v>
      </c>
      <c r="U1666" s="153" t="s">
        <v>2700</v>
      </c>
      <c r="V1666" s="155">
        <v>4.7699999999999999E-3</v>
      </c>
      <c r="W1666" s="155">
        <v>2.5999999999999999E-2</v>
      </c>
      <c r="X1666" s="153" t="s">
        <v>412</v>
      </c>
      <c r="Y1666" s="153" t="s">
        <v>339</v>
      </c>
      <c r="Z1666" s="154">
        <v>267629.44</v>
      </c>
      <c r="AA1666" s="154">
        <v>1</v>
      </c>
      <c r="AB1666" s="154">
        <v>111.75</v>
      </c>
      <c r="AD1666" s="154">
        <v>299.07600000000002</v>
      </c>
      <c r="AG1666" s="157" t="s">
        <v>15</v>
      </c>
      <c r="AH1666" s="155">
        <v>2.4000000000000001E-4</v>
      </c>
      <c r="AI1666" s="155">
        <f t="shared" si="25"/>
        <v>1.3901938981069254E-2</v>
      </c>
      <c r="AJ1666" s="155">
        <v>1.0781222460394613E-3</v>
      </c>
    </row>
    <row r="1667" spans="1:36" s="160" customFormat="1">
      <c r="A1667" s="153" t="s">
        <v>1213</v>
      </c>
      <c r="B1667" s="160">
        <v>9629</v>
      </c>
      <c r="C1667" s="153" t="s">
        <v>1917</v>
      </c>
      <c r="D1667" s="153" t="s">
        <v>1918</v>
      </c>
      <c r="E1667" s="153" t="s">
        <v>309</v>
      </c>
      <c r="F1667" s="153" t="s">
        <v>1919</v>
      </c>
      <c r="G1667" s="153" t="s">
        <v>1920</v>
      </c>
      <c r="H1667" s="153" t="s">
        <v>321</v>
      </c>
      <c r="I1667" s="153" t="s">
        <v>754</v>
      </c>
      <c r="J1667" s="153" t="s">
        <v>204</v>
      </c>
      <c r="K1667" s="153" t="s">
        <v>204</v>
      </c>
      <c r="L1667" s="153" t="s">
        <v>325</v>
      </c>
      <c r="M1667" s="153" t="s">
        <v>340</v>
      </c>
      <c r="N1667" s="153" t="s">
        <v>447</v>
      </c>
      <c r="O1667" s="153" t="s">
        <v>339</v>
      </c>
      <c r="P1667" s="153" t="s">
        <v>1560</v>
      </c>
      <c r="Q1667" s="153" t="s">
        <v>413</v>
      </c>
      <c r="R1667" s="153" t="s">
        <v>407</v>
      </c>
      <c r="S1667" s="153" t="s">
        <v>1212</v>
      </c>
      <c r="T1667" s="154">
        <v>3.26</v>
      </c>
      <c r="U1667" s="153" t="s">
        <v>1913</v>
      </c>
      <c r="V1667" s="155">
        <v>2.66E-3</v>
      </c>
      <c r="W1667" s="155">
        <v>3.5099999999999999E-2</v>
      </c>
      <c r="X1667" s="153" t="s">
        <v>412</v>
      </c>
      <c r="Y1667" s="153" t="s">
        <v>339</v>
      </c>
      <c r="Z1667" s="154">
        <v>282000</v>
      </c>
      <c r="AA1667" s="154">
        <v>1</v>
      </c>
      <c r="AB1667" s="154">
        <v>103.23</v>
      </c>
      <c r="AD1667" s="154">
        <v>291.10899999999998</v>
      </c>
      <c r="AG1667" s="157" t="s">
        <v>15</v>
      </c>
      <c r="AH1667" s="155">
        <v>1.8000000000000001E-4</v>
      </c>
      <c r="AI1667" s="155">
        <f t="shared" ref="AI1667:AI1730" si="26">AD1667/SUMIF(B:B,B1667,AD:AD)</f>
        <v>1.3531609205820892E-2</v>
      </c>
      <c r="AJ1667" s="155">
        <v>1.0494024559720657E-3</v>
      </c>
    </row>
    <row r="1668" spans="1:36" s="160" customFormat="1">
      <c r="A1668" s="153" t="s">
        <v>1213</v>
      </c>
      <c r="B1668" s="160">
        <v>9629</v>
      </c>
      <c r="C1668" s="153" t="s">
        <v>2445</v>
      </c>
      <c r="D1668" s="153" t="s">
        <v>2446</v>
      </c>
      <c r="E1668" s="153" t="s">
        <v>309</v>
      </c>
      <c r="F1668" s="153" t="s">
        <v>2447</v>
      </c>
      <c r="G1668" s="153" t="s">
        <v>2448</v>
      </c>
      <c r="H1668" s="153" t="s">
        <v>321</v>
      </c>
      <c r="I1668" s="153" t="s">
        <v>951</v>
      </c>
      <c r="J1668" s="153" t="s">
        <v>204</v>
      </c>
      <c r="K1668" s="153" t="s">
        <v>204</v>
      </c>
      <c r="L1668" s="153" t="s">
        <v>325</v>
      </c>
      <c r="M1668" s="153" t="s">
        <v>340</v>
      </c>
      <c r="N1668" s="153" t="s">
        <v>440</v>
      </c>
      <c r="O1668" s="153" t="s">
        <v>339</v>
      </c>
      <c r="P1668" s="153" t="s">
        <v>1614</v>
      </c>
      <c r="Q1668" s="153" t="s">
        <v>415</v>
      </c>
      <c r="R1668" s="153" t="s">
        <v>407</v>
      </c>
      <c r="S1668" s="153" t="s">
        <v>1212</v>
      </c>
      <c r="T1668" s="154">
        <v>1.92</v>
      </c>
      <c r="U1668" s="153" t="s">
        <v>1370</v>
      </c>
      <c r="V1668" s="155">
        <v>4.9529999999999998E-2</v>
      </c>
      <c r="W1668" s="155">
        <v>5.7599999999999998E-2</v>
      </c>
      <c r="X1668" s="153" t="s">
        <v>412</v>
      </c>
      <c r="Y1668" s="153" t="s">
        <v>339</v>
      </c>
      <c r="Z1668" s="154">
        <v>298876.99</v>
      </c>
      <c r="AA1668" s="154">
        <v>1</v>
      </c>
      <c r="AB1668" s="154">
        <v>95.6</v>
      </c>
      <c r="AD1668" s="154">
        <v>285.726</v>
      </c>
      <c r="AG1668" s="157" t="s">
        <v>15</v>
      </c>
      <c r="AH1668" s="155">
        <v>4.2000000000000002E-4</v>
      </c>
      <c r="AI1668" s="155">
        <f t="shared" si="26"/>
        <v>1.3281391409892448E-2</v>
      </c>
      <c r="AJ1668" s="155">
        <v>1.0299975821258514E-3</v>
      </c>
    </row>
    <row r="1669" spans="1:36" s="160" customFormat="1">
      <c r="A1669" s="153" t="s">
        <v>1213</v>
      </c>
      <c r="B1669" s="160">
        <v>9629</v>
      </c>
      <c r="C1669" s="153" t="s">
        <v>1820</v>
      </c>
      <c r="D1669" s="153" t="s">
        <v>1821</v>
      </c>
      <c r="E1669" s="153" t="s">
        <v>309</v>
      </c>
      <c r="F1669" s="153" t="s">
        <v>1822</v>
      </c>
      <c r="G1669" s="153" t="s">
        <v>1823</v>
      </c>
      <c r="H1669" s="153" t="s">
        <v>321</v>
      </c>
      <c r="I1669" s="153" t="s">
        <v>754</v>
      </c>
      <c r="J1669" s="153" t="s">
        <v>204</v>
      </c>
      <c r="K1669" s="153" t="s">
        <v>204</v>
      </c>
      <c r="L1669" s="153" t="s">
        <v>325</v>
      </c>
      <c r="M1669" s="153" t="s">
        <v>340</v>
      </c>
      <c r="N1669" s="153" t="s">
        <v>464</v>
      </c>
      <c r="O1669" s="153" t="s">
        <v>339</v>
      </c>
      <c r="P1669" s="153" t="s">
        <v>1538</v>
      </c>
      <c r="Q1669" s="153" t="s">
        <v>413</v>
      </c>
      <c r="R1669" s="153" t="s">
        <v>407</v>
      </c>
      <c r="S1669" s="153" t="s">
        <v>1212</v>
      </c>
      <c r="T1669" s="154">
        <v>5.36</v>
      </c>
      <c r="U1669" s="153" t="s">
        <v>1824</v>
      </c>
      <c r="V1669" s="155">
        <v>2.6030000000000001E-2</v>
      </c>
      <c r="W1669" s="155">
        <v>3.3099999999999997E-2</v>
      </c>
      <c r="X1669" s="153" t="s">
        <v>412</v>
      </c>
      <c r="Y1669" s="153" t="s">
        <v>339</v>
      </c>
      <c r="Z1669" s="154">
        <v>263875.53999999998</v>
      </c>
      <c r="AA1669" s="154">
        <v>1</v>
      </c>
      <c r="AB1669" s="154">
        <v>99.45</v>
      </c>
      <c r="AD1669" s="154">
        <v>262.42399999999998</v>
      </c>
      <c r="AG1669" s="157" t="s">
        <v>15</v>
      </c>
      <c r="AH1669" s="155">
        <v>1.2E-4</v>
      </c>
      <c r="AI1669" s="155">
        <f t="shared" si="26"/>
        <v>1.2198245379663087E-2</v>
      </c>
      <c r="AJ1669" s="155">
        <v>9.4599751332323414E-4</v>
      </c>
    </row>
    <row r="1670" spans="1:36" s="160" customFormat="1">
      <c r="A1670" s="153" t="s">
        <v>1213</v>
      </c>
      <c r="B1670" s="160">
        <v>9629</v>
      </c>
      <c r="C1670" s="153" t="s">
        <v>2404</v>
      </c>
      <c r="D1670" s="153" t="s">
        <v>2405</v>
      </c>
      <c r="E1670" s="153" t="s">
        <v>309</v>
      </c>
      <c r="F1670" s="153" t="s">
        <v>2571</v>
      </c>
      <c r="G1670" s="153" t="s">
        <v>2572</v>
      </c>
      <c r="H1670" s="153" t="s">
        <v>321</v>
      </c>
      <c r="I1670" s="153" t="s">
        <v>951</v>
      </c>
      <c r="J1670" s="153" t="s">
        <v>204</v>
      </c>
      <c r="K1670" s="153" t="s">
        <v>204</v>
      </c>
      <c r="L1670" s="153" t="s">
        <v>325</v>
      </c>
      <c r="M1670" s="153" t="s">
        <v>340</v>
      </c>
      <c r="N1670" s="153" t="s">
        <v>440</v>
      </c>
      <c r="O1670" s="153" t="s">
        <v>339</v>
      </c>
      <c r="P1670" s="153" t="s">
        <v>1554</v>
      </c>
      <c r="Q1670" s="153" t="s">
        <v>413</v>
      </c>
      <c r="R1670" s="153" t="s">
        <v>407</v>
      </c>
      <c r="S1670" s="153" t="s">
        <v>1212</v>
      </c>
      <c r="T1670" s="154">
        <v>3.25</v>
      </c>
      <c r="U1670" s="153" t="s">
        <v>2573</v>
      </c>
      <c r="V1670" s="155">
        <v>1.949E-2</v>
      </c>
      <c r="W1670" s="155">
        <v>6.1100000000000002E-2</v>
      </c>
      <c r="X1670" s="153" t="s">
        <v>412</v>
      </c>
      <c r="Y1670" s="153" t="s">
        <v>339</v>
      </c>
      <c r="Z1670" s="154">
        <v>267738.3</v>
      </c>
      <c r="AA1670" s="154">
        <v>1</v>
      </c>
      <c r="AB1670" s="154">
        <v>89.41</v>
      </c>
      <c r="AD1670" s="154">
        <v>239.38499999999999</v>
      </c>
      <c r="AG1670" s="157" t="s">
        <v>15</v>
      </c>
      <c r="AH1670" s="155">
        <v>3.5E-4</v>
      </c>
      <c r="AI1670" s="155">
        <f t="shared" si="26"/>
        <v>1.1127324369000734E-2</v>
      </c>
      <c r="AJ1670" s="155">
        <v>8.6294551842393383E-4</v>
      </c>
    </row>
    <row r="1671" spans="1:36" s="160" customFormat="1">
      <c r="A1671" s="153" t="s">
        <v>1213</v>
      </c>
      <c r="B1671" s="160">
        <v>9629</v>
      </c>
      <c r="C1671" s="153" t="s">
        <v>1600</v>
      </c>
      <c r="D1671" s="153" t="s">
        <v>1601</v>
      </c>
      <c r="E1671" s="153" t="s">
        <v>309</v>
      </c>
      <c r="F1671" s="153" t="s">
        <v>1954</v>
      </c>
      <c r="G1671" s="153" t="s">
        <v>1955</v>
      </c>
      <c r="H1671" s="153" t="s">
        <v>321</v>
      </c>
      <c r="I1671" s="153" t="s">
        <v>754</v>
      </c>
      <c r="J1671" s="153" t="s">
        <v>204</v>
      </c>
      <c r="K1671" s="153" t="s">
        <v>204</v>
      </c>
      <c r="L1671" s="153" t="s">
        <v>325</v>
      </c>
      <c r="M1671" s="153" t="s">
        <v>340</v>
      </c>
      <c r="N1671" s="153" t="s">
        <v>448</v>
      </c>
      <c r="O1671" s="153" t="s">
        <v>339</v>
      </c>
      <c r="P1671" s="153" t="s">
        <v>1215</v>
      </c>
      <c r="Q1671" s="153" t="s">
        <v>413</v>
      </c>
      <c r="R1671" s="153" t="s">
        <v>407</v>
      </c>
      <c r="S1671" s="153" t="s">
        <v>1212</v>
      </c>
      <c r="T1671" s="154">
        <v>3.02</v>
      </c>
      <c r="U1671" s="153" t="s">
        <v>1956</v>
      </c>
      <c r="V1671" s="155">
        <v>1.7500000000000002E-2</v>
      </c>
      <c r="W1671" s="155">
        <v>2.35E-2</v>
      </c>
      <c r="X1671" s="153" t="s">
        <v>412</v>
      </c>
      <c r="Y1671" s="153" t="s">
        <v>339</v>
      </c>
      <c r="Z1671" s="154">
        <v>169530.08</v>
      </c>
      <c r="AA1671" s="154">
        <v>1</v>
      </c>
      <c r="AB1671" s="154">
        <v>114.28</v>
      </c>
      <c r="AD1671" s="154">
        <v>193.739</v>
      </c>
      <c r="AG1671" s="157" t="s">
        <v>15</v>
      </c>
      <c r="AH1671" s="155">
        <v>6.9999999999999994E-5</v>
      </c>
      <c r="AI1671" s="155">
        <f t="shared" si="26"/>
        <v>9.0055629881815192E-3</v>
      </c>
      <c r="AJ1671" s="155">
        <v>6.9839882112051515E-4</v>
      </c>
    </row>
    <row r="1672" spans="1:36" s="160" customFormat="1">
      <c r="A1672" s="153" t="s">
        <v>1213</v>
      </c>
      <c r="B1672" s="160">
        <v>9629</v>
      </c>
      <c r="C1672" s="153" t="s">
        <v>2436</v>
      </c>
      <c r="D1672" s="153" t="s">
        <v>2437</v>
      </c>
      <c r="E1672" s="153" t="s">
        <v>309</v>
      </c>
      <c r="F1672" s="153" t="s">
        <v>2438</v>
      </c>
      <c r="G1672" s="153" t="s">
        <v>2439</v>
      </c>
      <c r="H1672" s="153" t="s">
        <v>321</v>
      </c>
      <c r="I1672" s="153" t="s">
        <v>754</v>
      </c>
      <c r="J1672" s="153" t="s">
        <v>204</v>
      </c>
      <c r="K1672" s="153" t="s">
        <v>204</v>
      </c>
      <c r="L1672" s="153" t="s">
        <v>325</v>
      </c>
      <c r="M1672" s="153" t="s">
        <v>340</v>
      </c>
      <c r="N1672" s="153" t="s">
        <v>475</v>
      </c>
      <c r="O1672" s="153" t="s">
        <v>339</v>
      </c>
      <c r="P1672" s="153" t="s">
        <v>1538</v>
      </c>
      <c r="Q1672" s="153" t="s">
        <v>413</v>
      </c>
      <c r="R1672" s="153" t="s">
        <v>407</v>
      </c>
      <c r="S1672" s="153" t="s">
        <v>1212</v>
      </c>
      <c r="T1672" s="154">
        <v>2.44</v>
      </c>
      <c r="U1672" s="153" t="s">
        <v>2440</v>
      </c>
      <c r="V1672" s="155">
        <v>3.7699999999999999E-3</v>
      </c>
      <c r="W1672" s="155">
        <v>2.3E-2</v>
      </c>
      <c r="X1672" s="153" t="s">
        <v>412</v>
      </c>
      <c r="Y1672" s="153" t="s">
        <v>339</v>
      </c>
      <c r="Z1672" s="154">
        <v>123674.29</v>
      </c>
      <c r="AA1672" s="154">
        <v>1</v>
      </c>
      <c r="AB1672" s="154">
        <v>120.79</v>
      </c>
      <c r="AC1672" s="154">
        <v>43.322000000000003</v>
      </c>
      <c r="AD1672" s="154">
        <v>192.708</v>
      </c>
      <c r="AG1672" s="157" t="s">
        <v>15</v>
      </c>
      <c r="AH1672" s="155">
        <v>2.9999999999999997E-4</v>
      </c>
      <c r="AI1672" s="155">
        <f t="shared" si="26"/>
        <v>8.9576390521603003E-3</v>
      </c>
      <c r="AJ1672" s="155">
        <v>6.9468222722576377E-4</v>
      </c>
    </row>
    <row r="1673" spans="1:36" s="160" customFormat="1">
      <c r="A1673" s="153" t="s">
        <v>1213</v>
      </c>
      <c r="B1673" s="160">
        <v>9629</v>
      </c>
      <c r="C1673" s="153" t="s">
        <v>2883</v>
      </c>
      <c r="D1673" s="153">
        <v>53368</v>
      </c>
      <c r="E1673" s="153" t="s">
        <v>311</v>
      </c>
      <c r="F1673" s="153" t="s">
        <v>2885</v>
      </c>
      <c r="G1673" s="153" t="s">
        <v>2886</v>
      </c>
      <c r="H1673" s="153" t="s">
        <v>321</v>
      </c>
      <c r="I1673" s="153" t="s">
        <v>755</v>
      </c>
      <c r="J1673" s="153" t="s">
        <v>204</v>
      </c>
      <c r="K1673" s="153" t="s">
        <v>204</v>
      </c>
      <c r="L1673" s="153" t="s">
        <v>325</v>
      </c>
      <c r="M1673" s="153" t="s">
        <v>340</v>
      </c>
      <c r="N1673" s="153" t="s">
        <v>480</v>
      </c>
      <c r="O1673" s="153" t="s">
        <v>339</v>
      </c>
      <c r="P1673" s="153" t="s">
        <v>1566</v>
      </c>
      <c r="Q1673" s="153" t="s">
        <v>413</v>
      </c>
      <c r="R1673" s="153" t="s">
        <v>407</v>
      </c>
      <c r="S1673" s="153" t="s">
        <v>1212</v>
      </c>
      <c r="T1673" s="154">
        <v>0.73</v>
      </c>
      <c r="U1673" s="153" t="s">
        <v>1749</v>
      </c>
      <c r="V1673" s="155">
        <v>3.2149999999999998E-2</v>
      </c>
      <c r="W1673" s="155">
        <v>7.2599999999999998E-2</v>
      </c>
      <c r="X1673" s="153" t="s">
        <v>412</v>
      </c>
      <c r="Y1673" s="153" t="s">
        <v>339</v>
      </c>
      <c r="Z1673" s="154">
        <v>185000</v>
      </c>
      <c r="AA1673" s="154">
        <v>1</v>
      </c>
      <c r="AB1673" s="154">
        <v>103.4</v>
      </c>
      <c r="AD1673" s="154">
        <v>191.29</v>
      </c>
      <c r="AG1673" s="157" t="s">
        <v>15</v>
      </c>
      <c r="AH1673" s="155">
        <v>1.32E-3</v>
      </c>
      <c r="AI1673" s="155">
        <f t="shared" si="26"/>
        <v>8.8917262090195716E-3</v>
      </c>
      <c r="AJ1673" s="155">
        <v>6.8957055880407834E-4</v>
      </c>
    </row>
    <row r="1674" spans="1:36" s="160" customFormat="1">
      <c r="A1674" s="153" t="s">
        <v>1213</v>
      </c>
      <c r="B1674" s="160">
        <v>9629</v>
      </c>
      <c r="C1674" s="153" t="s">
        <v>1573</v>
      </c>
      <c r="D1674" s="153" t="s">
        <v>1574</v>
      </c>
      <c r="E1674" s="153" t="s">
        <v>309</v>
      </c>
      <c r="F1674" s="153" t="s">
        <v>2310</v>
      </c>
      <c r="G1674" s="153" t="s">
        <v>2311</v>
      </c>
      <c r="H1674" s="153" t="s">
        <v>321</v>
      </c>
      <c r="I1674" s="153" t="s">
        <v>754</v>
      </c>
      <c r="J1674" s="153" t="s">
        <v>204</v>
      </c>
      <c r="K1674" s="153" t="s">
        <v>204</v>
      </c>
      <c r="L1674" s="153" t="s">
        <v>325</v>
      </c>
      <c r="M1674" s="153" t="s">
        <v>340</v>
      </c>
      <c r="N1674" s="153" t="s">
        <v>448</v>
      </c>
      <c r="O1674" s="153" t="s">
        <v>339</v>
      </c>
      <c r="P1674" s="153" t="s">
        <v>1215</v>
      </c>
      <c r="Q1674" s="153" t="s">
        <v>413</v>
      </c>
      <c r="R1674" s="153" t="s">
        <v>407</v>
      </c>
      <c r="S1674" s="153" t="s">
        <v>1212</v>
      </c>
      <c r="T1674" s="154">
        <v>1.74</v>
      </c>
      <c r="U1674" s="153" t="s">
        <v>1833</v>
      </c>
      <c r="V1674" s="155">
        <v>1.6250000000000001E-2</v>
      </c>
      <c r="W1674" s="155">
        <v>2.0400000000000001E-2</v>
      </c>
      <c r="X1674" s="153" t="s">
        <v>412</v>
      </c>
      <c r="Y1674" s="153" t="s">
        <v>339</v>
      </c>
      <c r="Z1674" s="154">
        <v>160761</v>
      </c>
      <c r="AA1674" s="154">
        <v>1</v>
      </c>
      <c r="AB1674" s="154">
        <v>113.2</v>
      </c>
      <c r="AD1674" s="154">
        <v>181.98099999999999</v>
      </c>
      <c r="AG1674" s="157" t="s">
        <v>15</v>
      </c>
      <c r="AH1674" s="155">
        <v>1.1E-4</v>
      </c>
      <c r="AI1674" s="155">
        <f t="shared" si="26"/>
        <v>8.4590162959045992E-3</v>
      </c>
      <c r="AJ1674" s="155">
        <v>6.5601306843914996E-4</v>
      </c>
    </row>
    <row r="1675" spans="1:36" s="160" customFormat="1">
      <c r="A1675" s="153" t="s">
        <v>1213</v>
      </c>
      <c r="B1675" s="160">
        <v>9629</v>
      </c>
      <c r="C1675" s="153" t="s">
        <v>1917</v>
      </c>
      <c r="D1675" s="153" t="s">
        <v>1918</v>
      </c>
      <c r="E1675" s="153" t="s">
        <v>309</v>
      </c>
      <c r="F1675" s="153" t="s">
        <v>2720</v>
      </c>
      <c r="G1675" s="153" t="s">
        <v>2721</v>
      </c>
      <c r="H1675" s="153" t="s">
        <v>321</v>
      </c>
      <c r="I1675" s="153" t="s">
        <v>754</v>
      </c>
      <c r="J1675" s="153" t="s">
        <v>204</v>
      </c>
      <c r="K1675" s="153" t="s">
        <v>204</v>
      </c>
      <c r="L1675" s="153" t="s">
        <v>325</v>
      </c>
      <c r="M1675" s="153" t="s">
        <v>340</v>
      </c>
      <c r="N1675" s="153" t="s">
        <v>447</v>
      </c>
      <c r="O1675" s="153" t="s">
        <v>339</v>
      </c>
      <c r="P1675" s="153" t="s">
        <v>1560</v>
      </c>
      <c r="Q1675" s="153" t="s">
        <v>413</v>
      </c>
      <c r="R1675" s="153" t="s">
        <v>407</v>
      </c>
      <c r="S1675" s="153" t="s">
        <v>1212</v>
      </c>
      <c r="T1675" s="154">
        <v>5.47</v>
      </c>
      <c r="U1675" s="153" t="s">
        <v>1732</v>
      </c>
      <c r="V1675" s="155">
        <v>4.0390000000000002E-2</v>
      </c>
      <c r="W1675" s="155">
        <v>3.9800000000000002E-2</v>
      </c>
      <c r="X1675" s="153" t="s">
        <v>412</v>
      </c>
      <c r="Y1675" s="153" t="s">
        <v>339</v>
      </c>
      <c r="Z1675" s="154">
        <v>163000</v>
      </c>
      <c r="AA1675" s="154">
        <v>1</v>
      </c>
      <c r="AB1675" s="154">
        <v>105.93</v>
      </c>
      <c r="AD1675" s="154">
        <v>172.666</v>
      </c>
      <c r="AG1675" s="157" t="s">
        <v>15</v>
      </c>
      <c r="AH1675" s="155">
        <v>4.6999999999999999E-4</v>
      </c>
      <c r="AI1675" s="155">
        <f t="shared" si="26"/>
        <v>8.0260274850048278E-3</v>
      </c>
      <c r="AJ1675" s="155">
        <v>6.2243394901178835E-4</v>
      </c>
    </row>
    <row r="1676" spans="1:36" s="160" customFormat="1">
      <c r="A1676" s="153" t="s">
        <v>1213</v>
      </c>
      <c r="B1676" s="160">
        <v>9629</v>
      </c>
      <c r="C1676" s="153" t="s">
        <v>2757</v>
      </c>
      <c r="D1676" s="153" t="s">
        <v>2758</v>
      </c>
      <c r="E1676" s="153" t="s">
        <v>309</v>
      </c>
      <c r="F1676" s="153" t="s">
        <v>2759</v>
      </c>
      <c r="G1676" s="153" t="s">
        <v>2760</v>
      </c>
      <c r="H1676" s="153" t="s">
        <v>321</v>
      </c>
      <c r="I1676" s="153" t="s">
        <v>755</v>
      </c>
      <c r="J1676" s="153" t="s">
        <v>204</v>
      </c>
      <c r="K1676" s="153" t="s">
        <v>204</v>
      </c>
      <c r="L1676" s="153" t="s">
        <v>325</v>
      </c>
      <c r="M1676" s="153" t="s">
        <v>340</v>
      </c>
      <c r="N1676" s="153" t="s">
        <v>440</v>
      </c>
      <c r="O1676" s="153" t="s">
        <v>339</v>
      </c>
      <c r="P1676" s="153" t="s">
        <v>1521</v>
      </c>
      <c r="Q1676" s="153" t="s">
        <v>413</v>
      </c>
      <c r="R1676" s="153" t="s">
        <v>407</v>
      </c>
      <c r="S1676" s="153" t="s">
        <v>1212</v>
      </c>
      <c r="T1676" s="154">
        <v>0.74</v>
      </c>
      <c r="U1676" s="153" t="s">
        <v>2761</v>
      </c>
      <c r="V1676" s="155">
        <v>4.1950000000000001E-2</v>
      </c>
      <c r="W1676" s="155">
        <v>7.5899999999999995E-2</v>
      </c>
      <c r="X1676" s="153" t="s">
        <v>412</v>
      </c>
      <c r="Y1676" s="153" t="s">
        <v>339</v>
      </c>
      <c r="Z1676" s="154">
        <v>152400</v>
      </c>
      <c r="AA1676" s="154">
        <v>1</v>
      </c>
      <c r="AB1676" s="154">
        <v>100.15</v>
      </c>
      <c r="AD1676" s="154">
        <v>152.62899999999999</v>
      </c>
      <c r="AG1676" s="157" t="s">
        <v>15</v>
      </c>
      <c r="AH1676" s="155">
        <v>6.2E-4</v>
      </c>
      <c r="AI1676" s="155">
        <f t="shared" si="26"/>
        <v>7.0946483326700203E-3</v>
      </c>
      <c r="AJ1676" s="155">
        <v>5.5020369501650732E-4</v>
      </c>
    </row>
    <row r="1677" spans="1:36" s="160" customFormat="1">
      <c r="A1677" s="153" t="s">
        <v>1213</v>
      </c>
      <c r="B1677" s="160">
        <v>9629</v>
      </c>
      <c r="C1677" s="153" t="s">
        <v>2356</v>
      </c>
      <c r="D1677" s="153" t="s">
        <v>2357</v>
      </c>
      <c r="E1677" s="153" t="s">
        <v>309</v>
      </c>
      <c r="F1677" s="153" t="s">
        <v>2724</v>
      </c>
      <c r="G1677" s="153" t="s">
        <v>2725</v>
      </c>
      <c r="H1677" s="153" t="s">
        <v>321</v>
      </c>
      <c r="I1677" s="153" t="s">
        <v>754</v>
      </c>
      <c r="J1677" s="153" t="s">
        <v>204</v>
      </c>
      <c r="K1677" s="153" t="s">
        <v>204</v>
      </c>
      <c r="L1677" s="153" t="s">
        <v>325</v>
      </c>
      <c r="M1677" s="153" t="s">
        <v>340</v>
      </c>
      <c r="N1677" s="153" t="s">
        <v>447</v>
      </c>
      <c r="O1677" s="153" t="s">
        <v>339</v>
      </c>
      <c r="P1677" s="153" t="s">
        <v>1560</v>
      </c>
      <c r="Q1677" s="153" t="s">
        <v>413</v>
      </c>
      <c r="R1677" s="153" t="s">
        <v>407</v>
      </c>
      <c r="S1677" s="153" t="s">
        <v>1212</v>
      </c>
      <c r="T1677" s="154">
        <v>0.5</v>
      </c>
      <c r="U1677" s="153" t="s">
        <v>1965</v>
      </c>
      <c r="V1677" s="155">
        <v>6.4070000000000002E-2</v>
      </c>
      <c r="W1677" s="155">
        <v>3.4700000000000002E-2</v>
      </c>
      <c r="X1677" s="153" t="s">
        <v>412</v>
      </c>
      <c r="Y1677" s="153" t="s">
        <v>339</v>
      </c>
      <c r="Z1677" s="154">
        <v>105622.66</v>
      </c>
      <c r="AA1677" s="154">
        <v>1</v>
      </c>
      <c r="AB1677" s="154">
        <v>115.84</v>
      </c>
      <c r="AC1677" s="154">
        <v>2.6429999999999998</v>
      </c>
      <c r="AD1677" s="154">
        <v>124.997</v>
      </c>
      <c r="AG1677" s="157" t="s">
        <v>15</v>
      </c>
      <c r="AH1677" s="155">
        <v>2.4000000000000001E-4</v>
      </c>
      <c r="AI1677" s="155">
        <f t="shared" si="26"/>
        <v>5.8102310677443647E-3</v>
      </c>
      <c r="AJ1677" s="155">
        <v>4.5059465282468186E-4</v>
      </c>
    </row>
    <row r="1678" spans="1:36" s="160" customFormat="1">
      <c r="A1678" s="153" t="s">
        <v>1213</v>
      </c>
      <c r="B1678" s="160">
        <v>9629</v>
      </c>
      <c r="C1678" s="153" t="s">
        <v>2812</v>
      </c>
      <c r="D1678" s="153" t="s">
        <v>2813</v>
      </c>
      <c r="E1678" s="153" t="s">
        <v>309</v>
      </c>
      <c r="F1678" s="153" t="s">
        <v>2814</v>
      </c>
      <c r="G1678" s="153" t="s">
        <v>2815</v>
      </c>
      <c r="H1678" s="153" t="s">
        <v>321</v>
      </c>
      <c r="I1678" s="153" t="s">
        <v>951</v>
      </c>
      <c r="J1678" s="153" t="s">
        <v>204</v>
      </c>
      <c r="K1678" s="153" t="s">
        <v>204</v>
      </c>
      <c r="L1678" s="153" t="s">
        <v>325</v>
      </c>
      <c r="M1678" s="153" t="s">
        <v>340</v>
      </c>
      <c r="N1678" s="153" t="s">
        <v>447</v>
      </c>
      <c r="O1678" s="153" t="s">
        <v>339</v>
      </c>
      <c r="P1678" s="153" t="s">
        <v>1614</v>
      </c>
      <c r="Q1678" s="153" t="s">
        <v>415</v>
      </c>
      <c r="R1678" s="153" t="s">
        <v>407</v>
      </c>
      <c r="S1678" s="153" t="s">
        <v>1212</v>
      </c>
      <c r="T1678" s="154">
        <v>1.71</v>
      </c>
      <c r="U1678" s="153" t="s">
        <v>1343</v>
      </c>
      <c r="V1678" s="155">
        <v>5.3409999999999999E-2</v>
      </c>
      <c r="W1678" s="155">
        <v>5.6000000000000001E-2</v>
      </c>
      <c r="X1678" s="153" t="s">
        <v>412</v>
      </c>
      <c r="Y1678" s="153" t="s">
        <v>339</v>
      </c>
      <c r="Z1678" s="154">
        <v>107503.48</v>
      </c>
      <c r="AA1678" s="154">
        <v>1</v>
      </c>
      <c r="AB1678" s="154">
        <v>94.88</v>
      </c>
      <c r="AD1678" s="154">
        <v>101.999</v>
      </c>
      <c r="AG1678" s="157" t="s">
        <v>15</v>
      </c>
      <c r="AH1678" s="155">
        <v>4.2000000000000002E-4</v>
      </c>
      <c r="AI1678" s="155">
        <f t="shared" si="26"/>
        <v>4.7412158586114658E-3</v>
      </c>
      <c r="AJ1678" s="155">
        <v>3.6769045651867421E-4</v>
      </c>
    </row>
    <row r="1679" spans="1:36" s="160" customFormat="1">
      <c r="A1679" s="153" t="s">
        <v>1213</v>
      </c>
      <c r="B1679" s="160">
        <v>9629</v>
      </c>
      <c r="C1679" s="153" t="s">
        <v>2178</v>
      </c>
      <c r="D1679" s="153" t="s">
        <v>2179</v>
      </c>
      <c r="E1679" s="153" t="s">
        <v>309</v>
      </c>
      <c r="F1679" s="153" t="s">
        <v>2762</v>
      </c>
      <c r="G1679" s="153" t="s">
        <v>2763</v>
      </c>
      <c r="H1679" s="153" t="s">
        <v>321</v>
      </c>
      <c r="I1679" s="153" t="s">
        <v>951</v>
      </c>
      <c r="J1679" s="153" t="s">
        <v>204</v>
      </c>
      <c r="K1679" s="153" t="s">
        <v>204</v>
      </c>
      <c r="L1679" s="153" t="s">
        <v>325</v>
      </c>
      <c r="M1679" s="153" t="s">
        <v>340</v>
      </c>
      <c r="N1679" s="153" t="s">
        <v>464</v>
      </c>
      <c r="O1679" s="153" t="s">
        <v>339</v>
      </c>
      <c r="P1679" s="153" t="s">
        <v>1566</v>
      </c>
      <c r="Q1679" s="153" t="s">
        <v>413</v>
      </c>
      <c r="R1679" s="153" t="s">
        <v>407</v>
      </c>
      <c r="S1679" s="153" t="s">
        <v>1212</v>
      </c>
      <c r="T1679" s="154">
        <v>1.34</v>
      </c>
      <c r="U1679" s="153" t="s">
        <v>2764</v>
      </c>
      <c r="V1679" s="155">
        <v>-9.0799999999999995E-3</v>
      </c>
      <c r="W1679" s="155">
        <v>6.1800000000000001E-2</v>
      </c>
      <c r="X1679" s="153" t="s">
        <v>412</v>
      </c>
      <c r="Y1679" s="153" t="s">
        <v>339</v>
      </c>
      <c r="Z1679" s="154">
        <v>96449.25</v>
      </c>
      <c r="AA1679" s="154">
        <v>1</v>
      </c>
      <c r="AB1679" s="154">
        <v>101.51</v>
      </c>
      <c r="AD1679" s="154">
        <v>97.906000000000006</v>
      </c>
      <c r="AG1679" s="157" t="s">
        <v>15</v>
      </c>
      <c r="AH1679" s="155">
        <v>9.0000000000000006E-5</v>
      </c>
      <c r="AI1679" s="155">
        <f t="shared" si="26"/>
        <v>4.5509610864147123E-3</v>
      </c>
      <c r="AJ1679" s="155">
        <v>3.529358310955727E-4</v>
      </c>
    </row>
    <row r="1680" spans="1:36" s="160" customFormat="1">
      <c r="A1680" s="153" t="s">
        <v>1213</v>
      </c>
      <c r="B1680" s="160">
        <v>9629</v>
      </c>
      <c r="C1680" s="153" t="s">
        <v>1759</v>
      </c>
      <c r="D1680" s="153" t="s">
        <v>1760</v>
      </c>
      <c r="E1680" s="153" t="s">
        <v>309</v>
      </c>
      <c r="F1680" s="153" t="s">
        <v>2819</v>
      </c>
      <c r="G1680" s="153" t="s">
        <v>2820</v>
      </c>
      <c r="H1680" s="153" t="s">
        <v>321</v>
      </c>
      <c r="I1680" s="153" t="s">
        <v>754</v>
      </c>
      <c r="J1680" s="153" t="s">
        <v>204</v>
      </c>
      <c r="K1680" s="153" t="s">
        <v>204</v>
      </c>
      <c r="L1680" s="153" t="s">
        <v>325</v>
      </c>
      <c r="M1680" s="153" t="s">
        <v>340</v>
      </c>
      <c r="N1680" s="153" t="s">
        <v>465</v>
      </c>
      <c r="O1680" s="153" t="s">
        <v>339</v>
      </c>
      <c r="P1680" s="153" t="s">
        <v>1614</v>
      </c>
      <c r="Q1680" s="153" t="s">
        <v>415</v>
      </c>
      <c r="R1680" s="153" t="s">
        <v>407</v>
      </c>
      <c r="S1680" s="153" t="s">
        <v>1212</v>
      </c>
      <c r="T1680" s="154">
        <v>0.74</v>
      </c>
      <c r="U1680" s="153" t="s">
        <v>2821</v>
      </c>
      <c r="V1680" s="155">
        <v>3.3579999999999999E-2</v>
      </c>
      <c r="W1680" s="155">
        <v>2.7099999999999999E-2</v>
      </c>
      <c r="X1680" s="153" t="s">
        <v>412</v>
      </c>
      <c r="Y1680" s="153" t="s">
        <v>339</v>
      </c>
      <c r="Z1680" s="154">
        <v>79841.399999999994</v>
      </c>
      <c r="AA1680" s="154">
        <v>1</v>
      </c>
      <c r="AB1680" s="154">
        <v>118.92</v>
      </c>
      <c r="AD1680" s="154">
        <v>94.947000000000003</v>
      </c>
      <c r="AG1680" s="157" t="s">
        <v>15</v>
      </c>
      <c r="AH1680" s="155">
        <v>5.5999999999999995E-4</v>
      </c>
      <c r="AI1680" s="155">
        <f t="shared" si="26"/>
        <v>4.4134179955448863E-3</v>
      </c>
      <c r="AJ1680" s="155">
        <v>3.4226909847232391E-4</v>
      </c>
    </row>
    <row r="1681" spans="1:36" s="160" customFormat="1">
      <c r="A1681" s="153" t="s">
        <v>1213</v>
      </c>
      <c r="B1681" s="160">
        <v>9629</v>
      </c>
      <c r="C1681" s="153" t="s">
        <v>2576</v>
      </c>
      <c r="D1681" s="153" t="s">
        <v>2577</v>
      </c>
      <c r="E1681" s="153" t="s">
        <v>309</v>
      </c>
      <c r="F1681" s="153" t="s">
        <v>2816</v>
      </c>
      <c r="G1681" s="153" t="s">
        <v>2817</v>
      </c>
      <c r="H1681" s="153" t="s">
        <v>321</v>
      </c>
      <c r="I1681" s="153" t="s">
        <v>951</v>
      </c>
      <c r="J1681" s="153" t="s">
        <v>204</v>
      </c>
      <c r="K1681" s="153" t="s">
        <v>204</v>
      </c>
      <c r="L1681" s="153" t="s">
        <v>325</v>
      </c>
      <c r="M1681" s="153" t="s">
        <v>340</v>
      </c>
      <c r="N1681" s="153" t="s">
        <v>451</v>
      </c>
      <c r="O1681" s="153" t="s">
        <v>339</v>
      </c>
      <c r="P1681" s="153" t="s">
        <v>1521</v>
      </c>
      <c r="Q1681" s="153" t="s">
        <v>413</v>
      </c>
      <c r="R1681" s="153" t="s">
        <v>407</v>
      </c>
      <c r="S1681" s="153" t="s">
        <v>1212</v>
      </c>
      <c r="T1681" s="154">
        <v>3.62</v>
      </c>
      <c r="U1681" s="153" t="s">
        <v>2818</v>
      </c>
      <c r="V1681" s="155">
        <v>4.7530000000000003E-2</v>
      </c>
      <c r="W1681" s="155">
        <v>5.79E-2</v>
      </c>
      <c r="X1681" s="153" t="s">
        <v>412</v>
      </c>
      <c r="Y1681" s="153" t="s">
        <v>339</v>
      </c>
      <c r="Z1681" s="154">
        <v>96353</v>
      </c>
      <c r="AA1681" s="154">
        <v>1</v>
      </c>
      <c r="AB1681" s="154">
        <v>90.3</v>
      </c>
      <c r="AD1681" s="154">
        <v>87.007000000000005</v>
      </c>
      <c r="AG1681" s="157" t="s">
        <v>15</v>
      </c>
      <c r="AH1681" s="155">
        <v>1.2999999999999999E-4</v>
      </c>
      <c r="AI1681" s="155">
        <f t="shared" si="26"/>
        <v>4.044343260328119E-3</v>
      </c>
      <c r="AJ1681" s="155">
        <v>3.1364663918587724E-4</v>
      </c>
    </row>
    <row r="1682" spans="1:36" s="160" customFormat="1">
      <c r="A1682" s="153" t="s">
        <v>1213</v>
      </c>
      <c r="B1682" s="160">
        <v>9629</v>
      </c>
      <c r="C1682" s="153" t="s">
        <v>2385</v>
      </c>
      <c r="D1682" s="153" t="s">
        <v>2386</v>
      </c>
      <c r="E1682" s="153" t="s">
        <v>309</v>
      </c>
      <c r="F1682" s="153" t="s">
        <v>2539</v>
      </c>
      <c r="G1682" s="153" t="s">
        <v>2540</v>
      </c>
      <c r="H1682" s="153" t="s">
        <v>321</v>
      </c>
      <c r="I1682" s="153" t="s">
        <v>951</v>
      </c>
      <c r="J1682" s="153" t="s">
        <v>204</v>
      </c>
      <c r="K1682" s="153" t="s">
        <v>204</v>
      </c>
      <c r="L1682" s="153" t="s">
        <v>325</v>
      </c>
      <c r="M1682" s="153" t="s">
        <v>340</v>
      </c>
      <c r="N1682" s="153" t="s">
        <v>464</v>
      </c>
      <c r="O1682" s="153" t="s">
        <v>339</v>
      </c>
      <c r="P1682" s="153" t="s">
        <v>1211</v>
      </c>
      <c r="Q1682" s="153" t="s">
        <v>415</v>
      </c>
      <c r="R1682" s="153" t="s">
        <v>407</v>
      </c>
      <c r="S1682" s="153" t="s">
        <v>1212</v>
      </c>
      <c r="T1682" s="154">
        <v>0.25</v>
      </c>
      <c r="U1682" s="153" t="s">
        <v>2541</v>
      </c>
      <c r="V1682" s="155">
        <v>9.7999999999999997E-4</v>
      </c>
      <c r="W1682" s="155">
        <v>4.5199999999999997E-2</v>
      </c>
      <c r="X1682" s="153" t="s">
        <v>412</v>
      </c>
      <c r="Y1682" s="153" t="s">
        <v>339</v>
      </c>
      <c r="Z1682" s="154">
        <v>81599.5</v>
      </c>
      <c r="AA1682" s="154">
        <v>1</v>
      </c>
      <c r="AB1682" s="154">
        <v>99.71</v>
      </c>
      <c r="AD1682" s="154">
        <v>81.363</v>
      </c>
      <c r="AG1682" s="157" t="s">
        <v>15</v>
      </c>
      <c r="AH1682" s="155">
        <v>7.7999999999999999E-4</v>
      </c>
      <c r="AI1682" s="155">
        <f t="shared" si="26"/>
        <v>3.7819934107609361E-3</v>
      </c>
      <c r="AJ1682" s="155">
        <v>2.933009011238237E-4</v>
      </c>
    </row>
    <row r="1683" spans="1:36" s="160" customFormat="1">
      <c r="A1683" s="153" t="s">
        <v>1213</v>
      </c>
      <c r="B1683" s="160">
        <v>9629</v>
      </c>
      <c r="C1683" s="153" t="s">
        <v>2032</v>
      </c>
      <c r="D1683" s="153" t="s">
        <v>2033</v>
      </c>
      <c r="E1683" s="153" t="s">
        <v>309</v>
      </c>
      <c r="F1683" s="153" t="s">
        <v>2765</v>
      </c>
      <c r="G1683" s="153" t="s">
        <v>2766</v>
      </c>
      <c r="H1683" s="153" t="s">
        <v>321</v>
      </c>
      <c r="I1683" s="153" t="s">
        <v>754</v>
      </c>
      <c r="J1683" s="153" t="s">
        <v>204</v>
      </c>
      <c r="K1683" s="153" t="s">
        <v>204</v>
      </c>
      <c r="L1683" s="153" t="s">
        <v>325</v>
      </c>
      <c r="M1683" s="153" t="s">
        <v>340</v>
      </c>
      <c r="N1683" s="153" t="s">
        <v>445</v>
      </c>
      <c r="O1683" s="153" t="s">
        <v>339</v>
      </c>
      <c r="P1683" s="153" t="s">
        <v>1538</v>
      </c>
      <c r="Q1683" s="153" t="s">
        <v>413</v>
      </c>
      <c r="R1683" s="153" t="s">
        <v>407</v>
      </c>
      <c r="S1683" s="153" t="s">
        <v>1212</v>
      </c>
      <c r="T1683" s="154">
        <v>5.09</v>
      </c>
      <c r="U1683" s="153" t="s">
        <v>2210</v>
      </c>
      <c r="V1683" s="155">
        <v>2.2360000000000001E-2</v>
      </c>
      <c r="W1683" s="155">
        <v>2.8899999999999999E-2</v>
      </c>
      <c r="X1683" s="153" t="s">
        <v>412</v>
      </c>
      <c r="Y1683" s="153" t="s">
        <v>339</v>
      </c>
      <c r="Z1683" s="154">
        <v>77699</v>
      </c>
      <c r="AA1683" s="154">
        <v>1</v>
      </c>
      <c r="AB1683" s="154">
        <v>100.89</v>
      </c>
      <c r="AD1683" s="154">
        <v>78.391000000000005</v>
      </c>
      <c r="AG1683" s="157" t="s">
        <v>15</v>
      </c>
      <c r="AH1683" s="155">
        <v>2.5999999999999998E-4</v>
      </c>
      <c r="AI1683" s="155">
        <f t="shared" si="26"/>
        <v>3.6438460413573807E-3</v>
      </c>
      <c r="AJ1683" s="155">
        <v>2.8258730553196984E-4</v>
      </c>
    </row>
    <row r="1684" spans="1:36" s="160" customFormat="1">
      <c r="A1684" s="153" t="s">
        <v>1213</v>
      </c>
      <c r="B1684" s="160">
        <v>9629</v>
      </c>
      <c r="C1684" s="153" t="s">
        <v>2576</v>
      </c>
      <c r="D1684" s="153" t="s">
        <v>2577</v>
      </c>
      <c r="E1684" s="153" t="s">
        <v>309</v>
      </c>
      <c r="F1684" s="153" t="s">
        <v>2578</v>
      </c>
      <c r="G1684" s="153" t="s">
        <v>2579</v>
      </c>
      <c r="H1684" s="153" t="s">
        <v>321</v>
      </c>
      <c r="I1684" s="153" t="s">
        <v>755</v>
      </c>
      <c r="J1684" s="153" t="s">
        <v>204</v>
      </c>
      <c r="K1684" s="153" t="s">
        <v>204</v>
      </c>
      <c r="L1684" s="153" t="s">
        <v>325</v>
      </c>
      <c r="M1684" s="153" t="s">
        <v>340</v>
      </c>
      <c r="N1684" s="153" t="s">
        <v>451</v>
      </c>
      <c r="O1684" s="153" t="s">
        <v>339</v>
      </c>
      <c r="P1684" s="153" t="s">
        <v>1521</v>
      </c>
      <c r="Q1684" s="153" t="s">
        <v>413</v>
      </c>
      <c r="R1684" s="153" t="s">
        <v>407</v>
      </c>
      <c r="S1684" s="153" t="s">
        <v>1212</v>
      </c>
      <c r="T1684" s="154">
        <v>1.48</v>
      </c>
      <c r="U1684" s="153" t="s">
        <v>1522</v>
      </c>
      <c r="V1684" s="155">
        <v>5.4469999999999998E-2</v>
      </c>
      <c r="W1684" s="155">
        <v>7.0099999999999996E-2</v>
      </c>
      <c r="X1684" s="153" t="s">
        <v>412</v>
      </c>
      <c r="Y1684" s="153" t="s">
        <v>339</v>
      </c>
      <c r="Z1684" s="154">
        <v>64622.25</v>
      </c>
      <c r="AA1684" s="154">
        <v>1</v>
      </c>
      <c r="AB1684" s="154">
        <v>105.21</v>
      </c>
      <c r="AD1684" s="154">
        <v>67.989000000000004</v>
      </c>
      <c r="AG1684" s="157" t="s">
        <v>15</v>
      </c>
      <c r="AH1684" s="155">
        <v>5.9999999999999995E-4</v>
      </c>
      <c r="AI1684" s="155">
        <f t="shared" si="26"/>
        <v>3.1603302484449355E-3</v>
      </c>
      <c r="AJ1684" s="155">
        <v>2.450897209604814E-4</v>
      </c>
    </row>
    <row r="1685" spans="1:36" s="160" customFormat="1">
      <c r="A1685" s="153" t="s">
        <v>1213</v>
      </c>
      <c r="B1685" s="160">
        <v>9629</v>
      </c>
      <c r="C1685" s="153" t="s">
        <v>2408</v>
      </c>
      <c r="D1685" s="153" t="s">
        <v>2409</v>
      </c>
      <c r="E1685" s="153" t="s">
        <v>309</v>
      </c>
      <c r="F1685" s="153" t="s">
        <v>2410</v>
      </c>
      <c r="G1685" s="153" t="s">
        <v>2411</v>
      </c>
      <c r="H1685" s="153" t="s">
        <v>321</v>
      </c>
      <c r="I1685" s="153" t="s">
        <v>951</v>
      </c>
      <c r="J1685" s="153" t="s">
        <v>204</v>
      </c>
      <c r="K1685" s="153" t="s">
        <v>204</v>
      </c>
      <c r="L1685" s="153" t="s">
        <v>325</v>
      </c>
      <c r="M1685" s="153" t="s">
        <v>340</v>
      </c>
      <c r="N1685" s="153" t="s">
        <v>451</v>
      </c>
      <c r="O1685" s="153" t="s">
        <v>339</v>
      </c>
      <c r="P1685" s="153" t="s">
        <v>1521</v>
      </c>
      <c r="Q1685" s="153" t="s">
        <v>413</v>
      </c>
      <c r="R1685" s="153" t="s">
        <v>407</v>
      </c>
      <c r="S1685" s="153" t="s">
        <v>1212</v>
      </c>
      <c r="T1685" s="154">
        <v>1.46</v>
      </c>
      <c r="U1685" s="153" t="s">
        <v>1522</v>
      </c>
      <c r="V1685" s="155">
        <v>2.1659999999999999E-2</v>
      </c>
      <c r="W1685" s="155">
        <v>5.8700000000000002E-2</v>
      </c>
      <c r="X1685" s="153" t="s">
        <v>412</v>
      </c>
      <c r="Y1685" s="153" t="s">
        <v>339</v>
      </c>
      <c r="Z1685" s="154">
        <v>69240.149999999994</v>
      </c>
      <c r="AA1685" s="154">
        <v>1</v>
      </c>
      <c r="AB1685" s="154">
        <v>97.35</v>
      </c>
      <c r="AD1685" s="154">
        <v>67.405000000000001</v>
      </c>
      <c r="AG1685" s="157" t="s">
        <v>15</v>
      </c>
      <c r="AH1685" s="155">
        <v>1.2E-4</v>
      </c>
      <c r="AI1685" s="155">
        <f t="shared" si="26"/>
        <v>3.1331841973912086E-3</v>
      </c>
      <c r="AJ1685" s="155">
        <v>2.4298449221699464E-4</v>
      </c>
    </row>
    <row r="1686" spans="1:36" s="160" customFormat="1">
      <c r="A1686" s="153" t="s">
        <v>1213</v>
      </c>
      <c r="B1686" s="160">
        <v>9629</v>
      </c>
      <c r="C1686" s="153" t="s">
        <v>2771</v>
      </c>
      <c r="D1686" s="153" t="s">
        <v>2772</v>
      </c>
      <c r="E1686" s="153" t="s">
        <v>309</v>
      </c>
      <c r="F1686" s="153" t="s">
        <v>2822</v>
      </c>
      <c r="G1686" s="153" t="s">
        <v>2823</v>
      </c>
      <c r="H1686" s="153" t="s">
        <v>321</v>
      </c>
      <c r="I1686" s="153" t="s">
        <v>951</v>
      </c>
      <c r="J1686" s="153" t="s">
        <v>204</v>
      </c>
      <c r="K1686" s="153" t="s">
        <v>204</v>
      </c>
      <c r="L1686" s="153" t="s">
        <v>325</v>
      </c>
      <c r="M1686" s="153" t="s">
        <v>340</v>
      </c>
      <c r="N1686" s="153" t="s">
        <v>447</v>
      </c>
      <c r="O1686" s="153" t="s">
        <v>339</v>
      </c>
      <c r="P1686" s="153" t="s">
        <v>1614</v>
      </c>
      <c r="Q1686" s="153" t="s">
        <v>415</v>
      </c>
      <c r="R1686" s="153" t="s">
        <v>407</v>
      </c>
      <c r="S1686" s="153" t="s">
        <v>1212</v>
      </c>
      <c r="T1686" s="154">
        <v>1.36</v>
      </c>
      <c r="U1686" s="153" t="s">
        <v>1659</v>
      </c>
      <c r="V1686" s="155">
        <v>2.818E-2</v>
      </c>
      <c r="W1686" s="155">
        <v>5.9299999999999999E-2</v>
      </c>
      <c r="X1686" s="153" t="s">
        <v>412</v>
      </c>
      <c r="Y1686" s="153" t="s">
        <v>339</v>
      </c>
      <c r="Z1686" s="154">
        <v>64927.519999999997</v>
      </c>
      <c r="AA1686" s="154">
        <v>1</v>
      </c>
      <c r="AB1686" s="154">
        <v>96.89</v>
      </c>
      <c r="AD1686" s="154">
        <v>62.908000000000001</v>
      </c>
      <c r="AG1686" s="157" t="s">
        <v>15</v>
      </c>
      <c r="AH1686" s="155">
        <v>2.1000000000000001E-4</v>
      </c>
      <c r="AI1686" s="155">
        <f t="shared" si="26"/>
        <v>2.9241503076846845E-3</v>
      </c>
      <c r="AJ1686" s="155">
        <v>2.2677350992339885E-4</v>
      </c>
    </row>
    <row r="1687" spans="1:36" s="160" customFormat="1">
      <c r="A1687" s="153" t="s">
        <v>1213</v>
      </c>
      <c r="B1687" s="160">
        <v>9629</v>
      </c>
      <c r="C1687" s="153" t="s">
        <v>1861</v>
      </c>
      <c r="D1687" s="153" t="s">
        <v>1862</v>
      </c>
      <c r="E1687" s="153" t="s">
        <v>309</v>
      </c>
      <c r="F1687" s="153" t="s">
        <v>1863</v>
      </c>
      <c r="G1687" s="153" t="s">
        <v>1864</v>
      </c>
      <c r="H1687" s="153" t="s">
        <v>321</v>
      </c>
      <c r="I1687" s="153" t="s">
        <v>754</v>
      </c>
      <c r="J1687" s="153" t="s">
        <v>204</v>
      </c>
      <c r="K1687" s="153" t="s">
        <v>204</v>
      </c>
      <c r="L1687" s="153" t="s">
        <v>325</v>
      </c>
      <c r="M1687" s="153" t="s">
        <v>340</v>
      </c>
      <c r="N1687" s="153" t="s">
        <v>464</v>
      </c>
      <c r="O1687" s="153" t="s">
        <v>339</v>
      </c>
      <c r="P1687" s="153" t="s">
        <v>1538</v>
      </c>
      <c r="Q1687" s="153" t="s">
        <v>413</v>
      </c>
      <c r="R1687" s="153" t="s">
        <v>407</v>
      </c>
      <c r="S1687" s="153" t="s">
        <v>1212</v>
      </c>
      <c r="T1687" s="154">
        <v>5.3</v>
      </c>
      <c r="U1687" s="153" t="s">
        <v>1865</v>
      </c>
      <c r="V1687" s="155">
        <v>3.1099999999999999E-3</v>
      </c>
      <c r="W1687" s="155">
        <v>3.0300000000000001E-2</v>
      </c>
      <c r="X1687" s="153" t="s">
        <v>412</v>
      </c>
      <c r="Y1687" s="153" t="s">
        <v>339</v>
      </c>
      <c r="Z1687" s="154">
        <v>55450.78</v>
      </c>
      <c r="AA1687" s="154">
        <v>1</v>
      </c>
      <c r="AB1687" s="154">
        <v>97.92</v>
      </c>
      <c r="AD1687" s="154">
        <v>54.296999999999997</v>
      </c>
      <c r="AG1687" s="157" t="s">
        <v>15</v>
      </c>
      <c r="AH1687" s="155">
        <v>4.0000000000000003E-5</v>
      </c>
      <c r="AI1687" s="155">
        <f t="shared" si="26"/>
        <v>2.5238855035346107E-3</v>
      </c>
      <c r="AJ1687" s="155">
        <v>1.9573220048818571E-4</v>
      </c>
    </row>
    <row r="1688" spans="1:36" s="160" customFormat="1">
      <c r="A1688" s="153" t="s">
        <v>1213</v>
      </c>
      <c r="B1688" s="160">
        <v>9629</v>
      </c>
      <c r="C1688" s="153" t="s">
        <v>2361</v>
      </c>
      <c r="D1688" s="153" t="s">
        <v>2362</v>
      </c>
      <c r="E1688" s="153" t="s">
        <v>309</v>
      </c>
      <c r="F1688" s="153" t="s">
        <v>2363</v>
      </c>
      <c r="G1688" s="153" t="s">
        <v>2364</v>
      </c>
      <c r="H1688" s="153" t="s">
        <v>321</v>
      </c>
      <c r="I1688" s="153" t="s">
        <v>951</v>
      </c>
      <c r="J1688" s="153" t="s">
        <v>204</v>
      </c>
      <c r="K1688" s="153" t="s">
        <v>204</v>
      </c>
      <c r="L1688" s="153" t="s">
        <v>325</v>
      </c>
      <c r="M1688" s="153" t="s">
        <v>340</v>
      </c>
      <c r="N1688" s="153" t="s">
        <v>446</v>
      </c>
      <c r="O1688" s="153" t="s">
        <v>339</v>
      </c>
      <c r="P1688" s="153" t="s">
        <v>1538</v>
      </c>
      <c r="Q1688" s="153" t="s">
        <v>413</v>
      </c>
      <c r="R1688" s="153" t="s">
        <v>407</v>
      </c>
      <c r="S1688" s="153" t="s">
        <v>1212</v>
      </c>
      <c r="T1688" s="154">
        <v>2.62</v>
      </c>
      <c r="U1688" s="153" t="s">
        <v>1587</v>
      </c>
      <c r="V1688" s="155">
        <v>4.8869999999999997E-2</v>
      </c>
      <c r="W1688" s="155">
        <v>5.2200000000000003E-2</v>
      </c>
      <c r="X1688" s="153" t="s">
        <v>412</v>
      </c>
      <c r="Y1688" s="153" t="s">
        <v>339</v>
      </c>
      <c r="Z1688" s="154">
        <v>53191.43</v>
      </c>
      <c r="AA1688" s="154">
        <v>1</v>
      </c>
      <c r="AB1688" s="154">
        <v>90.15</v>
      </c>
      <c r="AD1688" s="154">
        <v>47.951999999999998</v>
      </c>
      <c r="AG1688" s="157" t="s">
        <v>15</v>
      </c>
      <c r="AH1688" s="155">
        <v>6.0000000000000002E-5</v>
      </c>
      <c r="AI1688" s="155">
        <f t="shared" si="26"/>
        <v>2.2289510961101288E-3</v>
      </c>
      <c r="AJ1688" s="155">
        <v>1.7285946696520032E-4</v>
      </c>
    </row>
    <row r="1689" spans="1:36" s="160" customFormat="1">
      <c r="A1689" s="153" t="s">
        <v>1213</v>
      </c>
      <c r="B1689" s="160">
        <v>9629</v>
      </c>
      <c r="C1689" s="153" t="s">
        <v>2824</v>
      </c>
      <c r="D1689" s="153" t="s">
        <v>2825</v>
      </c>
      <c r="E1689" s="153" t="s">
        <v>309</v>
      </c>
      <c r="F1689" s="153" t="s">
        <v>2826</v>
      </c>
      <c r="G1689" s="153" t="s">
        <v>2827</v>
      </c>
      <c r="H1689" s="153" t="s">
        <v>321</v>
      </c>
      <c r="I1689" s="153" t="s">
        <v>951</v>
      </c>
      <c r="J1689" s="153" t="s">
        <v>204</v>
      </c>
      <c r="K1689" s="153" t="s">
        <v>204</v>
      </c>
      <c r="L1689" s="153" t="s">
        <v>325</v>
      </c>
      <c r="M1689" s="153" t="s">
        <v>340</v>
      </c>
      <c r="N1689" s="153" t="s">
        <v>463</v>
      </c>
      <c r="O1689" s="153" t="s">
        <v>339</v>
      </c>
      <c r="P1689" s="153" t="s">
        <v>1521</v>
      </c>
      <c r="Q1689" s="153" t="s">
        <v>413</v>
      </c>
      <c r="R1689" s="153" t="s">
        <v>407</v>
      </c>
      <c r="S1689" s="153" t="s">
        <v>1212</v>
      </c>
      <c r="T1689" s="154">
        <v>5.46</v>
      </c>
      <c r="U1689" s="153" t="s">
        <v>2828</v>
      </c>
      <c r="V1689" s="155">
        <v>2.24E-2</v>
      </c>
      <c r="W1689" s="155">
        <v>6.0199999999999997E-2</v>
      </c>
      <c r="X1689" s="153" t="s">
        <v>412</v>
      </c>
      <c r="Y1689" s="153" t="s">
        <v>339</v>
      </c>
      <c r="Z1689" s="154">
        <v>50549.62</v>
      </c>
      <c r="AA1689" s="154">
        <v>1</v>
      </c>
      <c r="AB1689" s="154">
        <v>82.39</v>
      </c>
      <c r="AD1689" s="154">
        <v>41.648000000000003</v>
      </c>
      <c r="AG1689" s="157" t="s">
        <v>15</v>
      </c>
      <c r="AH1689" s="155">
        <v>5.0000000000000002E-5</v>
      </c>
      <c r="AI1689" s="155">
        <f t="shared" si="26"/>
        <v>1.9359224902151036E-3</v>
      </c>
      <c r="AJ1689" s="155">
        <v>1.5013453203550767E-4</v>
      </c>
    </row>
    <row r="1690" spans="1:36" s="160" customFormat="1">
      <c r="A1690" s="153" t="s">
        <v>1213</v>
      </c>
      <c r="B1690" s="160">
        <v>9629</v>
      </c>
      <c r="C1690" s="153" t="s">
        <v>2238</v>
      </c>
      <c r="D1690" s="153" t="s">
        <v>2239</v>
      </c>
      <c r="E1690" s="153" t="s">
        <v>309</v>
      </c>
      <c r="F1690" s="153" t="s">
        <v>2794</v>
      </c>
      <c r="G1690" s="153" t="s">
        <v>2795</v>
      </c>
      <c r="H1690" s="153" t="s">
        <v>321</v>
      </c>
      <c r="I1690" s="153" t="s">
        <v>951</v>
      </c>
      <c r="J1690" s="153" t="s">
        <v>204</v>
      </c>
      <c r="K1690" s="153" t="s">
        <v>204</v>
      </c>
      <c r="L1690" s="153" t="s">
        <v>325</v>
      </c>
      <c r="M1690" s="153" t="s">
        <v>340</v>
      </c>
      <c r="N1690" s="153" t="s">
        <v>447</v>
      </c>
      <c r="O1690" s="153" t="s">
        <v>339</v>
      </c>
      <c r="P1690" s="153" t="s">
        <v>1544</v>
      </c>
      <c r="Q1690" s="153" t="s">
        <v>415</v>
      </c>
      <c r="R1690" s="153" t="s">
        <v>407</v>
      </c>
      <c r="S1690" s="153" t="s">
        <v>1212</v>
      </c>
      <c r="T1690" s="154">
        <v>0.74</v>
      </c>
      <c r="U1690" s="153" t="s">
        <v>1848</v>
      </c>
      <c r="V1690" s="155">
        <v>5.2380000000000003E-2</v>
      </c>
      <c r="W1690" s="155">
        <v>5.4600000000000003E-2</v>
      </c>
      <c r="X1690" s="153" t="s">
        <v>412</v>
      </c>
      <c r="Y1690" s="153" t="s">
        <v>339</v>
      </c>
      <c r="Z1690" s="154">
        <v>36805.800000000003</v>
      </c>
      <c r="AA1690" s="154">
        <v>1</v>
      </c>
      <c r="AB1690" s="154">
        <v>100.18</v>
      </c>
      <c r="AD1690" s="154">
        <v>36.872</v>
      </c>
      <c r="AG1690" s="157" t="s">
        <v>15</v>
      </c>
      <c r="AH1690" s="155">
        <v>3.5E-4</v>
      </c>
      <c r="AI1690" s="155">
        <f t="shared" si="26"/>
        <v>1.713919853515446E-3</v>
      </c>
      <c r="AJ1690" s="155">
        <v>1.3291779833877348E-4</v>
      </c>
    </row>
    <row r="1691" spans="1:36" s="160" customFormat="1">
      <c r="A1691" s="153" t="s">
        <v>1213</v>
      </c>
      <c r="B1691" s="160">
        <v>9629</v>
      </c>
      <c r="C1691" s="153" t="s">
        <v>2336</v>
      </c>
      <c r="D1691" s="153" t="s">
        <v>2337</v>
      </c>
      <c r="E1691" s="153" t="s">
        <v>309</v>
      </c>
      <c r="F1691" s="153" t="s">
        <v>2796</v>
      </c>
      <c r="G1691" s="153" t="s">
        <v>2797</v>
      </c>
      <c r="H1691" s="153" t="s">
        <v>321</v>
      </c>
      <c r="I1691" s="153" t="s">
        <v>754</v>
      </c>
      <c r="J1691" s="153" t="s">
        <v>204</v>
      </c>
      <c r="K1691" s="153" t="s">
        <v>204</v>
      </c>
      <c r="L1691" s="153" t="s">
        <v>325</v>
      </c>
      <c r="M1691" s="153" t="s">
        <v>340</v>
      </c>
      <c r="N1691" s="153" t="s">
        <v>464</v>
      </c>
      <c r="O1691" s="153" t="s">
        <v>339</v>
      </c>
      <c r="P1691" s="153" t="s">
        <v>1982</v>
      </c>
      <c r="Q1691" s="153" t="s">
        <v>415</v>
      </c>
      <c r="R1691" s="153" t="s">
        <v>407</v>
      </c>
      <c r="S1691" s="153" t="s">
        <v>1212</v>
      </c>
      <c r="T1691" s="154">
        <v>2.91</v>
      </c>
      <c r="U1691" s="153" t="s">
        <v>2798</v>
      </c>
      <c r="V1691" s="155">
        <v>6.3099999999999996E-3</v>
      </c>
      <c r="W1691" s="155">
        <v>2.76E-2</v>
      </c>
      <c r="X1691" s="153" t="s">
        <v>412</v>
      </c>
      <c r="Y1691" s="153" t="s">
        <v>339</v>
      </c>
      <c r="Z1691" s="154">
        <v>28916</v>
      </c>
      <c r="AA1691" s="154">
        <v>1</v>
      </c>
      <c r="AB1691" s="154">
        <v>114.46</v>
      </c>
      <c r="AD1691" s="154">
        <v>33.097000000000001</v>
      </c>
      <c r="AG1691" s="157" t="s">
        <v>15</v>
      </c>
      <c r="AH1691" s="155">
        <v>3.0000000000000001E-5</v>
      </c>
      <c r="AI1691" s="155">
        <f t="shared" si="26"/>
        <v>1.5384466639130159E-3</v>
      </c>
      <c r="AJ1691" s="155">
        <v>1.1930951322462536E-4</v>
      </c>
    </row>
    <row r="1692" spans="1:36" s="160" customFormat="1">
      <c r="A1692" s="153" t="s">
        <v>1213</v>
      </c>
      <c r="B1692" s="160">
        <v>9629</v>
      </c>
      <c r="C1692" s="153" t="s">
        <v>1973</v>
      </c>
      <c r="D1692" s="153" t="s">
        <v>1974</v>
      </c>
      <c r="E1692" s="153" t="s">
        <v>309</v>
      </c>
      <c r="F1692" s="153" t="s">
        <v>2004</v>
      </c>
      <c r="G1692" s="153" t="s">
        <v>2005</v>
      </c>
      <c r="H1692" s="153" t="s">
        <v>321</v>
      </c>
      <c r="I1692" s="153" t="s">
        <v>754</v>
      </c>
      <c r="J1692" s="153" t="s">
        <v>204</v>
      </c>
      <c r="K1692" s="153" t="s">
        <v>204</v>
      </c>
      <c r="L1692" s="153" t="s">
        <v>325</v>
      </c>
      <c r="M1692" s="153" t="s">
        <v>340</v>
      </c>
      <c r="N1692" s="153" t="s">
        <v>464</v>
      </c>
      <c r="O1692" s="153" t="s">
        <v>339</v>
      </c>
      <c r="P1692" s="153" t="s">
        <v>1538</v>
      </c>
      <c r="Q1692" s="153" t="s">
        <v>413</v>
      </c>
      <c r="R1692" s="153" t="s">
        <v>407</v>
      </c>
      <c r="S1692" s="153" t="s">
        <v>1212</v>
      </c>
      <c r="T1692" s="154">
        <v>3.44</v>
      </c>
      <c r="U1692" s="153" t="s">
        <v>1913</v>
      </c>
      <c r="V1692" s="155">
        <v>4.4319999999999998E-2</v>
      </c>
      <c r="W1692" s="155">
        <v>2.93E-2</v>
      </c>
      <c r="X1692" s="153" t="s">
        <v>412</v>
      </c>
      <c r="Y1692" s="153" t="s">
        <v>339</v>
      </c>
      <c r="Z1692" s="154">
        <v>13917.75</v>
      </c>
      <c r="AA1692" s="154">
        <v>1</v>
      </c>
      <c r="AB1692" s="154">
        <v>117.13</v>
      </c>
      <c r="AD1692" s="154">
        <v>16.302</v>
      </c>
      <c r="AG1692" s="157" t="s">
        <v>15</v>
      </c>
      <c r="AH1692" s="155">
        <v>1.0000000000000001E-5</v>
      </c>
      <c r="AI1692" s="155">
        <f t="shared" si="26"/>
        <v>7.5776528129770017E-4</v>
      </c>
      <c r="AJ1692" s="155">
        <v>5.8766162630686844E-5</v>
      </c>
    </row>
    <row r="1693" spans="1:36" s="160" customFormat="1">
      <c r="A1693" s="153" t="s">
        <v>1213</v>
      </c>
      <c r="B1693" s="160">
        <v>9629</v>
      </c>
      <c r="C1693" s="153" t="s">
        <v>1917</v>
      </c>
      <c r="D1693" s="153" t="s">
        <v>1918</v>
      </c>
      <c r="E1693" s="153" t="s">
        <v>309</v>
      </c>
      <c r="F1693" s="153" t="s">
        <v>2799</v>
      </c>
      <c r="G1693" s="153" t="s">
        <v>2800</v>
      </c>
      <c r="H1693" s="153" t="s">
        <v>321</v>
      </c>
      <c r="I1693" s="153" t="s">
        <v>951</v>
      </c>
      <c r="J1693" s="153" t="s">
        <v>204</v>
      </c>
      <c r="K1693" s="153" t="s">
        <v>204</v>
      </c>
      <c r="L1693" s="153" t="s">
        <v>325</v>
      </c>
      <c r="M1693" s="153" t="s">
        <v>340</v>
      </c>
      <c r="N1693" s="153" t="s">
        <v>447</v>
      </c>
      <c r="O1693" s="153" t="s">
        <v>339</v>
      </c>
      <c r="P1693" s="153" t="s">
        <v>1560</v>
      </c>
      <c r="Q1693" s="153" t="s">
        <v>413</v>
      </c>
      <c r="R1693" s="153" t="s">
        <v>407</v>
      </c>
      <c r="S1693" s="153" t="s">
        <v>1212</v>
      </c>
      <c r="T1693" s="154">
        <v>0.6</v>
      </c>
      <c r="U1693" s="153" t="s">
        <v>2801</v>
      </c>
      <c r="V1693" s="155">
        <v>5.9389999999999998E-2</v>
      </c>
      <c r="W1693" s="155">
        <v>6.13E-2</v>
      </c>
      <c r="X1693" s="153" t="s">
        <v>412</v>
      </c>
      <c r="Y1693" s="153" t="s">
        <v>339</v>
      </c>
      <c r="Z1693" s="154">
        <v>10281.66</v>
      </c>
      <c r="AA1693" s="154">
        <v>1</v>
      </c>
      <c r="AB1693" s="154">
        <v>100.56</v>
      </c>
      <c r="AD1693" s="154">
        <v>10.339</v>
      </c>
      <c r="AG1693" s="157" t="s">
        <v>15</v>
      </c>
      <c r="AH1693" s="155">
        <v>9.0000000000000006E-5</v>
      </c>
      <c r="AI1693" s="155">
        <f t="shared" si="26"/>
        <v>4.8058736617206E-4</v>
      </c>
      <c r="AJ1693" s="155">
        <v>3.7270479415941069E-5</v>
      </c>
    </row>
    <row r="1694" spans="1:36" s="160" customFormat="1">
      <c r="A1694" s="153" t="s">
        <v>1213</v>
      </c>
      <c r="B1694" s="160">
        <v>9629</v>
      </c>
      <c r="C1694" s="153" t="s">
        <v>2771</v>
      </c>
      <c r="D1694" s="153" t="s">
        <v>2772</v>
      </c>
      <c r="E1694" s="153" t="s">
        <v>309</v>
      </c>
      <c r="F1694" s="153" t="s">
        <v>2849</v>
      </c>
      <c r="G1694" s="153" t="s">
        <v>2850</v>
      </c>
      <c r="H1694" s="153" t="s">
        <v>321</v>
      </c>
      <c r="I1694" s="153" t="s">
        <v>951</v>
      </c>
      <c r="J1694" s="153" t="s">
        <v>204</v>
      </c>
      <c r="K1694" s="153" t="s">
        <v>204</v>
      </c>
      <c r="L1694" s="153" t="s">
        <v>325</v>
      </c>
      <c r="M1694" s="153" t="s">
        <v>340</v>
      </c>
      <c r="N1694" s="153" t="s">
        <v>447</v>
      </c>
      <c r="O1694" s="153" t="s">
        <v>339</v>
      </c>
      <c r="P1694" s="153" t="s">
        <v>1614</v>
      </c>
      <c r="Q1694" s="153" t="s">
        <v>415</v>
      </c>
      <c r="R1694" s="153" t="s">
        <v>407</v>
      </c>
      <c r="S1694" s="153" t="s">
        <v>1212</v>
      </c>
      <c r="T1694" s="154">
        <v>0.74</v>
      </c>
      <c r="U1694" s="153" t="s">
        <v>1848</v>
      </c>
      <c r="V1694" s="155">
        <v>3.1379999999999998E-2</v>
      </c>
      <c r="W1694" s="155">
        <v>5.8000000000000003E-2</v>
      </c>
      <c r="X1694" s="153" t="s">
        <v>412</v>
      </c>
      <c r="Y1694" s="153" t="s">
        <v>339</v>
      </c>
      <c r="Z1694" s="154">
        <v>3790.45</v>
      </c>
      <c r="AA1694" s="154">
        <v>1</v>
      </c>
      <c r="AB1694" s="154">
        <v>98.95</v>
      </c>
      <c r="AD1694" s="154">
        <v>3.7509999999999999</v>
      </c>
      <c r="AG1694" s="157" t="s">
        <v>15</v>
      </c>
      <c r="AH1694" s="155">
        <v>6.9999999999999994E-5</v>
      </c>
      <c r="AI1694" s="155">
        <f t="shared" si="26"/>
        <v>1.7435759846323601E-4</v>
      </c>
      <c r="AJ1694" s="155">
        <v>1.3521768864415799E-5</v>
      </c>
    </row>
    <row r="1695" spans="1:36" s="160" customFormat="1">
      <c r="A1695" s="153" t="s">
        <v>1213</v>
      </c>
      <c r="B1695" s="160">
        <v>9629</v>
      </c>
      <c r="C1695" s="153" t="s">
        <v>1986</v>
      </c>
      <c r="D1695" s="153" t="s">
        <v>1987</v>
      </c>
      <c r="E1695" s="153" t="s">
        <v>309</v>
      </c>
      <c r="F1695" s="153" t="s">
        <v>2504</v>
      </c>
      <c r="G1695" s="153" t="s">
        <v>2505</v>
      </c>
      <c r="H1695" s="153" t="s">
        <v>321</v>
      </c>
      <c r="I1695" s="153" t="s">
        <v>951</v>
      </c>
      <c r="J1695" s="153" t="s">
        <v>204</v>
      </c>
      <c r="K1695" s="153" t="s">
        <v>204</v>
      </c>
      <c r="L1695" s="153" t="s">
        <v>325</v>
      </c>
      <c r="M1695" s="153" t="s">
        <v>340</v>
      </c>
      <c r="N1695" s="153" t="s">
        <v>484</v>
      </c>
      <c r="O1695" s="153" t="s">
        <v>339</v>
      </c>
      <c r="P1695" s="153" t="s">
        <v>1538</v>
      </c>
      <c r="Q1695" s="153" t="s">
        <v>413</v>
      </c>
      <c r="R1695" s="153" t="s">
        <v>407</v>
      </c>
      <c r="S1695" s="153" t="s">
        <v>1212</v>
      </c>
      <c r="T1695" s="154">
        <v>0.65</v>
      </c>
      <c r="U1695" s="153" t="s">
        <v>2372</v>
      </c>
      <c r="V1695" s="155">
        <v>3.066E-2</v>
      </c>
      <c r="W1695" s="155">
        <v>5.0500000000000003E-2</v>
      </c>
      <c r="X1695" s="153" t="s">
        <v>412</v>
      </c>
      <c r="Y1695" s="153" t="s">
        <v>339</v>
      </c>
      <c r="Z1695" s="154">
        <v>3299.75</v>
      </c>
      <c r="AA1695" s="154">
        <v>1</v>
      </c>
      <c r="AB1695" s="154">
        <v>100.35</v>
      </c>
      <c r="AD1695" s="154">
        <v>3.3109999999999999</v>
      </c>
      <c r="AG1695" s="157" t="s">
        <v>15</v>
      </c>
      <c r="AH1695" s="155">
        <v>0</v>
      </c>
      <c r="AI1695" s="155">
        <f t="shared" si="26"/>
        <v>1.5390509424467459E-4</v>
      </c>
      <c r="AJ1695" s="155">
        <v>1.1935637619323036E-5</v>
      </c>
    </row>
    <row r="1696" spans="1:36" s="160" customFormat="1">
      <c r="A1696" s="153" t="s">
        <v>1213</v>
      </c>
      <c r="B1696" s="160">
        <v>9629</v>
      </c>
      <c r="C1696" s="153" t="s">
        <v>2775</v>
      </c>
      <c r="D1696" s="153" t="s">
        <v>2776</v>
      </c>
      <c r="E1696" s="153" t="s">
        <v>80</v>
      </c>
      <c r="F1696" s="153" t="s">
        <v>2777</v>
      </c>
      <c r="G1696" s="153" t="s">
        <v>2778</v>
      </c>
      <c r="H1696" s="153" t="s">
        <v>321</v>
      </c>
      <c r="I1696" s="153" t="s">
        <v>755</v>
      </c>
      <c r="J1696" s="153" t="s">
        <v>205</v>
      </c>
      <c r="K1696" s="153" t="s">
        <v>224</v>
      </c>
      <c r="L1696" s="153" t="s">
        <v>325</v>
      </c>
      <c r="M1696" s="153" t="s">
        <v>314</v>
      </c>
      <c r="N1696" s="153" t="s">
        <v>546</v>
      </c>
      <c r="O1696" s="153" t="s">
        <v>339</v>
      </c>
      <c r="P1696" s="153" t="s">
        <v>2779</v>
      </c>
      <c r="Q1696" s="153" t="s">
        <v>433</v>
      </c>
      <c r="R1696" s="153" t="s">
        <v>407</v>
      </c>
      <c r="S1696" s="153" t="s">
        <v>1216</v>
      </c>
      <c r="T1696" s="154">
        <v>2.9239999999999999</v>
      </c>
      <c r="U1696" s="153" t="s">
        <v>1488</v>
      </c>
      <c r="V1696" s="155">
        <v>5.373E-2</v>
      </c>
      <c r="W1696" s="155">
        <v>4.6559999999999997E-2</v>
      </c>
      <c r="X1696" s="153" t="s">
        <v>412</v>
      </c>
      <c r="Y1696" s="153" t="s">
        <v>339</v>
      </c>
      <c r="Z1696" s="154">
        <v>130000</v>
      </c>
      <c r="AA1696" s="154">
        <v>3.71</v>
      </c>
      <c r="AB1696" s="154">
        <v>106.401</v>
      </c>
      <c r="AD1696" s="154">
        <v>513.17100000000005</v>
      </c>
      <c r="AG1696" s="157" t="s">
        <v>15</v>
      </c>
      <c r="AH1696" s="155">
        <v>1.2999999999999999E-4</v>
      </c>
      <c r="AI1696" s="155">
        <f t="shared" si="26"/>
        <v>2.3853709187144041E-2</v>
      </c>
      <c r="AJ1696" s="155">
        <v>1.84990126630795E-3</v>
      </c>
    </row>
    <row r="1697" spans="1:36" s="160" customFormat="1">
      <c r="A1697" s="153" t="s">
        <v>1213</v>
      </c>
      <c r="B1697" s="160">
        <v>9629</v>
      </c>
      <c r="C1697" s="153" t="s">
        <v>2829</v>
      </c>
      <c r="D1697" s="153" t="s">
        <v>2830</v>
      </c>
      <c r="E1697" s="153" t="s">
        <v>80</v>
      </c>
      <c r="F1697" s="153" t="s">
        <v>2831</v>
      </c>
      <c r="G1697" s="153" t="s">
        <v>2832</v>
      </c>
      <c r="H1697" s="153" t="s">
        <v>321</v>
      </c>
      <c r="I1697" s="153" t="s">
        <v>755</v>
      </c>
      <c r="J1697" s="153" t="s">
        <v>205</v>
      </c>
      <c r="K1697" s="153" t="s">
        <v>245</v>
      </c>
      <c r="L1697" s="153" t="s">
        <v>325</v>
      </c>
      <c r="M1697" s="153" t="s">
        <v>314</v>
      </c>
      <c r="N1697" s="153" t="s">
        <v>491</v>
      </c>
      <c r="O1697" s="153" t="s">
        <v>339</v>
      </c>
      <c r="P1697" s="153" t="s">
        <v>2833</v>
      </c>
      <c r="Q1697" s="153" t="s">
        <v>433</v>
      </c>
      <c r="R1697" s="153" t="s">
        <v>407</v>
      </c>
      <c r="S1697" s="153" t="s">
        <v>1216</v>
      </c>
      <c r="T1697" s="154">
        <v>4.0339999999999998</v>
      </c>
      <c r="U1697" s="153" t="s">
        <v>2834</v>
      </c>
      <c r="V1697" s="155">
        <v>3.3059999999999999E-2</v>
      </c>
      <c r="W1697" s="155">
        <v>5.1709999999999999E-2</v>
      </c>
      <c r="X1697" s="153" t="s">
        <v>412</v>
      </c>
      <c r="Y1697" s="153" t="s">
        <v>339</v>
      </c>
      <c r="Z1697" s="154">
        <v>104000</v>
      </c>
      <c r="AA1697" s="154">
        <v>3.71</v>
      </c>
      <c r="AB1697" s="154">
        <v>95.608999999999995</v>
      </c>
      <c r="AD1697" s="154">
        <v>368.89800000000002</v>
      </c>
      <c r="AG1697" s="157" t="s">
        <v>15</v>
      </c>
      <c r="AH1697" s="155">
        <v>2.1000000000000001E-4</v>
      </c>
      <c r="AI1697" s="155">
        <f t="shared" si="26"/>
        <v>1.7147472502770152E-2</v>
      </c>
      <c r="AJ1697" s="155">
        <v>1.3298196455732497E-3</v>
      </c>
    </row>
    <row r="1698" spans="1:36" s="160" customFormat="1">
      <c r="A1698" s="153" t="s">
        <v>1213</v>
      </c>
      <c r="B1698" s="160">
        <v>9630</v>
      </c>
      <c r="C1698" s="153" t="s">
        <v>1573</v>
      </c>
      <c r="D1698" s="153" t="s">
        <v>1574</v>
      </c>
      <c r="E1698" s="153" t="s">
        <v>309</v>
      </c>
      <c r="F1698" s="153" t="s">
        <v>2277</v>
      </c>
      <c r="G1698" s="153" t="s">
        <v>2278</v>
      </c>
      <c r="H1698" s="153" t="s">
        <v>321</v>
      </c>
      <c r="I1698" s="153" t="s">
        <v>754</v>
      </c>
      <c r="J1698" s="153" t="s">
        <v>204</v>
      </c>
      <c r="K1698" s="153" t="s">
        <v>204</v>
      </c>
      <c r="L1698" s="153" t="s">
        <v>325</v>
      </c>
      <c r="M1698" s="153" t="s">
        <v>340</v>
      </c>
      <c r="N1698" s="153" t="s">
        <v>448</v>
      </c>
      <c r="O1698" s="153" t="s">
        <v>339</v>
      </c>
      <c r="P1698" s="153" t="s">
        <v>1215</v>
      </c>
      <c r="Q1698" s="153" t="s">
        <v>413</v>
      </c>
      <c r="R1698" s="153" t="s">
        <v>407</v>
      </c>
      <c r="S1698" s="153" t="s">
        <v>1212</v>
      </c>
      <c r="T1698" s="154">
        <v>3.14</v>
      </c>
      <c r="U1698" s="153" t="s">
        <v>2279</v>
      </c>
      <c r="V1698" s="155">
        <v>1.49E-2</v>
      </c>
      <c r="W1698" s="155">
        <v>2.3099999999999999E-2</v>
      </c>
      <c r="X1698" s="153" t="s">
        <v>412</v>
      </c>
      <c r="Y1698" s="153" t="s">
        <v>339</v>
      </c>
      <c r="Z1698" s="154">
        <v>544135</v>
      </c>
      <c r="AA1698" s="154">
        <v>1</v>
      </c>
      <c r="AB1698" s="154">
        <v>105.15</v>
      </c>
      <c r="AD1698" s="154">
        <v>572.15800000000002</v>
      </c>
      <c r="AG1698" s="157" t="s">
        <v>15</v>
      </c>
      <c r="AH1698" s="155">
        <v>1.7000000000000001E-4</v>
      </c>
      <c r="AI1698" s="155">
        <f t="shared" si="26"/>
        <v>3.2729183309179351E-2</v>
      </c>
      <c r="AJ1698" s="155">
        <v>3.2629805411241233E-3</v>
      </c>
    </row>
    <row r="1699" spans="1:36" s="160" customFormat="1">
      <c r="A1699" s="153" t="s">
        <v>1213</v>
      </c>
      <c r="B1699" s="160">
        <v>9630</v>
      </c>
      <c r="C1699" s="153" t="s">
        <v>1600</v>
      </c>
      <c r="D1699" s="153" t="s">
        <v>1601</v>
      </c>
      <c r="E1699" s="153" t="s">
        <v>309</v>
      </c>
      <c r="F1699" s="153" t="s">
        <v>2701</v>
      </c>
      <c r="G1699" s="153" t="s">
        <v>2702</v>
      </c>
      <c r="H1699" s="153" t="s">
        <v>321</v>
      </c>
      <c r="I1699" s="153" t="s">
        <v>754</v>
      </c>
      <c r="J1699" s="153" t="s">
        <v>204</v>
      </c>
      <c r="K1699" s="153" t="s">
        <v>204</v>
      </c>
      <c r="L1699" s="153" t="s">
        <v>325</v>
      </c>
      <c r="M1699" s="153" t="s">
        <v>340</v>
      </c>
      <c r="N1699" s="153" t="s">
        <v>448</v>
      </c>
      <c r="O1699" s="153" t="s">
        <v>339</v>
      </c>
      <c r="P1699" s="153" t="s">
        <v>1566</v>
      </c>
      <c r="Q1699" s="153" t="s">
        <v>413</v>
      </c>
      <c r="R1699" s="153" t="s">
        <v>407</v>
      </c>
      <c r="S1699" s="153" t="s">
        <v>1212</v>
      </c>
      <c r="T1699" s="154">
        <v>4.68</v>
      </c>
      <c r="U1699" s="153" t="s">
        <v>2703</v>
      </c>
      <c r="V1699" s="155">
        <v>3.7100000000000001E-2</v>
      </c>
      <c r="W1699" s="155">
        <v>3.1600000000000003E-2</v>
      </c>
      <c r="X1699" s="153" t="s">
        <v>411</v>
      </c>
      <c r="Y1699" s="153" t="s">
        <v>339</v>
      </c>
      <c r="Z1699" s="154">
        <v>500000</v>
      </c>
      <c r="AA1699" s="154">
        <v>1</v>
      </c>
      <c r="AB1699" s="154">
        <v>108.99</v>
      </c>
      <c r="AD1699" s="154">
        <v>544.95000000000005</v>
      </c>
      <c r="AG1699" s="157" t="s">
        <v>15</v>
      </c>
      <c r="AH1699" s="155">
        <v>1.2999999999999999E-3</v>
      </c>
      <c r="AI1699" s="155">
        <f t="shared" si="26"/>
        <v>3.1172802694950149E-2</v>
      </c>
      <c r="AJ1699" s="155">
        <v>3.1078150543828644E-3</v>
      </c>
    </row>
    <row r="1700" spans="1:36" s="160" customFormat="1">
      <c r="A1700" s="153" t="s">
        <v>1213</v>
      </c>
      <c r="B1700" s="160">
        <v>9630</v>
      </c>
      <c r="C1700" s="153" t="s">
        <v>455</v>
      </c>
      <c r="D1700" s="153" t="s">
        <v>2106</v>
      </c>
      <c r="E1700" s="153" t="s">
        <v>309</v>
      </c>
      <c r="F1700" s="153" t="s">
        <v>2289</v>
      </c>
      <c r="G1700" s="153" t="s">
        <v>2290</v>
      </c>
      <c r="H1700" s="153" t="s">
        <v>321</v>
      </c>
      <c r="I1700" s="153" t="s">
        <v>754</v>
      </c>
      <c r="J1700" s="153" t="s">
        <v>204</v>
      </c>
      <c r="K1700" s="153" t="s">
        <v>204</v>
      </c>
      <c r="L1700" s="153" t="s">
        <v>325</v>
      </c>
      <c r="M1700" s="153" t="s">
        <v>340</v>
      </c>
      <c r="N1700" s="153" t="s">
        <v>440</v>
      </c>
      <c r="O1700" s="153" t="s">
        <v>339</v>
      </c>
      <c r="P1700" s="153" t="s">
        <v>1923</v>
      </c>
      <c r="Q1700" s="153" t="s">
        <v>415</v>
      </c>
      <c r="R1700" s="153" t="s">
        <v>407</v>
      </c>
      <c r="S1700" s="153" t="s">
        <v>1212</v>
      </c>
      <c r="T1700" s="154">
        <v>3.44</v>
      </c>
      <c r="U1700" s="153" t="s">
        <v>2291</v>
      </c>
      <c r="V1700" s="155">
        <v>1.6469999999999999E-2</v>
      </c>
      <c r="W1700" s="155">
        <v>2.5700000000000001E-2</v>
      </c>
      <c r="X1700" s="153" t="s">
        <v>412</v>
      </c>
      <c r="Y1700" s="153" t="s">
        <v>339</v>
      </c>
      <c r="Z1700" s="154">
        <v>431764.51</v>
      </c>
      <c r="AA1700" s="154">
        <v>1</v>
      </c>
      <c r="AB1700" s="154">
        <v>121.2</v>
      </c>
      <c r="AC1700" s="154">
        <v>9.6519999999999992</v>
      </c>
      <c r="AD1700" s="154">
        <v>532.95100000000002</v>
      </c>
      <c r="AG1700" s="157" t="s">
        <v>15</v>
      </c>
      <c r="AH1700" s="155">
        <v>1.7000000000000001E-4</v>
      </c>
      <c r="AI1700" s="155">
        <f t="shared" si="26"/>
        <v>3.048642328484517E-2</v>
      </c>
      <c r="AJ1700" s="155">
        <v>3.0393855235313367E-3</v>
      </c>
    </row>
    <row r="1701" spans="1:36" s="160" customFormat="1">
      <c r="A1701" s="153" t="s">
        <v>1213</v>
      </c>
      <c r="B1701" s="160">
        <v>9630</v>
      </c>
      <c r="C1701" s="153" t="s">
        <v>455</v>
      </c>
      <c r="D1701" s="153" t="s">
        <v>2106</v>
      </c>
      <c r="E1701" s="153" t="s">
        <v>309</v>
      </c>
      <c r="F1701" s="153" t="s">
        <v>2160</v>
      </c>
      <c r="G1701" s="153" t="s">
        <v>2161</v>
      </c>
      <c r="H1701" s="153" t="s">
        <v>321</v>
      </c>
      <c r="I1701" s="153" t="s">
        <v>754</v>
      </c>
      <c r="J1701" s="153" t="s">
        <v>204</v>
      </c>
      <c r="K1701" s="153" t="s">
        <v>204</v>
      </c>
      <c r="L1701" s="153" t="s">
        <v>325</v>
      </c>
      <c r="M1701" s="153" t="s">
        <v>340</v>
      </c>
      <c r="N1701" s="153" t="s">
        <v>440</v>
      </c>
      <c r="O1701" s="153" t="s">
        <v>339</v>
      </c>
      <c r="P1701" s="153" t="s">
        <v>1923</v>
      </c>
      <c r="Q1701" s="153" t="s">
        <v>415</v>
      </c>
      <c r="R1701" s="153" t="s">
        <v>407</v>
      </c>
      <c r="S1701" s="153" t="s">
        <v>1212</v>
      </c>
      <c r="T1701" s="154">
        <v>0.9</v>
      </c>
      <c r="U1701" s="153" t="s">
        <v>2162</v>
      </c>
      <c r="V1701" s="155">
        <v>1.908E-2</v>
      </c>
      <c r="W1701" s="155">
        <v>2.6100000000000002E-2</v>
      </c>
      <c r="X1701" s="153" t="s">
        <v>412</v>
      </c>
      <c r="Y1701" s="153" t="s">
        <v>339</v>
      </c>
      <c r="Z1701" s="154">
        <v>405285</v>
      </c>
      <c r="AA1701" s="154">
        <v>1</v>
      </c>
      <c r="AB1701" s="154">
        <v>119.4</v>
      </c>
      <c r="AD1701" s="154">
        <v>483.91</v>
      </c>
      <c r="AG1701" s="157" t="s">
        <v>15</v>
      </c>
      <c r="AH1701" s="155">
        <v>1.3999999999999999E-4</v>
      </c>
      <c r="AI1701" s="155">
        <f t="shared" si="26"/>
        <v>2.7681128456029592E-2</v>
      </c>
      <c r="AJ1701" s="155">
        <v>2.7597078318495494E-3</v>
      </c>
    </row>
    <row r="1702" spans="1:36" s="160" customFormat="1">
      <c r="A1702" s="153" t="s">
        <v>1213</v>
      </c>
      <c r="B1702" s="160">
        <v>9630</v>
      </c>
      <c r="C1702" s="153" t="s">
        <v>1759</v>
      </c>
      <c r="D1702" s="153" t="s">
        <v>1760</v>
      </c>
      <c r="E1702" s="153" t="s">
        <v>309</v>
      </c>
      <c r="F1702" s="153" t="s">
        <v>1914</v>
      </c>
      <c r="G1702" s="153" t="s">
        <v>1915</v>
      </c>
      <c r="H1702" s="153" t="s">
        <v>321</v>
      </c>
      <c r="I1702" s="153" t="s">
        <v>754</v>
      </c>
      <c r="J1702" s="153" t="s">
        <v>204</v>
      </c>
      <c r="K1702" s="153" t="s">
        <v>204</v>
      </c>
      <c r="L1702" s="153" t="s">
        <v>325</v>
      </c>
      <c r="M1702" s="153" t="s">
        <v>340</v>
      </c>
      <c r="N1702" s="153" t="s">
        <v>465</v>
      </c>
      <c r="O1702" s="153" t="s">
        <v>339</v>
      </c>
      <c r="P1702" s="153" t="s">
        <v>1614</v>
      </c>
      <c r="Q1702" s="153" t="s">
        <v>415</v>
      </c>
      <c r="R1702" s="153" t="s">
        <v>407</v>
      </c>
      <c r="S1702" s="153" t="s">
        <v>1212</v>
      </c>
      <c r="T1702" s="154">
        <v>4.05</v>
      </c>
      <c r="U1702" s="153" t="s">
        <v>1916</v>
      </c>
      <c r="V1702" s="155">
        <v>4.8500000000000001E-3</v>
      </c>
      <c r="W1702" s="155">
        <v>4.02E-2</v>
      </c>
      <c r="X1702" s="153" t="s">
        <v>412</v>
      </c>
      <c r="Y1702" s="153" t="s">
        <v>339</v>
      </c>
      <c r="Z1702" s="154">
        <v>446000</v>
      </c>
      <c r="AA1702" s="154">
        <v>1</v>
      </c>
      <c r="AB1702" s="154">
        <v>97.5</v>
      </c>
      <c r="AD1702" s="154">
        <v>434.85</v>
      </c>
      <c r="AG1702" s="157" t="s">
        <v>15</v>
      </c>
      <c r="AH1702" s="155">
        <v>7.1000000000000002E-4</v>
      </c>
      <c r="AI1702" s="155">
        <f t="shared" si="26"/>
        <v>2.4874746769243179E-2</v>
      </c>
      <c r="AJ1702" s="155">
        <v>2.4799217843809317E-3</v>
      </c>
    </row>
    <row r="1703" spans="1:36" s="160" customFormat="1">
      <c r="A1703" s="153" t="s">
        <v>1213</v>
      </c>
      <c r="B1703" s="160">
        <v>9630</v>
      </c>
      <c r="C1703" s="153" t="s">
        <v>1600</v>
      </c>
      <c r="D1703" s="153" t="s">
        <v>1601</v>
      </c>
      <c r="E1703" s="153" t="s">
        <v>309</v>
      </c>
      <c r="F1703" s="153" t="s">
        <v>2333</v>
      </c>
      <c r="G1703" s="153" t="s">
        <v>2334</v>
      </c>
      <c r="H1703" s="153" t="s">
        <v>321</v>
      </c>
      <c r="I1703" s="153" t="s">
        <v>754</v>
      </c>
      <c r="J1703" s="153" t="s">
        <v>204</v>
      </c>
      <c r="K1703" s="153" t="s">
        <v>204</v>
      </c>
      <c r="L1703" s="153" t="s">
        <v>325</v>
      </c>
      <c r="M1703" s="153" t="s">
        <v>340</v>
      </c>
      <c r="N1703" s="153" t="s">
        <v>448</v>
      </c>
      <c r="O1703" s="153" t="s">
        <v>339</v>
      </c>
      <c r="P1703" s="153" t="s">
        <v>1215</v>
      </c>
      <c r="Q1703" s="153" t="s">
        <v>413</v>
      </c>
      <c r="R1703" s="153" t="s">
        <v>407</v>
      </c>
      <c r="S1703" s="153" t="s">
        <v>1212</v>
      </c>
      <c r="T1703" s="154">
        <v>3.56</v>
      </c>
      <c r="U1703" s="153" t="s">
        <v>2335</v>
      </c>
      <c r="V1703" s="155">
        <v>-5.3200000000000001E-3</v>
      </c>
      <c r="W1703" s="155">
        <v>2.4E-2</v>
      </c>
      <c r="X1703" s="153" t="s">
        <v>412</v>
      </c>
      <c r="Y1703" s="153" t="s">
        <v>339</v>
      </c>
      <c r="Z1703" s="154">
        <v>398400</v>
      </c>
      <c r="AA1703" s="154">
        <v>1</v>
      </c>
      <c r="AB1703" s="154">
        <v>103.73</v>
      </c>
      <c r="AD1703" s="154">
        <v>413.26</v>
      </c>
      <c r="AG1703" s="157" t="s">
        <v>15</v>
      </c>
      <c r="AH1703" s="155">
        <v>3.5E-4</v>
      </c>
      <c r="AI1703" s="155">
        <f t="shared" si="26"/>
        <v>2.3639732896073212E-2</v>
      </c>
      <c r="AJ1703" s="155">
        <v>2.3567953929246031E-3</v>
      </c>
    </row>
    <row r="1704" spans="1:36" s="160" customFormat="1">
      <c r="A1704" s="153" t="s">
        <v>1213</v>
      </c>
      <c r="B1704" s="160">
        <v>9630</v>
      </c>
      <c r="C1704" s="153" t="s">
        <v>1718</v>
      </c>
      <c r="D1704" s="153" t="s">
        <v>1719</v>
      </c>
      <c r="E1704" s="153" t="s">
        <v>309</v>
      </c>
      <c r="F1704" s="153" t="s">
        <v>1720</v>
      </c>
      <c r="G1704" s="153" t="s">
        <v>1721</v>
      </c>
      <c r="H1704" s="153" t="s">
        <v>321</v>
      </c>
      <c r="I1704" s="153" t="s">
        <v>951</v>
      </c>
      <c r="J1704" s="153" t="s">
        <v>204</v>
      </c>
      <c r="K1704" s="153" t="s">
        <v>204</v>
      </c>
      <c r="L1704" s="153" t="s">
        <v>325</v>
      </c>
      <c r="M1704" s="153" t="s">
        <v>340</v>
      </c>
      <c r="N1704" s="153" t="s">
        <v>440</v>
      </c>
      <c r="O1704" s="153" t="s">
        <v>339</v>
      </c>
      <c r="P1704" s="153" t="s">
        <v>1527</v>
      </c>
      <c r="Q1704" s="153" t="s">
        <v>415</v>
      </c>
      <c r="R1704" s="153" t="s">
        <v>407</v>
      </c>
      <c r="S1704" s="153" t="s">
        <v>1212</v>
      </c>
      <c r="T1704" s="154">
        <v>3</v>
      </c>
      <c r="U1704" s="153" t="s">
        <v>1722</v>
      </c>
      <c r="V1704" s="155">
        <v>7.2499999999999995E-2</v>
      </c>
      <c r="W1704" s="155">
        <v>6.4000000000000001E-2</v>
      </c>
      <c r="X1704" s="153" t="s">
        <v>412</v>
      </c>
      <c r="Y1704" s="153" t="s">
        <v>339</v>
      </c>
      <c r="Z1704" s="154">
        <v>379800</v>
      </c>
      <c r="AA1704" s="154">
        <v>1</v>
      </c>
      <c r="AB1704" s="154">
        <v>105.92</v>
      </c>
      <c r="AD1704" s="154">
        <v>402.28399999999999</v>
      </c>
      <c r="AG1704" s="157" t="s">
        <v>15</v>
      </c>
      <c r="AH1704" s="155">
        <v>5.2999999999999998E-4</v>
      </c>
      <c r="AI1704" s="155">
        <f t="shared" si="26"/>
        <v>2.301187220723979E-2</v>
      </c>
      <c r="AJ1704" s="155">
        <v>2.2941999657534748E-3</v>
      </c>
    </row>
    <row r="1705" spans="1:36" s="160" customFormat="1">
      <c r="A1705" s="153" t="s">
        <v>1213</v>
      </c>
      <c r="B1705" s="160">
        <v>9630</v>
      </c>
      <c r="C1705" s="153" t="s">
        <v>2748</v>
      </c>
      <c r="D1705" s="153" t="s">
        <v>2749</v>
      </c>
      <c r="E1705" s="153" t="s">
        <v>309</v>
      </c>
      <c r="F1705" s="153" t="s">
        <v>2750</v>
      </c>
      <c r="G1705" s="153" t="s">
        <v>2751</v>
      </c>
      <c r="H1705" s="153" t="s">
        <v>321</v>
      </c>
      <c r="I1705" s="153" t="s">
        <v>754</v>
      </c>
      <c r="J1705" s="153" t="s">
        <v>204</v>
      </c>
      <c r="K1705" s="153" t="s">
        <v>204</v>
      </c>
      <c r="L1705" s="153" t="s">
        <v>325</v>
      </c>
      <c r="M1705" s="153" t="s">
        <v>340</v>
      </c>
      <c r="N1705" s="153" t="s">
        <v>464</v>
      </c>
      <c r="O1705" s="153" t="s">
        <v>339</v>
      </c>
      <c r="P1705" s="153" t="s">
        <v>1560</v>
      </c>
      <c r="Q1705" s="153" t="s">
        <v>413</v>
      </c>
      <c r="R1705" s="153" t="s">
        <v>407</v>
      </c>
      <c r="S1705" s="153" t="s">
        <v>1212</v>
      </c>
      <c r="T1705" s="154">
        <v>4.3600000000000003</v>
      </c>
      <c r="U1705" s="153" t="s">
        <v>2752</v>
      </c>
      <c r="V1705" s="155">
        <v>3.9379999999999998E-2</v>
      </c>
      <c r="W1705" s="155">
        <v>3.5099999999999999E-2</v>
      </c>
      <c r="X1705" s="153" t="s">
        <v>412</v>
      </c>
      <c r="Y1705" s="153" t="s">
        <v>339</v>
      </c>
      <c r="Z1705" s="154">
        <v>356487.5</v>
      </c>
      <c r="AA1705" s="154">
        <v>1</v>
      </c>
      <c r="AB1705" s="154">
        <v>108.78</v>
      </c>
      <c r="AD1705" s="154">
        <v>387.78699999999998</v>
      </c>
      <c r="AG1705" s="157" t="s">
        <v>15</v>
      </c>
      <c r="AH1705" s="155">
        <v>8.5999999999999998E-4</v>
      </c>
      <c r="AI1705" s="155">
        <f t="shared" si="26"/>
        <v>2.2182599575496158E-2</v>
      </c>
      <c r="AJ1705" s="155">
        <v>2.2115245004018127E-3</v>
      </c>
    </row>
    <row r="1706" spans="1:36" s="160" customFormat="1">
      <c r="A1706" s="153" t="s">
        <v>1213</v>
      </c>
      <c r="B1706" s="160">
        <v>9630</v>
      </c>
      <c r="C1706" s="153" t="s">
        <v>1904</v>
      </c>
      <c r="D1706" s="153" t="s">
        <v>1905</v>
      </c>
      <c r="E1706" s="153" t="s">
        <v>309</v>
      </c>
      <c r="F1706" s="153" t="s">
        <v>1906</v>
      </c>
      <c r="G1706" s="153" t="s">
        <v>1907</v>
      </c>
      <c r="H1706" s="153" t="s">
        <v>321</v>
      </c>
      <c r="I1706" s="153" t="s">
        <v>754</v>
      </c>
      <c r="J1706" s="153" t="s">
        <v>204</v>
      </c>
      <c r="K1706" s="153" t="s">
        <v>204</v>
      </c>
      <c r="L1706" s="153" t="s">
        <v>325</v>
      </c>
      <c r="M1706" s="153" t="s">
        <v>340</v>
      </c>
      <c r="N1706" s="153" t="s">
        <v>448</v>
      </c>
      <c r="O1706" s="153" t="s">
        <v>339</v>
      </c>
      <c r="P1706" s="153" t="s">
        <v>1215</v>
      </c>
      <c r="Q1706" s="153" t="s">
        <v>413</v>
      </c>
      <c r="R1706" s="153" t="s">
        <v>407</v>
      </c>
      <c r="S1706" s="153" t="s">
        <v>1212</v>
      </c>
      <c r="T1706" s="154">
        <v>3.98</v>
      </c>
      <c r="U1706" s="153" t="s">
        <v>1908</v>
      </c>
      <c r="V1706" s="155">
        <v>2.7040000000000002E-2</v>
      </c>
      <c r="W1706" s="155">
        <v>2.52E-2</v>
      </c>
      <c r="X1706" s="153" t="s">
        <v>412</v>
      </c>
      <c r="Y1706" s="153" t="s">
        <v>339</v>
      </c>
      <c r="Z1706" s="154">
        <v>361459.56</v>
      </c>
      <c r="AA1706" s="154">
        <v>1</v>
      </c>
      <c r="AB1706" s="154">
        <v>102.6</v>
      </c>
      <c r="AD1706" s="154">
        <v>370.858</v>
      </c>
      <c r="AG1706" s="157" t="s">
        <v>15</v>
      </c>
      <c r="AH1706" s="155">
        <v>1E-4</v>
      </c>
      <c r="AI1706" s="155">
        <f t="shared" si="26"/>
        <v>2.1214209123486229E-2</v>
      </c>
      <c r="AJ1706" s="155">
        <v>2.1149794943358478E-3</v>
      </c>
    </row>
    <row r="1707" spans="1:36" s="160" customFormat="1">
      <c r="A1707" s="153" t="s">
        <v>1213</v>
      </c>
      <c r="B1707" s="160">
        <v>9630</v>
      </c>
      <c r="C1707" s="153" t="s">
        <v>455</v>
      </c>
      <c r="D1707" s="153" t="s">
        <v>2106</v>
      </c>
      <c r="E1707" s="153" t="s">
        <v>309</v>
      </c>
      <c r="F1707" s="153" t="s">
        <v>2255</v>
      </c>
      <c r="G1707" s="153" t="s">
        <v>2256</v>
      </c>
      <c r="H1707" s="153" t="s">
        <v>321</v>
      </c>
      <c r="I1707" s="153" t="s">
        <v>754</v>
      </c>
      <c r="J1707" s="153" t="s">
        <v>204</v>
      </c>
      <c r="K1707" s="153" t="s">
        <v>204</v>
      </c>
      <c r="L1707" s="153" t="s">
        <v>325</v>
      </c>
      <c r="M1707" s="153" t="s">
        <v>340</v>
      </c>
      <c r="N1707" s="153" t="s">
        <v>440</v>
      </c>
      <c r="O1707" s="153" t="s">
        <v>339</v>
      </c>
      <c r="P1707" s="153" t="s">
        <v>1923</v>
      </c>
      <c r="Q1707" s="153" t="s">
        <v>415</v>
      </c>
      <c r="R1707" s="153" t="s">
        <v>407</v>
      </c>
      <c r="S1707" s="153" t="s">
        <v>1212</v>
      </c>
      <c r="T1707" s="154">
        <v>5.8</v>
      </c>
      <c r="U1707" s="153" t="s">
        <v>2257</v>
      </c>
      <c r="V1707" s="155">
        <v>6.8100000000000001E-3</v>
      </c>
      <c r="W1707" s="155">
        <v>2.92E-2</v>
      </c>
      <c r="X1707" s="153" t="s">
        <v>412</v>
      </c>
      <c r="Y1707" s="153" t="s">
        <v>339</v>
      </c>
      <c r="Z1707" s="154">
        <v>329000</v>
      </c>
      <c r="AA1707" s="154">
        <v>1</v>
      </c>
      <c r="AB1707" s="154">
        <v>111.74</v>
      </c>
      <c r="AD1707" s="154">
        <v>367.625</v>
      </c>
      <c r="AG1707" s="157" t="s">
        <v>15</v>
      </c>
      <c r="AH1707" s="155">
        <v>8.0000000000000007E-5</v>
      </c>
      <c r="AI1707" s="155">
        <f t="shared" si="26"/>
        <v>2.1029271659291766E-2</v>
      </c>
      <c r="AJ1707" s="155">
        <v>2.0965419017662181E-3</v>
      </c>
    </row>
    <row r="1708" spans="1:36" s="160" customFormat="1">
      <c r="A1708" s="153" t="s">
        <v>1213</v>
      </c>
      <c r="B1708" s="160">
        <v>9630</v>
      </c>
      <c r="C1708" s="153" t="s">
        <v>2741</v>
      </c>
      <c r="D1708" s="153" t="s">
        <v>2742</v>
      </c>
      <c r="E1708" s="153" t="s">
        <v>309</v>
      </c>
      <c r="F1708" s="153" t="s">
        <v>2743</v>
      </c>
      <c r="G1708" s="153" t="s">
        <v>2744</v>
      </c>
      <c r="H1708" s="153" t="s">
        <v>321</v>
      </c>
      <c r="I1708" s="153" t="s">
        <v>754</v>
      </c>
      <c r="J1708" s="153" t="s">
        <v>204</v>
      </c>
      <c r="K1708" s="153" t="s">
        <v>204</v>
      </c>
      <c r="L1708" s="153" t="s">
        <v>325</v>
      </c>
      <c r="M1708" s="153" t="s">
        <v>340</v>
      </c>
      <c r="N1708" s="153" t="s">
        <v>464</v>
      </c>
      <c r="O1708" s="153" t="s">
        <v>339</v>
      </c>
      <c r="P1708" s="153" t="s">
        <v>1544</v>
      </c>
      <c r="Q1708" s="153" t="s">
        <v>415</v>
      </c>
      <c r="R1708" s="153" t="s">
        <v>407</v>
      </c>
      <c r="S1708" s="153" t="s">
        <v>1212</v>
      </c>
      <c r="T1708" s="154">
        <v>6.4</v>
      </c>
      <c r="U1708" s="153" t="s">
        <v>2745</v>
      </c>
      <c r="V1708" s="155">
        <v>1.0999999999999999E-2</v>
      </c>
      <c r="W1708" s="155">
        <v>3.6600000000000001E-2</v>
      </c>
      <c r="X1708" s="153" t="s">
        <v>412</v>
      </c>
      <c r="Y1708" s="153" t="s">
        <v>339</v>
      </c>
      <c r="Z1708" s="154">
        <v>387749.12</v>
      </c>
      <c r="AA1708" s="154">
        <v>1</v>
      </c>
      <c r="AB1708" s="154">
        <v>91</v>
      </c>
      <c r="AD1708" s="154">
        <v>352.85199999999998</v>
      </c>
      <c r="AG1708" s="157" t="s">
        <v>15</v>
      </c>
      <c r="AH1708" s="155">
        <v>1.7600000000000001E-3</v>
      </c>
      <c r="AI1708" s="155">
        <f t="shared" si="26"/>
        <v>2.0184210985445542E-2</v>
      </c>
      <c r="AJ1708" s="155">
        <v>2.012292426037439E-3</v>
      </c>
    </row>
    <row r="1709" spans="1:36" s="160" customFormat="1">
      <c r="A1709" s="153" t="s">
        <v>1213</v>
      </c>
      <c r="B1709" s="160">
        <v>9630</v>
      </c>
      <c r="C1709" s="153" t="s">
        <v>1512</v>
      </c>
      <c r="D1709" s="153" t="s">
        <v>1513</v>
      </c>
      <c r="E1709" s="153" t="s">
        <v>309</v>
      </c>
      <c r="F1709" s="153" t="s">
        <v>1898</v>
      </c>
      <c r="G1709" s="153" t="s">
        <v>1899</v>
      </c>
      <c r="H1709" s="153" t="s">
        <v>321</v>
      </c>
      <c r="I1709" s="153" t="s">
        <v>754</v>
      </c>
      <c r="J1709" s="153" t="s">
        <v>204</v>
      </c>
      <c r="K1709" s="153" t="s">
        <v>204</v>
      </c>
      <c r="L1709" s="153" t="s">
        <v>325</v>
      </c>
      <c r="M1709" s="153" t="s">
        <v>340</v>
      </c>
      <c r="N1709" s="153" t="s">
        <v>448</v>
      </c>
      <c r="O1709" s="153" t="s">
        <v>339</v>
      </c>
      <c r="P1709" s="153" t="s">
        <v>1215</v>
      </c>
      <c r="Q1709" s="153" t="s">
        <v>413</v>
      </c>
      <c r="R1709" s="153" t="s">
        <v>407</v>
      </c>
      <c r="S1709" s="153" t="s">
        <v>1212</v>
      </c>
      <c r="T1709" s="154">
        <v>3.43</v>
      </c>
      <c r="U1709" s="153" t="s">
        <v>1900</v>
      </c>
      <c r="V1709" s="155">
        <v>-3.5899999999999999E-3</v>
      </c>
      <c r="W1709" s="155">
        <v>2.4799999999999999E-2</v>
      </c>
      <c r="X1709" s="153" t="s">
        <v>412</v>
      </c>
      <c r="Y1709" s="153" t="s">
        <v>339</v>
      </c>
      <c r="Z1709" s="154">
        <v>331342.8</v>
      </c>
      <c r="AA1709" s="154">
        <v>1</v>
      </c>
      <c r="AB1709" s="154">
        <v>102.63</v>
      </c>
      <c r="AD1709" s="154">
        <v>340.05700000000002</v>
      </c>
      <c r="AG1709" s="157" t="s">
        <v>15</v>
      </c>
      <c r="AH1709" s="155">
        <v>1.2999999999999999E-4</v>
      </c>
      <c r="AI1709" s="155">
        <f t="shared" si="26"/>
        <v>1.945229794666788E-2</v>
      </c>
      <c r="AJ1709" s="155">
        <v>1.9393233580113291E-3</v>
      </c>
    </row>
    <row r="1710" spans="1:36" s="160" customFormat="1">
      <c r="A1710" s="153" t="s">
        <v>1213</v>
      </c>
      <c r="B1710" s="160">
        <v>9630</v>
      </c>
      <c r="C1710" s="153" t="s">
        <v>2373</v>
      </c>
      <c r="D1710" s="153" t="s">
        <v>2374</v>
      </c>
      <c r="E1710" s="153" t="s">
        <v>309</v>
      </c>
      <c r="F1710" s="153" t="s">
        <v>2375</v>
      </c>
      <c r="G1710" s="153" t="s">
        <v>2376</v>
      </c>
      <c r="H1710" s="153" t="s">
        <v>321</v>
      </c>
      <c r="I1710" s="153" t="s">
        <v>755</v>
      </c>
      <c r="J1710" s="153" t="s">
        <v>204</v>
      </c>
      <c r="K1710" s="153" t="s">
        <v>204</v>
      </c>
      <c r="L1710" s="153" t="s">
        <v>325</v>
      </c>
      <c r="M1710" s="153" t="s">
        <v>340</v>
      </c>
      <c r="N1710" s="153" t="s">
        <v>454</v>
      </c>
      <c r="O1710" s="153" t="s">
        <v>339</v>
      </c>
      <c r="P1710" s="153" t="s">
        <v>1544</v>
      </c>
      <c r="Q1710" s="153" t="s">
        <v>415</v>
      </c>
      <c r="R1710" s="153" t="s">
        <v>407</v>
      </c>
      <c r="S1710" s="153" t="s">
        <v>1212</v>
      </c>
      <c r="T1710" s="154">
        <v>2.97</v>
      </c>
      <c r="U1710" s="153" t="s">
        <v>2377</v>
      </c>
      <c r="V1710" s="155">
        <v>4.3249999999999997E-2</v>
      </c>
      <c r="W1710" s="155">
        <v>7.6100000000000001E-2</v>
      </c>
      <c r="X1710" s="153" t="s">
        <v>412</v>
      </c>
      <c r="Y1710" s="153" t="s">
        <v>339</v>
      </c>
      <c r="Z1710" s="154">
        <v>341296.15</v>
      </c>
      <c r="AA1710" s="154">
        <v>1</v>
      </c>
      <c r="AB1710" s="154">
        <v>97.95</v>
      </c>
      <c r="AD1710" s="154">
        <v>334.3</v>
      </c>
      <c r="AG1710" s="157" t="s">
        <v>15</v>
      </c>
      <c r="AH1710" s="155">
        <v>2.5000000000000001E-4</v>
      </c>
      <c r="AI1710" s="155">
        <f t="shared" si="26"/>
        <v>1.9122979981506256E-2</v>
      </c>
      <c r="AJ1710" s="155">
        <v>1.9064915546016911E-3</v>
      </c>
    </row>
    <row r="1711" spans="1:36" s="160" customFormat="1">
      <c r="A1711" s="153" t="s">
        <v>1213</v>
      </c>
      <c r="B1711" s="160">
        <v>9630</v>
      </c>
      <c r="C1711" s="153" t="s">
        <v>2110</v>
      </c>
      <c r="D1711" s="153" t="s">
        <v>2111</v>
      </c>
      <c r="E1711" s="153" t="s">
        <v>309</v>
      </c>
      <c r="F1711" s="153" t="s">
        <v>2115</v>
      </c>
      <c r="G1711" s="153" t="s">
        <v>2116</v>
      </c>
      <c r="H1711" s="153" t="s">
        <v>321</v>
      </c>
      <c r="I1711" s="153" t="s">
        <v>754</v>
      </c>
      <c r="J1711" s="153" t="s">
        <v>204</v>
      </c>
      <c r="K1711" s="153" t="s">
        <v>204</v>
      </c>
      <c r="L1711" s="153" t="s">
        <v>325</v>
      </c>
      <c r="M1711" s="153" t="s">
        <v>340</v>
      </c>
      <c r="N1711" s="153" t="s">
        <v>465</v>
      </c>
      <c r="O1711" s="153" t="s">
        <v>339</v>
      </c>
      <c r="P1711" s="153" t="s">
        <v>1538</v>
      </c>
      <c r="Q1711" s="153" t="s">
        <v>413</v>
      </c>
      <c r="R1711" s="153" t="s">
        <v>407</v>
      </c>
      <c r="S1711" s="153" t="s">
        <v>1212</v>
      </c>
      <c r="T1711" s="154">
        <v>2.95</v>
      </c>
      <c r="U1711" s="153" t="s">
        <v>1951</v>
      </c>
      <c r="V1711" s="155">
        <v>8.9999999999999998E-4</v>
      </c>
      <c r="W1711" s="155">
        <v>2.63E-2</v>
      </c>
      <c r="X1711" s="153" t="s">
        <v>412</v>
      </c>
      <c r="Y1711" s="153" t="s">
        <v>339</v>
      </c>
      <c r="Z1711" s="154">
        <v>305910</v>
      </c>
      <c r="AA1711" s="154">
        <v>1</v>
      </c>
      <c r="AB1711" s="154">
        <v>105.76</v>
      </c>
      <c r="AC1711" s="154">
        <v>4.3460000000000001</v>
      </c>
      <c r="AD1711" s="154">
        <v>327.87599999999998</v>
      </c>
      <c r="AG1711" s="157" t="s">
        <v>15</v>
      </c>
      <c r="AH1711" s="155">
        <v>4.4999999999999999E-4</v>
      </c>
      <c r="AI1711" s="155">
        <f t="shared" si="26"/>
        <v>1.8755507581263368E-2</v>
      </c>
      <c r="AJ1711" s="155">
        <v>1.869855892780688E-3</v>
      </c>
    </row>
    <row r="1712" spans="1:36" s="160" customFormat="1">
      <c r="A1712" s="153" t="s">
        <v>1213</v>
      </c>
      <c r="B1712" s="160">
        <v>9630</v>
      </c>
      <c r="C1712" s="153" t="s">
        <v>1529</v>
      </c>
      <c r="D1712" s="153" t="s">
        <v>1530</v>
      </c>
      <c r="E1712" s="153" t="s">
        <v>309</v>
      </c>
      <c r="F1712" s="153" t="s">
        <v>1960</v>
      </c>
      <c r="G1712" s="153" t="s">
        <v>1961</v>
      </c>
      <c r="H1712" s="153" t="s">
        <v>321</v>
      </c>
      <c r="I1712" s="153" t="s">
        <v>754</v>
      </c>
      <c r="J1712" s="153" t="s">
        <v>204</v>
      </c>
      <c r="K1712" s="153" t="s">
        <v>204</v>
      </c>
      <c r="L1712" s="153" t="s">
        <v>325</v>
      </c>
      <c r="M1712" s="153" t="s">
        <v>340</v>
      </c>
      <c r="N1712" s="153" t="s">
        <v>440</v>
      </c>
      <c r="O1712" s="153" t="s">
        <v>339</v>
      </c>
      <c r="P1712" s="153" t="s">
        <v>1527</v>
      </c>
      <c r="Q1712" s="153" t="s">
        <v>415</v>
      </c>
      <c r="R1712" s="153" t="s">
        <v>407</v>
      </c>
      <c r="S1712" s="153" t="s">
        <v>1212</v>
      </c>
      <c r="T1712" s="154">
        <v>3.67</v>
      </c>
      <c r="U1712" s="153" t="s">
        <v>1962</v>
      </c>
      <c r="V1712" s="155">
        <v>1.7999999999999999E-2</v>
      </c>
      <c r="W1712" s="155">
        <v>3.6600000000000001E-2</v>
      </c>
      <c r="X1712" s="153" t="s">
        <v>412</v>
      </c>
      <c r="Y1712" s="153" t="s">
        <v>339</v>
      </c>
      <c r="Z1712" s="154">
        <v>297000</v>
      </c>
      <c r="AA1712" s="154">
        <v>1</v>
      </c>
      <c r="AB1712" s="154">
        <v>107.89</v>
      </c>
      <c r="AD1712" s="154">
        <v>320.43299999999999</v>
      </c>
      <c r="AG1712" s="157" t="s">
        <v>15</v>
      </c>
      <c r="AH1712" s="155">
        <v>3.1E-4</v>
      </c>
      <c r="AI1712" s="155">
        <f t="shared" si="26"/>
        <v>1.8329745271953315E-2</v>
      </c>
      <c r="AJ1712" s="155">
        <v>1.8274089390238816E-3</v>
      </c>
    </row>
    <row r="1713" spans="1:36" s="160" customFormat="1">
      <c r="A1713" s="153" t="s">
        <v>1213</v>
      </c>
      <c r="B1713" s="160">
        <v>9630</v>
      </c>
      <c r="C1713" s="153" t="s">
        <v>2250</v>
      </c>
      <c r="D1713" s="153" t="s">
        <v>2251</v>
      </c>
      <c r="E1713" s="153" t="s">
        <v>309</v>
      </c>
      <c r="F1713" s="153" t="s">
        <v>2704</v>
      </c>
      <c r="G1713" s="153" t="s">
        <v>2705</v>
      </c>
      <c r="H1713" s="153" t="s">
        <v>321</v>
      </c>
      <c r="I1713" s="153" t="s">
        <v>754</v>
      </c>
      <c r="J1713" s="153" t="s">
        <v>204</v>
      </c>
      <c r="K1713" s="153" t="s">
        <v>204</v>
      </c>
      <c r="L1713" s="153" t="s">
        <v>325</v>
      </c>
      <c r="M1713" s="153" t="s">
        <v>340</v>
      </c>
      <c r="N1713" s="153" t="s">
        <v>448</v>
      </c>
      <c r="O1713" s="153" t="s">
        <v>339</v>
      </c>
      <c r="P1713" s="153" t="s">
        <v>1566</v>
      </c>
      <c r="Q1713" s="153" t="s">
        <v>413</v>
      </c>
      <c r="R1713" s="153" t="s">
        <v>407</v>
      </c>
      <c r="S1713" s="153" t="s">
        <v>1212</v>
      </c>
      <c r="T1713" s="154">
        <v>3.43</v>
      </c>
      <c r="U1713" s="153" t="s">
        <v>1851</v>
      </c>
      <c r="V1713" s="155">
        <v>2.707E-2</v>
      </c>
      <c r="W1713" s="155">
        <v>2.98E-2</v>
      </c>
      <c r="X1713" s="153" t="s">
        <v>411</v>
      </c>
      <c r="Y1713" s="153" t="s">
        <v>339</v>
      </c>
      <c r="Z1713" s="154">
        <v>301791</v>
      </c>
      <c r="AA1713" s="154">
        <v>1</v>
      </c>
      <c r="AB1713" s="154">
        <v>105.03</v>
      </c>
      <c r="AD1713" s="154">
        <v>316.971</v>
      </c>
      <c r="AG1713" s="157" t="s">
        <v>15</v>
      </c>
      <c r="AH1713" s="155">
        <v>3.3E-4</v>
      </c>
      <c r="AI1713" s="155">
        <f t="shared" si="26"/>
        <v>1.813170830905779E-2</v>
      </c>
      <c r="AJ1713" s="155">
        <v>1.807665374076137E-3</v>
      </c>
    </row>
    <row r="1714" spans="1:36" s="160" customFormat="1">
      <c r="A1714" s="153" t="s">
        <v>1213</v>
      </c>
      <c r="B1714" s="160">
        <v>9630</v>
      </c>
      <c r="C1714" s="153" t="s">
        <v>1600</v>
      </c>
      <c r="D1714" s="153" t="s">
        <v>1601</v>
      </c>
      <c r="E1714" s="153" t="s">
        <v>309</v>
      </c>
      <c r="F1714" s="153" t="s">
        <v>2706</v>
      </c>
      <c r="G1714" s="153" t="s">
        <v>2707</v>
      </c>
      <c r="H1714" s="153" t="s">
        <v>321</v>
      </c>
      <c r="I1714" s="153" t="s">
        <v>754</v>
      </c>
      <c r="J1714" s="153" t="s">
        <v>204</v>
      </c>
      <c r="K1714" s="153" t="s">
        <v>204</v>
      </c>
      <c r="L1714" s="153" t="s">
        <v>325</v>
      </c>
      <c r="M1714" s="153" t="s">
        <v>340</v>
      </c>
      <c r="N1714" s="153" t="s">
        <v>448</v>
      </c>
      <c r="O1714" s="153" t="s">
        <v>339</v>
      </c>
      <c r="P1714" s="153" t="s">
        <v>1566</v>
      </c>
      <c r="Q1714" s="153" t="s">
        <v>413</v>
      </c>
      <c r="R1714" s="153" t="s">
        <v>407</v>
      </c>
      <c r="S1714" s="153" t="s">
        <v>1212</v>
      </c>
      <c r="T1714" s="154">
        <v>1.6</v>
      </c>
      <c r="U1714" s="153" t="s">
        <v>2708</v>
      </c>
      <c r="V1714" s="155">
        <v>2.6519999999999998E-2</v>
      </c>
      <c r="W1714" s="155">
        <v>2.3800000000000002E-2</v>
      </c>
      <c r="X1714" s="153" t="s">
        <v>411</v>
      </c>
      <c r="Y1714" s="153" t="s">
        <v>339</v>
      </c>
      <c r="Z1714" s="154">
        <v>268670</v>
      </c>
      <c r="AA1714" s="154">
        <v>1</v>
      </c>
      <c r="AB1714" s="154">
        <v>116.6</v>
      </c>
      <c r="AD1714" s="154">
        <v>313.26900000000001</v>
      </c>
      <c r="AG1714" s="157" t="s">
        <v>15</v>
      </c>
      <c r="AH1714" s="155">
        <v>2.5000000000000001E-4</v>
      </c>
      <c r="AI1714" s="155">
        <f t="shared" si="26"/>
        <v>1.7919942613899141E-2</v>
      </c>
      <c r="AJ1714" s="155">
        <v>1.7865531044526388E-3</v>
      </c>
    </row>
    <row r="1715" spans="1:36" s="160" customFormat="1">
      <c r="A1715" s="153" t="s">
        <v>1213</v>
      </c>
      <c r="B1715" s="160">
        <v>9630</v>
      </c>
      <c r="C1715" s="153" t="s">
        <v>3337</v>
      </c>
      <c r="D1715" s="153" t="s">
        <v>3338</v>
      </c>
      <c r="E1715" s="153" t="s">
        <v>309</v>
      </c>
      <c r="F1715" s="153" t="s">
        <v>3339</v>
      </c>
      <c r="G1715" s="153" t="s">
        <v>3340</v>
      </c>
      <c r="H1715" s="153" t="s">
        <v>321</v>
      </c>
      <c r="I1715" s="153" t="s">
        <v>754</v>
      </c>
      <c r="J1715" s="153" t="s">
        <v>204</v>
      </c>
      <c r="K1715" s="153" t="s">
        <v>204</v>
      </c>
      <c r="L1715" s="153" t="s">
        <v>325</v>
      </c>
      <c r="M1715" s="153" t="s">
        <v>340</v>
      </c>
      <c r="N1715" s="153" t="s">
        <v>465</v>
      </c>
      <c r="O1715" s="153" t="s">
        <v>339</v>
      </c>
      <c r="P1715" s="153" t="s">
        <v>1554</v>
      </c>
      <c r="Q1715" s="153" t="s">
        <v>413</v>
      </c>
      <c r="R1715" s="153" t="s">
        <v>407</v>
      </c>
      <c r="S1715" s="153" t="s">
        <v>1212</v>
      </c>
      <c r="T1715" s="154">
        <v>3.9</v>
      </c>
      <c r="U1715" s="153" t="s">
        <v>3341</v>
      </c>
      <c r="V1715" s="155">
        <v>9.9600000000000001E-3</v>
      </c>
      <c r="W1715" s="155">
        <v>4.8800000000000003E-2</v>
      </c>
      <c r="X1715" s="153" t="s">
        <v>412</v>
      </c>
      <c r="Y1715" s="153" t="s">
        <v>339</v>
      </c>
      <c r="Z1715" s="154">
        <v>310650</v>
      </c>
      <c r="AA1715" s="154">
        <v>1</v>
      </c>
      <c r="AB1715" s="154">
        <v>99.51</v>
      </c>
      <c r="AD1715" s="154">
        <v>309.12799999999999</v>
      </c>
      <c r="AG1715" s="157" t="s">
        <v>15</v>
      </c>
      <c r="AH1715" s="155">
        <v>1.09E-3</v>
      </c>
      <c r="AI1715" s="155">
        <f t="shared" si="26"/>
        <v>1.7683064779309199E-2</v>
      </c>
      <c r="AJ1715" s="155">
        <v>1.7629372458597414E-3</v>
      </c>
    </row>
    <row r="1716" spans="1:36" s="160" customFormat="1">
      <c r="A1716" s="153" t="s">
        <v>1213</v>
      </c>
      <c r="B1716" s="160">
        <v>9630</v>
      </c>
      <c r="C1716" s="153" t="s">
        <v>1687</v>
      </c>
      <c r="D1716" s="153" t="s">
        <v>1688</v>
      </c>
      <c r="E1716" s="153" t="s">
        <v>309</v>
      </c>
      <c r="F1716" s="153" t="s">
        <v>2956</v>
      </c>
      <c r="G1716" s="153" t="s">
        <v>2957</v>
      </c>
      <c r="H1716" s="153" t="s">
        <v>321</v>
      </c>
      <c r="I1716" s="153" t="s">
        <v>951</v>
      </c>
      <c r="J1716" s="153" t="s">
        <v>204</v>
      </c>
      <c r="K1716" s="153" t="s">
        <v>204</v>
      </c>
      <c r="L1716" s="153" t="s">
        <v>325</v>
      </c>
      <c r="M1716" s="153" t="s">
        <v>340</v>
      </c>
      <c r="N1716" s="153" t="s">
        <v>465</v>
      </c>
      <c r="O1716" s="153" t="s">
        <v>339</v>
      </c>
      <c r="P1716" s="153" t="s">
        <v>1614</v>
      </c>
      <c r="Q1716" s="153" t="s">
        <v>415</v>
      </c>
      <c r="R1716" s="153" t="s">
        <v>407</v>
      </c>
      <c r="S1716" s="153" t="s">
        <v>1212</v>
      </c>
      <c r="T1716" s="154">
        <v>2.65</v>
      </c>
      <c r="U1716" s="153" t="s">
        <v>2613</v>
      </c>
      <c r="V1716" s="155">
        <v>2.0389999999999998E-2</v>
      </c>
      <c r="W1716" s="155">
        <v>5.6399999999999999E-2</v>
      </c>
      <c r="X1716" s="153" t="s">
        <v>412</v>
      </c>
      <c r="Y1716" s="153" t="s">
        <v>339</v>
      </c>
      <c r="Z1716" s="154">
        <v>333375</v>
      </c>
      <c r="AA1716" s="154">
        <v>1</v>
      </c>
      <c r="AB1716" s="154">
        <v>91.94</v>
      </c>
      <c r="AD1716" s="154">
        <v>306.505</v>
      </c>
      <c r="AG1716" s="157" t="s">
        <v>15</v>
      </c>
      <c r="AH1716" s="155">
        <v>4.4999999999999999E-4</v>
      </c>
      <c r="AI1716" s="155">
        <f t="shared" si="26"/>
        <v>1.7533021176283501E-2</v>
      </c>
      <c r="AJ1716" s="155">
        <v>1.7479784443409851E-3</v>
      </c>
    </row>
    <row r="1717" spans="1:36" s="160" customFormat="1">
      <c r="A1717" s="153" t="s">
        <v>1213</v>
      </c>
      <c r="B1717" s="160">
        <v>9630</v>
      </c>
      <c r="C1717" s="153" t="s">
        <v>1904</v>
      </c>
      <c r="D1717" s="153" t="s">
        <v>1905</v>
      </c>
      <c r="E1717" s="153" t="s">
        <v>309</v>
      </c>
      <c r="F1717" s="153" t="s">
        <v>2709</v>
      </c>
      <c r="G1717" s="153" t="s">
        <v>2710</v>
      </c>
      <c r="H1717" s="153" t="s">
        <v>321</v>
      </c>
      <c r="I1717" s="153" t="s">
        <v>754</v>
      </c>
      <c r="J1717" s="153" t="s">
        <v>204</v>
      </c>
      <c r="K1717" s="153" t="s">
        <v>204</v>
      </c>
      <c r="L1717" s="153" t="s">
        <v>325</v>
      </c>
      <c r="M1717" s="153" t="s">
        <v>340</v>
      </c>
      <c r="N1717" s="153" t="s">
        <v>448</v>
      </c>
      <c r="O1717" s="153" t="s">
        <v>339</v>
      </c>
      <c r="P1717" s="153" t="s">
        <v>1566</v>
      </c>
      <c r="Q1717" s="153" t="s">
        <v>413</v>
      </c>
      <c r="R1717" s="153" t="s">
        <v>407</v>
      </c>
      <c r="S1717" s="153" t="s">
        <v>1212</v>
      </c>
      <c r="T1717" s="154">
        <v>1.06</v>
      </c>
      <c r="U1717" s="153" t="s">
        <v>2711</v>
      </c>
      <c r="V1717" s="155">
        <v>2.6120000000000001E-2</v>
      </c>
      <c r="W1717" s="155">
        <v>2.9600000000000001E-2</v>
      </c>
      <c r="X1717" s="153" t="s">
        <v>411</v>
      </c>
      <c r="Y1717" s="153" t="s">
        <v>339</v>
      </c>
      <c r="Z1717" s="154">
        <v>260343</v>
      </c>
      <c r="AA1717" s="154">
        <v>1</v>
      </c>
      <c r="AB1717" s="154">
        <v>114.39</v>
      </c>
      <c r="AD1717" s="154">
        <v>297.80599999999998</v>
      </c>
      <c r="AG1717" s="157" t="s">
        <v>15</v>
      </c>
      <c r="AH1717" s="155">
        <v>2.0000000000000001E-4</v>
      </c>
      <c r="AI1717" s="155">
        <f t="shared" si="26"/>
        <v>1.7035411834796444E-2</v>
      </c>
      <c r="AJ1717" s="155">
        <v>1.6983686027810683E-3</v>
      </c>
    </row>
    <row r="1718" spans="1:36" s="160" customFormat="1">
      <c r="A1718" s="153" t="s">
        <v>1213</v>
      </c>
      <c r="B1718" s="160">
        <v>9630</v>
      </c>
      <c r="C1718" s="153" t="s">
        <v>2298</v>
      </c>
      <c r="D1718" s="153" t="s">
        <v>2299</v>
      </c>
      <c r="E1718" s="153" t="s">
        <v>309</v>
      </c>
      <c r="F1718" s="153" t="s">
        <v>2712</v>
      </c>
      <c r="G1718" s="153" t="s">
        <v>2713</v>
      </c>
      <c r="H1718" s="153" t="s">
        <v>321</v>
      </c>
      <c r="I1718" s="153" t="s">
        <v>951</v>
      </c>
      <c r="J1718" s="153" t="s">
        <v>204</v>
      </c>
      <c r="K1718" s="153" t="s">
        <v>204</v>
      </c>
      <c r="L1718" s="153" t="s">
        <v>325</v>
      </c>
      <c r="M1718" s="153" t="s">
        <v>340</v>
      </c>
      <c r="N1718" s="153" t="s">
        <v>462</v>
      </c>
      <c r="O1718" s="153" t="s">
        <v>339</v>
      </c>
      <c r="P1718" s="153" t="s">
        <v>1566</v>
      </c>
      <c r="Q1718" s="153" t="s">
        <v>413</v>
      </c>
      <c r="R1718" s="153" t="s">
        <v>407</v>
      </c>
      <c r="S1718" s="153" t="s">
        <v>1212</v>
      </c>
      <c r="T1718" s="154">
        <v>3.09</v>
      </c>
      <c r="U1718" s="153" t="s">
        <v>2714</v>
      </c>
      <c r="V1718" s="155">
        <v>4.897E-2</v>
      </c>
      <c r="W1718" s="155">
        <v>5.8900000000000001E-2</v>
      </c>
      <c r="X1718" s="153" t="s">
        <v>412</v>
      </c>
      <c r="Y1718" s="153" t="s">
        <v>339</v>
      </c>
      <c r="Z1718" s="154">
        <v>295887.8</v>
      </c>
      <c r="AA1718" s="154">
        <v>1</v>
      </c>
      <c r="AB1718" s="154">
        <v>99.02</v>
      </c>
      <c r="AD1718" s="154">
        <v>292.988</v>
      </c>
      <c r="AG1718" s="157" t="s">
        <v>15</v>
      </c>
      <c r="AH1718" s="155">
        <v>1.24E-3</v>
      </c>
      <c r="AI1718" s="155">
        <f t="shared" si="26"/>
        <v>1.6759807534614281E-2</v>
      </c>
      <c r="AJ1718" s="155">
        <v>1.6708918564153164E-3</v>
      </c>
    </row>
    <row r="1719" spans="1:36" s="160" customFormat="1">
      <c r="A1719" s="153" t="s">
        <v>1213</v>
      </c>
      <c r="B1719" s="160">
        <v>9630</v>
      </c>
      <c r="C1719" s="153" t="s">
        <v>1600</v>
      </c>
      <c r="D1719" s="153" t="s">
        <v>1601</v>
      </c>
      <c r="E1719" s="153" t="s">
        <v>309</v>
      </c>
      <c r="F1719" s="153" t="s">
        <v>2380</v>
      </c>
      <c r="G1719" s="153" t="s">
        <v>2381</v>
      </c>
      <c r="H1719" s="153" t="s">
        <v>321</v>
      </c>
      <c r="I1719" s="153" t="s">
        <v>951</v>
      </c>
      <c r="J1719" s="153" t="s">
        <v>204</v>
      </c>
      <c r="K1719" s="153" t="s">
        <v>204</v>
      </c>
      <c r="L1719" s="153" t="s">
        <v>325</v>
      </c>
      <c r="M1719" s="153" t="s">
        <v>340</v>
      </c>
      <c r="N1719" s="153" t="s">
        <v>448</v>
      </c>
      <c r="O1719" s="153" t="s">
        <v>339</v>
      </c>
      <c r="P1719" s="153" t="s">
        <v>1215</v>
      </c>
      <c r="Q1719" s="153" t="s">
        <v>413</v>
      </c>
      <c r="R1719" s="153" t="s">
        <v>407</v>
      </c>
      <c r="S1719" s="153" t="s">
        <v>1212</v>
      </c>
      <c r="T1719" s="154">
        <v>0.65</v>
      </c>
      <c r="U1719" s="153" t="s">
        <v>2382</v>
      </c>
      <c r="V1719" s="155">
        <v>3.9210000000000002E-2</v>
      </c>
      <c r="W1719" s="155">
        <v>4.4499999999999998E-2</v>
      </c>
      <c r="X1719" s="153" t="s">
        <v>412</v>
      </c>
      <c r="Y1719" s="153" t="s">
        <v>339</v>
      </c>
      <c r="Z1719" s="154">
        <v>274000</v>
      </c>
      <c r="AA1719" s="154">
        <v>1</v>
      </c>
      <c r="AB1719" s="154">
        <v>100.87</v>
      </c>
      <c r="AD1719" s="154">
        <v>276.38400000000001</v>
      </c>
      <c r="AG1719" s="157" t="s">
        <v>15</v>
      </c>
      <c r="AH1719" s="155">
        <v>2.3000000000000001E-4</v>
      </c>
      <c r="AI1719" s="155">
        <f t="shared" si="26"/>
        <v>1.5810008074210662E-2</v>
      </c>
      <c r="AJ1719" s="155">
        <v>1.5762003045977678E-3</v>
      </c>
    </row>
    <row r="1720" spans="1:36" s="160" customFormat="1">
      <c r="A1720" s="153" t="s">
        <v>1213</v>
      </c>
      <c r="B1720" s="160">
        <v>9630</v>
      </c>
      <c r="C1720" s="153" t="s">
        <v>2753</v>
      </c>
      <c r="D1720" s="153" t="s">
        <v>2754</v>
      </c>
      <c r="E1720" s="153" t="s">
        <v>309</v>
      </c>
      <c r="F1720" s="153" t="s">
        <v>2755</v>
      </c>
      <c r="G1720" s="153" t="s">
        <v>2756</v>
      </c>
      <c r="H1720" s="153" t="s">
        <v>321</v>
      </c>
      <c r="I1720" s="153" t="s">
        <v>951</v>
      </c>
      <c r="J1720" s="153" t="s">
        <v>204</v>
      </c>
      <c r="K1720" s="153" t="s">
        <v>204</v>
      </c>
      <c r="L1720" s="153" t="s">
        <v>325</v>
      </c>
      <c r="M1720" s="153" t="s">
        <v>340</v>
      </c>
      <c r="N1720" s="153" t="s">
        <v>447</v>
      </c>
      <c r="O1720" s="153" t="s">
        <v>339</v>
      </c>
      <c r="P1720" s="153" t="s">
        <v>1586</v>
      </c>
      <c r="Q1720" s="153" t="s">
        <v>415</v>
      </c>
      <c r="R1720" s="153" t="s">
        <v>407</v>
      </c>
      <c r="S1720" s="153" t="s">
        <v>1212</v>
      </c>
      <c r="T1720" s="154">
        <v>1.89</v>
      </c>
      <c r="U1720" s="153" t="s">
        <v>1528</v>
      </c>
      <c r="V1720" s="155">
        <v>5.7119999999999997E-2</v>
      </c>
      <c r="W1720" s="155">
        <v>6.6299999999999998E-2</v>
      </c>
      <c r="X1720" s="153" t="s">
        <v>412</v>
      </c>
      <c r="Y1720" s="153" t="s">
        <v>339</v>
      </c>
      <c r="Z1720" s="154">
        <v>270000</v>
      </c>
      <c r="AA1720" s="154">
        <v>1</v>
      </c>
      <c r="AB1720" s="154">
        <v>102.16</v>
      </c>
      <c r="AD1720" s="154">
        <v>275.83199999999999</v>
      </c>
      <c r="AG1720" s="157" t="s">
        <v>15</v>
      </c>
      <c r="AH1720" s="155">
        <v>1.6900000000000001E-3</v>
      </c>
      <c r="AI1720" s="155">
        <f t="shared" si="26"/>
        <v>1.5778431990005483E-2</v>
      </c>
      <c r="AJ1720" s="155">
        <v>1.5730522838435347E-3</v>
      </c>
    </row>
    <row r="1721" spans="1:36" s="160" customFormat="1">
      <c r="A1721" s="153" t="s">
        <v>1213</v>
      </c>
      <c r="B1721" s="160">
        <v>9630</v>
      </c>
      <c r="C1721" s="153" t="s">
        <v>1591</v>
      </c>
      <c r="D1721" s="153" t="s">
        <v>1592</v>
      </c>
      <c r="E1721" s="153" t="s">
        <v>309</v>
      </c>
      <c r="F1721" s="153" t="s">
        <v>2175</v>
      </c>
      <c r="G1721" s="153" t="s">
        <v>2176</v>
      </c>
      <c r="H1721" s="153" t="s">
        <v>321</v>
      </c>
      <c r="I1721" s="153" t="s">
        <v>754</v>
      </c>
      <c r="J1721" s="153" t="s">
        <v>204</v>
      </c>
      <c r="K1721" s="153" t="s">
        <v>204</v>
      </c>
      <c r="L1721" s="153" t="s">
        <v>325</v>
      </c>
      <c r="M1721" s="153" t="s">
        <v>340</v>
      </c>
      <c r="N1721" s="153" t="s">
        <v>464</v>
      </c>
      <c r="O1721" s="153" t="s">
        <v>339</v>
      </c>
      <c r="P1721" s="153" t="s">
        <v>1538</v>
      </c>
      <c r="Q1721" s="153" t="s">
        <v>413</v>
      </c>
      <c r="R1721" s="153" t="s">
        <v>407</v>
      </c>
      <c r="S1721" s="153" t="s">
        <v>1212</v>
      </c>
      <c r="T1721" s="154">
        <v>3.97</v>
      </c>
      <c r="U1721" s="153" t="s">
        <v>2177</v>
      </c>
      <c r="V1721" s="155">
        <v>3.5290000000000002E-2</v>
      </c>
      <c r="W1721" s="155">
        <v>3.1899999999999998E-2</v>
      </c>
      <c r="X1721" s="153" t="s">
        <v>412</v>
      </c>
      <c r="Y1721" s="153" t="s">
        <v>339</v>
      </c>
      <c r="Z1721" s="154">
        <v>260912.16</v>
      </c>
      <c r="AA1721" s="154">
        <v>1</v>
      </c>
      <c r="AB1721" s="154">
        <v>103.53</v>
      </c>
      <c r="AD1721" s="154">
        <v>270.12200000000001</v>
      </c>
      <c r="AG1721" s="157" t="s">
        <v>15</v>
      </c>
      <c r="AH1721" s="155">
        <v>1.6000000000000001E-4</v>
      </c>
      <c r="AI1721" s="155">
        <f t="shared" si="26"/>
        <v>1.5451802568245387E-2</v>
      </c>
      <c r="AJ1721" s="155">
        <v>1.5404885184328986E-3</v>
      </c>
    </row>
    <row r="1722" spans="1:36" s="160" customFormat="1">
      <c r="A1722" s="153" t="s">
        <v>1213</v>
      </c>
      <c r="B1722" s="160">
        <v>9630</v>
      </c>
      <c r="C1722" s="153" t="s">
        <v>2273</v>
      </c>
      <c r="D1722" s="153" t="s">
        <v>2274</v>
      </c>
      <c r="E1722" s="153" t="s">
        <v>309</v>
      </c>
      <c r="F1722" s="153" t="s">
        <v>2303</v>
      </c>
      <c r="G1722" s="153" t="s">
        <v>2304</v>
      </c>
      <c r="H1722" s="153" t="s">
        <v>321</v>
      </c>
      <c r="I1722" s="153" t="s">
        <v>754</v>
      </c>
      <c r="J1722" s="153" t="s">
        <v>204</v>
      </c>
      <c r="K1722" s="153" t="s">
        <v>204</v>
      </c>
      <c r="L1722" s="153" t="s">
        <v>325</v>
      </c>
      <c r="M1722" s="153" t="s">
        <v>340</v>
      </c>
      <c r="N1722" s="153" t="s">
        <v>477</v>
      </c>
      <c r="O1722" s="153" t="s">
        <v>339</v>
      </c>
      <c r="P1722" s="153" t="s">
        <v>1215</v>
      </c>
      <c r="Q1722" s="153" t="s">
        <v>413</v>
      </c>
      <c r="R1722" s="153" t="s">
        <v>407</v>
      </c>
      <c r="S1722" s="153" t="s">
        <v>1212</v>
      </c>
      <c r="T1722" s="154">
        <v>11.44</v>
      </c>
      <c r="U1722" s="153" t="s">
        <v>2305</v>
      </c>
      <c r="V1722" s="155">
        <v>6.0099999999999997E-3</v>
      </c>
      <c r="W1722" s="155">
        <v>3.2899999999999999E-2</v>
      </c>
      <c r="X1722" s="153" t="s">
        <v>412</v>
      </c>
      <c r="Y1722" s="153" t="s">
        <v>339</v>
      </c>
      <c r="Z1722" s="154">
        <v>262527.71999999997</v>
      </c>
      <c r="AA1722" s="154">
        <v>1</v>
      </c>
      <c r="AB1722" s="154">
        <v>99.37</v>
      </c>
      <c r="AD1722" s="154">
        <v>260.87400000000002</v>
      </c>
      <c r="AG1722" s="157" t="s">
        <v>15</v>
      </c>
      <c r="AH1722" s="155">
        <v>6.0000000000000002E-5</v>
      </c>
      <c r="AI1722" s="155">
        <f t="shared" si="26"/>
        <v>1.4922788751706441E-2</v>
      </c>
      <c r="AJ1722" s="155">
        <v>1.487747764927196E-3</v>
      </c>
    </row>
    <row r="1723" spans="1:36" s="160" customFormat="1">
      <c r="A1723" s="153" t="s">
        <v>1213</v>
      </c>
      <c r="B1723" s="160">
        <v>9630</v>
      </c>
      <c r="C1723" s="153" t="s">
        <v>2638</v>
      </c>
      <c r="D1723" s="153" t="s">
        <v>2639</v>
      </c>
      <c r="E1723" s="153" t="s">
        <v>311</v>
      </c>
      <c r="F1723" s="153" t="s">
        <v>2640</v>
      </c>
      <c r="G1723" s="153" t="s">
        <v>2641</v>
      </c>
      <c r="H1723" s="153" t="s">
        <v>321</v>
      </c>
      <c r="I1723" s="153" t="s">
        <v>755</v>
      </c>
      <c r="J1723" s="153" t="s">
        <v>204</v>
      </c>
      <c r="K1723" s="153" t="s">
        <v>204</v>
      </c>
      <c r="L1723" s="153" t="s">
        <v>325</v>
      </c>
      <c r="M1723" s="153" t="s">
        <v>340</v>
      </c>
      <c r="N1723" s="153" t="s">
        <v>465</v>
      </c>
      <c r="O1723" s="153" t="s">
        <v>339</v>
      </c>
      <c r="P1723" s="153" t="s">
        <v>1982</v>
      </c>
      <c r="Q1723" s="153" t="s">
        <v>415</v>
      </c>
      <c r="R1723" s="153" t="s">
        <v>407</v>
      </c>
      <c r="S1723" s="153" t="s">
        <v>1212</v>
      </c>
      <c r="T1723" s="154">
        <v>2.91</v>
      </c>
      <c r="U1723" s="153" t="s">
        <v>1664</v>
      </c>
      <c r="V1723" s="155">
        <v>7.0559999999999998E-2</v>
      </c>
      <c r="W1723" s="155">
        <v>0.10150000000000001</v>
      </c>
      <c r="X1723" s="153" t="s">
        <v>412</v>
      </c>
      <c r="Y1723" s="153" t="s">
        <v>339</v>
      </c>
      <c r="Z1723" s="154">
        <v>285730.28000000003</v>
      </c>
      <c r="AA1723" s="154">
        <v>1</v>
      </c>
      <c r="AB1723" s="154">
        <v>89.69</v>
      </c>
      <c r="AD1723" s="154">
        <v>256.27100000000002</v>
      </c>
      <c r="AG1723" s="157" t="s">
        <v>15</v>
      </c>
      <c r="AH1723" s="155">
        <v>2.5999999999999998E-4</v>
      </c>
      <c r="AI1723" s="155">
        <f t="shared" si="26"/>
        <v>1.465948310750999E-2</v>
      </c>
      <c r="AJ1723" s="155">
        <v>1.4614971498334729E-3</v>
      </c>
    </row>
    <row r="1724" spans="1:36" s="160" customFormat="1">
      <c r="A1724" s="153" t="s">
        <v>1213</v>
      </c>
      <c r="B1724" s="160">
        <v>9630</v>
      </c>
      <c r="C1724" s="153" t="s">
        <v>1600</v>
      </c>
      <c r="D1724" s="153" t="s">
        <v>1601</v>
      </c>
      <c r="E1724" s="153" t="s">
        <v>309</v>
      </c>
      <c r="F1724" s="153" t="s">
        <v>1957</v>
      </c>
      <c r="G1724" s="153" t="s">
        <v>1958</v>
      </c>
      <c r="H1724" s="153" t="s">
        <v>321</v>
      </c>
      <c r="I1724" s="153" t="s">
        <v>754</v>
      </c>
      <c r="J1724" s="153" t="s">
        <v>204</v>
      </c>
      <c r="K1724" s="153" t="s">
        <v>204</v>
      </c>
      <c r="L1724" s="153" t="s">
        <v>325</v>
      </c>
      <c r="M1724" s="153" t="s">
        <v>340</v>
      </c>
      <c r="N1724" s="153" t="s">
        <v>448</v>
      </c>
      <c r="O1724" s="153" t="s">
        <v>339</v>
      </c>
      <c r="P1724" s="153" t="s">
        <v>1215</v>
      </c>
      <c r="Q1724" s="153" t="s">
        <v>413</v>
      </c>
      <c r="R1724" s="153" t="s">
        <v>407</v>
      </c>
      <c r="S1724" s="153" t="s">
        <v>1212</v>
      </c>
      <c r="T1724" s="154">
        <v>3.91</v>
      </c>
      <c r="U1724" s="153" t="s">
        <v>1959</v>
      </c>
      <c r="V1724" s="155">
        <v>1.242E-2</v>
      </c>
      <c r="W1724" s="155">
        <v>2.4799999999999999E-2</v>
      </c>
      <c r="X1724" s="153" t="s">
        <v>412</v>
      </c>
      <c r="Y1724" s="153" t="s">
        <v>339</v>
      </c>
      <c r="Z1724" s="154">
        <v>246600</v>
      </c>
      <c r="AA1724" s="154">
        <v>1</v>
      </c>
      <c r="AB1724" s="154">
        <v>103.84</v>
      </c>
      <c r="AD1724" s="154">
        <v>256.06900000000002</v>
      </c>
      <c r="AG1724" s="157" t="s">
        <v>15</v>
      </c>
      <c r="AH1724" s="155">
        <v>1.3999999999999999E-4</v>
      </c>
      <c r="AI1724" s="155">
        <f t="shared" si="26"/>
        <v>1.464792809118853E-2</v>
      </c>
      <c r="AJ1724" s="155">
        <v>1.4603451567313803E-3</v>
      </c>
    </row>
    <row r="1725" spans="1:36" s="160" customFormat="1">
      <c r="A1725" s="153" t="s">
        <v>1213</v>
      </c>
      <c r="B1725" s="160">
        <v>9630</v>
      </c>
      <c r="C1725" s="153" t="s">
        <v>2428</v>
      </c>
      <c r="D1725" s="153" t="s">
        <v>2429</v>
      </c>
      <c r="E1725" s="153" t="s">
        <v>309</v>
      </c>
      <c r="F1725" s="153" t="s">
        <v>2430</v>
      </c>
      <c r="G1725" s="153" t="s">
        <v>2431</v>
      </c>
      <c r="H1725" s="153" t="s">
        <v>321</v>
      </c>
      <c r="I1725" s="153" t="s">
        <v>755</v>
      </c>
      <c r="J1725" s="153" t="s">
        <v>204</v>
      </c>
      <c r="K1725" s="153" t="s">
        <v>204</v>
      </c>
      <c r="L1725" s="153" t="s">
        <v>325</v>
      </c>
      <c r="M1725" s="153" t="s">
        <v>340</v>
      </c>
      <c r="N1725" s="153" t="s">
        <v>454</v>
      </c>
      <c r="O1725" s="153" t="s">
        <v>339</v>
      </c>
      <c r="P1725" s="153" t="s">
        <v>1538</v>
      </c>
      <c r="Q1725" s="153" t="s">
        <v>413</v>
      </c>
      <c r="R1725" s="153" t="s">
        <v>407</v>
      </c>
      <c r="S1725" s="153" t="s">
        <v>1212</v>
      </c>
      <c r="T1725" s="154">
        <v>0.5</v>
      </c>
      <c r="U1725" s="153" t="s">
        <v>2432</v>
      </c>
      <c r="V1725" s="155">
        <v>4.845E-2</v>
      </c>
      <c r="W1725" s="155">
        <v>8.8599999999999998E-2</v>
      </c>
      <c r="X1725" s="153" t="s">
        <v>412</v>
      </c>
      <c r="Y1725" s="153" t="s">
        <v>339</v>
      </c>
      <c r="Z1725" s="154">
        <v>247367.56</v>
      </c>
      <c r="AA1725" s="154">
        <v>1</v>
      </c>
      <c r="AB1725" s="154">
        <v>102.3</v>
      </c>
      <c r="AD1725" s="154">
        <v>253.05699999999999</v>
      </c>
      <c r="AG1725" s="157" t="s">
        <v>15</v>
      </c>
      <c r="AH1725" s="155">
        <v>4.8999999999999998E-4</v>
      </c>
      <c r="AI1725" s="155">
        <f t="shared" si="26"/>
        <v>1.4475632501286353E-2</v>
      </c>
      <c r="AJ1725" s="155">
        <v>1.4431679130506735E-3</v>
      </c>
    </row>
    <row r="1726" spans="1:36" s="160" customFormat="1">
      <c r="A1726" s="153" t="s">
        <v>1213</v>
      </c>
      <c r="B1726" s="160">
        <v>9630</v>
      </c>
      <c r="C1726" s="153" t="s">
        <v>2356</v>
      </c>
      <c r="D1726" s="153" t="s">
        <v>2357</v>
      </c>
      <c r="E1726" s="153" t="s">
        <v>309</v>
      </c>
      <c r="F1726" s="153" t="s">
        <v>2358</v>
      </c>
      <c r="G1726" s="153" t="s">
        <v>2359</v>
      </c>
      <c r="H1726" s="153" t="s">
        <v>321</v>
      </c>
      <c r="I1726" s="153" t="s">
        <v>754</v>
      </c>
      <c r="J1726" s="153" t="s">
        <v>204</v>
      </c>
      <c r="K1726" s="153" t="s">
        <v>204</v>
      </c>
      <c r="L1726" s="153" t="s">
        <v>325</v>
      </c>
      <c r="M1726" s="153" t="s">
        <v>340</v>
      </c>
      <c r="N1726" s="153" t="s">
        <v>447</v>
      </c>
      <c r="O1726" s="153" t="s">
        <v>339</v>
      </c>
      <c r="P1726" s="153" t="s">
        <v>1560</v>
      </c>
      <c r="Q1726" s="153" t="s">
        <v>413</v>
      </c>
      <c r="R1726" s="153" t="s">
        <v>407</v>
      </c>
      <c r="S1726" s="153" t="s">
        <v>1212</v>
      </c>
      <c r="T1726" s="154">
        <v>2.79</v>
      </c>
      <c r="U1726" s="153" t="s">
        <v>2360</v>
      </c>
      <c r="V1726" s="155">
        <v>3.2009999999999997E-2</v>
      </c>
      <c r="W1726" s="155">
        <v>3.95E-2</v>
      </c>
      <c r="X1726" s="153" t="s">
        <v>412</v>
      </c>
      <c r="Y1726" s="153" t="s">
        <v>339</v>
      </c>
      <c r="Z1726" s="154">
        <v>213620.06</v>
      </c>
      <c r="AA1726" s="154">
        <v>1</v>
      </c>
      <c r="AB1726" s="154">
        <v>117.74</v>
      </c>
      <c r="AD1726" s="154">
        <v>251.51599999999999</v>
      </c>
      <c r="AG1726" s="157" t="s">
        <v>15</v>
      </c>
      <c r="AH1726" s="155">
        <v>1.4999999999999999E-4</v>
      </c>
      <c r="AI1726" s="155">
        <f t="shared" si="26"/>
        <v>1.4387482599546895E-2</v>
      </c>
      <c r="AJ1726" s="155">
        <v>1.434379688445106E-3</v>
      </c>
    </row>
    <row r="1727" spans="1:36" s="160" customFormat="1">
      <c r="A1727" s="153" t="s">
        <v>1213</v>
      </c>
      <c r="B1727" s="160">
        <v>9630</v>
      </c>
      <c r="C1727" s="153" t="s">
        <v>2802</v>
      </c>
      <c r="D1727" s="153" t="s">
        <v>2803</v>
      </c>
      <c r="E1727" s="153" t="s">
        <v>309</v>
      </c>
      <c r="F1727" s="153" t="s">
        <v>2804</v>
      </c>
      <c r="G1727" s="153" t="s">
        <v>2805</v>
      </c>
      <c r="H1727" s="153" t="s">
        <v>321</v>
      </c>
      <c r="I1727" s="153" t="s">
        <v>951</v>
      </c>
      <c r="J1727" s="153" t="s">
        <v>204</v>
      </c>
      <c r="K1727" s="153" t="s">
        <v>204</v>
      </c>
      <c r="L1727" s="153" t="s">
        <v>325</v>
      </c>
      <c r="M1727" s="153" t="s">
        <v>340</v>
      </c>
      <c r="N1727" s="153" t="s">
        <v>447</v>
      </c>
      <c r="O1727" s="153" t="s">
        <v>339</v>
      </c>
      <c r="P1727" s="153" t="s">
        <v>1527</v>
      </c>
      <c r="Q1727" s="153" t="s">
        <v>415</v>
      </c>
      <c r="R1727" s="153" t="s">
        <v>407</v>
      </c>
      <c r="S1727" s="153" t="s">
        <v>1212</v>
      </c>
      <c r="T1727" s="154">
        <v>2.2400000000000002</v>
      </c>
      <c r="U1727" s="153" t="s">
        <v>1528</v>
      </c>
      <c r="V1727" s="155">
        <v>4.7039999999999998E-2</v>
      </c>
      <c r="W1727" s="155">
        <v>6.3299999999999995E-2</v>
      </c>
      <c r="X1727" s="153" t="s">
        <v>412</v>
      </c>
      <c r="Y1727" s="153" t="s">
        <v>339</v>
      </c>
      <c r="Z1727" s="154">
        <v>256192</v>
      </c>
      <c r="AA1727" s="154">
        <v>1</v>
      </c>
      <c r="AB1727" s="154">
        <v>97.43</v>
      </c>
      <c r="AD1727" s="154">
        <v>249.608</v>
      </c>
      <c r="AG1727" s="157" t="s">
        <v>15</v>
      </c>
      <c r="AH1727" s="155">
        <v>3.6999999999999999E-4</v>
      </c>
      <c r="AI1727" s="155">
        <f t="shared" si="26"/>
        <v>1.427833917805508E-2</v>
      </c>
      <c r="AJ1727" s="155">
        <v>1.4234984862728653E-3</v>
      </c>
    </row>
    <row r="1728" spans="1:36" s="160" customFormat="1">
      <c r="A1728" s="153" t="s">
        <v>1213</v>
      </c>
      <c r="B1728" s="160">
        <v>9630</v>
      </c>
      <c r="C1728" s="153" t="s">
        <v>1769</v>
      </c>
      <c r="D1728" s="153" t="s">
        <v>1770</v>
      </c>
      <c r="E1728" s="153" t="s">
        <v>309</v>
      </c>
      <c r="F1728" s="153" t="s">
        <v>1771</v>
      </c>
      <c r="G1728" s="153" t="s">
        <v>1772</v>
      </c>
      <c r="H1728" s="153" t="s">
        <v>321</v>
      </c>
      <c r="I1728" s="153" t="s">
        <v>754</v>
      </c>
      <c r="J1728" s="153" t="s">
        <v>204</v>
      </c>
      <c r="K1728" s="153" t="s">
        <v>204</v>
      </c>
      <c r="L1728" s="153" t="s">
        <v>325</v>
      </c>
      <c r="M1728" s="153" t="s">
        <v>340</v>
      </c>
      <c r="N1728" s="153" t="s">
        <v>464</v>
      </c>
      <c r="O1728" s="153" t="s">
        <v>339</v>
      </c>
      <c r="P1728" s="153" t="s">
        <v>1560</v>
      </c>
      <c r="Q1728" s="153" t="s">
        <v>413</v>
      </c>
      <c r="R1728" s="153" t="s">
        <v>407</v>
      </c>
      <c r="S1728" s="153" t="s">
        <v>1212</v>
      </c>
      <c r="T1728" s="154">
        <v>4.05</v>
      </c>
      <c r="U1728" s="153" t="s">
        <v>1587</v>
      </c>
      <c r="V1728" s="155">
        <v>3.5409999999999997E-2</v>
      </c>
      <c r="W1728" s="155">
        <v>3.9E-2</v>
      </c>
      <c r="X1728" s="153" t="s">
        <v>412</v>
      </c>
      <c r="Y1728" s="153" t="s">
        <v>339</v>
      </c>
      <c r="Z1728" s="154">
        <v>232065</v>
      </c>
      <c r="AA1728" s="154">
        <v>1</v>
      </c>
      <c r="AB1728" s="154">
        <v>106.27</v>
      </c>
      <c r="AD1728" s="154">
        <v>246.61500000000001</v>
      </c>
      <c r="AG1728" s="157" t="s">
        <v>15</v>
      </c>
      <c r="AH1728" s="155">
        <v>1.2999999999999999E-4</v>
      </c>
      <c r="AI1728" s="155">
        <f t="shared" si="26"/>
        <v>1.4107130446123736E-2</v>
      </c>
      <c r="AJ1728" s="155">
        <v>1.4064295983789892E-3</v>
      </c>
    </row>
    <row r="1729" spans="1:36" s="160" customFormat="1">
      <c r="A1729" s="153" t="s">
        <v>1213</v>
      </c>
      <c r="B1729" s="160">
        <v>9630</v>
      </c>
      <c r="C1729" s="153" t="s">
        <v>2178</v>
      </c>
      <c r="D1729" s="153" t="s">
        <v>2179</v>
      </c>
      <c r="E1729" s="153" t="s">
        <v>309</v>
      </c>
      <c r="F1729" s="153" t="s">
        <v>2189</v>
      </c>
      <c r="G1729" s="153" t="s">
        <v>2190</v>
      </c>
      <c r="H1729" s="153" t="s">
        <v>321</v>
      </c>
      <c r="I1729" s="153" t="s">
        <v>951</v>
      </c>
      <c r="J1729" s="153" t="s">
        <v>204</v>
      </c>
      <c r="K1729" s="153" t="s">
        <v>204</v>
      </c>
      <c r="L1729" s="153" t="s">
        <v>325</v>
      </c>
      <c r="M1729" s="153" t="s">
        <v>340</v>
      </c>
      <c r="N1729" s="153" t="s">
        <v>464</v>
      </c>
      <c r="O1729" s="153" t="s">
        <v>339</v>
      </c>
      <c r="P1729" s="153" t="s">
        <v>1566</v>
      </c>
      <c r="Q1729" s="153" t="s">
        <v>413</v>
      </c>
      <c r="R1729" s="153" t="s">
        <v>407</v>
      </c>
      <c r="S1729" s="153" t="s">
        <v>1212</v>
      </c>
      <c r="T1729" s="154">
        <v>6.24</v>
      </c>
      <c r="U1729" s="153" t="s">
        <v>2182</v>
      </c>
      <c r="V1729" s="155">
        <v>4.4639999999999999E-2</v>
      </c>
      <c r="W1729" s="155">
        <v>6.6799999999999998E-2</v>
      </c>
      <c r="X1729" s="153" t="s">
        <v>412</v>
      </c>
      <c r="Y1729" s="153" t="s">
        <v>339</v>
      </c>
      <c r="Z1729" s="154">
        <v>266000</v>
      </c>
      <c r="AA1729" s="154">
        <v>1</v>
      </c>
      <c r="AB1729" s="154">
        <v>92.67</v>
      </c>
      <c r="AD1729" s="154">
        <v>246.50200000000001</v>
      </c>
      <c r="AG1729" s="157" t="s">
        <v>15</v>
      </c>
      <c r="AH1729" s="155">
        <v>2.9999999999999997E-4</v>
      </c>
      <c r="AI1729" s="155">
        <f t="shared" si="26"/>
        <v>1.410066650134985E-2</v>
      </c>
      <c r="AJ1729" s="155">
        <v>1.4057851665941552E-3</v>
      </c>
    </row>
    <row r="1730" spans="1:36" s="160" customFormat="1">
      <c r="A1730" s="153" t="s">
        <v>1213</v>
      </c>
      <c r="B1730" s="160">
        <v>9630</v>
      </c>
      <c r="C1730" s="153" t="s">
        <v>1674</v>
      </c>
      <c r="D1730" s="153" t="s">
        <v>1675</v>
      </c>
      <c r="E1730" s="153" t="s">
        <v>309</v>
      </c>
      <c r="F1730" s="153" t="s">
        <v>2746</v>
      </c>
      <c r="G1730" s="153" t="s">
        <v>2747</v>
      </c>
      <c r="H1730" s="153" t="s">
        <v>321</v>
      </c>
      <c r="I1730" s="153" t="s">
        <v>754</v>
      </c>
      <c r="J1730" s="153" t="s">
        <v>204</v>
      </c>
      <c r="K1730" s="153" t="s">
        <v>204</v>
      </c>
      <c r="L1730" s="153" t="s">
        <v>325</v>
      </c>
      <c r="M1730" s="153" t="s">
        <v>340</v>
      </c>
      <c r="N1730" s="153" t="s">
        <v>464</v>
      </c>
      <c r="O1730" s="153" t="s">
        <v>339</v>
      </c>
      <c r="P1730" s="153" t="s">
        <v>1566</v>
      </c>
      <c r="Q1730" s="153" t="s">
        <v>413</v>
      </c>
      <c r="R1730" s="153" t="s">
        <v>407</v>
      </c>
      <c r="S1730" s="153" t="s">
        <v>1212</v>
      </c>
      <c r="T1730" s="154">
        <v>5.31</v>
      </c>
      <c r="U1730" s="153" t="s">
        <v>1897</v>
      </c>
      <c r="V1730" s="155">
        <v>1.8769999999999998E-2</v>
      </c>
      <c r="W1730" s="155">
        <v>3.3700000000000001E-2</v>
      </c>
      <c r="X1730" s="153" t="s">
        <v>412</v>
      </c>
      <c r="Y1730" s="153" t="s">
        <v>339</v>
      </c>
      <c r="Z1730" s="154">
        <v>226160</v>
      </c>
      <c r="AA1730" s="154">
        <v>1</v>
      </c>
      <c r="AB1730" s="154">
        <v>103.16</v>
      </c>
      <c r="AD1730" s="154">
        <v>233.30699999999999</v>
      </c>
      <c r="AG1730" s="157" t="s">
        <v>15</v>
      </c>
      <c r="AH1730" s="155">
        <v>4.2999999999999999E-4</v>
      </c>
      <c r="AI1730" s="155">
        <f t="shared" si="26"/>
        <v>1.3345872242133652E-2</v>
      </c>
      <c r="AJ1730" s="155">
        <v>1.3305349241084555E-3</v>
      </c>
    </row>
    <row r="1731" spans="1:36" s="160" customFormat="1">
      <c r="A1731" s="153" t="s">
        <v>1213</v>
      </c>
      <c r="B1731" s="160">
        <v>9630</v>
      </c>
      <c r="C1731" s="153" t="s">
        <v>1825</v>
      </c>
      <c r="D1731" s="153" t="s">
        <v>1826</v>
      </c>
      <c r="E1731" s="153" t="s">
        <v>309</v>
      </c>
      <c r="F1731" s="153" t="s">
        <v>2787</v>
      </c>
      <c r="G1731" s="153" t="s">
        <v>2788</v>
      </c>
      <c r="H1731" s="153" t="s">
        <v>321</v>
      </c>
      <c r="I1731" s="153" t="s">
        <v>951</v>
      </c>
      <c r="J1731" s="153" t="s">
        <v>204</v>
      </c>
      <c r="K1731" s="153" t="s">
        <v>204</v>
      </c>
      <c r="L1731" s="153" t="s">
        <v>325</v>
      </c>
      <c r="M1731" s="153" t="s">
        <v>340</v>
      </c>
      <c r="N1731" s="153" t="s">
        <v>441</v>
      </c>
      <c r="O1731" s="153" t="s">
        <v>339</v>
      </c>
      <c r="Q1731" s="153" t="s">
        <v>410</v>
      </c>
      <c r="R1731" s="153" t="s">
        <v>410</v>
      </c>
      <c r="S1731" s="153" t="s">
        <v>1212</v>
      </c>
      <c r="T1731" s="154">
        <v>2.76</v>
      </c>
      <c r="U1731" s="153" t="s">
        <v>1669</v>
      </c>
      <c r="V1731" s="155">
        <v>5.0999999999999997E-2</v>
      </c>
      <c r="W1731" s="155">
        <v>5.9299999999999999E-2</v>
      </c>
      <c r="X1731" s="153" t="s">
        <v>412</v>
      </c>
      <c r="Y1731" s="153" t="s">
        <v>339</v>
      </c>
      <c r="Z1731" s="154">
        <v>222000</v>
      </c>
      <c r="AA1731" s="154">
        <v>1</v>
      </c>
      <c r="AB1731" s="154">
        <v>100.56</v>
      </c>
      <c r="AD1731" s="154">
        <v>223.24299999999999</v>
      </c>
      <c r="AG1731" s="157" t="s">
        <v>15</v>
      </c>
      <c r="AH1731" s="155">
        <v>1.01E-3</v>
      </c>
      <c r="AI1731" s="155">
        <f t="shared" ref="AI1731:AI1794" si="27">AD1731/SUMIF(B:B,B1731,AD:AD)</f>
        <v>1.2770180735900092E-2</v>
      </c>
      <c r="AJ1731" s="155">
        <v>1.2731405747051909E-3</v>
      </c>
    </row>
    <row r="1732" spans="1:36" s="160" customFormat="1">
      <c r="A1732" s="153" t="s">
        <v>1213</v>
      </c>
      <c r="B1732" s="160">
        <v>9630</v>
      </c>
      <c r="C1732" s="153" t="s">
        <v>1861</v>
      </c>
      <c r="D1732" s="153" t="s">
        <v>1862</v>
      </c>
      <c r="E1732" s="153" t="s">
        <v>309</v>
      </c>
      <c r="F1732" s="153" t="s">
        <v>1863</v>
      </c>
      <c r="G1732" s="153" t="s">
        <v>1864</v>
      </c>
      <c r="H1732" s="153" t="s">
        <v>321</v>
      </c>
      <c r="I1732" s="153" t="s">
        <v>754</v>
      </c>
      <c r="J1732" s="153" t="s">
        <v>204</v>
      </c>
      <c r="K1732" s="153" t="s">
        <v>204</v>
      </c>
      <c r="L1732" s="153" t="s">
        <v>325</v>
      </c>
      <c r="M1732" s="153" t="s">
        <v>340</v>
      </c>
      <c r="N1732" s="153" t="s">
        <v>464</v>
      </c>
      <c r="O1732" s="153" t="s">
        <v>339</v>
      </c>
      <c r="P1732" s="153" t="s">
        <v>1538</v>
      </c>
      <c r="Q1732" s="153" t="s">
        <v>413</v>
      </c>
      <c r="R1732" s="153" t="s">
        <v>407</v>
      </c>
      <c r="S1732" s="153" t="s">
        <v>1212</v>
      </c>
      <c r="T1732" s="154">
        <v>5.3</v>
      </c>
      <c r="U1732" s="153" t="s">
        <v>1865</v>
      </c>
      <c r="V1732" s="155">
        <v>3.1099999999999999E-3</v>
      </c>
      <c r="W1732" s="155">
        <v>3.0300000000000001E-2</v>
      </c>
      <c r="X1732" s="153" t="s">
        <v>412</v>
      </c>
      <c r="Y1732" s="153" t="s">
        <v>339</v>
      </c>
      <c r="Z1732" s="154">
        <v>227920</v>
      </c>
      <c r="AA1732" s="154">
        <v>1</v>
      </c>
      <c r="AB1732" s="154">
        <v>97.92</v>
      </c>
      <c r="AD1732" s="154">
        <v>223.179</v>
      </c>
      <c r="AG1732" s="157" t="s">
        <v>15</v>
      </c>
      <c r="AH1732" s="155">
        <v>1.8000000000000001E-4</v>
      </c>
      <c r="AI1732" s="155">
        <f t="shared" si="27"/>
        <v>1.2766519740629926E-2</v>
      </c>
      <c r="AJ1732" s="155">
        <v>1.2727755867916566E-3</v>
      </c>
    </row>
    <row r="1733" spans="1:36" s="160" customFormat="1">
      <c r="A1733" s="153" t="s">
        <v>1213</v>
      </c>
      <c r="B1733" s="160">
        <v>9630</v>
      </c>
      <c r="C1733" s="153" t="s">
        <v>2445</v>
      </c>
      <c r="D1733" s="153" t="s">
        <v>2446</v>
      </c>
      <c r="E1733" s="153" t="s">
        <v>309</v>
      </c>
      <c r="F1733" s="153" t="s">
        <v>2447</v>
      </c>
      <c r="G1733" s="153" t="s">
        <v>2448</v>
      </c>
      <c r="H1733" s="153" t="s">
        <v>321</v>
      </c>
      <c r="I1733" s="153" t="s">
        <v>951</v>
      </c>
      <c r="J1733" s="153" t="s">
        <v>204</v>
      </c>
      <c r="K1733" s="153" t="s">
        <v>204</v>
      </c>
      <c r="L1733" s="153" t="s">
        <v>325</v>
      </c>
      <c r="M1733" s="153" t="s">
        <v>340</v>
      </c>
      <c r="N1733" s="153" t="s">
        <v>440</v>
      </c>
      <c r="O1733" s="153" t="s">
        <v>339</v>
      </c>
      <c r="P1733" s="153" t="s">
        <v>1614</v>
      </c>
      <c r="Q1733" s="153" t="s">
        <v>415</v>
      </c>
      <c r="R1733" s="153" t="s">
        <v>407</v>
      </c>
      <c r="S1733" s="153" t="s">
        <v>1212</v>
      </c>
      <c r="T1733" s="154">
        <v>1.92</v>
      </c>
      <c r="U1733" s="153" t="s">
        <v>1370</v>
      </c>
      <c r="V1733" s="155">
        <v>4.9410000000000003E-2</v>
      </c>
      <c r="W1733" s="155">
        <v>5.7599999999999998E-2</v>
      </c>
      <c r="X1733" s="153" t="s">
        <v>412</v>
      </c>
      <c r="Y1733" s="153" t="s">
        <v>339</v>
      </c>
      <c r="Z1733" s="154">
        <v>232836.25</v>
      </c>
      <c r="AA1733" s="154">
        <v>1</v>
      </c>
      <c r="AB1733" s="154">
        <v>95.6</v>
      </c>
      <c r="AD1733" s="154">
        <v>222.59100000000001</v>
      </c>
      <c r="AG1733" s="157" t="s">
        <v>15</v>
      </c>
      <c r="AH1733" s="155">
        <v>3.3E-4</v>
      </c>
      <c r="AI1733" s="155">
        <f t="shared" si="27"/>
        <v>1.2732884346585279E-2</v>
      </c>
      <c r="AJ1733" s="155">
        <v>1.2694222603360605E-3</v>
      </c>
    </row>
    <row r="1734" spans="1:36" s="160" customFormat="1">
      <c r="A1734" s="153" t="s">
        <v>1213</v>
      </c>
      <c r="B1734" s="160">
        <v>9630</v>
      </c>
      <c r="C1734" s="153" t="s">
        <v>1893</v>
      </c>
      <c r="D1734" s="153" t="s">
        <v>1894</v>
      </c>
      <c r="E1734" s="153" t="s">
        <v>309</v>
      </c>
      <c r="F1734" s="153" t="s">
        <v>3335</v>
      </c>
      <c r="G1734" s="153" t="s">
        <v>3336</v>
      </c>
      <c r="H1734" s="153" t="s">
        <v>321</v>
      </c>
      <c r="I1734" s="153" t="s">
        <v>754</v>
      </c>
      <c r="J1734" s="153" t="s">
        <v>204</v>
      </c>
      <c r="K1734" s="153" t="s">
        <v>204</v>
      </c>
      <c r="L1734" s="153" t="s">
        <v>325</v>
      </c>
      <c r="M1734" s="153" t="s">
        <v>340</v>
      </c>
      <c r="N1734" s="153" t="s">
        <v>464</v>
      </c>
      <c r="O1734" s="153" t="s">
        <v>339</v>
      </c>
      <c r="P1734" s="153" t="s">
        <v>1521</v>
      </c>
      <c r="Q1734" s="153" t="s">
        <v>413</v>
      </c>
      <c r="R1734" s="153" t="s">
        <v>407</v>
      </c>
      <c r="S1734" s="153" t="s">
        <v>1212</v>
      </c>
      <c r="T1734" s="154">
        <v>5.7</v>
      </c>
      <c r="U1734" s="153" t="s">
        <v>2294</v>
      </c>
      <c r="V1734" s="155">
        <v>5.4599999999999996E-3</v>
      </c>
      <c r="W1734" s="155">
        <v>3.5499999999999997E-2</v>
      </c>
      <c r="X1734" s="153" t="s">
        <v>412</v>
      </c>
      <c r="Y1734" s="153" t="s">
        <v>339</v>
      </c>
      <c r="Z1734" s="154">
        <v>231200</v>
      </c>
      <c r="AA1734" s="154">
        <v>1</v>
      </c>
      <c r="AB1734" s="154">
        <v>95.68</v>
      </c>
      <c r="AD1734" s="154">
        <v>221.21199999999999</v>
      </c>
      <c r="AG1734" s="157" t="s">
        <v>15</v>
      </c>
      <c r="AH1734" s="155">
        <v>2.0899999999999998E-3</v>
      </c>
      <c r="AI1734" s="155">
        <f t="shared" si="27"/>
        <v>1.2654001339123425E-2</v>
      </c>
      <c r="AJ1734" s="155">
        <v>1.2615579113866265E-3</v>
      </c>
    </row>
    <row r="1735" spans="1:36" s="160" customFormat="1">
      <c r="A1735" s="153" t="s">
        <v>1213</v>
      </c>
      <c r="B1735" s="160">
        <v>9630</v>
      </c>
      <c r="C1735" s="153" t="s">
        <v>2356</v>
      </c>
      <c r="D1735" s="153" t="s">
        <v>2357</v>
      </c>
      <c r="E1735" s="153" t="s">
        <v>309</v>
      </c>
      <c r="F1735" s="153" t="s">
        <v>2808</v>
      </c>
      <c r="G1735" s="153" t="s">
        <v>2809</v>
      </c>
      <c r="H1735" s="153" t="s">
        <v>321</v>
      </c>
      <c r="I1735" s="153" t="s">
        <v>754</v>
      </c>
      <c r="J1735" s="153" t="s">
        <v>204</v>
      </c>
      <c r="K1735" s="153" t="s">
        <v>204</v>
      </c>
      <c r="L1735" s="153" t="s">
        <v>325</v>
      </c>
      <c r="M1735" s="153" t="s">
        <v>340</v>
      </c>
      <c r="N1735" s="153" t="s">
        <v>447</v>
      </c>
      <c r="O1735" s="153" t="s">
        <v>339</v>
      </c>
      <c r="P1735" s="153" t="s">
        <v>1560</v>
      </c>
      <c r="Q1735" s="153" t="s">
        <v>413</v>
      </c>
      <c r="R1735" s="153" t="s">
        <v>407</v>
      </c>
      <c r="S1735" s="153" t="s">
        <v>1212</v>
      </c>
      <c r="T1735" s="154">
        <v>4.1100000000000003</v>
      </c>
      <c r="U1735" s="153" t="s">
        <v>1916</v>
      </c>
      <c r="V1735" s="155">
        <v>1.158E-2</v>
      </c>
      <c r="W1735" s="155">
        <v>4.1700000000000001E-2</v>
      </c>
      <c r="X1735" s="153" t="s">
        <v>412</v>
      </c>
      <c r="Y1735" s="153" t="s">
        <v>339</v>
      </c>
      <c r="Z1735" s="154">
        <v>191042.56</v>
      </c>
      <c r="AA1735" s="154">
        <v>1</v>
      </c>
      <c r="AB1735" s="154">
        <v>111.41</v>
      </c>
      <c r="AD1735" s="154">
        <v>212.84100000000001</v>
      </c>
      <c r="AG1735" s="157" t="s">
        <v>15</v>
      </c>
      <c r="AH1735" s="155">
        <v>5.1999999999999995E-4</v>
      </c>
      <c r="AI1735" s="155">
        <f t="shared" si="27"/>
        <v>1.217515459839597E-2</v>
      </c>
      <c r="AJ1735" s="155">
        <v>1.2138186328835732E-3</v>
      </c>
    </row>
    <row r="1736" spans="1:36" s="160" customFormat="1">
      <c r="A1736" s="153" t="s">
        <v>1213</v>
      </c>
      <c r="B1736" s="160">
        <v>9630</v>
      </c>
      <c r="C1736" s="153" t="s">
        <v>1591</v>
      </c>
      <c r="D1736" s="153" t="s">
        <v>1592</v>
      </c>
      <c r="E1736" s="153" t="s">
        <v>309</v>
      </c>
      <c r="F1736" s="153" t="s">
        <v>1858</v>
      </c>
      <c r="G1736" s="153" t="s">
        <v>1859</v>
      </c>
      <c r="H1736" s="153" t="s">
        <v>321</v>
      </c>
      <c r="I1736" s="153" t="s">
        <v>754</v>
      </c>
      <c r="J1736" s="153" t="s">
        <v>204</v>
      </c>
      <c r="K1736" s="153" t="s">
        <v>204</v>
      </c>
      <c r="L1736" s="153" t="s">
        <v>325</v>
      </c>
      <c r="M1736" s="153" t="s">
        <v>340</v>
      </c>
      <c r="N1736" s="153" t="s">
        <v>464</v>
      </c>
      <c r="O1736" s="153" t="s">
        <v>339</v>
      </c>
      <c r="P1736" s="153" t="s">
        <v>1538</v>
      </c>
      <c r="Q1736" s="153" t="s">
        <v>413</v>
      </c>
      <c r="R1736" s="153" t="s">
        <v>407</v>
      </c>
      <c r="S1736" s="153" t="s">
        <v>1212</v>
      </c>
      <c r="T1736" s="154">
        <v>5.14</v>
      </c>
      <c r="U1736" s="153" t="s">
        <v>1860</v>
      </c>
      <c r="V1736" s="155">
        <v>9.2300000000000004E-3</v>
      </c>
      <c r="W1736" s="155">
        <v>3.32E-2</v>
      </c>
      <c r="X1736" s="153" t="s">
        <v>412</v>
      </c>
      <c r="Y1736" s="153" t="s">
        <v>339</v>
      </c>
      <c r="Z1736" s="154">
        <v>218149</v>
      </c>
      <c r="AA1736" s="154">
        <v>1</v>
      </c>
      <c r="AB1736" s="154">
        <v>97.54</v>
      </c>
      <c r="AD1736" s="154">
        <v>212.78299999999999</v>
      </c>
      <c r="AG1736" s="157" t="s">
        <v>15</v>
      </c>
      <c r="AH1736" s="155">
        <v>1.6000000000000001E-4</v>
      </c>
      <c r="AI1736" s="155">
        <f t="shared" si="27"/>
        <v>1.2171836821432381E-2</v>
      </c>
      <c r="AJ1736" s="155">
        <v>1.2134878625869327E-3</v>
      </c>
    </row>
    <row r="1737" spans="1:36" s="160" customFormat="1">
      <c r="A1737" s="153" t="s">
        <v>1213</v>
      </c>
      <c r="B1737" s="160">
        <v>9630</v>
      </c>
      <c r="C1737" s="153" t="s">
        <v>1820</v>
      </c>
      <c r="D1737" s="153" t="s">
        <v>1821</v>
      </c>
      <c r="E1737" s="153" t="s">
        <v>309</v>
      </c>
      <c r="F1737" s="153" t="s">
        <v>1822</v>
      </c>
      <c r="G1737" s="153" t="s">
        <v>1823</v>
      </c>
      <c r="H1737" s="153" t="s">
        <v>321</v>
      </c>
      <c r="I1737" s="153" t="s">
        <v>754</v>
      </c>
      <c r="J1737" s="153" t="s">
        <v>204</v>
      </c>
      <c r="K1737" s="153" t="s">
        <v>204</v>
      </c>
      <c r="L1737" s="153" t="s">
        <v>325</v>
      </c>
      <c r="M1737" s="153" t="s">
        <v>340</v>
      </c>
      <c r="N1737" s="153" t="s">
        <v>464</v>
      </c>
      <c r="O1737" s="153" t="s">
        <v>339</v>
      </c>
      <c r="P1737" s="153" t="s">
        <v>1538</v>
      </c>
      <c r="Q1737" s="153" t="s">
        <v>413</v>
      </c>
      <c r="R1737" s="153" t="s">
        <v>407</v>
      </c>
      <c r="S1737" s="153" t="s">
        <v>1212</v>
      </c>
      <c r="T1737" s="154">
        <v>5.36</v>
      </c>
      <c r="U1737" s="153" t="s">
        <v>1824</v>
      </c>
      <c r="V1737" s="155">
        <v>2.6030000000000001E-2</v>
      </c>
      <c r="W1737" s="155">
        <v>3.3099999999999997E-2</v>
      </c>
      <c r="X1737" s="153" t="s">
        <v>412</v>
      </c>
      <c r="Y1737" s="153" t="s">
        <v>339</v>
      </c>
      <c r="Z1737" s="154">
        <v>200008.8</v>
      </c>
      <c r="AA1737" s="154">
        <v>1</v>
      </c>
      <c r="AB1737" s="154">
        <v>99.45</v>
      </c>
      <c r="AD1737" s="154">
        <v>198.90899999999999</v>
      </c>
      <c r="AG1737" s="157" t="s">
        <v>15</v>
      </c>
      <c r="AH1737" s="155">
        <v>9.0000000000000006E-5</v>
      </c>
      <c r="AI1737" s="155">
        <f t="shared" si="27"/>
        <v>1.1378201690521769E-2</v>
      </c>
      <c r="AJ1737" s="155">
        <v>1.1343653264560805E-3</v>
      </c>
    </row>
    <row r="1738" spans="1:36" s="160" customFormat="1">
      <c r="A1738" s="153" t="s">
        <v>1213</v>
      </c>
      <c r="B1738" s="160">
        <v>9630</v>
      </c>
      <c r="C1738" s="153" t="s">
        <v>2391</v>
      </c>
      <c r="D1738" s="153" t="s">
        <v>2392</v>
      </c>
      <c r="E1738" s="153" t="s">
        <v>309</v>
      </c>
      <c r="F1738" s="153" t="s">
        <v>2528</v>
      </c>
      <c r="G1738" s="153" t="s">
        <v>2529</v>
      </c>
      <c r="H1738" s="153" t="s">
        <v>321</v>
      </c>
      <c r="I1738" s="153" t="s">
        <v>754</v>
      </c>
      <c r="J1738" s="153" t="s">
        <v>204</v>
      </c>
      <c r="K1738" s="153" t="s">
        <v>204</v>
      </c>
      <c r="L1738" s="153" t="s">
        <v>325</v>
      </c>
      <c r="M1738" s="153" t="s">
        <v>340</v>
      </c>
      <c r="N1738" s="153" t="s">
        <v>464</v>
      </c>
      <c r="O1738" s="153" t="s">
        <v>339</v>
      </c>
      <c r="P1738" s="153" t="s">
        <v>1566</v>
      </c>
      <c r="Q1738" s="153" t="s">
        <v>413</v>
      </c>
      <c r="R1738" s="153" t="s">
        <v>407</v>
      </c>
      <c r="S1738" s="153" t="s">
        <v>1212</v>
      </c>
      <c r="T1738" s="154">
        <v>1.21</v>
      </c>
      <c r="U1738" s="153" t="s">
        <v>2530</v>
      </c>
      <c r="V1738" s="155">
        <v>1.4919999999999999E-2</v>
      </c>
      <c r="W1738" s="155">
        <v>2.6499999999999999E-2</v>
      </c>
      <c r="X1738" s="153" t="s">
        <v>412</v>
      </c>
      <c r="Y1738" s="153" t="s">
        <v>339</v>
      </c>
      <c r="Z1738" s="154">
        <v>168765.1</v>
      </c>
      <c r="AA1738" s="154">
        <v>1</v>
      </c>
      <c r="AB1738" s="154">
        <v>117.11</v>
      </c>
      <c r="AD1738" s="154">
        <v>197.64099999999999</v>
      </c>
      <c r="AG1738" s="157" t="s">
        <v>15</v>
      </c>
      <c r="AH1738" s="155">
        <v>9.0000000000000006E-5</v>
      </c>
      <c r="AI1738" s="155">
        <f t="shared" si="27"/>
        <v>1.130566822173161E-2</v>
      </c>
      <c r="AJ1738" s="155">
        <v>1.1271340034191828E-3</v>
      </c>
    </row>
    <row r="1739" spans="1:36" s="160" customFormat="1">
      <c r="A1739" s="153" t="s">
        <v>1213</v>
      </c>
      <c r="B1739" s="160">
        <v>9630</v>
      </c>
      <c r="C1739" s="153" t="s">
        <v>1998</v>
      </c>
      <c r="D1739" s="153" t="s">
        <v>1999</v>
      </c>
      <c r="E1739" s="153" t="s">
        <v>309</v>
      </c>
      <c r="F1739" s="153" t="s">
        <v>2806</v>
      </c>
      <c r="G1739" s="153" t="s">
        <v>2807</v>
      </c>
      <c r="H1739" s="153" t="s">
        <v>321</v>
      </c>
      <c r="I1739" s="153" t="s">
        <v>754</v>
      </c>
      <c r="J1739" s="153" t="s">
        <v>204</v>
      </c>
      <c r="K1739" s="153" t="s">
        <v>204</v>
      </c>
      <c r="L1739" s="153" t="s">
        <v>325</v>
      </c>
      <c r="M1739" s="153" t="s">
        <v>340</v>
      </c>
      <c r="N1739" s="153" t="s">
        <v>464</v>
      </c>
      <c r="O1739" s="153" t="s">
        <v>339</v>
      </c>
      <c r="P1739" s="153" t="s">
        <v>1554</v>
      </c>
      <c r="Q1739" s="153" t="s">
        <v>413</v>
      </c>
      <c r="R1739" s="153" t="s">
        <v>407</v>
      </c>
      <c r="S1739" s="153" t="s">
        <v>1212</v>
      </c>
      <c r="T1739" s="154">
        <v>2.0099999999999998</v>
      </c>
      <c r="U1739" s="153" t="s">
        <v>1638</v>
      </c>
      <c r="V1739" s="155">
        <v>9.6100000000000005E-3</v>
      </c>
      <c r="W1739" s="155">
        <v>3.4099999999999998E-2</v>
      </c>
      <c r="X1739" s="153" t="s">
        <v>412</v>
      </c>
      <c r="Y1739" s="153" t="s">
        <v>339</v>
      </c>
      <c r="Z1739" s="154">
        <v>168150</v>
      </c>
      <c r="AA1739" s="154">
        <v>1</v>
      </c>
      <c r="AB1739" s="154">
        <v>115.86</v>
      </c>
      <c r="AD1739" s="154">
        <v>194.81899999999999</v>
      </c>
      <c r="AG1739" s="157" t="s">
        <v>15</v>
      </c>
      <c r="AH1739" s="155">
        <v>2.7999999999999998E-4</v>
      </c>
      <c r="AI1739" s="155">
        <f t="shared" si="27"/>
        <v>1.1144241211537741E-2</v>
      </c>
      <c r="AJ1739" s="155">
        <v>1.1110403176067809E-3</v>
      </c>
    </row>
    <row r="1740" spans="1:36" s="160" customFormat="1">
      <c r="A1740" s="153" t="s">
        <v>1213</v>
      </c>
      <c r="B1740" s="160">
        <v>9630</v>
      </c>
      <c r="C1740" s="153" t="s">
        <v>2424</v>
      </c>
      <c r="D1740" s="153" t="s">
        <v>2425</v>
      </c>
      <c r="E1740" s="153" t="s">
        <v>309</v>
      </c>
      <c r="F1740" s="153" t="s">
        <v>2426</v>
      </c>
      <c r="G1740" s="153" t="s">
        <v>2427</v>
      </c>
      <c r="H1740" s="153" t="s">
        <v>321</v>
      </c>
      <c r="I1740" s="153" t="s">
        <v>754</v>
      </c>
      <c r="J1740" s="153" t="s">
        <v>204</v>
      </c>
      <c r="K1740" s="153" t="s">
        <v>204</v>
      </c>
      <c r="L1740" s="153" t="s">
        <v>325</v>
      </c>
      <c r="M1740" s="153" t="s">
        <v>340</v>
      </c>
      <c r="N1740" s="153" t="s">
        <v>477</v>
      </c>
      <c r="O1740" s="153" t="s">
        <v>339</v>
      </c>
      <c r="P1740" s="153" t="s">
        <v>1923</v>
      </c>
      <c r="Q1740" s="153" t="s">
        <v>415</v>
      </c>
      <c r="R1740" s="153" t="s">
        <v>407</v>
      </c>
      <c r="S1740" s="153" t="s">
        <v>1212</v>
      </c>
      <c r="T1740" s="154">
        <v>5.47</v>
      </c>
      <c r="U1740" s="153" t="s">
        <v>2177</v>
      </c>
      <c r="V1740" s="155">
        <v>1.273E-2</v>
      </c>
      <c r="W1740" s="155">
        <v>2.7400000000000001E-2</v>
      </c>
      <c r="X1740" s="153" t="s">
        <v>412</v>
      </c>
      <c r="Y1740" s="153" t="s">
        <v>339</v>
      </c>
      <c r="Z1740" s="154">
        <v>165310.5</v>
      </c>
      <c r="AA1740" s="154">
        <v>1</v>
      </c>
      <c r="AB1740" s="154">
        <v>116.33</v>
      </c>
      <c r="AD1740" s="154">
        <v>192.30600000000001</v>
      </c>
      <c r="AG1740" s="157" t="s">
        <v>15</v>
      </c>
      <c r="AH1740" s="155">
        <v>1.1E-4</v>
      </c>
      <c r="AI1740" s="155">
        <f t="shared" si="27"/>
        <v>1.1000489944132641E-2</v>
      </c>
      <c r="AJ1740" s="155">
        <v>1.0967088390644118E-3</v>
      </c>
    </row>
    <row r="1741" spans="1:36" s="160" customFormat="1">
      <c r="A1741" s="153" t="s">
        <v>1213</v>
      </c>
      <c r="B1741" s="160">
        <v>9630</v>
      </c>
      <c r="C1741" s="153" t="s">
        <v>1674</v>
      </c>
      <c r="D1741" s="153" t="s">
        <v>1675</v>
      </c>
      <c r="E1741" s="153" t="s">
        <v>309</v>
      </c>
      <c r="F1741" s="153" t="s">
        <v>2319</v>
      </c>
      <c r="G1741" s="153" t="s">
        <v>2320</v>
      </c>
      <c r="H1741" s="153" t="s">
        <v>321</v>
      </c>
      <c r="I1741" s="153" t="s">
        <v>754</v>
      </c>
      <c r="J1741" s="153" t="s">
        <v>204</v>
      </c>
      <c r="K1741" s="153" t="s">
        <v>204</v>
      </c>
      <c r="L1741" s="153" t="s">
        <v>325</v>
      </c>
      <c r="M1741" s="153" t="s">
        <v>340</v>
      </c>
      <c r="N1741" s="153" t="s">
        <v>464</v>
      </c>
      <c r="O1741" s="153" t="s">
        <v>339</v>
      </c>
      <c r="P1741" s="153" t="s">
        <v>1982</v>
      </c>
      <c r="Q1741" s="153" t="s">
        <v>415</v>
      </c>
      <c r="R1741" s="153" t="s">
        <v>407</v>
      </c>
      <c r="S1741" s="153" t="s">
        <v>1212</v>
      </c>
      <c r="T1741" s="154">
        <v>4.25</v>
      </c>
      <c r="U1741" s="153" t="s">
        <v>1819</v>
      </c>
      <c r="V1741" s="155">
        <v>1.7799999999999999E-3</v>
      </c>
      <c r="W1741" s="155">
        <v>3.15E-2</v>
      </c>
      <c r="X1741" s="153" t="s">
        <v>412</v>
      </c>
      <c r="Y1741" s="153" t="s">
        <v>339</v>
      </c>
      <c r="Z1741" s="154">
        <v>174800</v>
      </c>
      <c r="AA1741" s="154">
        <v>1</v>
      </c>
      <c r="AB1741" s="154">
        <v>106.76</v>
      </c>
      <c r="AD1741" s="154">
        <v>186.61600000000001</v>
      </c>
      <c r="AG1741" s="157" t="s">
        <v>15</v>
      </c>
      <c r="AH1741" s="155">
        <v>1.4999999999999999E-4</v>
      </c>
      <c r="AI1741" s="155">
        <f t="shared" si="27"/>
        <v>1.067500458339447E-2</v>
      </c>
      <c r="AJ1741" s="155">
        <v>1.0642591323767551E-3</v>
      </c>
    </row>
    <row r="1742" spans="1:36" s="160" customFormat="1">
      <c r="A1742" s="153" t="s">
        <v>1213</v>
      </c>
      <c r="B1742" s="160">
        <v>9630</v>
      </c>
      <c r="C1742" s="153" t="s">
        <v>1512</v>
      </c>
      <c r="D1742" s="153" t="s">
        <v>1513</v>
      </c>
      <c r="E1742" s="153" t="s">
        <v>309</v>
      </c>
      <c r="F1742" s="153" t="s">
        <v>2186</v>
      </c>
      <c r="G1742" s="153" t="s">
        <v>2187</v>
      </c>
      <c r="H1742" s="153" t="s">
        <v>321</v>
      </c>
      <c r="I1742" s="153" t="s">
        <v>754</v>
      </c>
      <c r="J1742" s="153" t="s">
        <v>204</v>
      </c>
      <c r="K1742" s="153" t="s">
        <v>204</v>
      </c>
      <c r="L1742" s="153" t="s">
        <v>325</v>
      </c>
      <c r="M1742" s="153" t="s">
        <v>340</v>
      </c>
      <c r="N1742" s="153" t="s">
        <v>448</v>
      </c>
      <c r="O1742" s="153" t="s">
        <v>339</v>
      </c>
      <c r="P1742" s="153" t="s">
        <v>1215</v>
      </c>
      <c r="Q1742" s="153" t="s">
        <v>413</v>
      </c>
      <c r="R1742" s="153" t="s">
        <v>407</v>
      </c>
      <c r="S1742" s="153" t="s">
        <v>1212</v>
      </c>
      <c r="T1742" s="154">
        <v>1.72</v>
      </c>
      <c r="U1742" s="153" t="s">
        <v>2188</v>
      </c>
      <c r="V1742" s="155">
        <v>5.0000000000000002E-5</v>
      </c>
      <c r="W1742" s="155">
        <v>2.1399999999999999E-2</v>
      </c>
      <c r="X1742" s="153" t="s">
        <v>412</v>
      </c>
      <c r="Y1742" s="153" t="s">
        <v>339</v>
      </c>
      <c r="Z1742" s="154">
        <v>164357</v>
      </c>
      <c r="AA1742" s="154">
        <v>1</v>
      </c>
      <c r="AB1742" s="154">
        <v>110.39</v>
      </c>
      <c r="AD1742" s="154">
        <v>181.434</v>
      </c>
      <c r="AG1742" s="157" t="s">
        <v>15</v>
      </c>
      <c r="AH1742" s="155">
        <v>5.0000000000000002E-5</v>
      </c>
      <c r="AI1742" s="155">
        <f t="shared" si="27"/>
        <v>1.0378578372613238E-2</v>
      </c>
      <c r="AJ1742" s="155">
        <v>1.0347065172527767E-3</v>
      </c>
    </row>
    <row r="1743" spans="1:36" s="160" customFormat="1">
      <c r="A1743" s="153" t="s">
        <v>1213</v>
      </c>
      <c r="B1743" s="160">
        <v>9630</v>
      </c>
      <c r="C1743" s="153" t="s">
        <v>1917</v>
      </c>
      <c r="D1743" s="153" t="s">
        <v>1918</v>
      </c>
      <c r="E1743" s="153" t="s">
        <v>309</v>
      </c>
      <c r="F1743" s="153" t="s">
        <v>1919</v>
      </c>
      <c r="G1743" s="153" t="s">
        <v>1920</v>
      </c>
      <c r="H1743" s="153" t="s">
        <v>321</v>
      </c>
      <c r="I1743" s="153" t="s">
        <v>754</v>
      </c>
      <c r="J1743" s="153" t="s">
        <v>204</v>
      </c>
      <c r="K1743" s="153" t="s">
        <v>204</v>
      </c>
      <c r="L1743" s="153" t="s">
        <v>325</v>
      </c>
      <c r="M1743" s="153" t="s">
        <v>340</v>
      </c>
      <c r="N1743" s="153" t="s">
        <v>447</v>
      </c>
      <c r="O1743" s="153" t="s">
        <v>339</v>
      </c>
      <c r="P1743" s="153" t="s">
        <v>1560</v>
      </c>
      <c r="Q1743" s="153" t="s">
        <v>413</v>
      </c>
      <c r="R1743" s="153" t="s">
        <v>407</v>
      </c>
      <c r="S1743" s="153" t="s">
        <v>1212</v>
      </c>
      <c r="T1743" s="154">
        <v>3.26</v>
      </c>
      <c r="U1743" s="153" t="s">
        <v>1913</v>
      </c>
      <c r="V1743" s="155">
        <v>2.66E-3</v>
      </c>
      <c r="W1743" s="155">
        <v>3.5099999999999999E-2</v>
      </c>
      <c r="X1743" s="153" t="s">
        <v>412</v>
      </c>
      <c r="Y1743" s="153" t="s">
        <v>339</v>
      </c>
      <c r="Z1743" s="154">
        <v>166000</v>
      </c>
      <c r="AA1743" s="154">
        <v>1</v>
      </c>
      <c r="AB1743" s="154">
        <v>103.23</v>
      </c>
      <c r="AD1743" s="154">
        <v>171.36199999999999</v>
      </c>
      <c r="AG1743" s="157" t="s">
        <v>15</v>
      </c>
      <c r="AH1743" s="155">
        <v>1.1E-4</v>
      </c>
      <c r="AI1743" s="155">
        <f t="shared" si="27"/>
        <v>9.8024292419709082E-3</v>
      </c>
      <c r="AJ1743" s="155">
        <v>9.7726654436031991E-4</v>
      </c>
    </row>
    <row r="1744" spans="1:36" s="160" customFormat="1">
      <c r="A1744" s="153" t="s">
        <v>1213</v>
      </c>
      <c r="B1744" s="160">
        <v>9630</v>
      </c>
      <c r="C1744" s="153" t="s">
        <v>1807</v>
      </c>
      <c r="D1744" s="153" t="s">
        <v>1808</v>
      </c>
      <c r="E1744" s="153" t="s">
        <v>309</v>
      </c>
      <c r="F1744" s="153" t="s">
        <v>2295</v>
      </c>
      <c r="G1744" s="153" t="s">
        <v>2296</v>
      </c>
      <c r="H1744" s="153" t="s">
        <v>321</v>
      </c>
      <c r="I1744" s="153" t="s">
        <v>754</v>
      </c>
      <c r="J1744" s="153" t="s">
        <v>204</v>
      </c>
      <c r="K1744" s="153" t="s">
        <v>204</v>
      </c>
      <c r="L1744" s="153" t="s">
        <v>325</v>
      </c>
      <c r="M1744" s="153" t="s">
        <v>340</v>
      </c>
      <c r="N1744" s="153" t="s">
        <v>464</v>
      </c>
      <c r="O1744" s="153" t="s">
        <v>339</v>
      </c>
      <c r="P1744" s="153" t="s">
        <v>1923</v>
      </c>
      <c r="Q1744" s="153" t="s">
        <v>415</v>
      </c>
      <c r="R1744" s="153" t="s">
        <v>407</v>
      </c>
      <c r="S1744" s="153" t="s">
        <v>1212</v>
      </c>
      <c r="T1744" s="154">
        <v>2.89</v>
      </c>
      <c r="U1744" s="153" t="s">
        <v>2297</v>
      </c>
      <c r="V1744" s="155">
        <v>1.8600000000000001E-3</v>
      </c>
      <c r="W1744" s="155">
        <v>2.8199999999999999E-2</v>
      </c>
      <c r="X1744" s="153" t="s">
        <v>412</v>
      </c>
      <c r="Y1744" s="153" t="s">
        <v>339</v>
      </c>
      <c r="Z1744" s="154">
        <v>144672</v>
      </c>
      <c r="AA1744" s="154">
        <v>1</v>
      </c>
      <c r="AB1744" s="154">
        <v>112.38</v>
      </c>
      <c r="AD1744" s="154">
        <v>162.58199999999999</v>
      </c>
      <c r="AG1744" s="157" t="s">
        <v>15</v>
      </c>
      <c r="AH1744" s="155">
        <v>5.0000000000000002E-5</v>
      </c>
      <c r="AI1744" s="155">
        <f t="shared" si="27"/>
        <v>9.3001864533450492E-3</v>
      </c>
      <c r="AJ1744" s="155">
        <v>9.2719476497233656E-4</v>
      </c>
    </row>
    <row r="1745" spans="1:36" s="160" customFormat="1">
      <c r="A1745" s="153" t="s">
        <v>1213</v>
      </c>
      <c r="B1745" s="160">
        <v>9630</v>
      </c>
      <c r="C1745" s="153" t="s">
        <v>2228</v>
      </c>
      <c r="D1745" s="153" t="s">
        <v>2229</v>
      </c>
      <c r="E1745" s="153" t="s">
        <v>309</v>
      </c>
      <c r="F1745" s="153" t="s">
        <v>2715</v>
      </c>
      <c r="G1745" s="153" t="s">
        <v>2716</v>
      </c>
      <c r="H1745" s="153" t="s">
        <v>321</v>
      </c>
      <c r="I1745" s="153" t="s">
        <v>951</v>
      </c>
      <c r="J1745" s="153" t="s">
        <v>204</v>
      </c>
      <c r="K1745" s="153" t="s">
        <v>204</v>
      </c>
      <c r="L1745" s="153" t="s">
        <v>325</v>
      </c>
      <c r="M1745" s="153" t="s">
        <v>340</v>
      </c>
      <c r="N1745" s="153" t="s">
        <v>441</v>
      </c>
      <c r="O1745" s="153" t="s">
        <v>339</v>
      </c>
      <c r="P1745" s="153" t="s">
        <v>1614</v>
      </c>
      <c r="Q1745" s="153" t="s">
        <v>415</v>
      </c>
      <c r="R1745" s="153" t="s">
        <v>407</v>
      </c>
      <c r="S1745" s="153" t="s">
        <v>1212</v>
      </c>
      <c r="T1745" s="154">
        <v>3.76</v>
      </c>
      <c r="U1745" s="153" t="s">
        <v>2717</v>
      </c>
      <c r="V1745" s="155">
        <v>2.9409999999999999E-2</v>
      </c>
      <c r="W1745" s="155">
        <v>5.9900000000000002E-2</v>
      </c>
      <c r="X1745" s="153" t="s">
        <v>412</v>
      </c>
      <c r="Y1745" s="153" t="s">
        <v>339</v>
      </c>
      <c r="Z1745" s="154">
        <v>191000</v>
      </c>
      <c r="AA1745" s="154">
        <v>1</v>
      </c>
      <c r="AB1745" s="154">
        <v>85.02</v>
      </c>
      <c r="AD1745" s="154">
        <v>162.38800000000001</v>
      </c>
      <c r="AG1745" s="157" t="s">
        <v>15</v>
      </c>
      <c r="AH1745" s="155">
        <v>4.8999999999999998E-4</v>
      </c>
      <c r="AI1745" s="155">
        <f t="shared" si="27"/>
        <v>9.2890890614323596E-3</v>
      </c>
      <c r="AJ1745" s="155">
        <v>9.2608839535943588E-4</v>
      </c>
    </row>
    <row r="1746" spans="1:36" s="160" customFormat="1">
      <c r="A1746" s="153" t="s">
        <v>1213</v>
      </c>
      <c r="B1746" s="160">
        <v>9630</v>
      </c>
      <c r="C1746" s="153" t="s">
        <v>2385</v>
      </c>
      <c r="D1746" s="153" t="s">
        <v>2386</v>
      </c>
      <c r="E1746" s="153" t="s">
        <v>309</v>
      </c>
      <c r="F1746" s="153" t="s">
        <v>2387</v>
      </c>
      <c r="G1746" s="153" t="s">
        <v>2388</v>
      </c>
      <c r="H1746" s="153" t="s">
        <v>321</v>
      </c>
      <c r="I1746" s="153" t="s">
        <v>754</v>
      </c>
      <c r="J1746" s="153" t="s">
        <v>204</v>
      </c>
      <c r="K1746" s="153" t="s">
        <v>204</v>
      </c>
      <c r="L1746" s="153" t="s">
        <v>325</v>
      </c>
      <c r="M1746" s="153" t="s">
        <v>340</v>
      </c>
      <c r="N1746" s="153" t="s">
        <v>464</v>
      </c>
      <c r="O1746" s="153" t="s">
        <v>339</v>
      </c>
      <c r="P1746" s="153" t="s">
        <v>1211</v>
      </c>
      <c r="Q1746" s="153" t="s">
        <v>415</v>
      </c>
      <c r="R1746" s="153" t="s">
        <v>407</v>
      </c>
      <c r="S1746" s="153" t="s">
        <v>1212</v>
      </c>
      <c r="T1746" s="154">
        <v>1.46</v>
      </c>
      <c r="U1746" s="153" t="s">
        <v>1659</v>
      </c>
      <c r="V1746" s="155">
        <v>-1.23E-3</v>
      </c>
      <c r="W1746" s="155">
        <v>2.1899999999999999E-2</v>
      </c>
      <c r="X1746" s="153" t="s">
        <v>412</v>
      </c>
      <c r="Y1746" s="153" t="s">
        <v>339</v>
      </c>
      <c r="Z1746" s="154">
        <v>138672.29999999999</v>
      </c>
      <c r="AA1746" s="154">
        <v>1</v>
      </c>
      <c r="AB1746" s="154">
        <v>114.36</v>
      </c>
      <c r="AD1746" s="154">
        <v>158.58600000000001</v>
      </c>
      <c r="AG1746" s="157" t="s">
        <v>15</v>
      </c>
      <c r="AH1746" s="155">
        <v>1.2E-4</v>
      </c>
      <c r="AI1746" s="155">
        <f t="shared" si="27"/>
        <v>9.0716030611640783E-3</v>
      </c>
      <c r="AJ1746" s="155">
        <v>9.0440583212104042E-4</v>
      </c>
    </row>
    <row r="1747" spans="1:36" s="160" customFormat="1">
      <c r="A1747" s="153" t="s">
        <v>1213</v>
      </c>
      <c r="B1747" s="160">
        <v>9630</v>
      </c>
      <c r="C1747" s="153" t="s">
        <v>1917</v>
      </c>
      <c r="D1747" s="153" t="s">
        <v>1918</v>
      </c>
      <c r="E1747" s="153" t="s">
        <v>309</v>
      </c>
      <c r="F1747" s="153" t="s">
        <v>2720</v>
      </c>
      <c r="G1747" s="153" t="s">
        <v>2721</v>
      </c>
      <c r="H1747" s="153" t="s">
        <v>321</v>
      </c>
      <c r="I1747" s="153" t="s">
        <v>754</v>
      </c>
      <c r="J1747" s="153" t="s">
        <v>204</v>
      </c>
      <c r="K1747" s="153" t="s">
        <v>204</v>
      </c>
      <c r="L1747" s="153" t="s">
        <v>325</v>
      </c>
      <c r="M1747" s="153" t="s">
        <v>340</v>
      </c>
      <c r="N1747" s="153" t="s">
        <v>447</v>
      </c>
      <c r="O1747" s="153" t="s">
        <v>339</v>
      </c>
      <c r="P1747" s="153" t="s">
        <v>1560</v>
      </c>
      <c r="Q1747" s="153" t="s">
        <v>413</v>
      </c>
      <c r="R1747" s="153" t="s">
        <v>407</v>
      </c>
      <c r="S1747" s="153" t="s">
        <v>1212</v>
      </c>
      <c r="T1747" s="154">
        <v>5.47</v>
      </c>
      <c r="U1747" s="153" t="s">
        <v>1732</v>
      </c>
      <c r="V1747" s="155">
        <v>4.0390000000000002E-2</v>
      </c>
      <c r="W1747" s="155">
        <v>3.9800000000000002E-2</v>
      </c>
      <c r="X1747" s="153" t="s">
        <v>412</v>
      </c>
      <c r="Y1747" s="153" t="s">
        <v>339</v>
      </c>
      <c r="Z1747" s="154">
        <v>137000</v>
      </c>
      <c r="AA1747" s="154">
        <v>1</v>
      </c>
      <c r="AB1747" s="154">
        <v>105.93</v>
      </c>
      <c r="AD1747" s="154">
        <v>145.124</v>
      </c>
      <c r="AG1747" s="157" t="s">
        <v>15</v>
      </c>
      <c r="AH1747" s="155">
        <v>3.8999999999999999E-4</v>
      </c>
      <c r="AI1747" s="155">
        <f t="shared" si="27"/>
        <v>8.3015355873051564E-3</v>
      </c>
      <c r="AJ1747" s="155">
        <v>8.2763290568356506E-4</v>
      </c>
    </row>
    <row r="1748" spans="1:36" s="160" customFormat="1">
      <c r="A1748" s="153" t="s">
        <v>1213</v>
      </c>
      <c r="B1748" s="160">
        <v>9630</v>
      </c>
      <c r="C1748" s="153" t="s">
        <v>2404</v>
      </c>
      <c r="D1748" s="153" t="s">
        <v>2405</v>
      </c>
      <c r="E1748" s="153" t="s">
        <v>309</v>
      </c>
      <c r="F1748" s="153" t="s">
        <v>2571</v>
      </c>
      <c r="G1748" s="153" t="s">
        <v>2572</v>
      </c>
      <c r="H1748" s="153" t="s">
        <v>321</v>
      </c>
      <c r="I1748" s="153" t="s">
        <v>951</v>
      </c>
      <c r="J1748" s="153" t="s">
        <v>204</v>
      </c>
      <c r="K1748" s="153" t="s">
        <v>204</v>
      </c>
      <c r="L1748" s="153" t="s">
        <v>325</v>
      </c>
      <c r="M1748" s="153" t="s">
        <v>340</v>
      </c>
      <c r="N1748" s="153" t="s">
        <v>440</v>
      </c>
      <c r="O1748" s="153" t="s">
        <v>339</v>
      </c>
      <c r="P1748" s="153" t="s">
        <v>1554</v>
      </c>
      <c r="Q1748" s="153" t="s">
        <v>413</v>
      </c>
      <c r="R1748" s="153" t="s">
        <v>407</v>
      </c>
      <c r="S1748" s="153" t="s">
        <v>1212</v>
      </c>
      <c r="T1748" s="154">
        <v>3.25</v>
      </c>
      <c r="U1748" s="153" t="s">
        <v>2573</v>
      </c>
      <c r="V1748" s="155">
        <v>1.949E-2</v>
      </c>
      <c r="W1748" s="155">
        <v>6.1100000000000002E-2</v>
      </c>
      <c r="X1748" s="153" t="s">
        <v>412</v>
      </c>
      <c r="Y1748" s="153" t="s">
        <v>339</v>
      </c>
      <c r="Z1748" s="154">
        <v>159689.70000000001</v>
      </c>
      <c r="AA1748" s="154">
        <v>1</v>
      </c>
      <c r="AB1748" s="154">
        <v>89.41</v>
      </c>
      <c r="AD1748" s="154">
        <v>142.779</v>
      </c>
      <c r="AG1748" s="157" t="s">
        <v>15</v>
      </c>
      <c r="AH1748" s="155">
        <v>2.1000000000000001E-4</v>
      </c>
      <c r="AI1748" s="155">
        <f t="shared" si="27"/>
        <v>8.1673944324842408E-3</v>
      </c>
      <c r="AJ1748" s="155">
        <v>8.1425952041422323E-4</v>
      </c>
    </row>
    <row r="1749" spans="1:36" s="160" customFormat="1">
      <c r="A1749" s="153" t="s">
        <v>1213</v>
      </c>
      <c r="B1749" s="160">
        <v>9630</v>
      </c>
      <c r="C1749" s="153" t="s">
        <v>2757</v>
      </c>
      <c r="D1749" s="153" t="s">
        <v>2758</v>
      </c>
      <c r="E1749" s="153" t="s">
        <v>309</v>
      </c>
      <c r="F1749" s="153" t="s">
        <v>2784</v>
      </c>
      <c r="G1749" s="153" t="s">
        <v>2785</v>
      </c>
      <c r="H1749" s="153" t="s">
        <v>321</v>
      </c>
      <c r="I1749" s="153" t="s">
        <v>951</v>
      </c>
      <c r="J1749" s="153" t="s">
        <v>204</v>
      </c>
      <c r="K1749" s="153" t="s">
        <v>204</v>
      </c>
      <c r="L1749" s="153" t="s">
        <v>325</v>
      </c>
      <c r="M1749" s="153" t="s">
        <v>340</v>
      </c>
      <c r="N1749" s="153" t="s">
        <v>440</v>
      </c>
      <c r="O1749" s="153" t="s">
        <v>339</v>
      </c>
      <c r="P1749" s="153" t="s">
        <v>1521</v>
      </c>
      <c r="Q1749" s="153" t="s">
        <v>413</v>
      </c>
      <c r="R1749" s="153" t="s">
        <v>407</v>
      </c>
      <c r="S1749" s="153" t="s">
        <v>1212</v>
      </c>
      <c r="T1749" s="154">
        <v>2.31</v>
      </c>
      <c r="U1749" s="153" t="s">
        <v>2786</v>
      </c>
      <c r="V1749" s="155">
        <v>5.7110000000000001E-2</v>
      </c>
      <c r="W1749" s="155">
        <v>5.8999999999999997E-2</v>
      </c>
      <c r="X1749" s="153" t="s">
        <v>412</v>
      </c>
      <c r="Y1749" s="153" t="s">
        <v>339</v>
      </c>
      <c r="Z1749" s="154">
        <v>146729.20000000001</v>
      </c>
      <c r="AA1749" s="154">
        <v>1</v>
      </c>
      <c r="AB1749" s="154">
        <v>93.07</v>
      </c>
      <c r="AD1749" s="154">
        <v>136.56100000000001</v>
      </c>
      <c r="AG1749" s="157" t="s">
        <v>15</v>
      </c>
      <c r="AH1749" s="155">
        <v>2.2000000000000001E-4</v>
      </c>
      <c r="AI1749" s="155">
        <f t="shared" si="27"/>
        <v>7.8117058607672027E-3</v>
      </c>
      <c r="AJ1749" s="155">
        <v>7.7879866343990895E-4</v>
      </c>
    </row>
    <row r="1750" spans="1:36" s="160" customFormat="1">
      <c r="A1750" s="153" t="s">
        <v>1213</v>
      </c>
      <c r="B1750" s="160">
        <v>9630</v>
      </c>
      <c r="C1750" s="153" t="s">
        <v>1573</v>
      </c>
      <c r="D1750" s="153" t="s">
        <v>1574</v>
      </c>
      <c r="E1750" s="153" t="s">
        <v>309</v>
      </c>
      <c r="F1750" s="153" t="s">
        <v>2310</v>
      </c>
      <c r="G1750" s="153" t="s">
        <v>2311</v>
      </c>
      <c r="H1750" s="153" t="s">
        <v>321</v>
      </c>
      <c r="I1750" s="153" t="s">
        <v>754</v>
      </c>
      <c r="J1750" s="153" t="s">
        <v>204</v>
      </c>
      <c r="K1750" s="153" t="s">
        <v>204</v>
      </c>
      <c r="L1750" s="153" t="s">
        <v>325</v>
      </c>
      <c r="M1750" s="153" t="s">
        <v>340</v>
      </c>
      <c r="N1750" s="153" t="s">
        <v>448</v>
      </c>
      <c r="O1750" s="153" t="s">
        <v>339</v>
      </c>
      <c r="P1750" s="153" t="s">
        <v>1215</v>
      </c>
      <c r="Q1750" s="153" t="s">
        <v>413</v>
      </c>
      <c r="R1750" s="153" t="s">
        <v>407</v>
      </c>
      <c r="S1750" s="153" t="s">
        <v>1212</v>
      </c>
      <c r="T1750" s="154">
        <v>1.74</v>
      </c>
      <c r="U1750" s="153" t="s">
        <v>1833</v>
      </c>
      <c r="V1750" s="155">
        <v>1.6250000000000001E-2</v>
      </c>
      <c r="W1750" s="155">
        <v>2.0400000000000001E-2</v>
      </c>
      <c r="X1750" s="153" t="s">
        <v>412</v>
      </c>
      <c r="Y1750" s="153" t="s">
        <v>339</v>
      </c>
      <c r="Z1750" s="154">
        <v>117985</v>
      </c>
      <c r="AA1750" s="154">
        <v>1</v>
      </c>
      <c r="AB1750" s="154">
        <v>113.2</v>
      </c>
      <c r="AD1750" s="154">
        <v>133.559</v>
      </c>
      <c r="AG1750" s="157" t="s">
        <v>15</v>
      </c>
      <c r="AH1750" s="155">
        <v>8.0000000000000007E-5</v>
      </c>
      <c r="AI1750" s="155">
        <f t="shared" si="27"/>
        <v>7.639982301375991E-3</v>
      </c>
      <c r="AJ1750" s="155">
        <v>7.6167844912069171E-4</v>
      </c>
    </row>
    <row r="1751" spans="1:36" s="160" customFormat="1">
      <c r="A1751" s="153" t="s">
        <v>1213</v>
      </c>
      <c r="B1751" s="160">
        <v>9630</v>
      </c>
      <c r="C1751" s="153" t="s">
        <v>2136</v>
      </c>
      <c r="D1751" s="153" t="s">
        <v>2137</v>
      </c>
      <c r="E1751" s="153" t="s">
        <v>309</v>
      </c>
      <c r="F1751" s="153" t="s">
        <v>2698</v>
      </c>
      <c r="G1751" s="153" t="s">
        <v>2699</v>
      </c>
      <c r="H1751" s="153" t="s">
        <v>321</v>
      </c>
      <c r="I1751" s="153" t="s">
        <v>754</v>
      </c>
      <c r="J1751" s="153" t="s">
        <v>204</v>
      </c>
      <c r="K1751" s="153" t="s">
        <v>204</v>
      </c>
      <c r="L1751" s="153" t="s">
        <v>325</v>
      </c>
      <c r="M1751" s="153" t="s">
        <v>340</v>
      </c>
      <c r="N1751" s="153" t="s">
        <v>440</v>
      </c>
      <c r="O1751" s="153" t="s">
        <v>339</v>
      </c>
      <c r="P1751" s="153" t="s">
        <v>1566</v>
      </c>
      <c r="Q1751" s="153" t="s">
        <v>413</v>
      </c>
      <c r="R1751" s="153" t="s">
        <v>407</v>
      </c>
      <c r="S1751" s="153" t="s">
        <v>1212</v>
      </c>
      <c r="T1751" s="154">
        <v>3.07</v>
      </c>
      <c r="U1751" s="153" t="s">
        <v>2700</v>
      </c>
      <c r="V1751" s="155">
        <v>9.4800000000000006E-3</v>
      </c>
      <c r="W1751" s="155">
        <v>2.5999999999999999E-2</v>
      </c>
      <c r="X1751" s="153" t="s">
        <v>412</v>
      </c>
      <c r="Y1751" s="153" t="s">
        <v>339</v>
      </c>
      <c r="Z1751" s="154">
        <v>116794.24000000001</v>
      </c>
      <c r="AA1751" s="154">
        <v>1</v>
      </c>
      <c r="AB1751" s="154">
        <v>111.75</v>
      </c>
      <c r="AD1751" s="154">
        <v>130.518</v>
      </c>
      <c r="AG1751" s="157" t="s">
        <v>15</v>
      </c>
      <c r="AH1751" s="155">
        <v>1E-4</v>
      </c>
      <c r="AI1751" s="155">
        <f t="shared" si="27"/>
        <v>7.4660278229920236E-3</v>
      </c>
      <c r="AJ1751" s="155">
        <v>7.4433582029166472E-4</v>
      </c>
    </row>
    <row r="1752" spans="1:36" s="160" customFormat="1">
      <c r="A1752" s="153" t="s">
        <v>1213</v>
      </c>
      <c r="B1752" s="160">
        <v>9630</v>
      </c>
      <c r="C1752" s="153" t="s">
        <v>2436</v>
      </c>
      <c r="D1752" s="153" t="s">
        <v>2437</v>
      </c>
      <c r="E1752" s="153" t="s">
        <v>309</v>
      </c>
      <c r="F1752" s="153" t="s">
        <v>2438</v>
      </c>
      <c r="G1752" s="153" t="s">
        <v>2439</v>
      </c>
      <c r="H1752" s="153" t="s">
        <v>321</v>
      </c>
      <c r="I1752" s="153" t="s">
        <v>754</v>
      </c>
      <c r="J1752" s="153" t="s">
        <v>204</v>
      </c>
      <c r="K1752" s="153" t="s">
        <v>204</v>
      </c>
      <c r="L1752" s="153" t="s">
        <v>325</v>
      </c>
      <c r="M1752" s="153" t="s">
        <v>340</v>
      </c>
      <c r="N1752" s="153" t="s">
        <v>475</v>
      </c>
      <c r="O1752" s="153" t="s">
        <v>339</v>
      </c>
      <c r="P1752" s="153" t="s">
        <v>1538</v>
      </c>
      <c r="Q1752" s="153" t="s">
        <v>413</v>
      </c>
      <c r="R1752" s="153" t="s">
        <v>407</v>
      </c>
      <c r="S1752" s="153" t="s">
        <v>1212</v>
      </c>
      <c r="T1752" s="154">
        <v>2.44</v>
      </c>
      <c r="U1752" s="153" t="s">
        <v>2440</v>
      </c>
      <c r="V1752" s="155">
        <v>3.7699999999999999E-3</v>
      </c>
      <c r="W1752" s="155">
        <v>2.3E-2</v>
      </c>
      <c r="X1752" s="153" t="s">
        <v>412</v>
      </c>
      <c r="Y1752" s="153" t="s">
        <v>339</v>
      </c>
      <c r="Z1752" s="154">
        <v>83751.44</v>
      </c>
      <c r="AA1752" s="154">
        <v>1</v>
      </c>
      <c r="AB1752" s="154">
        <v>120.79</v>
      </c>
      <c r="AC1752" s="154">
        <v>29.337</v>
      </c>
      <c r="AD1752" s="154">
        <v>130.501</v>
      </c>
      <c r="AG1752" s="157" t="s">
        <v>15</v>
      </c>
      <c r="AH1752" s="155">
        <v>2.1000000000000001E-4</v>
      </c>
      <c r="AI1752" s="155">
        <f t="shared" si="27"/>
        <v>7.4650553711233854E-3</v>
      </c>
      <c r="AJ1752" s="155">
        <v>7.4423887037713217E-4</v>
      </c>
    </row>
    <row r="1753" spans="1:36" s="160" customFormat="1">
      <c r="A1753" s="153" t="s">
        <v>1213</v>
      </c>
      <c r="B1753" s="160">
        <v>9630</v>
      </c>
      <c r="C1753" s="153" t="s">
        <v>2771</v>
      </c>
      <c r="D1753" s="153" t="s">
        <v>2772</v>
      </c>
      <c r="E1753" s="153" t="s">
        <v>309</v>
      </c>
      <c r="F1753" s="153" t="s">
        <v>2773</v>
      </c>
      <c r="G1753" s="153" t="s">
        <v>2774</v>
      </c>
      <c r="H1753" s="153" t="s">
        <v>321</v>
      </c>
      <c r="I1753" s="153" t="s">
        <v>754</v>
      </c>
      <c r="J1753" s="153" t="s">
        <v>204</v>
      </c>
      <c r="K1753" s="153" t="s">
        <v>204</v>
      </c>
      <c r="L1753" s="153" t="s">
        <v>325</v>
      </c>
      <c r="M1753" s="153" t="s">
        <v>340</v>
      </c>
      <c r="N1753" s="153" t="s">
        <v>447</v>
      </c>
      <c r="O1753" s="153" t="s">
        <v>339</v>
      </c>
      <c r="P1753" s="153" t="s">
        <v>1544</v>
      </c>
      <c r="Q1753" s="153" t="s">
        <v>415</v>
      </c>
      <c r="R1753" s="153" t="s">
        <v>407</v>
      </c>
      <c r="S1753" s="153" t="s">
        <v>1212</v>
      </c>
      <c r="T1753" s="154">
        <v>4.1100000000000003</v>
      </c>
      <c r="U1753" s="153" t="s">
        <v>1587</v>
      </c>
      <c r="V1753" s="155">
        <v>1.4630000000000001E-2</v>
      </c>
      <c r="W1753" s="155">
        <v>2.98E-2</v>
      </c>
      <c r="X1753" s="153" t="s">
        <v>412</v>
      </c>
      <c r="Y1753" s="153" t="s">
        <v>339</v>
      </c>
      <c r="Z1753" s="154">
        <v>127849.35</v>
      </c>
      <c r="AA1753" s="154">
        <v>1</v>
      </c>
      <c r="AB1753" s="154">
        <v>101.61</v>
      </c>
      <c r="AD1753" s="154">
        <v>129.90799999999999</v>
      </c>
      <c r="AG1753" s="157" t="s">
        <v>15</v>
      </c>
      <c r="AH1753" s="155">
        <v>7.7999999999999999E-4</v>
      </c>
      <c r="AI1753" s="155">
        <f t="shared" si="27"/>
        <v>7.4311339618232551E-3</v>
      </c>
      <c r="AJ1753" s="155">
        <v>7.4085702924079103E-4</v>
      </c>
    </row>
    <row r="1754" spans="1:36" s="160" customFormat="1">
      <c r="A1754" s="153" t="s">
        <v>1213</v>
      </c>
      <c r="B1754" s="160">
        <v>9630</v>
      </c>
      <c r="C1754" s="153" t="s">
        <v>2238</v>
      </c>
      <c r="D1754" s="153" t="s">
        <v>2239</v>
      </c>
      <c r="E1754" s="153" t="s">
        <v>309</v>
      </c>
      <c r="F1754" s="153" t="s">
        <v>2810</v>
      </c>
      <c r="G1754" s="153" t="s">
        <v>2811</v>
      </c>
      <c r="H1754" s="153" t="s">
        <v>321</v>
      </c>
      <c r="I1754" s="153" t="s">
        <v>951</v>
      </c>
      <c r="J1754" s="153" t="s">
        <v>204</v>
      </c>
      <c r="K1754" s="153" t="s">
        <v>204</v>
      </c>
      <c r="L1754" s="153" t="s">
        <v>325</v>
      </c>
      <c r="M1754" s="153" t="s">
        <v>340</v>
      </c>
      <c r="N1754" s="153" t="s">
        <v>447</v>
      </c>
      <c r="O1754" s="153" t="s">
        <v>339</v>
      </c>
      <c r="P1754" s="153" t="s">
        <v>1544</v>
      </c>
      <c r="Q1754" s="153" t="s">
        <v>415</v>
      </c>
      <c r="R1754" s="153" t="s">
        <v>407</v>
      </c>
      <c r="S1754" s="153" t="s">
        <v>1212</v>
      </c>
      <c r="T1754" s="154">
        <v>2.08</v>
      </c>
      <c r="U1754" s="153" t="s">
        <v>1528</v>
      </c>
      <c r="V1754" s="155">
        <v>2.572E-2</v>
      </c>
      <c r="W1754" s="155">
        <v>5.5199999999999999E-2</v>
      </c>
      <c r="X1754" s="153" t="s">
        <v>412</v>
      </c>
      <c r="Y1754" s="153" t="s">
        <v>339</v>
      </c>
      <c r="Z1754" s="154">
        <v>131588.26999999999</v>
      </c>
      <c r="AA1754" s="154">
        <v>1</v>
      </c>
      <c r="AB1754" s="154">
        <v>94.9</v>
      </c>
      <c r="AD1754" s="154">
        <v>124.877</v>
      </c>
      <c r="AG1754" s="157" t="s">
        <v>15</v>
      </c>
      <c r="AH1754" s="155">
        <v>4.8999999999999998E-4</v>
      </c>
      <c r="AI1754" s="155">
        <f t="shared" si="27"/>
        <v>7.1433454117575722E-3</v>
      </c>
      <c r="AJ1754" s="155">
        <v>7.1216555747530773E-4</v>
      </c>
    </row>
    <row r="1755" spans="1:36" s="160" customFormat="1">
      <c r="A1755" s="153" t="s">
        <v>1213</v>
      </c>
      <c r="B1755" s="160">
        <v>9630</v>
      </c>
      <c r="C1755" s="153" t="s">
        <v>2203</v>
      </c>
      <c r="D1755" s="153" t="s">
        <v>2204</v>
      </c>
      <c r="E1755" s="153" t="s">
        <v>309</v>
      </c>
      <c r="F1755" s="153" t="s">
        <v>2733</v>
      </c>
      <c r="G1755" s="153" t="s">
        <v>2734</v>
      </c>
      <c r="H1755" s="153" t="s">
        <v>321</v>
      </c>
      <c r="I1755" s="153" t="s">
        <v>951</v>
      </c>
      <c r="J1755" s="153" t="s">
        <v>204</v>
      </c>
      <c r="K1755" s="153" t="s">
        <v>204</v>
      </c>
      <c r="L1755" s="153" t="s">
        <v>325</v>
      </c>
      <c r="M1755" s="153" t="s">
        <v>340</v>
      </c>
      <c r="N1755" s="153" t="s">
        <v>459</v>
      </c>
      <c r="O1755" s="153" t="s">
        <v>339</v>
      </c>
      <c r="P1755" s="153" t="s">
        <v>1811</v>
      </c>
      <c r="Q1755" s="153" t="s">
        <v>413</v>
      </c>
      <c r="R1755" s="153" t="s">
        <v>407</v>
      </c>
      <c r="S1755" s="153" t="s">
        <v>1212</v>
      </c>
      <c r="T1755" s="154">
        <v>1.69</v>
      </c>
      <c r="U1755" s="153" t="s">
        <v>1572</v>
      </c>
      <c r="V1755" s="155">
        <v>2.478E-2</v>
      </c>
      <c r="W1755" s="155">
        <v>4.6899999999999997E-2</v>
      </c>
      <c r="X1755" s="153" t="s">
        <v>412</v>
      </c>
      <c r="Y1755" s="153" t="s">
        <v>339</v>
      </c>
      <c r="Z1755" s="154">
        <v>111611.34</v>
      </c>
      <c r="AA1755" s="154">
        <v>1</v>
      </c>
      <c r="AB1755" s="154">
        <v>97.33</v>
      </c>
      <c r="AD1755" s="154">
        <v>108.631</v>
      </c>
      <c r="AG1755" s="157" t="s">
        <v>15</v>
      </c>
      <c r="AH1755" s="155">
        <v>3.1E-4</v>
      </c>
      <c r="AI1755" s="155">
        <f t="shared" si="27"/>
        <v>6.2140246436464429E-3</v>
      </c>
      <c r="AJ1755" s="155">
        <v>6.1951565679909152E-4</v>
      </c>
    </row>
    <row r="1756" spans="1:36" s="160" customFormat="1">
      <c r="A1756" s="153" t="s">
        <v>1213</v>
      </c>
      <c r="B1756" s="160">
        <v>9630</v>
      </c>
      <c r="C1756" s="153" t="s">
        <v>1546</v>
      </c>
      <c r="D1756" s="153" t="s">
        <v>1547</v>
      </c>
      <c r="E1756" s="153" t="s">
        <v>309</v>
      </c>
      <c r="F1756" s="153" t="s">
        <v>2487</v>
      </c>
      <c r="G1756" s="153" t="s">
        <v>2488</v>
      </c>
      <c r="H1756" s="153" t="s">
        <v>321</v>
      </c>
      <c r="I1756" s="153" t="s">
        <v>754</v>
      </c>
      <c r="J1756" s="153" t="s">
        <v>204</v>
      </c>
      <c r="K1756" s="153" t="s">
        <v>204</v>
      </c>
      <c r="L1756" s="153" t="s">
        <v>325</v>
      </c>
      <c r="M1756" s="153" t="s">
        <v>340</v>
      </c>
      <c r="N1756" s="153" t="s">
        <v>443</v>
      </c>
      <c r="O1756" s="153" t="s">
        <v>339</v>
      </c>
      <c r="P1756" s="153" t="s">
        <v>1544</v>
      </c>
      <c r="Q1756" s="153" t="s">
        <v>415</v>
      </c>
      <c r="R1756" s="153" t="s">
        <v>407</v>
      </c>
      <c r="S1756" s="153" t="s">
        <v>1212</v>
      </c>
      <c r="T1756" s="154">
        <v>0.79</v>
      </c>
      <c r="U1756" s="153" t="s">
        <v>1777</v>
      </c>
      <c r="V1756" s="155">
        <v>5.1799999999999997E-3</v>
      </c>
      <c r="W1756" s="155">
        <v>2.7199999999999998E-2</v>
      </c>
      <c r="X1756" s="153" t="s">
        <v>412</v>
      </c>
      <c r="Y1756" s="153" t="s">
        <v>339</v>
      </c>
      <c r="Z1756" s="154">
        <v>87828.4</v>
      </c>
      <c r="AA1756" s="154">
        <v>1</v>
      </c>
      <c r="AB1756" s="154">
        <v>115.1</v>
      </c>
      <c r="AD1756" s="154">
        <v>101.09</v>
      </c>
      <c r="AG1756" s="157" t="s">
        <v>15</v>
      </c>
      <c r="AH1756" s="155">
        <v>2.4000000000000001E-4</v>
      </c>
      <c r="AI1756" s="155">
        <f t="shared" si="27"/>
        <v>5.782656435328948E-3</v>
      </c>
      <c r="AJ1756" s="155">
        <v>5.7650981529968573E-4</v>
      </c>
    </row>
    <row r="1757" spans="1:36" s="160" customFormat="1">
      <c r="A1757" s="153" t="s">
        <v>1213</v>
      </c>
      <c r="B1757" s="160">
        <v>9630</v>
      </c>
      <c r="C1757" s="153" t="s">
        <v>2789</v>
      </c>
      <c r="D1757" s="153" t="s">
        <v>2790</v>
      </c>
      <c r="E1757" s="153" t="s">
        <v>309</v>
      </c>
      <c r="F1757" s="153" t="s">
        <v>2791</v>
      </c>
      <c r="G1757" s="153" t="s">
        <v>2792</v>
      </c>
      <c r="H1757" s="153" t="s">
        <v>321</v>
      </c>
      <c r="I1757" s="153" t="s">
        <v>951</v>
      </c>
      <c r="J1757" s="153" t="s">
        <v>204</v>
      </c>
      <c r="K1757" s="153" t="s">
        <v>204</v>
      </c>
      <c r="L1757" s="153" t="s">
        <v>325</v>
      </c>
      <c r="M1757" s="153" t="s">
        <v>340</v>
      </c>
      <c r="N1757" s="153" t="s">
        <v>441</v>
      </c>
      <c r="O1757" s="153" t="s">
        <v>339</v>
      </c>
      <c r="P1757" s="153" t="s">
        <v>1614</v>
      </c>
      <c r="Q1757" s="153" t="s">
        <v>415</v>
      </c>
      <c r="R1757" s="153" t="s">
        <v>407</v>
      </c>
      <c r="S1757" s="153" t="s">
        <v>1212</v>
      </c>
      <c r="T1757" s="154">
        <v>2.86</v>
      </c>
      <c r="U1757" s="153" t="s">
        <v>2793</v>
      </c>
      <c r="V1757" s="155">
        <v>1.6740000000000001E-2</v>
      </c>
      <c r="W1757" s="155">
        <v>5.9200000000000003E-2</v>
      </c>
      <c r="X1757" s="153" t="s">
        <v>412</v>
      </c>
      <c r="Y1757" s="153" t="s">
        <v>339</v>
      </c>
      <c r="Z1757" s="154">
        <v>112148.74</v>
      </c>
      <c r="AA1757" s="154">
        <v>1</v>
      </c>
      <c r="AB1757" s="154">
        <v>90.04</v>
      </c>
      <c r="AD1757" s="154">
        <v>100.979</v>
      </c>
      <c r="AG1757" s="157" t="s">
        <v>15</v>
      </c>
      <c r="AH1757" s="155">
        <v>2.5000000000000001E-4</v>
      </c>
      <c r="AI1757" s="155">
        <f t="shared" si="27"/>
        <v>5.7763068966572538E-3</v>
      </c>
      <c r="AJ1757" s="155">
        <v>5.7587678938714974E-4</v>
      </c>
    </row>
    <row r="1758" spans="1:36" s="160" customFormat="1">
      <c r="A1758" s="153" t="s">
        <v>1213</v>
      </c>
      <c r="B1758" s="160">
        <v>9630</v>
      </c>
      <c r="C1758" s="153" t="s">
        <v>1820</v>
      </c>
      <c r="D1758" s="153" t="s">
        <v>1821</v>
      </c>
      <c r="E1758" s="153" t="s">
        <v>309</v>
      </c>
      <c r="F1758" s="153" t="s">
        <v>1952</v>
      </c>
      <c r="G1758" s="153" t="s">
        <v>1953</v>
      </c>
      <c r="H1758" s="153" t="s">
        <v>321</v>
      </c>
      <c r="I1758" s="153" t="s">
        <v>754</v>
      </c>
      <c r="J1758" s="153" t="s">
        <v>204</v>
      </c>
      <c r="K1758" s="153" t="s">
        <v>204</v>
      </c>
      <c r="L1758" s="153" t="s">
        <v>325</v>
      </c>
      <c r="M1758" s="153" t="s">
        <v>340</v>
      </c>
      <c r="N1758" s="153" t="s">
        <v>464</v>
      </c>
      <c r="O1758" s="153" t="s">
        <v>339</v>
      </c>
      <c r="P1758" s="153" t="s">
        <v>1538</v>
      </c>
      <c r="Q1758" s="153" t="s">
        <v>413</v>
      </c>
      <c r="R1758" s="153" t="s">
        <v>407</v>
      </c>
      <c r="S1758" s="153" t="s">
        <v>1212</v>
      </c>
      <c r="T1758" s="154">
        <v>2.19</v>
      </c>
      <c r="U1758" s="153" t="s">
        <v>1308</v>
      </c>
      <c r="V1758" s="155">
        <v>4.4900000000000001E-3</v>
      </c>
      <c r="W1758" s="155">
        <v>2.6599999999999999E-2</v>
      </c>
      <c r="X1758" s="153" t="s">
        <v>412</v>
      </c>
      <c r="Y1758" s="153" t="s">
        <v>339</v>
      </c>
      <c r="Z1758" s="154">
        <v>86265.89</v>
      </c>
      <c r="AA1758" s="154">
        <v>1</v>
      </c>
      <c r="AB1758" s="154">
        <v>115.87</v>
      </c>
      <c r="AD1758" s="154">
        <v>99.956000000000003</v>
      </c>
      <c r="AG1758" s="157" t="s">
        <v>15</v>
      </c>
      <c r="AH1758" s="155">
        <v>4.0000000000000003E-5</v>
      </c>
      <c r="AI1758" s="155">
        <f t="shared" si="27"/>
        <v>5.7177881753856996E-3</v>
      </c>
      <c r="AJ1758" s="155">
        <v>5.7004268570675037E-4</v>
      </c>
    </row>
    <row r="1759" spans="1:36" s="160" customFormat="1">
      <c r="A1759" s="153" t="s">
        <v>1213</v>
      </c>
      <c r="B1759" s="160">
        <v>9630</v>
      </c>
      <c r="C1759" s="153" t="s">
        <v>1769</v>
      </c>
      <c r="D1759" s="153" t="s">
        <v>1770</v>
      </c>
      <c r="E1759" s="153" t="s">
        <v>309</v>
      </c>
      <c r="F1759" s="153" t="s">
        <v>2037</v>
      </c>
      <c r="G1759" s="153" t="s">
        <v>2038</v>
      </c>
      <c r="H1759" s="153" t="s">
        <v>321</v>
      </c>
      <c r="I1759" s="153" t="s">
        <v>951</v>
      </c>
      <c r="J1759" s="153" t="s">
        <v>204</v>
      </c>
      <c r="K1759" s="153" t="s">
        <v>204</v>
      </c>
      <c r="L1759" s="153" t="s">
        <v>325</v>
      </c>
      <c r="M1759" s="153" t="s">
        <v>340</v>
      </c>
      <c r="N1759" s="153" t="s">
        <v>464</v>
      </c>
      <c r="O1759" s="153" t="s">
        <v>339</v>
      </c>
      <c r="P1759" s="153" t="s">
        <v>1560</v>
      </c>
      <c r="Q1759" s="153" t="s">
        <v>413</v>
      </c>
      <c r="R1759" s="153" t="s">
        <v>407</v>
      </c>
      <c r="S1759" s="153" t="s">
        <v>1212</v>
      </c>
      <c r="T1759" s="154">
        <v>2.9</v>
      </c>
      <c r="U1759" s="153" t="s">
        <v>1587</v>
      </c>
      <c r="V1759" s="155">
        <v>4.9799999999999997E-2</v>
      </c>
      <c r="W1759" s="155">
        <v>7.1999999999999995E-2</v>
      </c>
      <c r="X1759" s="153" t="s">
        <v>412</v>
      </c>
      <c r="Y1759" s="153" t="s">
        <v>339</v>
      </c>
      <c r="Z1759" s="154">
        <v>101711.36</v>
      </c>
      <c r="AA1759" s="154">
        <v>1</v>
      </c>
      <c r="AB1759" s="154">
        <v>92.4</v>
      </c>
      <c r="AD1759" s="154">
        <v>93.980999999999995</v>
      </c>
      <c r="AG1759" s="157" t="s">
        <v>15</v>
      </c>
      <c r="AH1759" s="155">
        <v>8.0000000000000007E-5</v>
      </c>
      <c r="AI1759" s="155">
        <f t="shared" si="27"/>
        <v>5.3759999450850712E-3</v>
      </c>
      <c r="AJ1759" s="155">
        <v>5.3596764221663636E-4</v>
      </c>
    </row>
    <row r="1760" spans="1:36" s="160" customFormat="1">
      <c r="A1760" s="153" t="s">
        <v>1213</v>
      </c>
      <c r="B1760" s="160">
        <v>9630</v>
      </c>
      <c r="C1760" s="153" t="s">
        <v>2356</v>
      </c>
      <c r="D1760" s="153" t="s">
        <v>2357</v>
      </c>
      <c r="E1760" s="153" t="s">
        <v>309</v>
      </c>
      <c r="F1760" s="153" t="s">
        <v>2724</v>
      </c>
      <c r="G1760" s="153" t="s">
        <v>2725</v>
      </c>
      <c r="H1760" s="153" t="s">
        <v>321</v>
      </c>
      <c r="I1760" s="153" t="s">
        <v>754</v>
      </c>
      <c r="J1760" s="153" t="s">
        <v>204</v>
      </c>
      <c r="K1760" s="153" t="s">
        <v>204</v>
      </c>
      <c r="L1760" s="153" t="s">
        <v>325</v>
      </c>
      <c r="M1760" s="153" t="s">
        <v>340</v>
      </c>
      <c r="N1760" s="153" t="s">
        <v>447</v>
      </c>
      <c r="O1760" s="153" t="s">
        <v>339</v>
      </c>
      <c r="P1760" s="153" t="s">
        <v>1560</v>
      </c>
      <c r="Q1760" s="153" t="s">
        <v>413</v>
      </c>
      <c r="R1760" s="153" t="s">
        <v>407</v>
      </c>
      <c r="S1760" s="153" t="s">
        <v>1212</v>
      </c>
      <c r="T1760" s="154">
        <v>0.5</v>
      </c>
      <c r="U1760" s="153" t="s">
        <v>1965</v>
      </c>
      <c r="V1760" s="155">
        <v>6.4060000000000006E-2</v>
      </c>
      <c r="W1760" s="155">
        <v>3.4700000000000002E-2</v>
      </c>
      <c r="X1760" s="153" t="s">
        <v>412</v>
      </c>
      <c r="Y1760" s="153" t="s">
        <v>339</v>
      </c>
      <c r="Z1760" s="154">
        <v>77434</v>
      </c>
      <c r="AA1760" s="154">
        <v>1</v>
      </c>
      <c r="AB1760" s="154">
        <v>115.84</v>
      </c>
      <c r="AC1760" s="154">
        <v>1.9379999999999999</v>
      </c>
      <c r="AD1760" s="154">
        <v>91.637</v>
      </c>
      <c r="AG1760" s="157" t="s">
        <v>15</v>
      </c>
      <c r="AH1760" s="155">
        <v>1.8000000000000001E-4</v>
      </c>
      <c r="AI1760" s="155">
        <f t="shared" si="27"/>
        <v>5.2419159933152519E-3</v>
      </c>
      <c r="AJ1760" s="155">
        <v>5.2259995988344346E-4</v>
      </c>
    </row>
    <row r="1761" spans="1:36" s="160" customFormat="1">
      <c r="A1761" s="153" t="s">
        <v>1213</v>
      </c>
      <c r="B1761" s="160">
        <v>9630</v>
      </c>
      <c r="C1761" s="153" t="s">
        <v>2780</v>
      </c>
      <c r="D1761" s="153" t="s">
        <v>2781</v>
      </c>
      <c r="E1761" s="153" t="s">
        <v>309</v>
      </c>
      <c r="F1761" s="153" t="s">
        <v>2782</v>
      </c>
      <c r="G1761" s="153" t="s">
        <v>2783</v>
      </c>
      <c r="H1761" s="153" t="s">
        <v>321</v>
      </c>
      <c r="I1761" s="153" t="s">
        <v>754</v>
      </c>
      <c r="J1761" s="153" t="s">
        <v>204</v>
      </c>
      <c r="K1761" s="153" t="s">
        <v>204</v>
      </c>
      <c r="L1761" s="153" t="s">
        <v>325</v>
      </c>
      <c r="M1761" s="153" t="s">
        <v>340</v>
      </c>
      <c r="N1761" s="153" t="s">
        <v>464</v>
      </c>
      <c r="O1761" s="153" t="s">
        <v>339</v>
      </c>
      <c r="P1761" s="153" t="s">
        <v>1560</v>
      </c>
      <c r="Q1761" s="153" t="s">
        <v>413</v>
      </c>
      <c r="R1761" s="153" t="s">
        <v>407</v>
      </c>
      <c r="S1761" s="153" t="s">
        <v>1212</v>
      </c>
      <c r="T1761" s="154">
        <v>1.44</v>
      </c>
      <c r="U1761" s="153" t="s">
        <v>1741</v>
      </c>
      <c r="V1761" s="155">
        <v>2.3720000000000001E-2</v>
      </c>
      <c r="W1761" s="155">
        <v>2.7900000000000001E-2</v>
      </c>
      <c r="X1761" s="153" t="s">
        <v>412</v>
      </c>
      <c r="Y1761" s="153" t="s">
        <v>339</v>
      </c>
      <c r="Z1761" s="154">
        <v>71486.7</v>
      </c>
      <c r="AA1761" s="154">
        <v>1</v>
      </c>
      <c r="AB1761" s="154">
        <v>118.52</v>
      </c>
      <c r="AD1761" s="154">
        <v>84.725999999999999</v>
      </c>
      <c r="AG1761" s="157" t="s">
        <v>15</v>
      </c>
      <c r="AH1761" s="155">
        <v>2.0000000000000001E-4</v>
      </c>
      <c r="AI1761" s="155">
        <f t="shared" si="27"/>
        <v>4.8465857071884506E-3</v>
      </c>
      <c r="AJ1761" s="155">
        <v>4.8318696815789075E-4</v>
      </c>
    </row>
    <row r="1762" spans="1:36" s="160" customFormat="1">
      <c r="A1762" s="153" t="s">
        <v>1213</v>
      </c>
      <c r="B1762" s="160">
        <v>9630</v>
      </c>
      <c r="C1762" s="153" t="s">
        <v>1600</v>
      </c>
      <c r="D1762" s="153" t="s">
        <v>1601</v>
      </c>
      <c r="E1762" s="153" t="s">
        <v>309</v>
      </c>
      <c r="F1762" s="153" t="s">
        <v>1954</v>
      </c>
      <c r="G1762" s="153" t="s">
        <v>1955</v>
      </c>
      <c r="H1762" s="153" t="s">
        <v>321</v>
      </c>
      <c r="I1762" s="153" t="s">
        <v>754</v>
      </c>
      <c r="J1762" s="153" t="s">
        <v>204</v>
      </c>
      <c r="K1762" s="153" t="s">
        <v>204</v>
      </c>
      <c r="L1762" s="153" t="s">
        <v>325</v>
      </c>
      <c r="M1762" s="153" t="s">
        <v>340</v>
      </c>
      <c r="N1762" s="153" t="s">
        <v>448</v>
      </c>
      <c r="O1762" s="153" t="s">
        <v>339</v>
      </c>
      <c r="P1762" s="153" t="s">
        <v>1215</v>
      </c>
      <c r="Q1762" s="153" t="s">
        <v>413</v>
      </c>
      <c r="R1762" s="153" t="s">
        <v>407</v>
      </c>
      <c r="S1762" s="153" t="s">
        <v>1212</v>
      </c>
      <c r="T1762" s="154">
        <v>3.02</v>
      </c>
      <c r="U1762" s="153" t="s">
        <v>1956</v>
      </c>
      <c r="V1762" s="155">
        <v>1.7500000000000002E-2</v>
      </c>
      <c r="W1762" s="155">
        <v>2.35E-2</v>
      </c>
      <c r="X1762" s="153" t="s">
        <v>412</v>
      </c>
      <c r="Y1762" s="153" t="s">
        <v>339</v>
      </c>
      <c r="Z1762" s="154">
        <v>73784.399999999994</v>
      </c>
      <c r="AA1762" s="154">
        <v>1</v>
      </c>
      <c r="AB1762" s="154">
        <v>114.28</v>
      </c>
      <c r="AD1762" s="154">
        <v>84.320999999999998</v>
      </c>
      <c r="AG1762" s="157" t="s">
        <v>15</v>
      </c>
      <c r="AH1762" s="155">
        <v>3.0000000000000001E-5</v>
      </c>
      <c r="AI1762" s="155">
        <f t="shared" si="27"/>
        <v>4.8234184714944324E-3</v>
      </c>
      <c r="AJ1762" s="155">
        <v>4.8087727901755667E-4</v>
      </c>
    </row>
    <row r="1763" spans="1:36" s="160" customFormat="1">
      <c r="A1763" s="153" t="s">
        <v>1213</v>
      </c>
      <c r="B1763" s="160">
        <v>9630</v>
      </c>
      <c r="C1763" s="153" t="s">
        <v>2178</v>
      </c>
      <c r="D1763" s="153" t="s">
        <v>2179</v>
      </c>
      <c r="E1763" s="153" t="s">
        <v>309</v>
      </c>
      <c r="F1763" s="153" t="s">
        <v>2762</v>
      </c>
      <c r="G1763" s="153" t="s">
        <v>2763</v>
      </c>
      <c r="H1763" s="153" t="s">
        <v>321</v>
      </c>
      <c r="I1763" s="153" t="s">
        <v>951</v>
      </c>
      <c r="J1763" s="153" t="s">
        <v>204</v>
      </c>
      <c r="K1763" s="153" t="s">
        <v>204</v>
      </c>
      <c r="L1763" s="153" t="s">
        <v>325</v>
      </c>
      <c r="M1763" s="153" t="s">
        <v>340</v>
      </c>
      <c r="N1763" s="153" t="s">
        <v>464</v>
      </c>
      <c r="O1763" s="153" t="s">
        <v>339</v>
      </c>
      <c r="P1763" s="153" t="s">
        <v>1566</v>
      </c>
      <c r="Q1763" s="153" t="s">
        <v>413</v>
      </c>
      <c r="R1763" s="153" t="s">
        <v>407</v>
      </c>
      <c r="S1763" s="153" t="s">
        <v>1212</v>
      </c>
      <c r="T1763" s="154">
        <v>1.34</v>
      </c>
      <c r="U1763" s="153" t="s">
        <v>2764</v>
      </c>
      <c r="V1763" s="155">
        <v>-9.0799999999999995E-3</v>
      </c>
      <c r="W1763" s="155">
        <v>6.1800000000000001E-2</v>
      </c>
      <c r="X1763" s="153" t="s">
        <v>412</v>
      </c>
      <c r="Y1763" s="153" t="s">
        <v>339</v>
      </c>
      <c r="Z1763" s="154">
        <v>82237.5</v>
      </c>
      <c r="AA1763" s="154">
        <v>1</v>
      </c>
      <c r="AB1763" s="154">
        <v>101.51</v>
      </c>
      <c r="AD1763" s="154">
        <v>83.478999999999999</v>
      </c>
      <c r="AG1763" s="157" t="s">
        <v>15</v>
      </c>
      <c r="AH1763" s="155">
        <v>8.0000000000000007E-5</v>
      </c>
      <c r="AI1763" s="155">
        <f t="shared" si="27"/>
        <v>4.7752535024713147E-3</v>
      </c>
      <c r="AJ1763" s="155">
        <v>4.7607540678012137E-4</v>
      </c>
    </row>
    <row r="1764" spans="1:36" s="160" customFormat="1">
      <c r="A1764" s="153" t="s">
        <v>1213</v>
      </c>
      <c r="B1764" s="160">
        <v>9630</v>
      </c>
      <c r="C1764" s="153" t="s">
        <v>2812</v>
      </c>
      <c r="D1764" s="153" t="s">
        <v>2813</v>
      </c>
      <c r="E1764" s="153" t="s">
        <v>309</v>
      </c>
      <c r="F1764" s="153" t="s">
        <v>2814</v>
      </c>
      <c r="G1764" s="153" t="s">
        <v>2815</v>
      </c>
      <c r="H1764" s="153" t="s">
        <v>321</v>
      </c>
      <c r="I1764" s="153" t="s">
        <v>951</v>
      </c>
      <c r="J1764" s="153" t="s">
        <v>204</v>
      </c>
      <c r="K1764" s="153" t="s">
        <v>204</v>
      </c>
      <c r="L1764" s="153" t="s">
        <v>325</v>
      </c>
      <c r="M1764" s="153" t="s">
        <v>340</v>
      </c>
      <c r="N1764" s="153" t="s">
        <v>447</v>
      </c>
      <c r="O1764" s="153" t="s">
        <v>339</v>
      </c>
      <c r="P1764" s="153" t="s">
        <v>1614</v>
      </c>
      <c r="Q1764" s="153" t="s">
        <v>415</v>
      </c>
      <c r="R1764" s="153" t="s">
        <v>407</v>
      </c>
      <c r="S1764" s="153" t="s">
        <v>1212</v>
      </c>
      <c r="T1764" s="154">
        <v>1.71</v>
      </c>
      <c r="U1764" s="153" t="s">
        <v>1343</v>
      </c>
      <c r="V1764" s="155">
        <v>5.3269999999999998E-2</v>
      </c>
      <c r="W1764" s="155">
        <v>5.6000000000000001E-2</v>
      </c>
      <c r="X1764" s="153" t="s">
        <v>412</v>
      </c>
      <c r="Y1764" s="153" t="s">
        <v>339</v>
      </c>
      <c r="Z1764" s="154">
        <v>74139.039999999994</v>
      </c>
      <c r="AA1764" s="154">
        <v>1</v>
      </c>
      <c r="AB1764" s="154">
        <v>94.88</v>
      </c>
      <c r="AD1764" s="154">
        <v>70.343000000000004</v>
      </c>
      <c r="AG1764" s="157" t="s">
        <v>15</v>
      </c>
      <c r="AH1764" s="155">
        <v>2.9E-4</v>
      </c>
      <c r="AI1764" s="155">
        <f t="shared" si="27"/>
        <v>4.0238342232698015E-3</v>
      </c>
      <c r="AJ1764" s="155">
        <v>4.0116163752721139E-4</v>
      </c>
    </row>
    <row r="1765" spans="1:36" s="160" customFormat="1">
      <c r="A1765" s="153" t="s">
        <v>1213</v>
      </c>
      <c r="B1765" s="160">
        <v>9630</v>
      </c>
      <c r="C1765" s="153" t="s">
        <v>2032</v>
      </c>
      <c r="D1765" s="153" t="s">
        <v>2033</v>
      </c>
      <c r="E1765" s="153" t="s">
        <v>309</v>
      </c>
      <c r="F1765" s="153" t="s">
        <v>2765</v>
      </c>
      <c r="G1765" s="153" t="s">
        <v>2766</v>
      </c>
      <c r="H1765" s="153" t="s">
        <v>321</v>
      </c>
      <c r="I1765" s="153" t="s">
        <v>754</v>
      </c>
      <c r="J1765" s="153" t="s">
        <v>204</v>
      </c>
      <c r="K1765" s="153" t="s">
        <v>204</v>
      </c>
      <c r="L1765" s="153" t="s">
        <v>325</v>
      </c>
      <c r="M1765" s="153" t="s">
        <v>340</v>
      </c>
      <c r="N1765" s="153" t="s">
        <v>445</v>
      </c>
      <c r="O1765" s="153" t="s">
        <v>339</v>
      </c>
      <c r="P1765" s="153" t="s">
        <v>1538</v>
      </c>
      <c r="Q1765" s="153" t="s">
        <v>413</v>
      </c>
      <c r="R1765" s="153" t="s">
        <v>407</v>
      </c>
      <c r="S1765" s="153" t="s">
        <v>1212</v>
      </c>
      <c r="T1765" s="154">
        <v>5.09</v>
      </c>
      <c r="U1765" s="153" t="s">
        <v>2210</v>
      </c>
      <c r="V1765" s="155">
        <v>2.2360000000000001E-2</v>
      </c>
      <c r="W1765" s="155">
        <v>2.8899999999999999E-2</v>
      </c>
      <c r="X1765" s="153" t="s">
        <v>412</v>
      </c>
      <c r="Y1765" s="153" t="s">
        <v>339</v>
      </c>
      <c r="Z1765" s="154">
        <v>66483</v>
      </c>
      <c r="AA1765" s="154">
        <v>1</v>
      </c>
      <c r="AB1765" s="154">
        <v>100.89</v>
      </c>
      <c r="AD1765" s="154">
        <v>67.075000000000003</v>
      </c>
      <c r="AG1765" s="157" t="s">
        <v>15</v>
      </c>
      <c r="AH1765" s="155">
        <v>2.2000000000000001E-4</v>
      </c>
      <c r="AI1765" s="155">
        <f t="shared" si="27"/>
        <v>3.836894652286964E-3</v>
      </c>
      <c r="AJ1765" s="155">
        <v>3.8252444219236744E-4</v>
      </c>
    </row>
    <row r="1766" spans="1:36" s="160" customFormat="1">
      <c r="A1766" s="153" t="s">
        <v>1213</v>
      </c>
      <c r="B1766" s="160">
        <v>9630</v>
      </c>
      <c r="C1766" s="153" t="s">
        <v>1577</v>
      </c>
      <c r="D1766" s="153" t="s">
        <v>1578</v>
      </c>
      <c r="E1766" s="153" t="s">
        <v>309</v>
      </c>
      <c r="F1766" s="153" t="s">
        <v>1579</v>
      </c>
      <c r="G1766" s="153" t="s">
        <v>1580</v>
      </c>
      <c r="H1766" s="153" t="s">
        <v>321</v>
      </c>
      <c r="I1766" s="153" t="s">
        <v>754</v>
      </c>
      <c r="J1766" s="153" t="s">
        <v>204</v>
      </c>
      <c r="K1766" s="153" t="s">
        <v>204</v>
      </c>
      <c r="L1766" s="153" t="s">
        <v>325</v>
      </c>
      <c r="M1766" s="153" t="s">
        <v>340</v>
      </c>
      <c r="N1766" s="153" t="s">
        <v>456</v>
      </c>
      <c r="O1766" s="153" t="s">
        <v>339</v>
      </c>
      <c r="P1766" s="153" t="s">
        <v>1566</v>
      </c>
      <c r="Q1766" s="153" t="s">
        <v>413</v>
      </c>
      <c r="R1766" s="153" t="s">
        <v>407</v>
      </c>
      <c r="S1766" s="153" t="s">
        <v>1212</v>
      </c>
      <c r="T1766" s="154">
        <v>5.0199999999999996</v>
      </c>
      <c r="U1766" s="153" t="s">
        <v>1581</v>
      </c>
      <c r="V1766" s="155">
        <v>2.716E-2</v>
      </c>
      <c r="W1766" s="155">
        <v>5.1499999999999997E-2</v>
      </c>
      <c r="X1766" s="153" t="s">
        <v>412</v>
      </c>
      <c r="Y1766" s="153" t="s">
        <v>339</v>
      </c>
      <c r="Z1766" s="154">
        <v>43815.360000000001</v>
      </c>
      <c r="AA1766" s="154">
        <v>1</v>
      </c>
      <c r="AB1766" s="154">
        <v>141.9</v>
      </c>
      <c r="AD1766" s="154">
        <v>62.173999999999999</v>
      </c>
      <c r="AG1766" s="157" t="s">
        <v>15</v>
      </c>
      <c r="AH1766" s="155">
        <v>2.0000000000000002E-5</v>
      </c>
      <c r="AI1766" s="155">
        <f t="shared" si="27"/>
        <v>3.5565424988638046E-3</v>
      </c>
      <c r="AJ1766" s="155">
        <v>3.5457435212625049E-4</v>
      </c>
    </row>
    <row r="1767" spans="1:36" s="160" customFormat="1">
      <c r="A1767" s="153" t="s">
        <v>1213</v>
      </c>
      <c r="B1767" s="160">
        <v>9630</v>
      </c>
      <c r="C1767" s="153" t="s">
        <v>2883</v>
      </c>
      <c r="D1767" s="153">
        <v>53368</v>
      </c>
      <c r="E1767" s="153" t="s">
        <v>311</v>
      </c>
      <c r="F1767" s="153" t="s">
        <v>2885</v>
      </c>
      <c r="G1767" s="153" t="s">
        <v>2886</v>
      </c>
      <c r="H1767" s="153" t="s">
        <v>321</v>
      </c>
      <c r="I1767" s="153" t="s">
        <v>755</v>
      </c>
      <c r="J1767" s="153" t="s">
        <v>204</v>
      </c>
      <c r="K1767" s="153" t="s">
        <v>204</v>
      </c>
      <c r="L1767" s="153" t="s">
        <v>325</v>
      </c>
      <c r="M1767" s="153" t="s">
        <v>340</v>
      </c>
      <c r="N1767" s="153" t="s">
        <v>480</v>
      </c>
      <c r="O1767" s="153" t="s">
        <v>339</v>
      </c>
      <c r="P1767" s="153" t="s">
        <v>1566</v>
      </c>
      <c r="Q1767" s="153" t="s">
        <v>413</v>
      </c>
      <c r="R1767" s="153" t="s">
        <v>407</v>
      </c>
      <c r="S1767" s="153" t="s">
        <v>1212</v>
      </c>
      <c r="T1767" s="154">
        <v>0.73</v>
      </c>
      <c r="U1767" s="153" t="s">
        <v>1749</v>
      </c>
      <c r="V1767" s="155">
        <v>3.2149999999999998E-2</v>
      </c>
      <c r="W1767" s="155">
        <v>7.2599999999999998E-2</v>
      </c>
      <c r="X1767" s="153" t="s">
        <v>412</v>
      </c>
      <c r="Y1767" s="153" t="s">
        <v>339</v>
      </c>
      <c r="Z1767" s="154">
        <v>60000</v>
      </c>
      <c r="AA1767" s="154">
        <v>1</v>
      </c>
      <c r="AB1767" s="154">
        <v>103.4</v>
      </c>
      <c r="AD1767" s="154">
        <v>62.04</v>
      </c>
      <c r="AG1767" s="157" t="s">
        <v>15</v>
      </c>
      <c r="AH1767" s="155">
        <v>4.2999999999999999E-4</v>
      </c>
      <c r="AI1767" s="155">
        <f t="shared" si="27"/>
        <v>3.5488772900168952E-3</v>
      </c>
      <c r="AJ1767" s="155">
        <v>3.538101586822881E-4</v>
      </c>
    </row>
    <row r="1768" spans="1:36" s="160" customFormat="1">
      <c r="A1768" s="153" t="s">
        <v>1213</v>
      </c>
      <c r="B1768" s="160">
        <v>9630</v>
      </c>
      <c r="C1768" s="153" t="s">
        <v>1534</v>
      </c>
      <c r="D1768" s="153" t="s">
        <v>1535</v>
      </c>
      <c r="E1768" s="153" t="s">
        <v>309</v>
      </c>
      <c r="F1768" s="153" t="s">
        <v>2286</v>
      </c>
      <c r="G1768" s="153" t="s">
        <v>2287</v>
      </c>
      <c r="H1768" s="153" t="s">
        <v>321</v>
      </c>
      <c r="I1768" s="153" t="s">
        <v>754</v>
      </c>
      <c r="J1768" s="153" t="s">
        <v>204</v>
      </c>
      <c r="K1768" s="153" t="s">
        <v>204</v>
      </c>
      <c r="L1768" s="153" t="s">
        <v>325</v>
      </c>
      <c r="M1768" s="153" t="s">
        <v>340</v>
      </c>
      <c r="N1768" s="153" t="s">
        <v>464</v>
      </c>
      <c r="O1768" s="153" t="s">
        <v>339</v>
      </c>
      <c r="P1768" s="153" t="s">
        <v>2011</v>
      </c>
      <c r="Q1768" s="153" t="s">
        <v>415</v>
      </c>
      <c r="R1768" s="153" t="s">
        <v>407</v>
      </c>
      <c r="S1768" s="153" t="s">
        <v>1212</v>
      </c>
      <c r="T1768" s="154">
        <v>2.1800000000000002</v>
      </c>
      <c r="U1768" s="153" t="s">
        <v>2288</v>
      </c>
      <c r="V1768" s="155">
        <v>6.0299999999999998E-3</v>
      </c>
      <c r="W1768" s="155">
        <v>2.6499999999999999E-2</v>
      </c>
      <c r="X1768" s="153" t="s">
        <v>412</v>
      </c>
      <c r="Y1768" s="153" t="s">
        <v>339</v>
      </c>
      <c r="Z1768" s="154">
        <v>52267.199999999997</v>
      </c>
      <c r="AA1768" s="154">
        <v>1</v>
      </c>
      <c r="AB1768" s="154">
        <v>117.37</v>
      </c>
      <c r="AD1768" s="154">
        <v>61.345999999999997</v>
      </c>
      <c r="AG1768" s="157" t="s">
        <v>15</v>
      </c>
      <c r="AH1768" s="155">
        <v>5.0000000000000002E-5</v>
      </c>
      <c r="AI1768" s="155">
        <f t="shared" si="27"/>
        <v>3.5091783725560355E-3</v>
      </c>
      <c r="AJ1768" s="155">
        <v>3.498523209949008E-4</v>
      </c>
    </row>
    <row r="1769" spans="1:36" s="160" customFormat="1">
      <c r="A1769" s="153" t="s">
        <v>1213</v>
      </c>
      <c r="B1769" s="160">
        <v>9630</v>
      </c>
      <c r="C1769" s="153" t="s">
        <v>2385</v>
      </c>
      <c r="D1769" s="153" t="s">
        <v>2386</v>
      </c>
      <c r="E1769" s="153" t="s">
        <v>309</v>
      </c>
      <c r="F1769" s="153" t="s">
        <v>2539</v>
      </c>
      <c r="G1769" s="153" t="s">
        <v>2540</v>
      </c>
      <c r="H1769" s="153" t="s">
        <v>321</v>
      </c>
      <c r="I1769" s="153" t="s">
        <v>951</v>
      </c>
      <c r="J1769" s="153" t="s">
        <v>204</v>
      </c>
      <c r="K1769" s="153" t="s">
        <v>204</v>
      </c>
      <c r="L1769" s="153" t="s">
        <v>325</v>
      </c>
      <c r="M1769" s="153" t="s">
        <v>340</v>
      </c>
      <c r="N1769" s="153" t="s">
        <v>464</v>
      </c>
      <c r="O1769" s="153" t="s">
        <v>339</v>
      </c>
      <c r="P1769" s="153" t="s">
        <v>1211</v>
      </c>
      <c r="Q1769" s="153" t="s">
        <v>415</v>
      </c>
      <c r="R1769" s="153" t="s">
        <v>407</v>
      </c>
      <c r="S1769" s="153" t="s">
        <v>1212</v>
      </c>
      <c r="T1769" s="154">
        <v>0.25</v>
      </c>
      <c r="U1769" s="153" t="s">
        <v>2541</v>
      </c>
      <c r="V1769" s="155">
        <v>9.7999999999999997E-4</v>
      </c>
      <c r="W1769" s="155">
        <v>4.5199999999999997E-2</v>
      </c>
      <c r="X1769" s="153" t="s">
        <v>412</v>
      </c>
      <c r="Y1769" s="153" t="s">
        <v>339</v>
      </c>
      <c r="Z1769" s="154">
        <v>48157.25</v>
      </c>
      <c r="AA1769" s="154">
        <v>1</v>
      </c>
      <c r="AB1769" s="154">
        <v>99.71</v>
      </c>
      <c r="AD1769" s="154">
        <v>48.018000000000001</v>
      </c>
      <c r="AG1769" s="157" t="s">
        <v>15</v>
      </c>
      <c r="AH1769" s="155">
        <v>4.6000000000000001E-4</v>
      </c>
      <c r="AI1769" s="155">
        <f t="shared" si="27"/>
        <v>2.7467761075440243E-3</v>
      </c>
      <c r="AJ1769" s="155">
        <v>2.7384358800138799E-4</v>
      </c>
    </row>
    <row r="1770" spans="1:36" s="160" customFormat="1">
      <c r="A1770" s="153" t="s">
        <v>1213</v>
      </c>
      <c r="B1770" s="160">
        <v>9630</v>
      </c>
      <c r="C1770" s="153" t="s">
        <v>2238</v>
      </c>
      <c r="D1770" s="153" t="s">
        <v>2239</v>
      </c>
      <c r="E1770" s="153" t="s">
        <v>309</v>
      </c>
      <c r="F1770" s="153" t="s">
        <v>2794</v>
      </c>
      <c r="G1770" s="153" t="s">
        <v>2795</v>
      </c>
      <c r="H1770" s="153" t="s">
        <v>321</v>
      </c>
      <c r="I1770" s="153" t="s">
        <v>951</v>
      </c>
      <c r="J1770" s="153" t="s">
        <v>204</v>
      </c>
      <c r="K1770" s="153" t="s">
        <v>204</v>
      </c>
      <c r="L1770" s="153" t="s">
        <v>325</v>
      </c>
      <c r="M1770" s="153" t="s">
        <v>340</v>
      </c>
      <c r="N1770" s="153" t="s">
        <v>447</v>
      </c>
      <c r="O1770" s="153" t="s">
        <v>339</v>
      </c>
      <c r="P1770" s="153" t="s">
        <v>1544</v>
      </c>
      <c r="Q1770" s="153" t="s">
        <v>415</v>
      </c>
      <c r="R1770" s="153" t="s">
        <v>407</v>
      </c>
      <c r="S1770" s="153" t="s">
        <v>1212</v>
      </c>
      <c r="T1770" s="154">
        <v>0.74</v>
      </c>
      <c r="U1770" s="153" t="s">
        <v>1848</v>
      </c>
      <c r="V1770" s="155">
        <v>5.2380000000000003E-2</v>
      </c>
      <c r="W1770" s="155">
        <v>5.4600000000000003E-2</v>
      </c>
      <c r="X1770" s="153" t="s">
        <v>412</v>
      </c>
      <c r="Y1770" s="153" t="s">
        <v>339</v>
      </c>
      <c r="Z1770" s="154">
        <v>45666</v>
      </c>
      <c r="AA1770" s="154">
        <v>1</v>
      </c>
      <c r="AB1770" s="154">
        <v>100.18</v>
      </c>
      <c r="AD1770" s="154">
        <v>45.747999999999998</v>
      </c>
      <c r="AG1770" s="157" t="s">
        <v>15</v>
      </c>
      <c r="AH1770" s="155">
        <v>4.4000000000000002E-4</v>
      </c>
      <c r="AI1770" s="155">
        <f t="shared" si="27"/>
        <v>2.6169251815553337E-3</v>
      </c>
      <c r="AJ1770" s="155">
        <v>2.6089792294321914E-4</v>
      </c>
    </row>
    <row r="1771" spans="1:36" s="160" customFormat="1">
      <c r="A1771" s="153" t="s">
        <v>1213</v>
      </c>
      <c r="B1771" s="160">
        <v>9630</v>
      </c>
      <c r="C1771" s="153" t="s">
        <v>1759</v>
      </c>
      <c r="D1771" s="153" t="s">
        <v>1760</v>
      </c>
      <c r="E1771" s="153" t="s">
        <v>309</v>
      </c>
      <c r="F1771" s="153" t="s">
        <v>2819</v>
      </c>
      <c r="G1771" s="153" t="s">
        <v>2820</v>
      </c>
      <c r="H1771" s="153" t="s">
        <v>321</v>
      </c>
      <c r="I1771" s="153" t="s">
        <v>754</v>
      </c>
      <c r="J1771" s="153" t="s">
        <v>204</v>
      </c>
      <c r="K1771" s="153" t="s">
        <v>204</v>
      </c>
      <c r="L1771" s="153" t="s">
        <v>325</v>
      </c>
      <c r="M1771" s="153" t="s">
        <v>340</v>
      </c>
      <c r="N1771" s="153" t="s">
        <v>465</v>
      </c>
      <c r="O1771" s="153" t="s">
        <v>339</v>
      </c>
      <c r="P1771" s="153" t="s">
        <v>1614</v>
      </c>
      <c r="Q1771" s="153" t="s">
        <v>415</v>
      </c>
      <c r="R1771" s="153" t="s">
        <v>407</v>
      </c>
      <c r="S1771" s="153" t="s">
        <v>1212</v>
      </c>
      <c r="T1771" s="154">
        <v>0.74</v>
      </c>
      <c r="U1771" s="153" t="s">
        <v>2821</v>
      </c>
      <c r="V1771" s="155">
        <v>3.3579999999999999E-2</v>
      </c>
      <c r="W1771" s="155">
        <v>2.7099999999999999E-2</v>
      </c>
      <c r="X1771" s="153" t="s">
        <v>412</v>
      </c>
      <c r="Y1771" s="153" t="s">
        <v>339</v>
      </c>
      <c r="Z1771" s="154">
        <v>34749.199999999997</v>
      </c>
      <c r="AA1771" s="154">
        <v>1</v>
      </c>
      <c r="AB1771" s="154">
        <v>118.92</v>
      </c>
      <c r="AD1771" s="154">
        <v>41.323999999999998</v>
      </c>
      <c r="AG1771" s="157" t="s">
        <v>15</v>
      </c>
      <c r="AH1771" s="155">
        <v>2.4000000000000001E-4</v>
      </c>
      <c r="AI1771" s="155">
        <f t="shared" si="27"/>
        <v>2.3638588835051284E-3</v>
      </c>
      <c r="AJ1771" s="155">
        <v>2.3566813342016236E-4</v>
      </c>
    </row>
    <row r="1772" spans="1:36" s="160" customFormat="1">
      <c r="A1772" s="153" t="s">
        <v>1213</v>
      </c>
      <c r="B1772" s="160">
        <v>9630</v>
      </c>
      <c r="C1772" s="153" t="s">
        <v>2753</v>
      </c>
      <c r="D1772" s="153" t="s">
        <v>2754</v>
      </c>
      <c r="E1772" s="153" t="s">
        <v>309</v>
      </c>
      <c r="F1772" s="153" t="s">
        <v>2843</v>
      </c>
      <c r="G1772" s="153" t="s">
        <v>2844</v>
      </c>
      <c r="H1772" s="153" t="s">
        <v>321</v>
      </c>
      <c r="I1772" s="153" t="s">
        <v>951</v>
      </c>
      <c r="J1772" s="153" t="s">
        <v>204</v>
      </c>
      <c r="K1772" s="153" t="s">
        <v>204</v>
      </c>
      <c r="L1772" s="153" t="s">
        <v>325</v>
      </c>
      <c r="M1772" s="153" t="s">
        <v>340</v>
      </c>
      <c r="N1772" s="153" t="s">
        <v>447</v>
      </c>
      <c r="O1772" s="153" t="s">
        <v>339</v>
      </c>
      <c r="P1772" s="153" t="s">
        <v>1586</v>
      </c>
      <c r="Q1772" s="153" t="s">
        <v>415</v>
      </c>
      <c r="R1772" s="153" t="s">
        <v>407</v>
      </c>
      <c r="S1772" s="153" t="s">
        <v>1212</v>
      </c>
      <c r="T1772" s="154">
        <v>0.73</v>
      </c>
      <c r="U1772" s="153" t="s">
        <v>1848</v>
      </c>
      <c r="V1772" s="155">
        <v>3.5860000000000003E-2</v>
      </c>
      <c r="W1772" s="155">
        <v>6.1499999999999999E-2</v>
      </c>
      <c r="X1772" s="153" t="s">
        <v>412</v>
      </c>
      <c r="Y1772" s="153" t="s">
        <v>339</v>
      </c>
      <c r="Z1772" s="154">
        <v>38476.5</v>
      </c>
      <c r="AA1772" s="154">
        <v>1</v>
      </c>
      <c r="AB1772" s="154">
        <v>99.92</v>
      </c>
      <c r="AD1772" s="154">
        <v>38.445999999999998</v>
      </c>
      <c r="AG1772" s="157" t="s">
        <v>15</v>
      </c>
      <c r="AH1772" s="155">
        <v>5.8E-4</v>
      </c>
      <c r="AI1772" s="155">
        <f t="shared" si="27"/>
        <v>2.1992285024498635E-3</v>
      </c>
      <c r="AJ1772" s="155">
        <v>2.1925508318341793E-4</v>
      </c>
    </row>
    <row r="1773" spans="1:36" s="160" customFormat="1">
      <c r="A1773" s="153" t="s">
        <v>1213</v>
      </c>
      <c r="B1773" s="160">
        <v>9630</v>
      </c>
      <c r="C1773" s="153" t="s">
        <v>2408</v>
      </c>
      <c r="D1773" s="153" t="s">
        <v>2409</v>
      </c>
      <c r="E1773" s="153" t="s">
        <v>309</v>
      </c>
      <c r="F1773" s="153" t="s">
        <v>2410</v>
      </c>
      <c r="G1773" s="153" t="s">
        <v>2411</v>
      </c>
      <c r="H1773" s="153" t="s">
        <v>321</v>
      </c>
      <c r="I1773" s="153" t="s">
        <v>951</v>
      </c>
      <c r="J1773" s="153" t="s">
        <v>204</v>
      </c>
      <c r="K1773" s="153" t="s">
        <v>204</v>
      </c>
      <c r="L1773" s="153" t="s">
        <v>325</v>
      </c>
      <c r="M1773" s="153" t="s">
        <v>340</v>
      </c>
      <c r="N1773" s="153" t="s">
        <v>451</v>
      </c>
      <c r="O1773" s="153" t="s">
        <v>339</v>
      </c>
      <c r="P1773" s="153" t="s">
        <v>1521</v>
      </c>
      <c r="Q1773" s="153" t="s">
        <v>413</v>
      </c>
      <c r="R1773" s="153" t="s">
        <v>407</v>
      </c>
      <c r="S1773" s="153" t="s">
        <v>1212</v>
      </c>
      <c r="T1773" s="154">
        <v>1.46</v>
      </c>
      <c r="U1773" s="153" t="s">
        <v>1522</v>
      </c>
      <c r="V1773" s="155">
        <v>2.1659999999999999E-2</v>
      </c>
      <c r="W1773" s="155">
        <v>5.8700000000000002E-2</v>
      </c>
      <c r="X1773" s="153" t="s">
        <v>412</v>
      </c>
      <c r="Y1773" s="153" t="s">
        <v>339</v>
      </c>
      <c r="Z1773" s="154">
        <v>39090.6</v>
      </c>
      <c r="AA1773" s="154">
        <v>1</v>
      </c>
      <c r="AB1773" s="154">
        <v>97.35</v>
      </c>
      <c r="AD1773" s="154">
        <v>38.055</v>
      </c>
      <c r="AG1773" s="157" t="s">
        <v>15</v>
      </c>
      <c r="AH1773" s="155">
        <v>6.9999999999999994E-5</v>
      </c>
      <c r="AI1773" s="155">
        <f t="shared" si="27"/>
        <v>2.176862109471195E-3</v>
      </c>
      <c r="AJ1773" s="155">
        <v>2.1702523514916945E-4</v>
      </c>
    </row>
    <row r="1774" spans="1:36" s="160" customFormat="1">
      <c r="A1774" s="153" t="s">
        <v>1213</v>
      </c>
      <c r="B1774" s="160">
        <v>9630</v>
      </c>
      <c r="C1774" s="153" t="s">
        <v>2361</v>
      </c>
      <c r="D1774" s="153" t="s">
        <v>2362</v>
      </c>
      <c r="E1774" s="153" t="s">
        <v>309</v>
      </c>
      <c r="F1774" s="153" t="s">
        <v>2363</v>
      </c>
      <c r="G1774" s="153" t="s">
        <v>2364</v>
      </c>
      <c r="H1774" s="153" t="s">
        <v>321</v>
      </c>
      <c r="I1774" s="153" t="s">
        <v>951</v>
      </c>
      <c r="J1774" s="153" t="s">
        <v>204</v>
      </c>
      <c r="K1774" s="153" t="s">
        <v>204</v>
      </c>
      <c r="L1774" s="153" t="s">
        <v>325</v>
      </c>
      <c r="M1774" s="153" t="s">
        <v>340</v>
      </c>
      <c r="N1774" s="153" t="s">
        <v>446</v>
      </c>
      <c r="O1774" s="153" t="s">
        <v>339</v>
      </c>
      <c r="P1774" s="153" t="s">
        <v>1538</v>
      </c>
      <c r="Q1774" s="153" t="s">
        <v>413</v>
      </c>
      <c r="R1774" s="153" t="s">
        <v>407</v>
      </c>
      <c r="S1774" s="153" t="s">
        <v>1212</v>
      </c>
      <c r="T1774" s="154">
        <v>2.62</v>
      </c>
      <c r="U1774" s="153" t="s">
        <v>1587</v>
      </c>
      <c r="V1774" s="155">
        <v>4.8869999999999997E-2</v>
      </c>
      <c r="W1774" s="155">
        <v>5.2200000000000003E-2</v>
      </c>
      <c r="X1774" s="153" t="s">
        <v>412</v>
      </c>
      <c r="Y1774" s="153" t="s">
        <v>339</v>
      </c>
      <c r="Z1774" s="154">
        <v>39037.86</v>
      </c>
      <c r="AA1774" s="154">
        <v>1</v>
      </c>
      <c r="AB1774" s="154">
        <v>90.15</v>
      </c>
      <c r="AD1774" s="154">
        <v>35.192999999999998</v>
      </c>
      <c r="AG1774" s="157" t="s">
        <v>15</v>
      </c>
      <c r="AH1774" s="155">
        <v>4.0000000000000003E-5</v>
      </c>
      <c r="AI1774" s="155">
        <f t="shared" si="27"/>
        <v>2.0131469772334716E-3</v>
      </c>
      <c r="AJ1774" s="155">
        <v>2.0070343189080859E-4</v>
      </c>
    </row>
    <row r="1775" spans="1:36" s="160" customFormat="1">
      <c r="A1775" s="153" t="s">
        <v>1213</v>
      </c>
      <c r="B1775" s="160">
        <v>9630</v>
      </c>
      <c r="C1775" s="153" t="s">
        <v>2576</v>
      </c>
      <c r="D1775" s="153" t="s">
        <v>2577</v>
      </c>
      <c r="E1775" s="153" t="s">
        <v>309</v>
      </c>
      <c r="F1775" s="153" t="s">
        <v>2578</v>
      </c>
      <c r="G1775" s="153" t="s">
        <v>2579</v>
      </c>
      <c r="H1775" s="153" t="s">
        <v>321</v>
      </c>
      <c r="I1775" s="153" t="s">
        <v>755</v>
      </c>
      <c r="J1775" s="153" t="s">
        <v>204</v>
      </c>
      <c r="K1775" s="153" t="s">
        <v>204</v>
      </c>
      <c r="L1775" s="153" t="s">
        <v>325</v>
      </c>
      <c r="M1775" s="153" t="s">
        <v>340</v>
      </c>
      <c r="N1775" s="153" t="s">
        <v>451</v>
      </c>
      <c r="O1775" s="153" t="s">
        <v>339</v>
      </c>
      <c r="P1775" s="153" t="s">
        <v>1521</v>
      </c>
      <c r="Q1775" s="153" t="s">
        <v>413</v>
      </c>
      <c r="R1775" s="153" t="s">
        <v>407</v>
      </c>
      <c r="S1775" s="153" t="s">
        <v>1212</v>
      </c>
      <c r="T1775" s="154">
        <v>1.48</v>
      </c>
      <c r="U1775" s="153" t="s">
        <v>1522</v>
      </c>
      <c r="V1775" s="155">
        <v>5.4469999999999998E-2</v>
      </c>
      <c r="W1775" s="155">
        <v>7.0099999999999996E-2</v>
      </c>
      <c r="X1775" s="153" t="s">
        <v>412</v>
      </c>
      <c r="Y1775" s="153" t="s">
        <v>339</v>
      </c>
      <c r="Z1775" s="154">
        <v>25207.13</v>
      </c>
      <c r="AA1775" s="154">
        <v>1</v>
      </c>
      <c r="AB1775" s="154">
        <v>105.21</v>
      </c>
      <c r="AD1775" s="154">
        <v>26.52</v>
      </c>
      <c r="AG1775" s="157" t="s">
        <v>15</v>
      </c>
      <c r="AH1775" s="155">
        <v>2.3000000000000001E-4</v>
      </c>
      <c r="AI1775" s="155">
        <f t="shared" si="27"/>
        <v>1.5170249150749204E-3</v>
      </c>
      <c r="AJ1775" s="155">
        <v>1.5124186667076533E-4</v>
      </c>
    </row>
    <row r="1776" spans="1:36" s="160" customFormat="1">
      <c r="A1776" s="153" t="s">
        <v>1213</v>
      </c>
      <c r="B1776" s="160">
        <v>9630</v>
      </c>
      <c r="C1776" s="153" t="s">
        <v>2824</v>
      </c>
      <c r="D1776" s="153" t="s">
        <v>2825</v>
      </c>
      <c r="E1776" s="153" t="s">
        <v>309</v>
      </c>
      <c r="F1776" s="153" t="s">
        <v>2826</v>
      </c>
      <c r="G1776" s="153" t="s">
        <v>2827</v>
      </c>
      <c r="H1776" s="153" t="s">
        <v>321</v>
      </c>
      <c r="I1776" s="153" t="s">
        <v>951</v>
      </c>
      <c r="J1776" s="153" t="s">
        <v>204</v>
      </c>
      <c r="K1776" s="153" t="s">
        <v>204</v>
      </c>
      <c r="L1776" s="153" t="s">
        <v>325</v>
      </c>
      <c r="M1776" s="153" t="s">
        <v>340</v>
      </c>
      <c r="N1776" s="153" t="s">
        <v>463</v>
      </c>
      <c r="O1776" s="153" t="s">
        <v>339</v>
      </c>
      <c r="P1776" s="153" t="s">
        <v>1521</v>
      </c>
      <c r="Q1776" s="153" t="s">
        <v>413</v>
      </c>
      <c r="R1776" s="153" t="s">
        <v>407</v>
      </c>
      <c r="S1776" s="153" t="s">
        <v>1212</v>
      </c>
      <c r="T1776" s="154">
        <v>5.46</v>
      </c>
      <c r="U1776" s="153" t="s">
        <v>2828</v>
      </c>
      <c r="V1776" s="155">
        <v>2.24E-2</v>
      </c>
      <c r="W1776" s="155">
        <v>6.0199999999999997E-2</v>
      </c>
      <c r="X1776" s="153" t="s">
        <v>412</v>
      </c>
      <c r="Y1776" s="153" t="s">
        <v>339</v>
      </c>
      <c r="Z1776" s="154">
        <v>30333.62</v>
      </c>
      <c r="AA1776" s="154">
        <v>1</v>
      </c>
      <c r="AB1776" s="154">
        <v>82.39</v>
      </c>
      <c r="AD1776" s="154">
        <v>24.992000000000001</v>
      </c>
      <c r="AG1776" s="157" t="s">
        <v>15</v>
      </c>
      <c r="AH1776" s="155">
        <v>3.0000000000000001E-5</v>
      </c>
      <c r="AI1776" s="155">
        <f t="shared" si="27"/>
        <v>1.4296186529997139E-3</v>
      </c>
      <c r="AJ1776" s="155">
        <v>1.4252778023513452E-4</v>
      </c>
    </row>
    <row r="1777" spans="1:36" s="160" customFormat="1">
      <c r="A1777" s="153" t="s">
        <v>1213</v>
      </c>
      <c r="B1777" s="160">
        <v>9630</v>
      </c>
      <c r="C1777" s="153" t="s">
        <v>2771</v>
      </c>
      <c r="D1777" s="153" t="s">
        <v>2772</v>
      </c>
      <c r="E1777" s="153" t="s">
        <v>309</v>
      </c>
      <c r="F1777" s="153" t="s">
        <v>2822</v>
      </c>
      <c r="G1777" s="153" t="s">
        <v>2823</v>
      </c>
      <c r="H1777" s="153" t="s">
        <v>321</v>
      </c>
      <c r="I1777" s="153" t="s">
        <v>951</v>
      </c>
      <c r="J1777" s="153" t="s">
        <v>204</v>
      </c>
      <c r="K1777" s="153" t="s">
        <v>204</v>
      </c>
      <c r="L1777" s="153" t="s">
        <v>325</v>
      </c>
      <c r="M1777" s="153" t="s">
        <v>340</v>
      </c>
      <c r="N1777" s="153" t="s">
        <v>447</v>
      </c>
      <c r="O1777" s="153" t="s">
        <v>339</v>
      </c>
      <c r="P1777" s="153" t="s">
        <v>1614</v>
      </c>
      <c r="Q1777" s="153" t="s">
        <v>415</v>
      </c>
      <c r="R1777" s="153" t="s">
        <v>407</v>
      </c>
      <c r="S1777" s="153" t="s">
        <v>1212</v>
      </c>
      <c r="T1777" s="154">
        <v>1.36</v>
      </c>
      <c r="U1777" s="153" t="s">
        <v>1659</v>
      </c>
      <c r="V1777" s="155">
        <v>2.818E-2</v>
      </c>
      <c r="W1777" s="155">
        <v>5.9299999999999999E-2</v>
      </c>
      <c r="X1777" s="153" t="s">
        <v>412</v>
      </c>
      <c r="Y1777" s="153" t="s">
        <v>339</v>
      </c>
      <c r="Z1777" s="154">
        <v>23454.04</v>
      </c>
      <c r="AA1777" s="154">
        <v>1</v>
      </c>
      <c r="AB1777" s="154">
        <v>96.89</v>
      </c>
      <c r="AD1777" s="154">
        <v>22.725000000000001</v>
      </c>
      <c r="AG1777" s="157" t="s">
        <v>15</v>
      </c>
      <c r="AH1777" s="155">
        <v>8.0000000000000007E-5</v>
      </c>
      <c r="AI1777" s="155">
        <f t="shared" si="27"/>
        <v>1.2999393361643125E-3</v>
      </c>
      <c r="AJ1777" s="155">
        <v>1.2959922398541259E-4</v>
      </c>
    </row>
    <row r="1778" spans="1:36" s="160" customFormat="1">
      <c r="A1778" s="153" t="s">
        <v>1213</v>
      </c>
      <c r="B1778" s="160">
        <v>9630</v>
      </c>
      <c r="C1778" s="153" t="s">
        <v>2757</v>
      </c>
      <c r="D1778" s="153" t="s">
        <v>2758</v>
      </c>
      <c r="E1778" s="153" t="s">
        <v>309</v>
      </c>
      <c r="F1778" s="153" t="s">
        <v>2759</v>
      </c>
      <c r="G1778" s="153" t="s">
        <v>2760</v>
      </c>
      <c r="H1778" s="153" t="s">
        <v>321</v>
      </c>
      <c r="I1778" s="153" t="s">
        <v>755</v>
      </c>
      <c r="J1778" s="153" t="s">
        <v>204</v>
      </c>
      <c r="K1778" s="153" t="s">
        <v>204</v>
      </c>
      <c r="L1778" s="153" t="s">
        <v>325</v>
      </c>
      <c r="M1778" s="153" t="s">
        <v>340</v>
      </c>
      <c r="N1778" s="153" t="s">
        <v>440</v>
      </c>
      <c r="O1778" s="153" t="s">
        <v>339</v>
      </c>
      <c r="P1778" s="153" t="s">
        <v>1521</v>
      </c>
      <c r="Q1778" s="153" t="s">
        <v>413</v>
      </c>
      <c r="R1778" s="153" t="s">
        <v>407</v>
      </c>
      <c r="S1778" s="153" t="s">
        <v>1212</v>
      </c>
      <c r="T1778" s="154">
        <v>0.74</v>
      </c>
      <c r="U1778" s="153" t="s">
        <v>2761</v>
      </c>
      <c r="V1778" s="155">
        <v>4.249E-2</v>
      </c>
      <c r="W1778" s="155">
        <v>7.5899999999999995E-2</v>
      </c>
      <c r="X1778" s="153" t="s">
        <v>412</v>
      </c>
      <c r="Y1778" s="153" t="s">
        <v>339</v>
      </c>
      <c r="Z1778" s="154">
        <v>16800</v>
      </c>
      <c r="AA1778" s="154">
        <v>1</v>
      </c>
      <c r="AB1778" s="154">
        <v>100.15</v>
      </c>
      <c r="AD1778" s="154">
        <v>16.824999999999999</v>
      </c>
      <c r="AG1778" s="157" t="s">
        <v>15</v>
      </c>
      <c r="AH1778" s="155">
        <v>6.9999999999999994E-5</v>
      </c>
      <c r="AI1778" s="155">
        <f t="shared" si="27"/>
        <v>9.6244133469591006E-4</v>
      </c>
      <c r="AJ1778" s="155">
        <v>9.5951900706471582E-5</v>
      </c>
    </row>
    <row r="1779" spans="1:36" s="160" customFormat="1">
      <c r="A1779" s="153" t="s">
        <v>1213</v>
      </c>
      <c r="B1779" s="160">
        <v>9630</v>
      </c>
      <c r="C1779" s="153" t="s">
        <v>2336</v>
      </c>
      <c r="D1779" s="153" t="s">
        <v>2337</v>
      </c>
      <c r="E1779" s="153" t="s">
        <v>309</v>
      </c>
      <c r="F1779" s="153" t="s">
        <v>2796</v>
      </c>
      <c r="G1779" s="153" t="s">
        <v>2797</v>
      </c>
      <c r="H1779" s="153" t="s">
        <v>321</v>
      </c>
      <c r="I1779" s="153" t="s">
        <v>754</v>
      </c>
      <c r="J1779" s="153" t="s">
        <v>204</v>
      </c>
      <c r="K1779" s="153" t="s">
        <v>204</v>
      </c>
      <c r="L1779" s="153" t="s">
        <v>325</v>
      </c>
      <c r="M1779" s="153" t="s">
        <v>340</v>
      </c>
      <c r="N1779" s="153" t="s">
        <v>464</v>
      </c>
      <c r="O1779" s="153" t="s">
        <v>339</v>
      </c>
      <c r="P1779" s="153" t="s">
        <v>1982</v>
      </c>
      <c r="Q1779" s="153" t="s">
        <v>415</v>
      </c>
      <c r="R1779" s="153" t="s">
        <v>407</v>
      </c>
      <c r="S1779" s="153" t="s">
        <v>1212</v>
      </c>
      <c r="T1779" s="154">
        <v>2.91</v>
      </c>
      <c r="U1779" s="153" t="s">
        <v>2798</v>
      </c>
      <c r="V1779" s="155">
        <v>6.3099999999999996E-3</v>
      </c>
      <c r="W1779" s="155">
        <v>2.76E-2</v>
      </c>
      <c r="X1779" s="153" t="s">
        <v>412</v>
      </c>
      <c r="Y1779" s="153" t="s">
        <v>339</v>
      </c>
      <c r="Z1779" s="154">
        <v>12597</v>
      </c>
      <c r="AA1779" s="154">
        <v>1</v>
      </c>
      <c r="AB1779" s="154">
        <v>114.46</v>
      </c>
      <c r="AD1779" s="154">
        <v>14.419</v>
      </c>
      <c r="AG1779" s="157" t="s">
        <v>15</v>
      </c>
      <c r="AH1779" s="155">
        <v>1.0000000000000001E-5</v>
      </c>
      <c r="AI1779" s="155">
        <f t="shared" si="27"/>
        <v>8.2481079375811754E-4</v>
      </c>
      <c r="AJ1779" s="155">
        <v>8.2230636332042428E-5</v>
      </c>
    </row>
    <row r="1780" spans="1:36" s="160" customFormat="1">
      <c r="A1780" s="153" t="s">
        <v>1213</v>
      </c>
      <c r="B1780" s="160">
        <v>9630</v>
      </c>
      <c r="C1780" s="153" t="s">
        <v>1973</v>
      </c>
      <c r="D1780" s="153" t="s">
        <v>1974</v>
      </c>
      <c r="E1780" s="153" t="s">
        <v>309</v>
      </c>
      <c r="F1780" s="153" t="s">
        <v>2004</v>
      </c>
      <c r="G1780" s="153" t="s">
        <v>2005</v>
      </c>
      <c r="H1780" s="153" t="s">
        <v>321</v>
      </c>
      <c r="I1780" s="153" t="s">
        <v>754</v>
      </c>
      <c r="J1780" s="153" t="s">
        <v>204</v>
      </c>
      <c r="K1780" s="153" t="s">
        <v>204</v>
      </c>
      <c r="L1780" s="153" t="s">
        <v>325</v>
      </c>
      <c r="M1780" s="153" t="s">
        <v>340</v>
      </c>
      <c r="N1780" s="153" t="s">
        <v>464</v>
      </c>
      <c r="O1780" s="153" t="s">
        <v>339</v>
      </c>
      <c r="P1780" s="153" t="s">
        <v>1538</v>
      </c>
      <c r="Q1780" s="153" t="s">
        <v>413</v>
      </c>
      <c r="R1780" s="153" t="s">
        <v>407</v>
      </c>
      <c r="S1780" s="153" t="s">
        <v>1212</v>
      </c>
      <c r="T1780" s="154">
        <v>3.44</v>
      </c>
      <c r="U1780" s="153" t="s">
        <v>1913</v>
      </c>
      <c r="V1780" s="155">
        <v>4.4319999999999998E-2</v>
      </c>
      <c r="W1780" s="155">
        <v>2.93E-2</v>
      </c>
      <c r="X1780" s="153" t="s">
        <v>412</v>
      </c>
      <c r="Y1780" s="153" t="s">
        <v>339</v>
      </c>
      <c r="Z1780" s="154">
        <v>5438.25</v>
      </c>
      <c r="AA1780" s="154">
        <v>1</v>
      </c>
      <c r="AB1780" s="154">
        <v>117.13</v>
      </c>
      <c r="AD1780" s="154">
        <v>6.37</v>
      </c>
      <c r="AG1780" s="157" t="s">
        <v>15</v>
      </c>
      <c r="AH1780" s="155">
        <v>0</v>
      </c>
      <c r="AI1780" s="155">
        <f t="shared" si="27"/>
        <v>3.6438343548368185E-4</v>
      </c>
      <c r="AJ1780" s="155">
        <v>3.6327703268958341E-5</v>
      </c>
    </row>
    <row r="1781" spans="1:36" s="160" customFormat="1">
      <c r="A1781" s="153" t="s">
        <v>1213</v>
      </c>
      <c r="B1781" s="160">
        <v>9630</v>
      </c>
      <c r="C1781" s="153" t="s">
        <v>1917</v>
      </c>
      <c r="D1781" s="153" t="s">
        <v>1918</v>
      </c>
      <c r="E1781" s="153" t="s">
        <v>309</v>
      </c>
      <c r="F1781" s="153" t="s">
        <v>2799</v>
      </c>
      <c r="G1781" s="153" t="s">
        <v>2800</v>
      </c>
      <c r="H1781" s="153" t="s">
        <v>321</v>
      </c>
      <c r="I1781" s="153" t="s">
        <v>951</v>
      </c>
      <c r="J1781" s="153" t="s">
        <v>204</v>
      </c>
      <c r="K1781" s="153" t="s">
        <v>204</v>
      </c>
      <c r="L1781" s="153" t="s">
        <v>325</v>
      </c>
      <c r="M1781" s="153" t="s">
        <v>340</v>
      </c>
      <c r="N1781" s="153" t="s">
        <v>447</v>
      </c>
      <c r="O1781" s="153" t="s">
        <v>339</v>
      </c>
      <c r="P1781" s="153" t="s">
        <v>1560</v>
      </c>
      <c r="Q1781" s="153" t="s">
        <v>413</v>
      </c>
      <c r="R1781" s="153" t="s">
        <v>407</v>
      </c>
      <c r="S1781" s="153" t="s">
        <v>1212</v>
      </c>
      <c r="T1781" s="154">
        <v>0.6</v>
      </c>
      <c r="U1781" s="153" t="s">
        <v>2801</v>
      </c>
      <c r="V1781" s="155">
        <v>5.9389999999999998E-2</v>
      </c>
      <c r="W1781" s="155">
        <v>6.13E-2</v>
      </c>
      <c r="X1781" s="153" t="s">
        <v>412</v>
      </c>
      <c r="Y1781" s="153" t="s">
        <v>339</v>
      </c>
      <c r="Z1781" s="154">
        <v>4283</v>
      </c>
      <c r="AA1781" s="154">
        <v>1</v>
      </c>
      <c r="AB1781" s="154">
        <v>100.56</v>
      </c>
      <c r="AD1781" s="154">
        <v>4.3070000000000004</v>
      </c>
      <c r="AG1781" s="157" t="s">
        <v>15</v>
      </c>
      <c r="AH1781" s="155">
        <v>4.0000000000000003E-5</v>
      </c>
      <c r="AI1781" s="155">
        <f t="shared" si="27"/>
        <v>2.4637354107193371E-4</v>
      </c>
      <c r="AJ1781" s="155">
        <v>2.4562545993626934E-5</v>
      </c>
    </row>
    <row r="1782" spans="1:36" s="160" customFormat="1">
      <c r="A1782" s="153" t="s">
        <v>1213</v>
      </c>
      <c r="B1782" s="160">
        <v>9630</v>
      </c>
      <c r="C1782" s="153" t="s">
        <v>2298</v>
      </c>
      <c r="D1782" s="153" t="s">
        <v>2299</v>
      </c>
      <c r="E1782" s="153" t="s">
        <v>309</v>
      </c>
      <c r="F1782" s="153" t="s">
        <v>2562</v>
      </c>
      <c r="G1782" s="153" t="s">
        <v>2563</v>
      </c>
      <c r="H1782" s="153" t="s">
        <v>321</v>
      </c>
      <c r="I1782" s="153" t="s">
        <v>951</v>
      </c>
      <c r="J1782" s="153" t="s">
        <v>204</v>
      </c>
      <c r="K1782" s="153" t="s">
        <v>204</v>
      </c>
      <c r="L1782" s="153" t="s">
        <v>325</v>
      </c>
      <c r="M1782" s="153" t="s">
        <v>340</v>
      </c>
      <c r="N1782" s="153" t="s">
        <v>462</v>
      </c>
      <c r="O1782" s="153" t="s">
        <v>339</v>
      </c>
      <c r="P1782" s="153" t="s">
        <v>1566</v>
      </c>
      <c r="Q1782" s="153" t="s">
        <v>413</v>
      </c>
      <c r="R1782" s="153" t="s">
        <v>407</v>
      </c>
      <c r="S1782" s="153" t="s">
        <v>1212</v>
      </c>
      <c r="T1782" s="154">
        <v>1.1499999999999999</v>
      </c>
      <c r="U1782" s="153" t="s">
        <v>2232</v>
      </c>
      <c r="V1782" s="155">
        <v>1.231E-2</v>
      </c>
      <c r="W1782" s="155">
        <v>5.5399999999999998E-2</v>
      </c>
      <c r="X1782" s="153" t="s">
        <v>412</v>
      </c>
      <c r="Y1782" s="153" t="s">
        <v>339</v>
      </c>
      <c r="Z1782" s="154">
        <v>2814.78</v>
      </c>
      <c r="AA1782" s="154">
        <v>1</v>
      </c>
      <c r="AB1782" s="154">
        <v>97.21</v>
      </c>
      <c r="AD1782" s="154">
        <v>2.7360000000000002</v>
      </c>
      <c r="AG1782" s="157" t="s">
        <v>15</v>
      </c>
      <c r="AH1782" s="155">
        <v>2.0000000000000002E-5</v>
      </c>
      <c r="AI1782" s="155">
        <f t="shared" si="27"/>
        <v>1.5650754779958454E-4</v>
      </c>
      <c r="AJ1782" s="155">
        <v>1.5603233303590269E-5</v>
      </c>
    </row>
    <row r="1783" spans="1:36" s="160" customFormat="1">
      <c r="A1783" s="153" t="s">
        <v>1213</v>
      </c>
      <c r="B1783" s="160">
        <v>9630</v>
      </c>
      <c r="C1783" s="153" t="s">
        <v>1986</v>
      </c>
      <c r="D1783" s="153" t="s">
        <v>1987</v>
      </c>
      <c r="E1783" s="153" t="s">
        <v>309</v>
      </c>
      <c r="F1783" s="153" t="s">
        <v>2504</v>
      </c>
      <c r="G1783" s="153" t="s">
        <v>2505</v>
      </c>
      <c r="H1783" s="153" t="s">
        <v>321</v>
      </c>
      <c r="I1783" s="153" t="s">
        <v>951</v>
      </c>
      <c r="J1783" s="153" t="s">
        <v>204</v>
      </c>
      <c r="K1783" s="153" t="s">
        <v>204</v>
      </c>
      <c r="L1783" s="153" t="s">
        <v>325</v>
      </c>
      <c r="M1783" s="153" t="s">
        <v>340</v>
      </c>
      <c r="N1783" s="153" t="s">
        <v>484</v>
      </c>
      <c r="O1783" s="153" t="s">
        <v>339</v>
      </c>
      <c r="P1783" s="153" t="s">
        <v>1538</v>
      </c>
      <c r="Q1783" s="153" t="s">
        <v>413</v>
      </c>
      <c r="R1783" s="153" t="s">
        <v>407</v>
      </c>
      <c r="S1783" s="153" t="s">
        <v>1212</v>
      </c>
      <c r="T1783" s="154">
        <v>0.65</v>
      </c>
      <c r="U1783" s="153" t="s">
        <v>2372</v>
      </c>
      <c r="V1783" s="155">
        <v>3.066E-2</v>
      </c>
      <c r="W1783" s="155">
        <v>5.0500000000000003E-2</v>
      </c>
      <c r="X1783" s="153" t="s">
        <v>412</v>
      </c>
      <c r="Y1783" s="153" t="s">
        <v>339</v>
      </c>
      <c r="Z1783" s="154">
        <v>1382.26</v>
      </c>
      <c r="AA1783" s="154">
        <v>1</v>
      </c>
      <c r="AB1783" s="154">
        <v>100.35</v>
      </c>
      <c r="AD1783" s="154">
        <v>1.387</v>
      </c>
      <c r="AG1783" s="157" t="s">
        <v>15</v>
      </c>
      <c r="AH1783" s="155">
        <v>0</v>
      </c>
      <c r="AI1783" s="155">
        <f t="shared" si="27"/>
        <v>7.9340631870622715E-5</v>
      </c>
      <c r="AJ1783" s="155">
        <v>7.9099724386256226E-6</v>
      </c>
    </row>
    <row r="1784" spans="1:36" s="160" customFormat="1">
      <c r="A1784" s="153" t="s">
        <v>1213</v>
      </c>
      <c r="B1784" s="160">
        <v>9630</v>
      </c>
      <c r="C1784" s="153" t="s">
        <v>2775</v>
      </c>
      <c r="D1784" s="153" t="s">
        <v>2776</v>
      </c>
      <c r="E1784" s="153" t="s">
        <v>80</v>
      </c>
      <c r="F1784" s="153" t="s">
        <v>2777</v>
      </c>
      <c r="G1784" s="153" t="s">
        <v>2778</v>
      </c>
      <c r="H1784" s="153" t="s">
        <v>321</v>
      </c>
      <c r="I1784" s="153" t="s">
        <v>755</v>
      </c>
      <c r="J1784" s="153" t="s">
        <v>205</v>
      </c>
      <c r="K1784" s="153" t="s">
        <v>224</v>
      </c>
      <c r="L1784" s="153" t="s">
        <v>325</v>
      </c>
      <c r="M1784" s="153" t="s">
        <v>314</v>
      </c>
      <c r="N1784" s="153" t="s">
        <v>546</v>
      </c>
      <c r="O1784" s="153" t="s">
        <v>339</v>
      </c>
      <c r="P1784" s="153" t="s">
        <v>2779</v>
      </c>
      <c r="Q1784" s="153" t="s">
        <v>433</v>
      </c>
      <c r="R1784" s="153" t="s">
        <v>407</v>
      </c>
      <c r="S1784" s="153" t="s">
        <v>1216</v>
      </c>
      <c r="T1784" s="154">
        <v>2.9239999999999999</v>
      </c>
      <c r="U1784" s="153" t="s">
        <v>1488</v>
      </c>
      <c r="V1784" s="155">
        <v>5.373E-2</v>
      </c>
      <c r="W1784" s="155">
        <v>4.6559999999999997E-2</v>
      </c>
      <c r="X1784" s="153" t="s">
        <v>412</v>
      </c>
      <c r="Y1784" s="153" t="s">
        <v>339</v>
      </c>
      <c r="Z1784" s="154">
        <v>111000</v>
      </c>
      <c r="AA1784" s="154">
        <v>3.71</v>
      </c>
      <c r="AB1784" s="154">
        <v>106.401</v>
      </c>
      <c r="AD1784" s="154">
        <v>438.16899999999998</v>
      </c>
      <c r="AG1784" s="157" t="s">
        <v>15</v>
      </c>
      <c r="AH1784" s="155">
        <v>1.1E-4</v>
      </c>
      <c r="AI1784" s="155">
        <f t="shared" si="27"/>
        <v>2.5064603695831928E-2</v>
      </c>
      <c r="AJ1784" s="155">
        <v>2.4988498294593727E-3</v>
      </c>
    </row>
    <row r="1785" spans="1:36" s="160" customFormat="1">
      <c r="A1785" s="153" t="s">
        <v>1213</v>
      </c>
      <c r="B1785" s="160">
        <v>9630</v>
      </c>
      <c r="C1785" s="153" t="s">
        <v>2829</v>
      </c>
      <c r="D1785" s="153" t="s">
        <v>2830</v>
      </c>
      <c r="E1785" s="153" t="s">
        <v>80</v>
      </c>
      <c r="F1785" s="153" t="s">
        <v>2831</v>
      </c>
      <c r="G1785" s="153" t="s">
        <v>2832</v>
      </c>
      <c r="H1785" s="153" t="s">
        <v>321</v>
      </c>
      <c r="I1785" s="153" t="s">
        <v>755</v>
      </c>
      <c r="J1785" s="153" t="s">
        <v>205</v>
      </c>
      <c r="K1785" s="153" t="s">
        <v>245</v>
      </c>
      <c r="L1785" s="153" t="s">
        <v>325</v>
      </c>
      <c r="M1785" s="153" t="s">
        <v>314</v>
      </c>
      <c r="N1785" s="153" t="s">
        <v>491</v>
      </c>
      <c r="O1785" s="153" t="s">
        <v>339</v>
      </c>
      <c r="P1785" s="153" t="s">
        <v>2833</v>
      </c>
      <c r="Q1785" s="153" t="s">
        <v>433</v>
      </c>
      <c r="R1785" s="153" t="s">
        <v>407</v>
      </c>
      <c r="S1785" s="153" t="s">
        <v>1216</v>
      </c>
      <c r="T1785" s="154">
        <v>4.0339999999999998</v>
      </c>
      <c r="U1785" s="153" t="s">
        <v>2834</v>
      </c>
      <c r="V1785" s="155">
        <v>3.3059999999999999E-2</v>
      </c>
      <c r="W1785" s="155">
        <v>5.1709999999999999E-2</v>
      </c>
      <c r="X1785" s="153" t="s">
        <v>412</v>
      </c>
      <c r="Y1785" s="153" t="s">
        <v>339</v>
      </c>
      <c r="Z1785" s="154">
        <v>59000</v>
      </c>
      <c r="AA1785" s="154">
        <v>3.71</v>
      </c>
      <c r="AB1785" s="154">
        <v>95.608999999999995</v>
      </c>
      <c r="AD1785" s="154">
        <v>209.279</v>
      </c>
      <c r="AG1785" s="157" t="s">
        <v>15</v>
      </c>
      <c r="AH1785" s="155">
        <v>1.2E-4</v>
      </c>
      <c r="AI1785" s="155">
        <f t="shared" si="27"/>
        <v>1.1971397330390808E-2</v>
      </c>
      <c r="AJ1785" s="155">
        <v>1.1935047743209311E-3</v>
      </c>
    </row>
    <row r="1786" spans="1:36" s="160" customFormat="1">
      <c r="A1786" s="153" t="s">
        <v>1213</v>
      </c>
      <c r="B1786" s="160">
        <v>9631</v>
      </c>
      <c r="C1786" s="153" t="s">
        <v>1573</v>
      </c>
      <c r="D1786" s="153" t="s">
        <v>1574</v>
      </c>
      <c r="E1786" s="153" t="s">
        <v>309</v>
      </c>
      <c r="F1786" s="153" t="s">
        <v>2277</v>
      </c>
      <c r="G1786" s="153" t="s">
        <v>2278</v>
      </c>
      <c r="H1786" s="153" t="s">
        <v>321</v>
      </c>
      <c r="I1786" s="153" t="s">
        <v>754</v>
      </c>
      <c r="J1786" s="153" t="s">
        <v>204</v>
      </c>
      <c r="K1786" s="153" t="s">
        <v>204</v>
      </c>
      <c r="L1786" s="153" t="s">
        <v>325</v>
      </c>
      <c r="M1786" s="153" t="s">
        <v>340</v>
      </c>
      <c r="N1786" s="153" t="s">
        <v>448</v>
      </c>
      <c r="O1786" s="153" t="s">
        <v>339</v>
      </c>
      <c r="P1786" s="153" t="s">
        <v>1215</v>
      </c>
      <c r="Q1786" s="153" t="s">
        <v>413</v>
      </c>
      <c r="R1786" s="153" t="s">
        <v>407</v>
      </c>
      <c r="S1786" s="153" t="s">
        <v>1212</v>
      </c>
      <c r="T1786" s="154">
        <v>3.14</v>
      </c>
      <c r="U1786" s="153" t="s">
        <v>2279</v>
      </c>
      <c r="V1786" s="155">
        <v>1.49E-2</v>
      </c>
      <c r="W1786" s="155">
        <v>2.3099999999999999E-2</v>
      </c>
      <c r="X1786" s="153" t="s">
        <v>412</v>
      </c>
      <c r="Y1786" s="153" t="s">
        <v>339</v>
      </c>
      <c r="Z1786" s="154">
        <v>454245</v>
      </c>
      <c r="AA1786" s="154">
        <v>1</v>
      </c>
      <c r="AB1786" s="154">
        <v>105.15</v>
      </c>
      <c r="AD1786" s="154">
        <v>477.63900000000001</v>
      </c>
      <c r="AG1786" s="157" t="s">
        <v>15</v>
      </c>
      <c r="AH1786" s="155">
        <v>1.3999999999999999E-4</v>
      </c>
      <c r="AI1786" s="155">
        <f t="shared" si="27"/>
        <v>3.4269239089141167E-2</v>
      </c>
      <c r="AJ1786" s="155">
        <v>4.0751002617925433E-3</v>
      </c>
    </row>
    <row r="1787" spans="1:36" s="160" customFormat="1">
      <c r="A1787" s="153" t="s">
        <v>1213</v>
      </c>
      <c r="B1787" s="160">
        <v>9631</v>
      </c>
      <c r="C1787" s="153" t="s">
        <v>455</v>
      </c>
      <c r="D1787" s="153" t="s">
        <v>2106</v>
      </c>
      <c r="E1787" s="153" t="s">
        <v>309</v>
      </c>
      <c r="F1787" s="153" t="s">
        <v>2289</v>
      </c>
      <c r="G1787" s="153" t="s">
        <v>2290</v>
      </c>
      <c r="H1787" s="153" t="s">
        <v>321</v>
      </c>
      <c r="I1787" s="153" t="s">
        <v>754</v>
      </c>
      <c r="J1787" s="153" t="s">
        <v>204</v>
      </c>
      <c r="K1787" s="153" t="s">
        <v>204</v>
      </c>
      <c r="L1787" s="153" t="s">
        <v>325</v>
      </c>
      <c r="M1787" s="153" t="s">
        <v>340</v>
      </c>
      <c r="N1787" s="153" t="s">
        <v>440</v>
      </c>
      <c r="O1787" s="153" t="s">
        <v>339</v>
      </c>
      <c r="P1787" s="153" t="s">
        <v>1923</v>
      </c>
      <c r="Q1787" s="153" t="s">
        <v>415</v>
      </c>
      <c r="R1787" s="153" t="s">
        <v>407</v>
      </c>
      <c r="S1787" s="153" t="s">
        <v>1212</v>
      </c>
      <c r="T1787" s="154">
        <v>3.44</v>
      </c>
      <c r="U1787" s="153" t="s">
        <v>2291</v>
      </c>
      <c r="V1787" s="155">
        <v>1.6410000000000001E-2</v>
      </c>
      <c r="W1787" s="155">
        <v>2.5700000000000001E-2</v>
      </c>
      <c r="X1787" s="153" t="s">
        <v>412</v>
      </c>
      <c r="Y1787" s="153" t="s">
        <v>339</v>
      </c>
      <c r="Z1787" s="154">
        <v>360852.28</v>
      </c>
      <c r="AA1787" s="154">
        <v>1</v>
      </c>
      <c r="AB1787" s="154">
        <v>121.2</v>
      </c>
      <c r="AC1787" s="154">
        <v>8.0670000000000002</v>
      </c>
      <c r="AD1787" s="154">
        <v>445.42</v>
      </c>
      <c r="AG1787" s="157" t="s">
        <v>15</v>
      </c>
      <c r="AH1787" s="155">
        <v>1.3999999999999999E-4</v>
      </c>
      <c r="AI1787" s="155">
        <f t="shared" si="27"/>
        <v>3.1957617520942096E-2</v>
      </c>
      <c r="AJ1787" s="155">
        <v>3.8002155573720626E-3</v>
      </c>
    </row>
    <row r="1788" spans="1:36" s="160" customFormat="1">
      <c r="A1788" s="153" t="s">
        <v>1213</v>
      </c>
      <c r="B1788" s="160">
        <v>9631</v>
      </c>
      <c r="C1788" s="153" t="s">
        <v>1600</v>
      </c>
      <c r="D1788" s="153" t="s">
        <v>1601</v>
      </c>
      <c r="E1788" s="153" t="s">
        <v>309</v>
      </c>
      <c r="F1788" s="153" t="s">
        <v>2701</v>
      </c>
      <c r="G1788" s="153" t="s">
        <v>2702</v>
      </c>
      <c r="H1788" s="153" t="s">
        <v>321</v>
      </c>
      <c r="I1788" s="153" t="s">
        <v>754</v>
      </c>
      <c r="J1788" s="153" t="s">
        <v>204</v>
      </c>
      <c r="K1788" s="153" t="s">
        <v>204</v>
      </c>
      <c r="L1788" s="153" t="s">
        <v>325</v>
      </c>
      <c r="M1788" s="153" t="s">
        <v>340</v>
      </c>
      <c r="N1788" s="153" t="s">
        <v>448</v>
      </c>
      <c r="O1788" s="153" t="s">
        <v>339</v>
      </c>
      <c r="P1788" s="153" t="s">
        <v>1566</v>
      </c>
      <c r="Q1788" s="153" t="s">
        <v>413</v>
      </c>
      <c r="R1788" s="153" t="s">
        <v>407</v>
      </c>
      <c r="S1788" s="153" t="s">
        <v>1212</v>
      </c>
      <c r="T1788" s="154">
        <v>4.68</v>
      </c>
      <c r="U1788" s="153" t="s">
        <v>2703</v>
      </c>
      <c r="V1788" s="155">
        <v>3.7100000000000001E-2</v>
      </c>
      <c r="W1788" s="155">
        <v>3.1600000000000003E-2</v>
      </c>
      <c r="X1788" s="153" t="s">
        <v>411</v>
      </c>
      <c r="Y1788" s="153" t="s">
        <v>339</v>
      </c>
      <c r="Z1788" s="154">
        <v>400000</v>
      </c>
      <c r="AA1788" s="154">
        <v>1</v>
      </c>
      <c r="AB1788" s="154">
        <v>108.99</v>
      </c>
      <c r="AD1788" s="154">
        <v>435.96</v>
      </c>
      <c r="AG1788" s="157" t="s">
        <v>15</v>
      </c>
      <c r="AH1788" s="155">
        <v>1.0399999999999999E-3</v>
      </c>
      <c r="AI1788" s="155">
        <f t="shared" si="27"/>
        <v>3.1278889440146188E-2</v>
      </c>
      <c r="AJ1788" s="155">
        <v>3.7195051286244988E-3</v>
      </c>
    </row>
    <row r="1789" spans="1:36" s="160" customFormat="1">
      <c r="A1789" s="153" t="s">
        <v>1213</v>
      </c>
      <c r="B1789" s="160">
        <v>9631</v>
      </c>
      <c r="C1789" s="153" t="s">
        <v>455</v>
      </c>
      <c r="D1789" s="153" t="s">
        <v>2106</v>
      </c>
      <c r="E1789" s="153" t="s">
        <v>309</v>
      </c>
      <c r="F1789" s="153" t="s">
        <v>2160</v>
      </c>
      <c r="G1789" s="153" t="s">
        <v>2161</v>
      </c>
      <c r="H1789" s="153" t="s">
        <v>321</v>
      </c>
      <c r="I1789" s="153" t="s">
        <v>754</v>
      </c>
      <c r="J1789" s="153" t="s">
        <v>204</v>
      </c>
      <c r="K1789" s="153" t="s">
        <v>204</v>
      </c>
      <c r="L1789" s="153" t="s">
        <v>325</v>
      </c>
      <c r="M1789" s="153" t="s">
        <v>340</v>
      </c>
      <c r="N1789" s="153" t="s">
        <v>440</v>
      </c>
      <c r="O1789" s="153" t="s">
        <v>339</v>
      </c>
      <c r="P1789" s="153" t="s">
        <v>1923</v>
      </c>
      <c r="Q1789" s="153" t="s">
        <v>415</v>
      </c>
      <c r="R1789" s="153" t="s">
        <v>407</v>
      </c>
      <c r="S1789" s="153" t="s">
        <v>1212</v>
      </c>
      <c r="T1789" s="154">
        <v>0.9</v>
      </c>
      <c r="U1789" s="153" t="s">
        <v>2162</v>
      </c>
      <c r="V1789" s="155">
        <v>1.908E-2</v>
      </c>
      <c r="W1789" s="155">
        <v>2.6100000000000002E-2</v>
      </c>
      <c r="X1789" s="153" t="s">
        <v>412</v>
      </c>
      <c r="Y1789" s="153" t="s">
        <v>339</v>
      </c>
      <c r="Z1789" s="154">
        <v>332672</v>
      </c>
      <c r="AA1789" s="154">
        <v>1</v>
      </c>
      <c r="AB1789" s="154">
        <v>119.4</v>
      </c>
      <c r="AD1789" s="154">
        <v>397.21</v>
      </c>
      <c r="AG1789" s="157" t="s">
        <v>15</v>
      </c>
      <c r="AH1789" s="155">
        <v>1.1E-4</v>
      </c>
      <c r="AI1789" s="155">
        <f t="shared" si="27"/>
        <v>2.8498687206442025E-2</v>
      </c>
      <c r="AJ1789" s="155">
        <v>3.3888995140401346E-3</v>
      </c>
    </row>
    <row r="1790" spans="1:36" s="160" customFormat="1">
      <c r="A1790" s="153" t="s">
        <v>1213</v>
      </c>
      <c r="B1790" s="160">
        <v>9631</v>
      </c>
      <c r="C1790" s="153" t="s">
        <v>1718</v>
      </c>
      <c r="D1790" s="153" t="s">
        <v>1719</v>
      </c>
      <c r="E1790" s="153" t="s">
        <v>309</v>
      </c>
      <c r="F1790" s="153" t="s">
        <v>1720</v>
      </c>
      <c r="G1790" s="153" t="s">
        <v>1721</v>
      </c>
      <c r="H1790" s="153" t="s">
        <v>321</v>
      </c>
      <c r="I1790" s="153" t="s">
        <v>951</v>
      </c>
      <c r="J1790" s="153" t="s">
        <v>204</v>
      </c>
      <c r="K1790" s="153" t="s">
        <v>204</v>
      </c>
      <c r="L1790" s="153" t="s">
        <v>325</v>
      </c>
      <c r="M1790" s="153" t="s">
        <v>340</v>
      </c>
      <c r="N1790" s="153" t="s">
        <v>440</v>
      </c>
      <c r="O1790" s="153" t="s">
        <v>339</v>
      </c>
      <c r="P1790" s="153" t="s">
        <v>1527</v>
      </c>
      <c r="Q1790" s="153" t="s">
        <v>415</v>
      </c>
      <c r="R1790" s="153" t="s">
        <v>407</v>
      </c>
      <c r="S1790" s="153" t="s">
        <v>1212</v>
      </c>
      <c r="T1790" s="154">
        <v>3</v>
      </c>
      <c r="U1790" s="153" t="s">
        <v>1722</v>
      </c>
      <c r="V1790" s="155">
        <v>7.2499999999999995E-2</v>
      </c>
      <c r="W1790" s="155">
        <v>6.4000000000000001E-2</v>
      </c>
      <c r="X1790" s="153" t="s">
        <v>412</v>
      </c>
      <c r="Y1790" s="153" t="s">
        <v>339</v>
      </c>
      <c r="Z1790" s="154">
        <v>315000</v>
      </c>
      <c r="AA1790" s="154">
        <v>1</v>
      </c>
      <c r="AB1790" s="154">
        <v>105.92</v>
      </c>
      <c r="AD1790" s="154">
        <v>333.64800000000002</v>
      </c>
      <c r="AG1790" s="157" t="s">
        <v>15</v>
      </c>
      <c r="AH1790" s="155">
        <v>4.4000000000000002E-4</v>
      </c>
      <c r="AI1790" s="155">
        <f t="shared" si="27"/>
        <v>2.3938294577314192E-2</v>
      </c>
      <c r="AJ1790" s="155">
        <v>2.8466039250282294E-3</v>
      </c>
    </row>
    <row r="1791" spans="1:36" s="160" customFormat="1">
      <c r="A1791" s="153" t="s">
        <v>1213</v>
      </c>
      <c r="B1791" s="160">
        <v>9631</v>
      </c>
      <c r="C1791" s="153" t="s">
        <v>2748</v>
      </c>
      <c r="D1791" s="153" t="s">
        <v>2749</v>
      </c>
      <c r="E1791" s="153" t="s">
        <v>309</v>
      </c>
      <c r="F1791" s="153" t="s">
        <v>2750</v>
      </c>
      <c r="G1791" s="153" t="s">
        <v>2751</v>
      </c>
      <c r="H1791" s="153" t="s">
        <v>321</v>
      </c>
      <c r="I1791" s="153" t="s">
        <v>754</v>
      </c>
      <c r="J1791" s="153" t="s">
        <v>204</v>
      </c>
      <c r="K1791" s="153" t="s">
        <v>204</v>
      </c>
      <c r="L1791" s="153" t="s">
        <v>325</v>
      </c>
      <c r="M1791" s="153" t="s">
        <v>340</v>
      </c>
      <c r="N1791" s="153" t="s">
        <v>464</v>
      </c>
      <c r="O1791" s="153" t="s">
        <v>339</v>
      </c>
      <c r="P1791" s="153" t="s">
        <v>1560</v>
      </c>
      <c r="Q1791" s="153" t="s">
        <v>413</v>
      </c>
      <c r="R1791" s="153" t="s">
        <v>407</v>
      </c>
      <c r="S1791" s="153" t="s">
        <v>1212</v>
      </c>
      <c r="T1791" s="154">
        <v>4.3600000000000003</v>
      </c>
      <c r="U1791" s="153" t="s">
        <v>2752</v>
      </c>
      <c r="V1791" s="155">
        <v>3.9379999999999998E-2</v>
      </c>
      <c r="W1791" s="155">
        <v>3.5099999999999999E-2</v>
      </c>
      <c r="X1791" s="153" t="s">
        <v>412</v>
      </c>
      <c r="Y1791" s="153" t="s">
        <v>339</v>
      </c>
      <c r="Z1791" s="154">
        <v>292300</v>
      </c>
      <c r="AA1791" s="154">
        <v>1</v>
      </c>
      <c r="AB1791" s="154">
        <v>108.78</v>
      </c>
      <c r="AD1791" s="154">
        <v>317.964</v>
      </c>
      <c r="AG1791" s="157" t="s">
        <v>15</v>
      </c>
      <c r="AH1791" s="155">
        <v>7.1000000000000002E-4</v>
      </c>
      <c r="AI1791" s="155">
        <f t="shared" si="27"/>
        <v>2.2813012207419586E-2</v>
      </c>
      <c r="AJ1791" s="155">
        <v>2.7127918357600701E-3</v>
      </c>
    </row>
    <row r="1792" spans="1:36" s="160" customFormat="1">
      <c r="A1792" s="153" t="s">
        <v>1213</v>
      </c>
      <c r="B1792" s="160">
        <v>9631</v>
      </c>
      <c r="C1792" s="153" t="s">
        <v>1759</v>
      </c>
      <c r="D1792" s="153" t="s">
        <v>1760</v>
      </c>
      <c r="E1792" s="153" t="s">
        <v>309</v>
      </c>
      <c r="F1792" s="153" t="s">
        <v>1914</v>
      </c>
      <c r="G1792" s="153" t="s">
        <v>1915</v>
      </c>
      <c r="H1792" s="153" t="s">
        <v>321</v>
      </c>
      <c r="I1792" s="153" t="s">
        <v>754</v>
      </c>
      <c r="J1792" s="153" t="s">
        <v>204</v>
      </c>
      <c r="K1792" s="153" t="s">
        <v>204</v>
      </c>
      <c r="L1792" s="153" t="s">
        <v>325</v>
      </c>
      <c r="M1792" s="153" t="s">
        <v>340</v>
      </c>
      <c r="N1792" s="153" t="s">
        <v>465</v>
      </c>
      <c r="O1792" s="153" t="s">
        <v>339</v>
      </c>
      <c r="P1792" s="153" t="s">
        <v>1614</v>
      </c>
      <c r="Q1792" s="153" t="s">
        <v>415</v>
      </c>
      <c r="R1792" s="153" t="s">
        <v>407</v>
      </c>
      <c r="S1792" s="153" t="s">
        <v>1212</v>
      </c>
      <c r="T1792" s="154">
        <v>4.05</v>
      </c>
      <c r="U1792" s="153" t="s">
        <v>1916</v>
      </c>
      <c r="V1792" s="155">
        <v>4.8500000000000001E-3</v>
      </c>
      <c r="W1792" s="155">
        <v>4.02E-2</v>
      </c>
      <c r="X1792" s="153" t="s">
        <v>412</v>
      </c>
      <c r="Y1792" s="153" t="s">
        <v>339</v>
      </c>
      <c r="Z1792" s="154">
        <v>326000</v>
      </c>
      <c r="AA1792" s="154">
        <v>1</v>
      </c>
      <c r="AB1792" s="154">
        <v>97.5</v>
      </c>
      <c r="AD1792" s="154">
        <v>317.85000000000002</v>
      </c>
      <c r="AG1792" s="157" t="s">
        <v>15</v>
      </c>
      <c r="AH1792" s="155">
        <v>5.1999999999999995E-4</v>
      </c>
      <c r="AI1792" s="155">
        <f t="shared" si="27"/>
        <v>2.2804833031815915E-2</v>
      </c>
      <c r="AJ1792" s="155">
        <v>2.7118192153713578E-3</v>
      </c>
    </row>
    <row r="1793" spans="1:36" s="160" customFormat="1">
      <c r="A1793" s="153" t="s">
        <v>1213</v>
      </c>
      <c r="B1793" s="160">
        <v>9631</v>
      </c>
      <c r="C1793" s="153" t="s">
        <v>1600</v>
      </c>
      <c r="D1793" s="153" t="s">
        <v>1601</v>
      </c>
      <c r="E1793" s="153" t="s">
        <v>309</v>
      </c>
      <c r="F1793" s="153" t="s">
        <v>2333</v>
      </c>
      <c r="G1793" s="153" t="s">
        <v>2334</v>
      </c>
      <c r="H1793" s="153" t="s">
        <v>321</v>
      </c>
      <c r="I1793" s="153" t="s">
        <v>754</v>
      </c>
      <c r="J1793" s="153" t="s">
        <v>204</v>
      </c>
      <c r="K1793" s="153" t="s">
        <v>204</v>
      </c>
      <c r="L1793" s="153" t="s">
        <v>325</v>
      </c>
      <c r="M1793" s="153" t="s">
        <v>340</v>
      </c>
      <c r="N1793" s="153" t="s">
        <v>448</v>
      </c>
      <c r="O1793" s="153" t="s">
        <v>339</v>
      </c>
      <c r="P1793" s="153" t="s">
        <v>1215</v>
      </c>
      <c r="Q1793" s="153" t="s">
        <v>413</v>
      </c>
      <c r="R1793" s="153" t="s">
        <v>407</v>
      </c>
      <c r="S1793" s="153" t="s">
        <v>1212</v>
      </c>
      <c r="T1793" s="154">
        <v>3.56</v>
      </c>
      <c r="U1793" s="153" t="s">
        <v>2335</v>
      </c>
      <c r="V1793" s="155">
        <v>-5.3200000000000001E-3</v>
      </c>
      <c r="W1793" s="155">
        <v>2.4E-2</v>
      </c>
      <c r="X1793" s="153" t="s">
        <v>412</v>
      </c>
      <c r="Y1793" s="153" t="s">
        <v>339</v>
      </c>
      <c r="Z1793" s="154">
        <v>296000</v>
      </c>
      <c r="AA1793" s="154">
        <v>1</v>
      </c>
      <c r="AB1793" s="154">
        <v>103.73</v>
      </c>
      <c r="AD1793" s="154">
        <v>307.041</v>
      </c>
      <c r="AG1793" s="157" t="s">
        <v>15</v>
      </c>
      <c r="AH1793" s="155">
        <v>2.5999999999999998E-4</v>
      </c>
      <c r="AI1793" s="155">
        <f t="shared" si="27"/>
        <v>2.2029318039709894E-2</v>
      </c>
      <c r="AJ1793" s="155">
        <v>2.6195994453573602E-3</v>
      </c>
    </row>
    <row r="1794" spans="1:36" s="160" customFormat="1">
      <c r="A1794" s="153" t="s">
        <v>1213</v>
      </c>
      <c r="B1794" s="160">
        <v>9631</v>
      </c>
      <c r="C1794" s="153" t="s">
        <v>455</v>
      </c>
      <c r="D1794" s="153" t="s">
        <v>2106</v>
      </c>
      <c r="E1794" s="153" t="s">
        <v>309</v>
      </c>
      <c r="F1794" s="153" t="s">
        <v>2255</v>
      </c>
      <c r="G1794" s="153" t="s">
        <v>2256</v>
      </c>
      <c r="H1794" s="153" t="s">
        <v>321</v>
      </c>
      <c r="I1794" s="153" t="s">
        <v>754</v>
      </c>
      <c r="J1794" s="153" t="s">
        <v>204</v>
      </c>
      <c r="K1794" s="153" t="s">
        <v>204</v>
      </c>
      <c r="L1794" s="153" t="s">
        <v>325</v>
      </c>
      <c r="M1794" s="153" t="s">
        <v>340</v>
      </c>
      <c r="N1794" s="153" t="s">
        <v>440</v>
      </c>
      <c r="O1794" s="153" t="s">
        <v>339</v>
      </c>
      <c r="P1794" s="153" t="s">
        <v>1923</v>
      </c>
      <c r="Q1794" s="153" t="s">
        <v>415</v>
      </c>
      <c r="R1794" s="153" t="s">
        <v>407</v>
      </c>
      <c r="S1794" s="153" t="s">
        <v>1212</v>
      </c>
      <c r="T1794" s="154">
        <v>5.8</v>
      </c>
      <c r="U1794" s="153" t="s">
        <v>2257</v>
      </c>
      <c r="V1794" s="155">
        <v>6.8100000000000001E-3</v>
      </c>
      <c r="W1794" s="155">
        <v>2.92E-2</v>
      </c>
      <c r="X1794" s="153" t="s">
        <v>412</v>
      </c>
      <c r="Y1794" s="153" t="s">
        <v>339</v>
      </c>
      <c r="Z1794" s="154">
        <v>263000</v>
      </c>
      <c r="AA1794" s="154">
        <v>1</v>
      </c>
      <c r="AB1794" s="154">
        <v>111.74</v>
      </c>
      <c r="AD1794" s="154">
        <v>293.87599999999998</v>
      </c>
      <c r="AG1794" s="157" t="s">
        <v>15</v>
      </c>
      <c r="AH1794" s="155">
        <v>6.9999999999999994E-5</v>
      </c>
      <c r="AI1794" s="155">
        <f t="shared" si="27"/>
        <v>2.1084766751794659E-2</v>
      </c>
      <c r="AJ1794" s="155">
        <v>2.5072788539766337E-3</v>
      </c>
    </row>
    <row r="1795" spans="1:36" s="160" customFormat="1">
      <c r="A1795" s="153" t="s">
        <v>1213</v>
      </c>
      <c r="B1795" s="160">
        <v>9631</v>
      </c>
      <c r="C1795" s="153" t="s">
        <v>1687</v>
      </c>
      <c r="D1795" s="153" t="s">
        <v>1688</v>
      </c>
      <c r="E1795" s="153" t="s">
        <v>309</v>
      </c>
      <c r="F1795" s="153" t="s">
        <v>2956</v>
      </c>
      <c r="G1795" s="153" t="s">
        <v>2957</v>
      </c>
      <c r="H1795" s="153" t="s">
        <v>321</v>
      </c>
      <c r="I1795" s="153" t="s">
        <v>951</v>
      </c>
      <c r="J1795" s="153" t="s">
        <v>204</v>
      </c>
      <c r="K1795" s="153" t="s">
        <v>204</v>
      </c>
      <c r="L1795" s="153" t="s">
        <v>325</v>
      </c>
      <c r="M1795" s="153" t="s">
        <v>340</v>
      </c>
      <c r="N1795" s="153" t="s">
        <v>465</v>
      </c>
      <c r="O1795" s="153" t="s">
        <v>339</v>
      </c>
      <c r="P1795" s="153" t="s">
        <v>1614</v>
      </c>
      <c r="Q1795" s="153" t="s">
        <v>415</v>
      </c>
      <c r="R1795" s="153" t="s">
        <v>407</v>
      </c>
      <c r="S1795" s="153" t="s">
        <v>1212</v>
      </c>
      <c r="T1795" s="154">
        <v>2.65</v>
      </c>
      <c r="U1795" s="153" t="s">
        <v>2613</v>
      </c>
      <c r="V1795" s="155">
        <v>2.0389999999999998E-2</v>
      </c>
      <c r="W1795" s="155">
        <v>5.6399999999999999E-2</v>
      </c>
      <c r="X1795" s="153" t="s">
        <v>412</v>
      </c>
      <c r="Y1795" s="153" t="s">
        <v>339</v>
      </c>
      <c r="Z1795" s="154">
        <v>311500</v>
      </c>
      <c r="AA1795" s="154">
        <v>1</v>
      </c>
      <c r="AB1795" s="154">
        <v>91.94</v>
      </c>
      <c r="AD1795" s="154">
        <v>286.39299999999997</v>
      </c>
      <c r="AG1795" s="157" t="s">
        <v>15</v>
      </c>
      <c r="AH1795" s="155">
        <v>4.2000000000000002E-4</v>
      </c>
      <c r="AI1795" s="155">
        <f t="shared" ref="AI1795:AI1858" si="28">AD1795/SUMIF(B:B,B1795,AD:AD)</f>
        <v>2.0547882795283478E-2</v>
      </c>
      <c r="AJ1795" s="155">
        <v>2.4434357103912193E-3</v>
      </c>
    </row>
    <row r="1796" spans="1:36" s="160" customFormat="1">
      <c r="A1796" s="153" t="s">
        <v>1213</v>
      </c>
      <c r="B1796" s="160">
        <v>9631</v>
      </c>
      <c r="C1796" s="153" t="s">
        <v>1904</v>
      </c>
      <c r="D1796" s="153" t="s">
        <v>1905</v>
      </c>
      <c r="E1796" s="153" t="s">
        <v>309</v>
      </c>
      <c r="F1796" s="153" t="s">
        <v>1906</v>
      </c>
      <c r="G1796" s="153" t="s">
        <v>1907</v>
      </c>
      <c r="H1796" s="153" t="s">
        <v>321</v>
      </c>
      <c r="I1796" s="153" t="s">
        <v>754</v>
      </c>
      <c r="J1796" s="153" t="s">
        <v>204</v>
      </c>
      <c r="K1796" s="153" t="s">
        <v>204</v>
      </c>
      <c r="L1796" s="153" t="s">
        <v>325</v>
      </c>
      <c r="M1796" s="153" t="s">
        <v>340</v>
      </c>
      <c r="N1796" s="153" t="s">
        <v>448</v>
      </c>
      <c r="O1796" s="153" t="s">
        <v>339</v>
      </c>
      <c r="P1796" s="153" t="s">
        <v>1215</v>
      </c>
      <c r="Q1796" s="153" t="s">
        <v>413</v>
      </c>
      <c r="R1796" s="153" t="s">
        <v>407</v>
      </c>
      <c r="S1796" s="153" t="s">
        <v>1212</v>
      </c>
      <c r="T1796" s="154">
        <v>3.98</v>
      </c>
      <c r="U1796" s="153" t="s">
        <v>1908</v>
      </c>
      <c r="V1796" s="155">
        <v>2.7040000000000002E-2</v>
      </c>
      <c r="W1796" s="155">
        <v>2.52E-2</v>
      </c>
      <c r="X1796" s="153" t="s">
        <v>412</v>
      </c>
      <c r="Y1796" s="153" t="s">
        <v>339</v>
      </c>
      <c r="Z1796" s="154">
        <v>272778.65999999997</v>
      </c>
      <c r="AA1796" s="154">
        <v>1</v>
      </c>
      <c r="AB1796" s="154">
        <v>102.6</v>
      </c>
      <c r="AD1796" s="154">
        <v>279.87099999999998</v>
      </c>
      <c r="AG1796" s="157" t="s">
        <v>15</v>
      </c>
      <c r="AH1796" s="155">
        <v>8.0000000000000007E-5</v>
      </c>
      <c r="AI1796" s="155">
        <f t="shared" si="28"/>
        <v>2.0079947854168164E-2</v>
      </c>
      <c r="AJ1796" s="155">
        <v>2.3877915860474976E-3</v>
      </c>
    </row>
    <row r="1797" spans="1:36" s="160" customFormat="1">
      <c r="A1797" s="153" t="s">
        <v>1213</v>
      </c>
      <c r="B1797" s="160">
        <v>9631</v>
      </c>
      <c r="C1797" s="153" t="s">
        <v>2436</v>
      </c>
      <c r="D1797" s="153" t="s">
        <v>2437</v>
      </c>
      <c r="E1797" s="153" t="s">
        <v>309</v>
      </c>
      <c r="F1797" s="153" t="s">
        <v>2438</v>
      </c>
      <c r="G1797" s="153" t="s">
        <v>2439</v>
      </c>
      <c r="H1797" s="153" t="s">
        <v>321</v>
      </c>
      <c r="I1797" s="153" t="s">
        <v>754</v>
      </c>
      <c r="J1797" s="153" t="s">
        <v>204</v>
      </c>
      <c r="K1797" s="153" t="s">
        <v>204</v>
      </c>
      <c r="L1797" s="153" t="s">
        <v>325</v>
      </c>
      <c r="M1797" s="153" t="s">
        <v>340</v>
      </c>
      <c r="N1797" s="153" t="s">
        <v>475</v>
      </c>
      <c r="O1797" s="153" t="s">
        <v>339</v>
      </c>
      <c r="P1797" s="153" t="s">
        <v>1538</v>
      </c>
      <c r="Q1797" s="153" t="s">
        <v>413</v>
      </c>
      <c r="R1797" s="153" t="s">
        <v>407</v>
      </c>
      <c r="S1797" s="153" t="s">
        <v>1212</v>
      </c>
      <c r="T1797" s="154">
        <v>2.44</v>
      </c>
      <c r="U1797" s="153" t="s">
        <v>2440</v>
      </c>
      <c r="V1797" s="155">
        <v>8.6800000000000002E-3</v>
      </c>
      <c r="W1797" s="155">
        <v>2.3E-2</v>
      </c>
      <c r="X1797" s="153" t="s">
        <v>412</v>
      </c>
      <c r="Y1797" s="153" t="s">
        <v>339</v>
      </c>
      <c r="Z1797" s="154">
        <v>178759.58</v>
      </c>
      <c r="AA1797" s="154">
        <v>1</v>
      </c>
      <c r="AB1797" s="154">
        <v>120.79</v>
      </c>
      <c r="AC1797" s="154">
        <v>62.616999999999997</v>
      </c>
      <c r="AD1797" s="154">
        <v>278.541</v>
      </c>
      <c r="AG1797" s="157" t="s">
        <v>15</v>
      </c>
      <c r="AH1797" s="155">
        <v>4.4000000000000002E-4</v>
      </c>
      <c r="AI1797" s="155">
        <f t="shared" si="28"/>
        <v>1.9984524138791995E-2</v>
      </c>
      <c r="AJ1797" s="155">
        <v>2.3764443481791827E-3</v>
      </c>
    </row>
    <row r="1798" spans="1:36" s="160" customFormat="1">
      <c r="A1798" s="153" t="s">
        <v>1213</v>
      </c>
      <c r="B1798" s="160">
        <v>9631</v>
      </c>
      <c r="C1798" s="153" t="s">
        <v>1529</v>
      </c>
      <c r="D1798" s="153" t="s">
        <v>1530</v>
      </c>
      <c r="E1798" s="153" t="s">
        <v>309</v>
      </c>
      <c r="F1798" s="153" t="s">
        <v>1960</v>
      </c>
      <c r="G1798" s="153" t="s">
        <v>1961</v>
      </c>
      <c r="H1798" s="153" t="s">
        <v>321</v>
      </c>
      <c r="I1798" s="153" t="s">
        <v>754</v>
      </c>
      <c r="J1798" s="153" t="s">
        <v>204</v>
      </c>
      <c r="K1798" s="153" t="s">
        <v>204</v>
      </c>
      <c r="L1798" s="153" t="s">
        <v>325</v>
      </c>
      <c r="M1798" s="153" t="s">
        <v>340</v>
      </c>
      <c r="N1798" s="153" t="s">
        <v>440</v>
      </c>
      <c r="O1798" s="153" t="s">
        <v>339</v>
      </c>
      <c r="P1798" s="153" t="s">
        <v>1527</v>
      </c>
      <c r="Q1798" s="153" t="s">
        <v>415</v>
      </c>
      <c r="R1798" s="153" t="s">
        <v>407</v>
      </c>
      <c r="S1798" s="153" t="s">
        <v>1212</v>
      </c>
      <c r="T1798" s="154">
        <v>3.67</v>
      </c>
      <c r="U1798" s="153" t="s">
        <v>1962</v>
      </c>
      <c r="V1798" s="155">
        <v>1.7999999999999999E-2</v>
      </c>
      <c r="W1798" s="155">
        <v>3.6600000000000001E-2</v>
      </c>
      <c r="X1798" s="153" t="s">
        <v>412</v>
      </c>
      <c r="Y1798" s="153" t="s">
        <v>339</v>
      </c>
      <c r="Z1798" s="154">
        <v>253500</v>
      </c>
      <c r="AA1798" s="154">
        <v>1</v>
      </c>
      <c r="AB1798" s="154">
        <v>107.89</v>
      </c>
      <c r="AD1798" s="154">
        <v>273.50099999999998</v>
      </c>
      <c r="AG1798" s="157" t="s">
        <v>15</v>
      </c>
      <c r="AH1798" s="155">
        <v>2.7E-4</v>
      </c>
      <c r="AI1798" s="155">
        <f t="shared" si="28"/>
        <v>1.9622918480524408E-2</v>
      </c>
      <c r="AJ1798" s="155">
        <v>2.3334442888887259E-3</v>
      </c>
    </row>
    <row r="1799" spans="1:36" s="160" customFormat="1">
      <c r="A1799" s="153" t="s">
        <v>1213</v>
      </c>
      <c r="B1799" s="160">
        <v>9631</v>
      </c>
      <c r="C1799" s="153" t="s">
        <v>2741</v>
      </c>
      <c r="D1799" s="153" t="s">
        <v>2742</v>
      </c>
      <c r="E1799" s="153" t="s">
        <v>309</v>
      </c>
      <c r="F1799" s="153" t="s">
        <v>2743</v>
      </c>
      <c r="G1799" s="153" t="s">
        <v>2744</v>
      </c>
      <c r="H1799" s="153" t="s">
        <v>321</v>
      </c>
      <c r="I1799" s="153" t="s">
        <v>754</v>
      </c>
      <c r="J1799" s="153" t="s">
        <v>204</v>
      </c>
      <c r="K1799" s="153" t="s">
        <v>204</v>
      </c>
      <c r="L1799" s="153" t="s">
        <v>325</v>
      </c>
      <c r="M1799" s="153" t="s">
        <v>340</v>
      </c>
      <c r="N1799" s="153" t="s">
        <v>464</v>
      </c>
      <c r="O1799" s="153" t="s">
        <v>339</v>
      </c>
      <c r="P1799" s="153" t="s">
        <v>1544</v>
      </c>
      <c r="Q1799" s="153" t="s">
        <v>415</v>
      </c>
      <c r="R1799" s="153" t="s">
        <v>407</v>
      </c>
      <c r="S1799" s="153" t="s">
        <v>1212</v>
      </c>
      <c r="T1799" s="154">
        <v>6.4</v>
      </c>
      <c r="U1799" s="153" t="s">
        <v>2745</v>
      </c>
      <c r="V1799" s="155">
        <v>1.0999999999999999E-2</v>
      </c>
      <c r="W1799" s="155">
        <v>3.6600000000000001E-2</v>
      </c>
      <c r="X1799" s="153" t="s">
        <v>412</v>
      </c>
      <c r="Y1799" s="153" t="s">
        <v>339</v>
      </c>
      <c r="Z1799" s="154">
        <v>285574.96000000002</v>
      </c>
      <c r="AA1799" s="154">
        <v>1</v>
      </c>
      <c r="AB1799" s="154">
        <v>91</v>
      </c>
      <c r="AD1799" s="154">
        <v>259.87299999999999</v>
      </c>
      <c r="AG1799" s="157" t="s">
        <v>15</v>
      </c>
      <c r="AH1799" s="155">
        <v>1.2999999999999999E-3</v>
      </c>
      <c r="AI1799" s="155">
        <f t="shared" si="28"/>
        <v>1.8645148260113563E-2</v>
      </c>
      <c r="AJ1799" s="155">
        <v>2.2171734936485788E-3</v>
      </c>
    </row>
    <row r="1800" spans="1:36" s="160" customFormat="1">
      <c r="A1800" s="153" t="s">
        <v>1213</v>
      </c>
      <c r="B1800" s="160">
        <v>9631</v>
      </c>
      <c r="C1800" s="153" t="s">
        <v>1512</v>
      </c>
      <c r="D1800" s="153" t="s">
        <v>1513</v>
      </c>
      <c r="E1800" s="153" t="s">
        <v>309</v>
      </c>
      <c r="F1800" s="153" t="s">
        <v>1898</v>
      </c>
      <c r="G1800" s="153" t="s">
        <v>1899</v>
      </c>
      <c r="H1800" s="153" t="s">
        <v>321</v>
      </c>
      <c r="I1800" s="153" t="s">
        <v>754</v>
      </c>
      <c r="J1800" s="153" t="s">
        <v>204</v>
      </c>
      <c r="K1800" s="153" t="s">
        <v>204</v>
      </c>
      <c r="L1800" s="153" t="s">
        <v>325</v>
      </c>
      <c r="M1800" s="153" t="s">
        <v>340</v>
      </c>
      <c r="N1800" s="153" t="s">
        <v>448</v>
      </c>
      <c r="O1800" s="153" t="s">
        <v>339</v>
      </c>
      <c r="P1800" s="153" t="s">
        <v>1215</v>
      </c>
      <c r="Q1800" s="153" t="s">
        <v>413</v>
      </c>
      <c r="R1800" s="153" t="s">
        <v>407</v>
      </c>
      <c r="S1800" s="153" t="s">
        <v>1212</v>
      </c>
      <c r="T1800" s="154">
        <v>3.43</v>
      </c>
      <c r="U1800" s="153" t="s">
        <v>1900</v>
      </c>
      <c r="V1800" s="155">
        <v>-3.5899999999999999E-3</v>
      </c>
      <c r="W1800" s="155">
        <v>2.4799999999999999E-2</v>
      </c>
      <c r="X1800" s="153" t="s">
        <v>412</v>
      </c>
      <c r="Y1800" s="153" t="s">
        <v>339</v>
      </c>
      <c r="Z1800" s="154">
        <v>248896</v>
      </c>
      <c r="AA1800" s="154">
        <v>1</v>
      </c>
      <c r="AB1800" s="154">
        <v>102.63</v>
      </c>
      <c r="AD1800" s="154">
        <v>255.44200000000001</v>
      </c>
      <c r="AG1800" s="157" t="s">
        <v>15</v>
      </c>
      <c r="AH1800" s="155">
        <v>1E-4</v>
      </c>
      <c r="AI1800" s="155">
        <f t="shared" si="28"/>
        <v>1.8327236618886647E-2</v>
      </c>
      <c r="AJ1800" s="155">
        <v>2.1793692748557189E-3</v>
      </c>
    </row>
    <row r="1801" spans="1:36" s="160" customFormat="1">
      <c r="A1801" s="153" t="s">
        <v>1213</v>
      </c>
      <c r="B1801" s="160">
        <v>9631</v>
      </c>
      <c r="C1801" s="153" t="s">
        <v>2110</v>
      </c>
      <c r="D1801" s="153" t="s">
        <v>2111</v>
      </c>
      <c r="E1801" s="153" t="s">
        <v>309</v>
      </c>
      <c r="F1801" s="153" t="s">
        <v>2115</v>
      </c>
      <c r="G1801" s="153" t="s">
        <v>2116</v>
      </c>
      <c r="H1801" s="153" t="s">
        <v>321</v>
      </c>
      <c r="I1801" s="153" t="s">
        <v>754</v>
      </c>
      <c r="J1801" s="153" t="s">
        <v>204</v>
      </c>
      <c r="K1801" s="153" t="s">
        <v>204</v>
      </c>
      <c r="L1801" s="153" t="s">
        <v>325</v>
      </c>
      <c r="M1801" s="153" t="s">
        <v>340</v>
      </c>
      <c r="N1801" s="153" t="s">
        <v>465</v>
      </c>
      <c r="O1801" s="153" t="s">
        <v>339</v>
      </c>
      <c r="P1801" s="153" t="s">
        <v>1538</v>
      </c>
      <c r="Q1801" s="153" t="s">
        <v>413</v>
      </c>
      <c r="R1801" s="153" t="s">
        <v>407</v>
      </c>
      <c r="S1801" s="153" t="s">
        <v>1212</v>
      </c>
      <c r="T1801" s="154">
        <v>2.95</v>
      </c>
      <c r="U1801" s="153" t="s">
        <v>1951</v>
      </c>
      <c r="V1801" s="155">
        <v>8.9999999999999998E-4</v>
      </c>
      <c r="W1801" s="155">
        <v>2.63E-2</v>
      </c>
      <c r="X1801" s="153" t="s">
        <v>412</v>
      </c>
      <c r="Y1801" s="153" t="s">
        <v>339</v>
      </c>
      <c r="Z1801" s="154">
        <v>223740</v>
      </c>
      <c r="AA1801" s="154">
        <v>1</v>
      </c>
      <c r="AB1801" s="154">
        <v>105.76</v>
      </c>
      <c r="AC1801" s="154">
        <v>3.1789999999999998</v>
      </c>
      <c r="AD1801" s="154">
        <v>239.80600000000001</v>
      </c>
      <c r="AG1801" s="157" t="s">
        <v>15</v>
      </c>
      <c r="AH1801" s="155">
        <v>3.3E-4</v>
      </c>
      <c r="AI1801" s="155">
        <f t="shared" si="28"/>
        <v>1.7205398112404111E-2</v>
      </c>
      <c r="AJ1801" s="155">
        <v>2.0459667099617549E-3</v>
      </c>
    </row>
    <row r="1802" spans="1:36" s="160" customFormat="1">
      <c r="A1802" s="153" t="s">
        <v>1213</v>
      </c>
      <c r="B1802" s="160">
        <v>9631</v>
      </c>
      <c r="C1802" s="153" t="s">
        <v>2373</v>
      </c>
      <c r="D1802" s="153" t="s">
        <v>2374</v>
      </c>
      <c r="E1802" s="153" t="s">
        <v>309</v>
      </c>
      <c r="F1802" s="153" t="s">
        <v>2375</v>
      </c>
      <c r="G1802" s="153" t="s">
        <v>2376</v>
      </c>
      <c r="H1802" s="153" t="s">
        <v>321</v>
      </c>
      <c r="I1802" s="153" t="s">
        <v>755</v>
      </c>
      <c r="J1802" s="153" t="s">
        <v>204</v>
      </c>
      <c r="K1802" s="153" t="s">
        <v>204</v>
      </c>
      <c r="L1802" s="153" t="s">
        <v>325</v>
      </c>
      <c r="M1802" s="153" t="s">
        <v>340</v>
      </c>
      <c r="N1802" s="153" t="s">
        <v>454</v>
      </c>
      <c r="O1802" s="153" t="s">
        <v>339</v>
      </c>
      <c r="P1802" s="153" t="s">
        <v>1544</v>
      </c>
      <c r="Q1802" s="153" t="s">
        <v>415</v>
      </c>
      <c r="R1802" s="153" t="s">
        <v>407</v>
      </c>
      <c r="S1802" s="153" t="s">
        <v>1212</v>
      </c>
      <c r="T1802" s="154">
        <v>2.97</v>
      </c>
      <c r="U1802" s="153" t="s">
        <v>2377</v>
      </c>
      <c r="V1802" s="155">
        <v>4.3299999999999998E-2</v>
      </c>
      <c r="W1802" s="155">
        <v>7.6100000000000001E-2</v>
      </c>
      <c r="X1802" s="153" t="s">
        <v>412</v>
      </c>
      <c r="Y1802" s="153" t="s">
        <v>339</v>
      </c>
      <c r="Z1802" s="154">
        <v>244259.16</v>
      </c>
      <c r="AA1802" s="154">
        <v>1</v>
      </c>
      <c r="AB1802" s="154">
        <v>97.95</v>
      </c>
      <c r="AD1802" s="154">
        <v>239.25200000000001</v>
      </c>
      <c r="AG1802" s="157" t="s">
        <v>15</v>
      </c>
      <c r="AH1802" s="155">
        <v>1.8000000000000001E-4</v>
      </c>
      <c r="AI1802" s="155">
        <f t="shared" si="28"/>
        <v>1.7165650188856445E-2</v>
      </c>
      <c r="AJ1802" s="155">
        <v>2.0412401161429227E-3</v>
      </c>
    </row>
    <row r="1803" spans="1:36" s="160" customFormat="1">
      <c r="A1803" s="153" t="s">
        <v>1213</v>
      </c>
      <c r="B1803" s="160">
        <v>9631</v>
      </c>
      <c r="C1803" s="153" t="s">
        <v>1600</v>
      </c>
      <c r="D1803" s="153" t="s">
        <v>1601</v>
      </c>
      <c r="E1803" s="153" t="s">
        <v>309</v>
      </c>
      <c r="F1803" s="153" t="s">
        <v>2706</v>
      </c>
      <c r="G1803" s="153" t="s">
        <v>2707</v>
      </c>
      <c r="H1803" s="153" t="s">
        <v>321</v>
      </c>
      <c r="I1803" s="153" t="s">
        <v>754</v>
      </c>
      <c r="J1803" s="153" t="s">
        <v>204</v>
      </c>
      <c r="K1803" s="153" t="s">
        <v>204</v>
      </c>
      <c r="L1803" s="153" t="s">
        <v>325</v>
      </c>
      <c r="M1803" s="153" t="s">
        <v>340</v>
      </c>
      <c r="N1803" s="153" t="s">
        <v>448</v>
      </c>
      <c r="O1803" s="153" t="s">
        <v>339</v>
      </c>
      <c r="P1803" s="153" t="s">
        <v>1566</v>
      </c>
      <c r="Q1803" s="153" t="s">
        <v>413</v>
      </c>
      <c r="R1803" s="153" t="s">
        <v>407</v>
      </c>
      <c r="S1803" s="153" t="s">
        <v>1212</v>
      </c>
      <c r="T1803" s="154">
        <v>1.6</v>
      </c>
      <c r="U1803" s="153" t="s">
        <v>2708</v>
      </c>
      <c r="V1803" s="155">
        <v>2.6519999999999998E-2</v>
      </c>
      <c r="W1803" s="155">
        <v>2.3800000000000002E-2</v>
      </c>
      <c r="X1803" s="153" t="s">
        <v>411</v>
      </c>
      <c r="Y1803" s="153" t="s">
        <v>339</v>
      </c>
      <c r="Z1803" s="154">
        <v>198333</v>
      </c>
      <c r="AA1803" s="154">
        <v>1</v>
      </c>
      <c r="AB1803" s="154">
        <v>116.6</v>
      </c>
      <c r="AD1803" s="154">
        <v>231.256</v>
      </c>
      <c r="AG1803" s="157" t="s">
        <v>15</v>
      </c>
      <c r="AH1803" s="155">
        <v>1.9000000000000001E-4</v>
      </c>
      <c r="AI1803" s="155">
        <f t="shared" si="28"/>
        <v>1.6591959942128743E-2</v>
      </c>
      <c r="AJ1803" s="155">
        <v>1.9730201808083017E-3</v>
      </c>
    </row>
    <row r="1804" spans="1:36" s="160" customFormat="1">
      <c r="A1804" s="153" t="s">
        <v>1213</v>
      </c>
      <c r="B1804" s="160">
        <v>9631</v>
      </c>
      <c r="C1804" s="153" t="s">
        <v>2273</v>
      </c>
      <c r="D1804" s="153" t="s">
        <v>2274</v>
      </c>
      <c r="E1804" s="153" t="s">
        <v>309</v>
      </c>
      <c r="F1804" s="153" t="s">
        <v>2303</v>
      </c>
      <c r="G1804" s="153" t="s">
        <v>2304</v>
      </c>
      <c r="H1804" s="153" t="s">
        <v>321</v>
      </c>
      <c r="I1804" s="153" t="s">
        <v>754</v>
      </c>
      <c r="J1804" s="153" t="s">
        <v>204</v>
      </c>
      <c r="K1804" s="153" t="s">
        <v>204</v>
      </c>
      <c r="L1804" s="153" t="s">
        <v>325</v>
      </c>
      <c r="M1804" s="153" t="s">
        <v>340</v>
      </c>
      <c r="N1804" s="153" t="s">
        <v>477</v>
      </c>
      <c r="O1804" s="153" t="s">
        <v>339</v>
      </c>
      <c r="P1804" s="153" t="s">
        <v>1215</v>
      </c>
      <c r="Q1804" s="153" t="s">
        <v>413</v>
      </c>
      <c r="R1804" s="153" t="s">
        <v>407</v>
      </c>
      <c r="S1804" s="153" t="s">
        <v>1212</v>
      </c>
      <c r="T1804" s="154">
        <v>11.44</v>
      </c>
      <c r="U1804" s="153" t="s">
        <v>2305</v>
      </c>
      <c r="V1804" s="155">
        <v>6.0099999999999997E-3</v>
      </c>
      <c r="W1804" s="155">
        <v>3.2899999999999999E-2</v>
      </c>
      <c r="X1804" s="153" t="s">
        <v>412</v>
      </c>
      <c r="Y1804" s="153" t="s">
        <v>339</v>
      </c>
      <c r="Z1804" s="154">
        <v>230374.69</v>
      </c>
      <c r="AA1804" s="154">
        <v>1</v>
      </c>
      <c r="AB1804" s="154">
        <v>99.37</v>
      </c>
      <c r="AD1804" s="154">
        <v>228.923</v>
      </c>
      <c r="AG1804" s="157" t="s">
        <v>15</v>
      </c>
      <c r="AH1804" s="155">
        <v>5.0000000000000002E-5</v>
      </c>
      <c r="AI1804" s="155">
        <f t="shared" si="28"/>
        <v>1.6424573830871148E-2</v>
      </c>
      <c r="AJ1804" s="155">
        <v>1.953115589870874E-3</v>
      </c>
    </row>
    <row r="1805" spans="1:36" s="160" customFormat="1">
      <c r="A1805" s="153" t="s">
        <v>1213</v>
      </c>
      <c r="B1805" s="160">
        <v>9631</v>
      </c>
      <c r="C1805" s="153" t="s">
        <v>2250</v>
      </c>
      <c r="D1805" s="153" t="s">
        <v>2251</v>
      </c>
      <c r="E1805" s="153" t="s">
        <v>309</v>
      </c>
      <c r="F1805" s="153" t="s">
        <v>2704</v>
      </c>
      <c r="G1805" s="153" t="s">
        <v>2705</v>
      </c>
      <c r="H1805" s="153" t="s">
        <v>321</v>
      </c>
      <c r="I1805" s="153" t="s">
        <v>754</v>
      </c>
      <c r="J1805" s="153" t="s">
        <v>204</v>
      </c>
      <c r="K1805" s="153" t="s">
        <v>204</v>
      </c>
      <c r="L1805" s="153" t="s">
        <v>325</v>
      </c>
      <c r="M1805" s="153" t="s">
        <v>340</v>
      </c>
      <c r="N1805" s="153" t="s">
        <v>448</v>
      </c>
      <c r="O1805" s="153" t="s">
        <v>339</v>
      </c>
      <c r="P1805" s="153" t="s">
        <v>1566</v>
      </c>
      <c r="Q1805" s="153" t="s">
        <v>413</v>
      </c>
      <c r="R1805" s="153" t="s">
        <v>407</v>
      </c>
      <c r="S1805" s="153" t="s">
        <v>1212</v>
      </c>
      <c r="T1805" s="154">
        <v>3.43</v>
      </c>
      <c r="U1805" s="153" t="s">
        <v>1851</v>
      </c>
      <c r="V1805" s="155">
        <v>2.707E-2</v>
      </c>
      <c r="W1805" s="155">
        <v>2.98E-2</v>
      </c>
      <c r="X1805" s="153" t="s">
        <v>411</v>
      </c>
      <c r="Y1805" s="153" t="s">
        <v>339</v>
      </c>
      <c r="Z1805" s="154">
        <v>216627</v>
      </c>
      <c r="AA1805" s="154">
        <v>1</v>
      </c>
      <c r="AB1805" s="154">
        <v>105.03</v>
      </c>
      <c r="AD1805" s="154">
        <v>227.523</v>
      </c>
      <c r="AG1805" s="157" t="s">
        <v>15</v>
      </c>
      <c r="AH1805" s="155">
        <v>2.4000000000000001E-4</v>
      </c>
      <c r="AI1805" s="155">
        <f t="shared" si="28"/>
        <v>1.6324127814685705E-2</v>
      </c>
      <c r="AJ1805" s="155">
        <v>1.9411711289568582E-3</v>
      </c>
    </row>
    <row r="1806" spans="1:36" s="160" customFormat="1">
      <c r="A1806" s="153" t="s">
        <v>1213</v>
      </c>
      <c r="B1806" s="160">
        <v>9631</v>
      </c>
      <c r="C1806" s="153" t="s">
        <v>1600</v>
      </c>
      <c r="D1806" s="153" t="s">
        <v>1601</v>
      </c>
      <c r="E1806" s="153" t="s">
        <v>309</v>
      </c>
      <c r="F1806" s="153" t="s">
        <v>2380</v>
      </c>
      <c r="G1806" s="153" t="s">
        <v>2381</v>
      </c>
      <c r="H1806" s="153" t="s">
        <v>321</v>
      </c>
      <c r="I1806" s="153" t="s">
        <v>951</v>
      </c>
      <c r="J1806" s="153" t="s">
        <v>204</v>
      </c>
      <c r="K1806" s="153" t="s">
        <v>204</v>
      </c>
      <c r="L1806" s="153" t="s">
        <v>325</v>
      </c>
      <c r="M1806" s="153" t="s">
        <v>340</v>
      </c>
      <c r="N1806" s="153" t="s">
        <v>448</v>
      </c>
      <c r="O1806" s="153" t="s">
        <v>339</v>
      </c>
      <c r="P1806" s="153" t="s">
        <v>1215</v>
      </c>
      <c r="Q1806" s="153" t="s">
        <v>413</v>
      </c>
      <c r="R1806" s="153" t="s">
        <v>407</v>
      </c>
      <c r="S1806" s="153" t="s">
        <v>1212</v>
      </c>
      <c r="T1806" s="154">
        <v>0.65</v>
      </c>
      <c r="U1806" s="153" t="s">
        <v>2382</v>
      </c>
      <c r="V1806" s="155">
        <v>3.9210000000000002E-2</v>
      </c>
      <c r="W1806" s="155">
        <v>4.4499999999999998E-2</v>
      </c>
      <c r="X1806" s="153" t="s">
        <v>412</v>
      </c>
      <c r="Y1806" s="153" t="s">
        <v>339</v>
      </c>
      <c r="Z1806" s="154">
        <v>220000</v>
      </c>
      <c r="AA1806" s="154">
        <v>1</v>
      </c>
      <c r="AB1806" s="154">
        <v>100.87</v>
      </c>
      <c r="AD1806" s="154">
        <v>221.91399999999999</v>
      </c>
      <c r="AG1806" s="157" t="s">
        <v>15</v>
      </c>
      <c r="AH1806" s="155">
        <v>1.8000000000000001E-4</v>
      </c>
      <c r="AI1806" s="155">
        <f t="shared" si="28"/>
        <v>1.5921698025554178E-2</v>
      </c>
      <c r="AJ1806" s="155">
        <v>1.8933164994806336E-3</v>
      </c>
    </row>
    <row r="1807" spans="1:36" s="160" customFormat="1">
      <c r="A1807" s="153" t="s">
        <v>1213</v>
      </c>
      <c r="B1807" s="160">
        <v>9631</v>
      </c>
      <c r="C1807" s="153" t="s">
        <v>3337</v>
      </c>
      <c r="D1807" s="153" t="s">
        <v>3338</v>
      </c>
      <c r="E1807" s="153" t="s">
        <v>309</v>
      </c>
      <c r="F1807" s="153" t="s">
        <v>3339</v>
      </c>
      <c r="G1807" s="153" t="s">
        <v>3340</v>
      </c>
      <c r="H1807" s="153" t="s">
        <v>321</v>
      </c>
      <c r="I1807" s="153" t="s">
        <v>754</v>
      </c>
      <c r="J1807" s="153" t="s">
        <v>204</v>
      </c>
      <c r="K1807" s="153" t="s">
        <v>204</v>
      </c>
      <c r="L1807" s="153" t="s">
        <v>325</v>
      </c>
      <c r="M1807" s="153" t="s">
        <v>340</v>
      </c>
      <c r="N1807" s="153" t="s">
        <v>465</v>
      </c>
      <c r="O1807" s="153" t="s">
        <v>339</v>
      </c>
      <c r="P1807" s="153" t="s">
        <v>1554</v>
      </c>
      <c r="Q1807" s="153" t="s">
        <v>413</v>
      </c>
      <c r="R1807" s="153" t="s">
        <v>407</v>
      </c>
      <c r="S1807" s="153" t="s">
        <v>1212</v>
      </c>
      <c r="T1807" s="154">
        <v>3.9</v>
      </c>
      <c r="U1807" s="153" t="s">
        <v>3341</v>
      </c>
      <c r="V1807" s="155">
        <v>9.9600000000000001E-3</v>
      </c>
      <c r="W1807" s="155">
        <v>4.8800000000000003E-2</v>
      </c>
      <c r="X1807" s="153" t="s">
        <v>412</v>
      </c>
      <c r="Y1807" s="153" t="s">
        <v>339</v>
      </c>
      <c r="Z1807" s="154">
        <v>222300</v>
      </c>
      <c r="AA1807" s="154">
        <v>1</v>
      </c>
      <c r="AB1807" s="154">
        <v>99.51</v>
      </c>
      <c r="AD1807" s="154">
        <v>221.21100000000001</v>
      </c>
      <c r="AG1807" s="157" t="s">
        <v>15</v>
      </c>
      <c r="AH1807" s="155">
        <v>7.7999999999999999E-4</v>
      </c>
      <c r="AI1807" s="155">
        <f t="shared" si="28"/>
        <v>1.5871259775998205E-2</v>
      </c>
      <c r="AJ1807" s="155">
        <v>1.8873186737502388E-3</v>
      </c>
    </row>
    <row r="1808" spans="1:36" s="160" customFormat="1">
      <c r="A1808" s="153" t="s">
        <v>1213</v>
      </c>
      <c r="B1808" s="160">
        <v>9631</v>
      </c>
      <c r="C1808" s="153" t="s">
        <v>1904</v>
      </c>
      <c r="D1808" s="153" t="s">
        <v>1905</v>
      </c>
      <c r="E1808" s="153" t="s">
        <v>309</v>
      </c>
      <c r="F1808" s="153" t="s">
        <v>2709</v>
      </c>
      <c r="G1808" s="153" t="s">
        <v>2710</v>
      </c>
      <c r="H1808" s="153" t="s">
        <v>321</v>
      </c>
      <c r="I1808" s="153" t="s">
        <v>754</v>
      </c>
      <c r="J1808" s="153" t="s">
        <v>204</v>
      </c>
      <c r="K1808" s="153" t="s">
        <v>204</v>
      </c>
      <c r="L1808" s="153" t="s">
        <v>325</v>
      </c>
      <c r="M1808" s="153" t="s">
        <v>340</v>
      </c>
      <c r="N1808" s="153" t="s">
        <v>448</v>
      </c>
      <c r="O1808" s="153" t="s">
        <v>339</v>
      </c>
      <c r="P1808" s="153" t="s">
        <v>1566</v>
      </c>
      <c r="Q1808" s="153" t="s">
        <v>413</v>
      </c>
      <c r="R1808" s="153" t="s">
        <v>407</v>
      </c>
      <c r="S1808" s="153" t="s">
        <v>1212</v>
      </c>
      <c r="T1808" s="154">
        <v>1.06</v>
      </c>
      <c r="U1808" s="153" t="s">
        <v>2711</v>
      </c>
      <c r="V1808" s="155">
        <v>2.6120000000000001E-2</v>
      </c>
      <c r="W1808" s="155">
        <v>2.9600000000000001E-2</v>
      </c>
      <c r="X1808" s="153" t="s">
        <v>411</v>
      </c>
      <c r="Y1808" s="153" t="s">
        <v>339</v>
      </c>
      <c r="Z1808" s="154">
        <v>193162</v>
      </c>
      <c r="AA1808" s="154">
        <v>1</v>
      </c>
      <c r="AB1808" s="154">
        <v>114.39</v>
      </c>
      <c r="AD1808" s="154">
        <v>220.958</v>
      </c>
      <c r="AG1808" s="157" t="s">
        <v>15</v>
      </c>
      <c r="AH1808" s="155">
        <v>1.4999999999999999E-4</v>
      </c>
      <c r="AI1808" s="155">
        <f t="shared" si="28"/>
        <v>1.5853107745930409E-2</v>
      </c>
      <c r="AJ1808" s="155">
        <v>1.8851601390279201E-3</v>
      </c>
    </row>
    <row r="1809" spans="1:36" s="160" customFormat="1">
      <c r="A1809" s="153" t="s">
        <v>1213</v>
      </c>
      <c r="B1809" s="160">
        <v>9631</v>
      </c>
      <c r="C1809" s="153" t="s">
        <v>2298</v>
      </c>
      <c r="D1809" s="153" t="s">
        <v>2299</v>
      </c>
      <c r="E1809" s="153" t="s">
        <v>309</v>
      </c>
      <c r="F1809" s="153" t="s">
        <v>2712</v>
      </c>
      <c r="G1809" s="153" t="s">
        <v>2713</v>
      </c>
      <c r="H1809" s="153" t="s">
        <v>321</v>
      </c>
      <c r="I1809" s="153" t="s">
        <v>951</v>
      </c>
      <c r="J1809" s="153" t="s">
        <v>204</v>
      </c>
      <c r="K1809" s="153" t="s">
        <v>204</v>
      </c>
      <c r="L1809" s="153" t="s">
        <v>325</v>
      </c>
      <c r="M1809" s="153" t="s">
        <v>340</v>
      </c>
      <c r="N1809" s="153" t="s">
        <v>462</v>
      </c>
      <c r="O1809" s="153" t="s">
        <v>339</v>
      </c>
      <c r="P1809" s="153" t="s">
        <v>1566</v>
      </c>
      <c r="Q1809" s="153" t="s">
        <v>413</v>
      </c>
      <c r="R1809" s="153" t="s">
        <v>407</v>
      </c>
      <c r="S1809" s="153" t="s">
        <v>1212</v>
      </c>
      <c r="T1809" s="154">
        <v>3.09</v>
      </c>
      <c r="U1809" s="153" t="s">
        <v>2714</v>
      </c>
      <c r="V1809" s="155">
        <v>4.897E-2</v>
      </c>
      <c r="W1809" s="155">
        <v>5.8900000000000001E-2</v>
      </c>
      <c r="X1809" s="153" t="s">
        <v>412</v>
      </c>
      <c r="Y1809" s="153" t="s">
        <v>339</v>
      </c>
      <c r="Z1809" s="154">
        <v>221215.8</v>
      </c>
      <c r="AA1809" s="154">
        <v>1</v>
      </c>
      <c r="AB1809" s="154">
        <v>99.02</v>
      </c>
      <c r="AD1809" s="154">
        <v>219.048</v>
      </c>
      <c r="AG1809" s="157" t="s">
        <v>15</v>
      </c>
      <c r="AH1809" s="155">
        <v>9.3000000000000005E-4</v>
      </c>
      <c r="AI1809" s="155">
        <f t="shared" si="28"/>
        <v>1.5716070680991699E-2</v>
      </c>
      <c r="AJ1809" s="155">
        <v>1.8688644816380843E-3</v>
      </c>
    </row>
    <row r="1810" spans="1:36" s="160" customFormat="1">
      <c r="A1810" s="153" t="s">
        <v>1213</v>
      </c>
      <c r="B1810" s="160">
        <v>9631</v>
      </c>
      <c r="C1810" s="153" t="s">
        <v>2638</v>
      </c>
      <c r="D1810" s="153" t="s">
        <v>2639</v>
      </c>
      <c r="E1810" s="153" t="s">
        <v>311</v>
      </c>
      <c r="F1810" s="153" t="s">
        <v>2640</v>
      </c>
      <c r="G1810" s="153" t="s">
        <v>2641</v>
      </c>
      <c r="H1810" s="153" t="s">
        <v>321</v>
      </c>
      <c r="I1810" s="153" t="s">
        <v>755</v>
      </c>
      <c r="J1810" s="153" t="s">
        <v>204</v>
      </c>
      <c r="K1810" s="153" t="s">
        <v>204</v>
      </c>
      <c r="L1810" s="153" t="s">
        <v>325</v>
      </c>
      <c r="M1810" s="153" t="s">
        <v>340</v>
      </c>
      <c r="N1810" s="153" t="s">
        <v>465</v>
      </c>
      <c r="O1810" s="153" t="s">
        <v>339</v>
      </c>
      <c r="P1810" s="153" t="s">
        <v>1982</v>
      </c>
      <c r="Q1810" s="153" t="s">
        <v>415</v>
      </c>
      <c r="R1810" s="153" t="s">
        <v>407</v>
      </c>
      <c r="S1810" s="153" t="s">
        <v>1212</v>
      </c>
      <c r="T1810" s="154">
        <v>2.91</v>
      </c>
      <c r="U1810" s="153" t="s">
        <v>1664</v>
      </c>
      <c r="V1810" s="155">
        <v>7.0559999999999998E-2</v>
      </c>
      <c r="W1810" s="155">
        <v>0.10150000000000001</v>
      </c>
      <c r="X1810" s="153" t="s">
        <v>412</v>
      </c>
      <c r="Y1810" s="153" t="s">
        <v>339</v>
      </c>
      <c r="Z1810" s="154">
        <v>240235.91</v>
      </c>
      <c r="AA1810" s="154">
        <v>1</v>
      </c>
      <c r="AB1810" s="154">
        <v>89.69</v>
      </c>
      <c r="AD1810" s="154">
        <v>215.46799999999999</v>
      </c>
      <c r="AG1810" s="157" t="s">
        <v>15</v>
      </c>
      <c r="AH1810" s="155">
        <v>2.2000000000000001E-4</v>
      </c>
      <c r="AI1810" s="155">
        <f t="shared" si="28"/>
        <v>1.5459215868174645E-2</v>
      </c>
      <c r="AJ1810" s="155">
        <v>1.838320788729387E-3</v>
      </c>
    </row>
    <row r="1811" spans="1:36" s="160" customFormat="1">
      <c r="A1811" s="153" t="s">
        <v>1213</v>
      </c>
      <c r="B1811" s="160">
        <v>9631</v>
      </c>
      <c r="C1811" s="153" t="s">
        <v>2753</v>
      </c>
      <c r="D1811" s="153" t="s">
        <v>2754</v>
      </c>
      <c r="E1811" s="153" t="s">
        <v>309</v>
      </c>
      <c r="F1811" s="153" t="s">
        <v>2755</v>
      </c>
      <c r="G1811" s="153" t="s">
        <v>2756</v>
      </c>
      <c r="H1811" s="153" t="s">
        <v>321</v>
      </c>
      <c r="I1811" s="153" t="s">
        <v>951</v>
      </c>
      <c r="J1811" s="153" t="s">
        <v>204</v>
      </c>
      <c r="K1811" s="153" t="s">
        <v>204</v>
      </c>
      <c r="L1811" s="153" t="s">
        <v>325</v>
      </c>
      <c r="M1811" s="153" t="s">
        <v>340</v>
      </c>
      <c r="N1811" s="153" t="s">
        <v>447</v>
      </c>
      <c r="O1811" s="153" t="s">
        <v>339</v>
      </c>
      <c r="P1811" s="153" t="s">
        <v>1586</v>
      </c>
      <c r="Q1811" s="153" t="s">
        <v>415</v>
      </c>
      <c r="R1811" s="153" t="s">
        <v>407</v>
      </c>
      <c r="S1811" s="153" t="s">
        <v>1212</v>
      </c>
      <c r="T1811" s="154">
        <v>1.89</v>
      </c>
      <c r="U1811" s="153" t="s">
        <v>1528</v>
      </c>
      <c r="V1811" s="155">
        <v>5.7119999999999997E-2</v>
      </c>
      <c r="W1811" s="155">
        <v>6.6299999999999998E-2</v>
      </c>
      <c r="X1811" s="153" t="s">
        <v>412</v>
      </c>
      <c r="Y1811" s="153" t="s">
        <v>339</v>
      </c>
      <c r="Z1811" s="154">
        <v>207000</v>
      </c>
      <c r="AA1811" s="154">
        <v>1</v>
      </c>
      <c r="AB1811" s="154">
        <v>102.16</v>
      </c>
      <c r="AD1811" s="154">
        <v>211.471</v>
      </c>
      <c r="AG1811" s="157" t="s">
        <v>15</v>
      </c>
      <c r="AH1811" s="155">
        <v>1.2899999999999999E-3</v>
      </c>
      <c r="AI1811" s="155">
        <f t="shared" si="28"/>
        <v>1.5172442491965213E-2</v>
      </c>
      <c r="AJ1811" s="155">
        <v>1.8042193528198722E-3</v>
      </c>
    </row>
    <row r="1812" spans="1:36" s="160" customFormat="1">
      <c r="A1812" s="153" t="s">
        <v>1213</v>
      </c>
      <c r="B1812" s="160">
        <v>9631</v>
      </c>
      <c r="C1812" s="153" t="s">
        <v>1600</v>
      </c>
      <c r="D1812" s="153" t="s">
        <v>1601</v>
      </c>
      <c r="E1812" s="153" t="s">
        <v>309</v>
      </c>
      <c r="F1812" s="153" t="s">
        <v>1957</v>
      </c>
      <c r="G1812" s="153" t="s">
        <v>1958</v>
      </c>
      <c r="H1812" s="153" t="s">
        <v>321</v>
      </c>
      <c r="I1812" s="153" t="s">
        <v>754</v>
      </c>
      <c r="J1812" s="153" t="s">
        <v>204</v>
      </c>
      <c r="K1812" s="153" t="s">
        <v>204</v>
      </c>
      <c r="L1812" s="153" t="s">
        <v>325</v>
      </c>
      <c r="M1812" s="153" t="s">
        <v>340</v>
      </c>
      <c r="N1812" s="153" t="s">
        <v>448</v>
      </c>
      <c r="O1812" s="153" t="s">
        <v>339</v>
      </c>
      <c r="P1812" s="153" t="s">
        <v>1215</v>
      </c>
      <c r="Q1812" s="153" t="s">
        <v>413</v>
      </c>
      <c r="R1812" s="153" t="s">
        <v>407</v>
      </c>
      <c r="S1812" s="153" t="s">
        <v>1212</v>
      </c>
      <c r="T1812" s="154">
        <v>3.91</v>
      </c>
      <c r="U1812" s="153" t="s">
        <v>1959</v>
      </c>
      <c r="V1812" s="155">
        <v>1.242E-2</v>
      </c>
      <c r="W1812" s="155">
        <v>2.4799999999999999E-2</v>
      </c>
      <c r="X1812" s="153" t="s">
        <v>412</v>
      </c>
      <c r="Y1812" s="153" t="s">
        <v>339</v>
      </c>
      <c r="Z1812" s="154">
        <v>198000</v>
      </c>
      <c r="AA1812" s="154">
        <v>1</v>
      </c>
      <c r="AB1812" s="154">
        <v>103.84</v>
      </c>
      <c r="AD1812" s="154">
        <v>205.60300000000001</v>
      </c>
      <c r="AG1812" s="157" t="s">
        <v>15</v>
      </c>
      <c r="AH1812" s="155">
        <v>1.1E-4</v>
      </c>
      <c r="AI1812" s="155">
        <f t="shared" si="28"/>
        <v>1.4751430189839381E-2</v>
      </c>
      <c r="AJ1812" s="155">
        <v>1.7541549980745548E-3</v>
      </c>
    </row>
    <row r="1813" spans="1:36" s="160" customFormat="1">
      <c r="A1813" s="153" t="s">
        <v>1213</v>
      </c>
      <c r="B1813" s="160">
        <v>9631</v>
      </c>
      <c r="C1813" s="153" t="s">
        <v>1769</v>
      </c>
      <c r="D1813" s="153" t="s">
        <v>1770</v>
      </c>
      <c r="E1813" s="153" t="s">
        <v>309</v>
      </c>
      <c r="F1813" s="153" t="s">
        <v>1771</v>
      </c>
      <c r="G1813" s="153" t="s">
        <v>1772</v>
      </c>
      <c r="H1813" s="153" t="s">
        <v>321</v>
      </c>
      <c r="I1813" s="153" t="s">
        <v>754</v>
      </c>
      <c r="J1813" s="153" t="s">
        <v>204</v>
      </c>
      <c r="K1813" s="153" t="s">
        <v>204</v>
      </c>
      <c r="L1813" s="153" t="s">
        <v>325</v>
      </c>
      <c r="M1813" s="153" t="s">
        <v>340</v>
      </c>
      <c r="N1813" s="153" t="s">
        <v>464</v>
      </c>
      <c r="O1813" s="153" t="s">
        <v>339</v>
      </c>
      <c r="P1813" s="153" t="s">
        <v>1560</v>
      </c>
      <c r="Q1813" s="153" t="s">
        <v>413</v>
      </c>
      <c r="R1813" s="153" t="s">
        <v>407</v>
      </c>
      <c r="S1813" s="153" t="s">
        <v>1212</v>
      </c>
      <c r="T1813" s="154">
        <v>4.05</v>
      </c>
      <c r="U1813" s="153" t="s">
        <v>1587</v>
      </c>
      <c r="V1813" s="155">
        <v>3.5409999999999997E-2</v>
      </c>
      <c r="W1813" s="155">
        <v>3.9E-2</v>
      </c>
      <c r="X1813" s="153" t="s">
        <v>412</v>
      </c>
      <c r="Y1813" s="153" t="s">
        <v>339</v>
      </c>
      <c r="Z1813" s="154">
        <v>192910</v>
      </c>
      <c r="AA1813" s="154">
        <v>1</v>
      </c>
      <c r="AB1813" s="154">
        <v>106.27</v>
      </c>
      <c r="AD1813" s="154">
        <v>205.005</v>
      </c>
      <c r="AG1813" s="157" t="s">
        <v>15</v>
      </c>
      <c r="AH1813" s="155">
        <v>1.1E-4</v>
      </c>
      <c r="AI1813" s="155">
        <f t="shared" si="28"/>
        <v>1.4708525391497314E-2</v>
      </c>
      <c r="AJ1813" s="155">
        <v>1.7490530069127108E-3</v>
      </c>
    </row>
    <row r="1814" spans="1:36" s="160" customFormat="1">
      <c r="A1814" s="153" t="s">
        <v>1213</v>
      </c>
      <c r="B1814" s="160">
        <v>9631</v>
      </c>
      <c r="C1814" s="153" t="s">
        <v>2356</v>
      </c>
      <c r="D1814" s="153" t="s">
        <v>2357</v>
      </c>
      <c r="E1814" s="153" t="s">
        <v>309</v>
      </c>
      <c r="F1814" s="153" t="s">
        <v>2358</v>
      </c>
      <c r="G1814" s="153" t="s">
        <v>2359</v>
      </c>
      <c r="H1814" s="153" t="s">
        <v>321</v>
      </c>
      <c r="I1814" s="153" t="s">
        <v>754</v>
      </c>
      <c r="J1814" s="153" t="s">
        <v>204</v>
      </c>
      <c r="K1814" s="153" t="s">
        <v>204</v>
      </c>
      <c r="L1814" s="153" t="s">
        <v>325</v>
      </c>
      <c r="M1814" s="153" t="s">
        <v>340</v>
      </c>
      <c r="N1814" s="153" t="s">
        <v>447</v>
      </c>
      <c r="O1814" s="153" t="s">
        <v>339</v>
      </c>
      <c r="P1814" s="153" t="s">
        <v>1560</v>
      </c>
      <c r="Q1814" s="153" t="s">
        <v>413</v>
      </c>
      <c r="R1814" s="153" t="s">
        <v>407</v>
      </c>
      <c r="S1814" s="153" t="s">
        <v>1212</v>
      </c>
      <c r="T1814" s="154">
        <v>2.79</v>
      </c>
      <c r="U1814" s="153" t="s">
        <v>2360</v>
      </c>
      <c r="V1814" s="155">
        <v>3.1969999999999998E-2</v>
      </c>
      <c r="W1814" s="155">
        <v>3.95E-2</v>
      </c>
      <c r="X1814" s="153" t="s">
        <v>412</v>
      </c>
      <c r="Y1814" s="153" t="s">
        <v>339</v>
      </c>
      <c r="Z1814" s="154">
        <v>172854.12</v>
      </c>
      <c r="AA1814" s="154">
        <v>1</v>
      </c>
      <c r="AB1814" s="154">
        <v>117.74</v>
      </c>
      <c r="AD1814" s="154">
        <v>203.518</v>
      </c>
      <c r="AG1814" s="157" t="s">
        <v>15</v>
      </c>
      <c r="AH1814" s="155">
        <v>1.2E-4</v>
      </c>
      <c r="AI1814" s="155">
        <f t="shared" si="28"/>
        <v>1.4601837372877492E-2</v>
      </c>
      <c r="AJ1814" s="155">
        <v>1.7363662830704671E-3</v>
      </c>
    </row>
    <row r="1815" spans="1:36" s="160" customFormat="1">
      <c r="A1815" s="153" t="s">
        <v>1213</v>
      </c>
      <c r="B1815" s="160">
        <v>9631</v>
      </c>
      <c r="C1815" s="153" t="s">
        <v>1591</v>
      </c>
      <c r="D1815" s="153" t="s">
        <v>1592</v>
      </c>
      <c r="E1815" s="153" t="s">
        <v>309</v>
      </c>
      <c r="F1815" s="153" t="s">
        <v>2175</v>
      </c>
      <c r="G1815" s="153" t="s">
        <v>2176</v>
      </c>
      <c r="H1815" s="153" t="s">
        <v>321</v>
      </c>
      <c r="I1815" s="153" t="s">
        <v>754</v>
      </c>
      <c r="J1815" s="153" t="s">
        <v>204</v>
      </c>
      <c r="K1815" s="153" t="s">
        <v>204</v>
      </c>
      <c r="L1815" s="153" t="s">
        <v>325</v>
      </c>
      <c r="M1815" s="153" t="s">
        <v>340</v>
      </c>
      <c r="N1815" s="153" t="s">
        <v>464</v>
      </c>
      <c r="O1815" s="153" t="s">
        <v>339</v>
      </c>
      <c r="P1815" s="153" t="s">
        <v>1538</v>
      </c>
      <c r="Q1815" s="153" t="s">
        <v>413</v>
      </c>
      <c r="R1815" s="153" t="s">
        <v>407</v>
      </c>
      <c r="S1815" s="153" t="s">
        <v>1212</v>
      </c>
      <c r="T1815" s="154">
        <v>3.97</v>
      </c>
      <c r="U1815" s="153" t="s">
        <v>2177</v>
      </c>
      <c r="V1815" s="155">
        <v>3.5290000000000002E-2</v>
      </c>
      <c r="W1815" s="155">
        <v>3.1899999999999998E-2</v>
      </c>
      <c r="X1815" s="153" t="s">
        <v>412</v>
      </c>
      <c r="Y1815" s="153" t="s">
        <v>339</v>
      </c>
      <c r="Z1815" s="154">
        <v>194649.34</v>
      </c>
      <c r="AA1815" s="154">
        <v>1</v>
      </c>
      <c r="AB1815" s="154">
        <v>103.53</v>
      </c>
      <c r="AD1815" s="154">
        <v>201.52</v>
      </c>
      <c r="AG1815" s="157" t="s">
        <v>15</v>
      </c>
      <c r="AH1815" s="155">
        <v>1.2E-4</v>
      </c>
      <c r="AI1815" s="155">
        <f t="shared" si="28"/>
        <v>1.4458486558349986E-2</v>
      </c>
      <c r="AJ1815" s="155">
        <v>1.7193198309946075E-3</v>
      </c>
    </row>
    <row r="1816" spans="1:36" s="160" customFormat="1">
      <c r="A1816" s="153" t="s">
        <v>1213</v>
      </c>
      <c r="B1816" s="160">
        <v>9631</v>
      </c>
      <c r="C1816" s="153" t="s">
        <v>2428</v>
      </c>
      <c r="D1816" s="153" t="s">
        <v>2429</v>
      </c>
      <c r="E1816" s="153" t="s">
        <v>309</v>
      </c>
      <c r="F1816" s="153" t="s">
        <v>2430</v>
      </c>
      <c r="G1816" s="153" t="s">
        <v>2431</v>
      </c>
      <c r="H1816" s="153" t="s">
        <v>321</v>
      </c>
      <c r="I1816" s="153" t="s">
        <v>755</v>
      </c>
      <c r="J1816" s="153" t="s">
        <v>204</v>
      </c>
      <c r="K1816" s="153" t="s">
        <v>204</v>
      </c>
      <c r="L1816" s="153" t="s">
        <v>325</v>
      </c>
      <c r="M1816" s="153" t="s">
        <v>340</v>
      </c>
      <c r="N1816" s="153" t="s">
        <v>454</v>
      </c>
      <c r="O1816" s="153" t="s">
        <v>339</v>
      </c>
      <c r="P1816" s="153" t="s">
        <v>1538</v>
      </c>
      <c r="Q1816" s="153" t="s">
        <v>413</v>
      </c>
      <c r="R1816" s="153" t="s">
        <v>407</v>
      </c>
      <c r="S1816" s="153" t="s">
        <v>1212</v>
      </c>
      <c r="T1816" s="154">
        <v>0.5</v>
      </c>
      <c r="U1816" s="153" t="s">
        <v>2432</v>
      </c>
      <c r="V1816" s="155">
        <v>4.8349999999999997E-2</v>
      </c>
      <c r="W1816" s="155">
        <v>8.8599999999999998E-2</v>
      </c>
      <c r="X1816" s="153" t="s">
        <v>412</v>
      </c>
      <c r="Y1816" s="153" t="s">
        <v>339</v>
      </c>
      <c r="Z1816" s="154">
        <v>194246.7</v>
      </c>
      <c r="AA1816" s="154">
        <v>1</v>
      </c>
      <c r="AB1816" s="154">
        <v>102.3</v>
      </c>
      <c r="AD1816" s="154">
        <v>198.714</v>
      </c>
      <c r="AG1816" s="157" t="s">
        <v>15</v>
      </c>
      <c r="AH1816" s="155">
        <v>3.8999999999999999E-4</v>
      </c>
      <c r="AI1816" s="155">
        <f t="shared" si="28"/>
        <v>1.4257164043052594E-2</v>
      </c>
      <c r="AJ1816" s="155">
        <v>1.6953797186198016E-3</v>
      </c>
    </row>
    <row r="1817" spans="1:36" s="160" customFormat="1">
      <c r="A1817" s="153" t="s">
        <v>1213</v>
      </c>
      <c r="B1817" s="160">
        <v>9631</v>
      </c>
      <c r="C1817" s="153" t="s">
        <v>2802</v>
      </c>
      <c r="D1817" s="153" t="s">
        <v>2803</v>
      </c>
      <c r="E1817" s="153" t="s">
        <v>309</v>
      </c>
      <c r="F1817" s="153" t="s">
        <v>2804</v>
      </c>
      <c r="G1817" s="153" t="s">
        <v>2805</v>
      </c>
      <c r="H1817" s="153" t="s">
        <v>321</v>
      </c>
      <c r="I1817" s="153" t="s">
        <v>951</v>
      </c>
      <c r="J1817" s="153" t="s">
        <v>204</v>
      </c>
      <c r="K1817" s="153" t="s">
        <v>204</v>
      </c>
      <c r="L1817" s="153" t="s">
        <v>325</v>
      </c>
      <c r="M1817" s="153" t="s">
        <v>340</v>
      </c>
      <c r="N1817" s="153" t="s">
        <v>447</v>
      </c>
      <c r="O1817" s="153" t="s">
        <v>339</v>
      </c>
      <c r="P1817" s="153" t="s">
        <v>1527</v>
      </c>
      <c r="Q1817" s="153" t="s">
        <v>415</v>
      </c>
      <c r="R1817" s="153" t="s">
        <v>407</v>
      </c>
      <c r="S1817" s="153" t="s">
        <v>1212</v>
      </c>
      <c r="T1817" s="154">
        <v>2.2400000000000002</v>
      </c>
      <c r="U1817" s="153" t="s">
        <v>1528</v>
      </c>
      <c r="V1817" s="155">
        <v>4.7039999999999998E-2</v>
      </c>
      <c r="W1817" s="155">
        <v>6.3299999999999995E-2</v>
      </c>
      <c r="X1817" s="153" t="s">
        <v>412</v>
      </c>
      <c r="Y1817" s="153" t="s">
        <v>339</v>
      </c>
      <c r="Z1817" s="154">
        <v>199293</v>
      </c>
      <c r="AA1817" s="154">
        <v>1</v>
      </c>
      <c r="AB1817" s="154">
        <v>97.43</v>
      </c>
      <c r="AD1817" s="154">
        <v>194.17099999999999</v>
      </c>
      <c r="AG1817" s="157" t="s">
        <v>15</v>
      </c>
      <c r="AH1817" s="155">
        <v>2.7999999999999998E-4</v>
      </c>
      <c r="AI1817" s="155">
        <f t="shared" si="28"/>
        <v>1.393121672053084E-2</v>
      </c>
      <c r="AJ1817" s="155">
        <v>1.6566199429538205E-3</v>
      </c>
    </row>
    <row r="1818" spans="1:36" s="160" customFormat="1">
      <c r="A1818" s="153" t="s">
        <v>1213</v>
      </c>
      <c r="B1818" s="160">
        <v>9631</v>
      </c>
      <c r="C1818" s="153" t="s">
        <v>2178</v>
      </c>
      <c r="D1818" s="153" t="s">
        <v>2179</v>
      </c>
      <c r="E1818" s="153" t="s">
        <v>309</v>
      </c>
      <c r="F1818" s="153" t="s">
        <v>2189</v>
      </c>
      <c r="G1818" s="153" t="s">
        <v>2190</v>
      </c>
      <c r="H1818" s="153" t="s">
        <v>321</v>
      </c>
      <c r="I1818" s="153" t="s">
        <v>951</v>
      </c>
      <c r="J1818" s="153" t="s">
        <v>204</v>
      </c>
      <c r="K1818" s="153" t="s">
        <v>204</v>
      </c>
      <c r="L1818" s="153" t="s">
        <v>325</v>
      </c>
      <c r="M1818" s="153" t="s">
        <v>340</v>
      </c>
      <c r="N1818" s="153" t="s">
        <v>464</v>
      </c>
      <c r="O1818" s="153" t="s">
        <v>339</v>
      </c>
      <c r="P1818" s="153" t="s">
        <v>1566</v>
      </c>
      <c r="Q1818" s="153" t="s">
        <v>413</v>
      </c>
      <c r="R1818" s="153" t="s">
        <v>407</v>
      </c>
      <c r="S1818" s="153" t="s">
        <v>1212</v>
      </c>
      <c r="T1818" s="154">
        <v>6.24</v>
      </c>
      <c r="U1818" s="153" t="s">
        <v>2182</v>
      </c>
      <c r="V1818" s="155">
        <v>4.4639999999999999E-2</v>
      </c>
      <c r="W1818" s="155">
        <v>6.6799999999999998E-2</v>
      </c>
      <c r="X1818" s="153" t="s">
        <v>412</v>
      </c>
      <c r="Y1818" s="153" t="s">
        <v>339</v>
      </c>
      <c r="Z1818" s="154">
        <v>208000</v>
      </c>
      <c r="AA1818" s="154">
        <v>1</v>
      </c>
      <c r="AB1818" s="154">
        <v>92.67</v>
      </c>
      <c r="AD1818" s="154">
        <v>192.75399999999999</v>
      </c>
      <c r="AG1818" s="157" t="s">
        <v>15</v>
      </c>
      <c r="AH1818" s="155">
        <v>2.3000000000000001E-4</v>
      </c>
      <c r="AI1818" s="155">
        <f t="shared" si="28"/>
        <v>1.382955100272029E-2</v>
      </c>
      <c r="AJ1818" s="155">
        <v>1.6445304421572773E-3</v>
      </c>
    </row>
    <row r="1819" spans="1:36" s="160" customFormat="1">
      <c r="A1819" s="153" t="s">
        <v>1213</v>
      </c>
      <c r="B1819" s="160">
        <v>9631</v>
      </c>
      <c r="C1819" s="153" t="s">
        <v>1825</v>
      </c>
      <c r="D1819" s="153" t="s">
        <v>1826</v>
      </c>
      <c r="E1819" s="153" t="s">
        <v>309</v>
      </c>
      <c r="F1819" s="153" t="s">
        <v>2787</v>
      </c>
      <c r="G1819" s="153" t="s">
        <v>2788</v>
      </c>
      <c r="H1819" s="153" t="s">
        <v>321</v>
      </c>
      <c r="I1819" s="153" t="s">
        <v>951</v>
      </c>
      <c r="J1819" s="153" t="s">
        <v>204</v>
      </c>
      <c r="K1819" s="153" t="s">
        <v>204</v>
      </c>
      <c r="L1819" s="153" t="s">
        <v>325</v>
      </c>
      <c r="M1819" s="153" t="s">
        <v>340</v>
      </c>
      <c r="N1819" s="153" t="s">
        <v>441</v>
      </c>
      <c r="O1819" s="153" t="s">
        <v>339</v>
      </c>
      <c r="Q1819" s="153" t="s">
        <v>410</v>
      </c>
      <c r="R1819" s="153" t="s">
        <v>410</v>
      </c>
      <c r="S1819" s="153" t="s">
        <v>1212</v>
      </c>
      <c r="T1819" s="154">
        <v>2.76</v>
      </c>
      <c r="U1819" s="153" t="s">
        <v>1669</v>
      </c>
      <c r="V1819" s="155">
        <v>5.101E-2</v>
      </c>
      <c r="W1819" s="155">
        <v>5.9299999999999999E-2</v>
      </c>
      <c r="X1819" s="153" t="s">
        <v>412</v>
      </c>
      <c r="Y1819" s="153" t="s">
        <v>339</v>
      </c>
      <c r="Z1819" s="154">
        <v>183000</v>
      </c>
      <c r="AA1819" s="154">
        <v>1</v>
      </c>
      <c r="AB1819" s="154">
        <v>100.56</v>
      </c>
      <c r="AD1819" s="154">
        <v>184.02500000000001</v>
      </c>
      <c r="AG1819" s="157" t="s">
        <v>15</v>
      </c>
      <c r="AH1819" s="155">
        <v>8.3000000000000001E-4</v>
      </c>
      <c r="AI1819" s="155">
        <f t="shared" si="28"/>
        <v>1.3203270091804069E-2</v>
      </c>
      <c r="AJ1819" s="155">
        <v>1.5700567283583895E-3</v>
      </c>
    </row>
    <row r="1820" spans="1:36" s="160" customFormat="1">
      <c r="A1820" s="153" t="s">
        <v>1213</v>
      </c>
      <c r="B1820" s="160">
        <v>9631</v>
      </c>
      <c r="C1820" s="153" t="s">
        <v>1674</v>
      </c>
      <c r="D1820" s="153" t="s">
        <v>1675</v>
      </c>
      <c r="E1820" s="153" t="s">
        <v>309</v>
      </c>
      <c r="F1820" s="153" t="s">
        <v>2746</v>
      </c>
      <c r="G1820" s="153" t="s">
        <v>2747</v>
      </c>
      <c r="H1820" s="153" t="s">
        <v>321</v>
      </c>
      <c r="I1820" s="153" t="s">
        <v>754</v>
      </c>
      <c r="J1820" s="153" t="s">
        <v>204</v>
      </c>
      <c r="K1820" s="153" t="s">
        <v>204</v>
      </c>
      <c r="L1820" s="153" t="s">
        <v>325</v>
      </c>
      <c r="M1820" s="153" t="s">
        <v>340</v>
      </c>
      <c r="N1820" s="153" t="s">
        <v>464</v>
      </c>
      <c r="O1820" s="153" t="s">
        <v>339</v>
      </c>
      <c r="P1820" s="153" t="s">
        <v>1566</v>
      </c>
      <c r="Q1820" s="153" t="s">
        <v>413</v>
      </c>
      <c r="R1820" s="153" t="s">
        <v>407</v>
      </c>
      <c r="S1820" s="153" t="s">
        <v>1212</v>
      </c>
      <c r="T1820" s="154">
        <v>5.31</v>
      </c>
      <c r="U1820" s="153" t="s">
        <v>1897</v>
      </c>
      <c r="V1820" s="155">
        <v>1.8769999999999998E-2</v>
      </c>
      <c r="W1820" s="155">
        <v>3.3700000000000001E-2</v>
      </c>
      <c r="X1820" s="153" t="s">
        <v>412</v>
      </c>
      <c r="Y1820" s="153" t="s">
        <v>339</v>
      </c>
      <c r="Z1820" s="154">
        <v>174240</v>
      </c>
      <c r="AA1820" s="154">
        <v>1</v>
      </c>
      <c r="AB1820" s="154">
        <v>103.16</v>
      </c>
      <c r="AD1820" s="154">
        <v>179.74600000000001</v>
      </c>
      <c r="AG1820" s="157" t="s">
        <v>15</v>
      </c>
      <c r="AH1820" s="155">
        <v>3.3E-4</v>
      </c>
      <c r="AI1820" s="155">
        <f t="shared" si="28"/>
        <v>1.2896264018048713E-2</v>
      </c>
      <c r="AJ1820" s="155">
        <v>1.5335493367504799E-3</v>
      </c>
    </row>
    <row r="1821" spans="1:36" s="160" customFormat="1">
      <c r="A1821" s="153" t="s">
        <v>1213</v>
      </c>
      <c r="B1821" s="160">
        <v>9631</v>
      </c>
      <c r="C1821" s="153" t="s">
        <v>2445</v>
      </c>
      <c r="D1821" s="153" t="s">
        <v>2446</v>
      </c>
      <c r="E1821" s="153" t="s">
        <v>309</v>
      </c>
      <c r="F1821" s="153" t="s">
        <v>2447</v>
      </c>
      <c r="G1821" s="153" t="s">
        <v>2448</v>
      </c>
      <c r="H1821" s="153" t="s">
        <v>321</v>
      </c>
      <c r="I1821" s="153" t="s">
        <v>951</v>
      </c>
      <c r="J1821" s="153" t="s">
        <v>204</v>
      </c>
      <c r="K1821" s="153" t="s">
        <v>204</v>
      </c>
      <c r="L1821" s="153" t="s">
        <v>325</v>
      </c>
      <c r="M1821" s="153" t="s">
        <v>340</v>
      </c>
      <c r="N1821" s="153" t="s">
        <v>440</v>
      </c>
      <c r="O1821" s="153" t="s">
        <v>339</v>
      </c>
      <c r="P1821" s="153" t="s">
        <v>1614</v>
      </c>
      <c r="Q1821" s="153" t="s">
        <v>415</v>
      </c>
      <c r="R1821" s="153" t="s">
        <v>407</v>
      </c>
      <c r="S1821" s="153" t="s">
        <v>1212</v>
      </c>
      <c r="T1821" s="154">
        <v>1.92</v>
      </c>
      <c r="U1821" s="153" t="s">
        <v>1370</v>
      </c>
      <c r="V1821" s="155">
        <v>4.947E-2</v>
      </c>
      <c r="W1821" s="155">
        <v>5.7599999999999998E-2</v>
      </c>
      <c r="X1821" s="153" t="s">
        <v>412</v>
      </c>
      <c r="Y1821" s="153" t="s">
        <v>339</v>
      </c>
      <c r="Z1821" s="154">
        <v>177264.25</v>
      </c>
      <c r="AA1821" s="154">
        <v>1</v>
      </c>
      <c r="AB1821" s="154">
        <v>95.6</v>
      </c>
      <c r="AD1821" s="154">
        <v>169.465</v>
      </c>
      <c r="AG1821" s="157" t="s">
        <v>15</v>
      </c>
      <c r="AH1821" s="155">
        <v>2.5000000000000001E-4</v>
      </c>
      <c r="AI1821" s="155">
        <f t="shared" si="28"/>
        <v>1.2158631523475488E-2</v>
      </c>
      <c r="AJ1821" s="155">
        <v>1.4458343348526257E-3</v>
      </c>
    </row>
    <row r="1822" spans="1:36" s="160" customFormat="1">
      <c r="A1822" s="153" t="s">
        <v>1213</v>
      </c>
      <c r="B1822" s="160">
        <v>9631</v>
      </c>
      <c r="C1822" s="153" t="s">
        <v>2391</v>
      </c>
      <c r="D1822" s="153" t="s">
        <v>2392</v>
      </c>
      <c r="E1822" s="153" t="s">
        <v>309</v>
      </c>
      <c r="F1822" s="153" t="s">
        <v>2528</v>
      </c>
      <c r="G1822" s="153" t="s">
        <v>2529</v>
      </c>
      <c r="H1822" s="153" t="s">
        <v>321</v>
      </c>
      <c r="I1822" s="153" t="s">
        <v>754</v>
      </c>
      <c r="J1822" s="153" t="s">
        <v>204</v>
      </c>
      <c r="K1822" s="153" t="s">
        <v>204</v>
      </c>
      <c r="L1822" s="153" t="s">
        <v>325</v>
      </c>
      <c r="M1822" s="153" t="s">
        <v>340</v>
      </c>
      <c r="N1822" s="153" t="s">
        <v>464</v>
      </c>
      <c r="O1822" s="153" t="s">
        <v>339</v>
      </c>
      <c r="P1822" s="153" t="s">
        <v>1566</v>
      </c>
      <c r="Q1822" s="153" t="s">
        <v>413</v>
      </c>
      <c r="R1822" s="153" t="s">
        <v>407</v>
      </c>
      <c r="S1822" s="153" t="s">
        <v>1212</v>
      </c>
      <c r="T1822" s="154">
        <v>1.21</v>
      </c>
      <c r="U1822" s="153" t="s">
        <v>2530</v>
      </c>
      <c r="V1822" s="155">
        <v>1.5089999999999999E-2</v>
      </c>
      <c r="W1822" s="155">
        <v>2.6499999999999999E-2</v>
      </c>
      <c r="X1822" s="153" t="s">
        <v>412</v>
      </c>
      <c r="Y1822" s="153" t="s">
        <v>339</v>
      </c>
      <c r="Z1822" s="154">
        <v>143456.6</v>
      </c>
      <c r="AA1822" s="154">
        <v>1</v>
      </c>
      <c r="AB1822" s="154">
        <v>117.11</v>
      </c>
      <c r="AD1822" s="154">
        <v>168.00200000000001</v>
      </c>
      <c r="AG1822" s="157" t="s">
        <v>15</v>
      </c>
      <c r="AH1822" s="155">
        <v>6.9999999999999994E-5</v>
      </c>
      <c r="AI1822" s="155">
        <f t="shared" si="28"/>
        <v>1.2053665436561703E-2</v>
      </c>
      <c r="AJ1822" s="155">
        <v>1.4333523731974794E-3</v>
      </c>
    </row>
    <row r="1823" spans="1:36" s="160" customFormat="1">
      <c r="A1823" s="153" t="s">
        <v>1213</v>
      </c>
      <c r="B1823" s="160">
        <v>9631</v>
      </c>
      <c r="C1823" s="153" t="s">
        <v>1820</v>
      </c>
      <c r="D1823" s="153" t="s">
        <v>1821</v>
      </c>
      <c r="E1823" s="153" t="s">
        <v>309</v>
      </c>
      <c r="F1823" s="153" t="s">
        <v>1822</v>
      </c>
      <c r="G1823" s="153" t="s">
        <v>1823</v>
      </c>
      <c r="H1823" s="153" t="s">
        <v>321</v>
      </c>
      <c r="I1823" s="153" t="s">
        <v>754</v>
      </c>
      <c r="J1823" s="153" t="s">
        <v>204</v>
      </c>
      <c r="K1823" s="153" t="s">
        <v>204</v>
      </c>
      <c r="L1823" s="153" t="s">
        <v>325</v>
      </c>
      <c r="M1823" s="153" t="s">
        <v>340</v>
      </c>
      <c r="N1823" s="153" t="s">
        <v>464</v>
      </c>
      <c r="O1823" s="153" t="s">
        <v>339</v>
      </c>
      <c r="P1823" s="153" t="s">
        <v>1538</v>
      </c>
      <c r="Q1823" s="153" t="s">
        <v>413</v>
      </c>
      <c r="R1823" s="153" t="s">
        <v>407</v>
      </c>
      <c r="S1823" s="153" t="s">
        <v>1212</v>
      </c>
      <c r="T1823" s="154">
        <v>5.36</v>
      </c>
      <c r="U1823" s="153" t="s">
        <v>1824</v>
      </c>
      <c r="V1823" s="155">
        <v>2.6030000000000001E-2</v>
      </c>
      <c r="W1823" s="155">
        <v>3.3099999999999997E-2</v>
      </c>
      <c r="X1823" s="153" t="s">
        <v>412</v>
      </c>
      <c r="Y1823" s="153" t="s">
        <v>339</v>
      </c>
      <c r="Z1823" s="154">
        <v>163377.56</v>
      </c>
      <c r="AA1823" s="154">
        <v>1</v>
      </c>
      <c r="AB1823" s="154">
        <v>99.45</v>
      </c>
      <c r="AD1823" s="154">
        <v>162.47900000000001</v>
      </c>
      <c r="AG1823" s="157" t="s">
        <v>15</v>
      </c>
      <c r="AH1823" s="155">
        <v>6.9999999999999994E-5</v>
      </c>
      <c r="AI1823" s="155">
        <f t="shared" si="28"/>
        <v>1.165740590271014E-2</v>
      </c>
      <c r="AJ1823" s="155">
        <v>1.3862314748916873E-3</v>
      </c>
    </row>
    <row r="1824" spans="1:36" s="160" customFormat="1">
      <c r="A1824" s="153" t="s">
        <v>1213</v>
      </c>
      <c r="B1824" s="160">
        <v>9631</v>
      </c>
      <c r="C1824" s="153" t="s">
        <v>2356</v>
      </c>
      <c r="D1824" s="153" t="s">
        <v>2357</v>
      </c>
      <c r="E1824" s="153" t="s">
        <v>309</v>
      </c>
      <c r="F1824" s="153" t="s">
        <v>2808</v>
      </c>
      <c r="G1824" s="153" t="s">
        <v>2809</v>
      </c>
      <c r="H1824" s="153" t="s">
        <v>321</v>
      </c>
      <c r="I1824" s="153" t="s">
        <v>754</v>
      </c>
      <c r="J1824" s="153" t="s">
        <v>204</v>
      </c>
      <c r="K1824" s="153" t="s">
        <v>204</v>
      </c>
      <c r="L1824" s="153" t="s">
        <v>325</v>
      </c>
      <c r="M1824" s="153" t="s">
        <v>340</v>
      </c>
      <c r="N1824" s="153" t="s">
        <v>447</v>
      </c>
      <c r="O1824" s="153" t="s">
        <v>339</v>
      </c>
      <c r="P1824" s="153" t="s">
        <v>1560</v>
      </c>
      <c r="Q1824" s="153" t="s">
        <v>413</v>
      </c>
      <c r="R1824" s="153" t="s">
        <v>407</v>
      </c>
      <c r="S1824" s="153" t="s">
        <v>1212</v>
      </c>
      <c r="T1824" s="154">
        <v>4.1100000000000003</v>
      </c>
      <c r="U1824" s="153" t="s">
        <v>1916</v>
      </c>
      <c r="V1824" s="155">
        <v>1.158E-2</v>
      </c>
      <c r="W1824" s="155">
        <v>4.1700000000000001E-2</v>
      </c>
      <c r="X1824" s="153" t="s">
        <v>412</v>
      </c>
      <c r="Y1824" s="153" t="s">
        <v>339</v>
      </c>
      <c r="Z1824" s="154">
        <v>143936.17000000001</v>
      </c>
      <c r="AA1824" s="154">
        <v>1</v>
      </c>
      <c r="AB1824" s="154">
        <v>111.41</v>
      </c>
      <c r="AD1824" s="154">
        <v>160.35900000000001</v>
      </c>
      <c r="AG1824" s="157" t="s">
        <v>15</v>
      </c>
      <c r="AH1824" s="155">
        <v>3.8999999999999999E-4</v>
      </c>
      <c r="AI1824" s="155">
        <f t="shared" si="28"/>
        <v>1.1505301935343616E-2</v>
      </c>
      <c r="AJ1824" s="155">
        <v>1.3681441483647493E-3</v>
      </c>
    </row>
    <row r="1825" spans="1:36" s="160" customFormat="1">
      <c r="A1825" s="153" t="s">
        <v>1213</v>
      </c>
      <c r="B1825" s="160">
        <v>9631</v>
      </c>
      <c r="C1825" s="153" t="s">
        <v>1591</v>
      </c>
      <c r="D1825" s="153" t="s">
        <v>1592</v>
      </c>
      <c r="E1825" s="153" t="s">
        <v>309</v>
      </c>
      <c r="F1825" s="153" t="s">
        <v>1858</v>
      </c>
      <c r="G1825" s="153" t="s">
        <v>1859</v>
      </c>
      <c r="H1825" s="153" t="s">
        <v>321</v>
      </c>
      <c r="I1825" s="153" t="s">
        <v>754</v>
      </c>
      <c r="J1825" s="153" t="s">
        <v>204</v>
      </c>
      <c r="K1825" s="153" t="s">
        <v>204</v>
      </c>
      <c r="L1825" s="153" t="s">
        <v>325</v>
      </c>
      <c r="M1825" s="153" t="s">
        <v>340</v>
      </c>
      <c r="N1825" s="153" t="s">
        <v>464</v>
      </c>
      <c r="O1825" s="153" t="s">
        <v>339</v>
      </c>
      <c r="P1825" s="153" t="s">
        <v>1538</v>
      </c>
      <c r="Q1825" s="153" t="s">
        <v>413</v>
      </c>
      <c r="R1825" s="153" t="s">
        <v>407</v>
      </c>
      <c r="S1825" s="153" t="s">
        <v>1212</v>
      </c>
      <c r="T1825" s="154">
        <v>5.14</v>
      </c>
      <c r="U1825" s="153" t="s">
        <v>1860</v>
      </c>
      <c r="V1825" s="155">
        <v>9.2300000000000004E-3</v>
      </c>
      <c r="W1825" s="155">
        <v>3.32E-2</v>
      </c>
      <c r="X1825" s="153" t="s">
        <v>412</v>
      </c>
      <c r="Y1825" s="153" t="s">
        <v>339</v>
      </c>
      <c r="Z1825" s="154">
        <v>163785</v>
      </c>
      <c r="AA1825" s="154">
        <v>1</v>
      </c>
      <c r="AB1825" s="154">
        <v>97.54</v>
      </c>
      <c r="AD1825" s="154">
        <v>159.756</v>
      </c>
      <c r="AG1825" s="157" t="s">
        <v>15</v>
      </c>
      <c r="AH1825" s="155">
        <v>1.2E-4</v>
      </c>
      <c r="AI1825" s="155">
        <f t="shared" si="28"/>
        <v>1.1462038401229457E-2</v>
      </c>
      <c r="AJ1825" s="155">
        <v>1.3629994984139266E-3</v>
      </c>
    </row>
    <row r="1826" spans="1:36" s="160" customFormat="1">
      <c r="A1826" s="153" t="s">
        <v>1213</v>
      </c>
      <c r="B1826" s="160">
        <v>9631</v>
      </c>
      <c r="C1826" s="153" t="s">
        <v>1861</v>
      </c>
      <c r="D1826" s="153" t="s">
        <v>1862</v>
      </c>
      <c r="E1826" s="153" t="s">
        <v>309</v>
      </c>
      <c r="F1826" s="153" t="s">
        <v>1863</v>
      </c>
      <c r="G1826" s="153" t="s">
        <v>1864</v>
      </c>
      <c r="H1826" s="153" t="s">
        <v>321</v>
      </c>
      <c r="I1826" s="153" t="s">
        <v>754</v>
      </c>
      <c r="J1826" s="153" t="s">
        <v>204</v>
      </c>
      <c r="K1826" s="153" t="s">
        <v>204</v>
      </c>
      <c r="L1826" s="153" t="s">
        <v>325</v>
      </c>
      <c r="M1826" s="153" t="s">
        <v>340</v>
      </c>
      <c r="N1826" s="153" t="s">
        <v>464</v>
      </c>
      <c r="O1826" s="153" t="s">
        <v>339</v>
      </c>
      <c r="P1826" s="153" t="s">
        <v>1538</v>
      </c>
      <c r="Q1826" s="153" t="s">
        <v>413</v>
      </c>
      <c r="R1826" s="153" t="s">
        <v>407</v>
      </c>
      <c r="S1826" s="153" t="s">
        <v>1212</v>
      </c>
      <c r="T1826" s="154">
        <v>5.3</v>
      </c>
      <c r="U1826" s="153" t="s">
        <v>1865</v>
      </c>
      <c r="V1826" s="155">
        <v>3.1099999999999999E-3</v>
      </c>
      <c r="W1826" s="155">
        <v>3.0300000000000001E-2</v>
      </c>
      <c r="X1826" s="153" t="s">
        <v>412</v>
      </c>
      <c r="Y1826" s="153" t="s">
        <v>339</v>
      </c>
      <c r="Z1826" s="154">
        <v>162800</v>
      </c>
      <c r="AA1826" s="154">
        <v>1</v>
      </c>
      <c r="AB1826" s="154">
        <v>97.92</v>
      </c>
      <c r="AD1826" s="154">
        <v>159.41399999999999</v>
      </c>
      <c r="AG1826" s="157" t="s">
        <v>15</v>
      </c>
      <c r="AH1826" s="155">
        <v>1.2999999999999999E-4</v>
      </c>
      <c r="AI1826" s="155">
        <f t="shared" si="28"/>
        <v>1.1437500874418442E-2</v>
      </c>
      <c r="AJ1826" s="155">
        <v>1.3600816372477884E-3</v>
      </c>
    </row>
    <row r="1827" spans="1:36" s="160" customFormat="1">
      <c r="A1827" s="153" t="s">
        <v>1213</v>
      </c>
      <c r="B1827" s="160">
        <v>9631</v>
      </c>
      <c r="C1827" s="153" t="s">
        <v>1893</v>
      </c>
      <c r="D1827" s="153" t="s">
        <v>1894</v>
      </c>
      <c r="E1827" s="153" t="s">
        <v>309</v>
      </c>
      <c r="F1827" s="153" t="s">
        <v>3335</v>
      </c>
      <c r="G1827" s="153" t="s">
        <v>3336</v>
      </c>
      <c r="H1827" s="153" t="s">
        <v>321</v>
      </c>
      <c r="I1827" s="153" t="s">
        <v>754</v>
      </c>
      <c r="J1827" s="153" t="s">
        <v>204</v>
      </c>
      <c r="K1827" s="153" t="s">
        <v>204</v>
      </c>
      <c r="L1827" s="153" t="s">
        <v>325</v>
      </c>
      <c r="M1827" s="153" t="s">
        <v>340</v>
      </c>
      <c r="N1827" s="153" t="s">
        <v>464</v>
      </c>
      <c r="O1827" s="153" t="s">
        <v>339</v>
      </c>
      <c r="P1827" s="153" t="s">
        <v>1521</v>
      </c>
      <c r="Q1827" s="153" t="s">
        <v>413</v>
      </c>
      <c r="R1827" s="153" t="s">
        <v>407</v>
      </c>
      <c r="S1827" s="153" t="s">
        <v>1212</v>
      </c>
      <c r="T1827" s="154">
        <v>5.7</v>
      </c>
      <c r="U1827" s="153" t="s">
        <v>2294</v>
      </c>
      <c r="V1827" s="155">
        <v>5.4599999999999996E-3</v>
      </c>
      <c r="W1827" s="155">
        <v>3.5499999999999997E-2</v>
      </c>
      <c r="X1827" s="153" t="s">
        <v>412</v>
      </c>
      <c r="Y1827" s="153" t="s">
        <v>339</v>
      </c>
      <c r="Z1827" s="154">
        <v>164050</v>
      </c>
      <c r="AA1827" s="154">
        <v>1</v>
      </c>
      <c r="AB1827" s="154">
        <v>95.68</v>
      </c>
      <c r="AD1827" s="154">
        <v>156.96299999999999</v>
      </c>
      <c r="AG1827" s="157" t="s">
        <v>15</v>
      </c>
      <c r="AH1827" s="155">
        <v>1.48E-3</v>
      </c>
      <c r="AI1827" s="155">
        <f t="shared" si="28"/>
        <v>1.1261648598939503E-2</v>
      </c>
      <c r="AJ1827" s="155">
        <v>1.3391702988904651E-3</v>
      </c>
    </row>
    <row r="1828" spans="1:36" s="160" customFormat="1">
      <c r="A1828" s="153" t="s">
        <v>1213</v>
      </c>
      <c r="B1828" s="160">
        <v>9631</v>
      </c>
      <c r="C1828" s="153" t="s">
        <v>1512</v>
      </c>
      <c r="D1828" s="153" t="s">
        <v>1513</v>
      </c>
      <c r="E1828" s="153" t="s">
        <v>309</v>
      </c>
      <c r="F1828" s="153" t="s">
        <v>2186</v>
      </c>
      <c r="G1828" s="153" t="s">
        <v>2187</v>
      </c>
      <c r="H1828" s="153" t="s">
        <v>321</v>
      </c>
      <c r="I1828" s="153" t="s">
        <v>754</v>
      </c>
      <c r="J1828" s="153" t="s">
        <v>204</v>
      </c>
      <c r="K1828" s="153" t="s">
        <v>204</v>
      </c>
      <c r="L1828" s="153" t="s">
        <v>325</v>
      </c>
      <c r="M1828" s="153" t="s">
        <v>340</v>
      </c>
      <c r="N1828" s="153" t="s">
        <v>448</v>
      </c>
      <c r="O1828" s="153" t="s">
        <v>339</v>
      </c>
      <c r="P1828" s="153" t="s">
        <v>1215</v>
      </c>
      <c r="Q1828" s="153" t="s">
        <v>413</v>
      </c>
      <c r="R1828" s="153" t="s">
        <v>407</v>
      </c>
      <c r="S1828" s="153" t="s">
        <v>1212</v>
      </c>
      <c r="T1828" s="154">
        <v>1.72</v>
      </c>
      <c r="U1828" s="153" t="s">
        <v>2188</v>
      </c>
      <c r="V1828" s="155">
        <v>5.0000000000000002E-5</v>
      </c>
      <c r="W1828" s="155">
        <v>2.1399999999999999E-2</v>
      </c>
      <c r="X1828" s="153" t="s">
        <v>412</v>
      </c>
      <c r="Y1828" s="153" t="s">
        <v>339</v>
      </c>
      <c r="Z1828" s="154">
        <v>140571</v>
      </c>
      <c r="AA1828" s="154">
        <v>1</v>
      </c>
      <c r="AB1828" s="154">
        <v>110.39</v>
      </c>
      <c r="AD1828" s="154">
        <v>155.17599999999999</v>
      </c>
      <c r="AG1828" s="157" t="s">
        <v>15</v>
      </c>
      <c r="AH1828" s="155">
        <v>5.0000000000000002E-5</v>
      </c>
      <c r="AI1828" s="155">
        <f t="shared" si="28"/>
        <v>1.1133436433994229E-2</v>
      </c>
      <c r="AJ1828" s="155">
        <v>1.3239240477095036E-3</v>
      </c>
    </row>
    <row r="1829" spans="1:36" s="160" customFormat="1">
      <c r="A1829" s="153" t="s">
        <v>1213</v>
      </c>
      <c r="B1829" s="160">
        <v>9631</v>
      </c>
      <c r="C1829" s="153" t="s">
        <v>2424</v>
      </c>
      <c r="D1829" s="153" t="s">
        <v>2425</v>
      </c>
      <c r="E1829" s="153" t="s">
        <v>309</v>
      </c>
      <c r="F1829" s="153" t="s">
        <v>2426</v>
      </c>
      <c r="G1829" s="153" t="s">
        <v>2427</v>
      </c>
      <c r="H1829" s="153" t="s">
        <v>321</v>
      </c>
      <c r="I1829" s="153" t="s">
        <v>754</v>
      </c>
      <c r="J1829" s="153" t="s">
        <v>204</v>
      </c>
      <c r="K1829" s="153" t="s">
        <v>204</v>
      </c>
      <c r="L1829" s="153" t="s">
        <v>325</v>
      </c>
      <c r="M1829" s="153" t="s">
        <v>340</v>
      </c>
      <c r="N1829" s="153" t="s">
        <v>477</v>
      </c>
      <c r="O1829" s="153" t="s">
        <v>339</v>
      </c>
      <c r="P1829" s="153" t="s">
        <v>1923</v>
      </c>
      <c r="Q1829" s="153" t="s">
        <v>415</v>
      </c>
      <c r="R1829" s="153" t="s">
        <v>407</v>
      </c>
      <c r="S1829" s="153" t="s">
        <v>1212</v>
      </c>
      <c r="T1829" s="154">
        <v>5.47</v>
      </c>
      <c r="U1829" s="153" t="s">
        <v>2177</v>
      </c>
      <c r="V1829" s="155">
        <v>1.273E-2</v>
      </c>
      <c r="W1829" s="155">
        <v>2.7400000000000001E-2</v>
      </c>
      <c r="X1829" s="153" t="s">
        <v>412</v>
      </c>
      <c r="Y1829" s="153" t="s">
        <v>339</v>
      </c>
      <c r="Z1829" s="154">
        <v>124736.43</v>
      </c>
      <c r="AA1829" s="154">
        <v>1</v>
      </c>
      <c r="AB1829" s="154">
        <v>116.33</v>
      </c>
      <c r="AD1829" s="154">
        <v>145.10599999999999</v>
      </c>
      <c r="AG1829" s="157" t="s">
        <v>15</v>
      </c>
      <c r="AH1829" s="155">
        <v>8.0000000000000007E-5</v>
      </c>
      <c r="AI1829" s="155">
        <f t="shared" si="28"/>
        <v>1.041094258900324E-2</v>
      </c>
      <c r="AJ1829" s="155">
        <v>1.2380092467065478E-3</v>
      </c>
    </row>
    <row r="1830" spans="1:36" s="160" customFormat="1">
      <c r="A1830" s="153" t="s">
        <v>1213</v>
      </c>
      <c r="B1830" s="160">
        <v>9631</v>
      </c>
      <c r="C1830" s="153" t="s">
        <v>1807</v>
      </c>
      <c r="D1830" s="153" t="s">
        <v>1808</v>
      </c>
      <c r="E1830" s="153" t="s">
        <v>309</v>
      </c>
      <c r="F1830" s="153" t="s">
        <v>2295</v>
      </c>
      <c r="G1830" s="153" t="s">
        <v>2296</v>
      </c>
      <c r="H1830" s="153" t="s">
        <v>321</v>
      </c>
      <c r="I1830" s="153" t="s">
        <v>754</v>
      </c>
      <c r="J1830" s="153" t="s">
        <v>204</v>
      </c>
      <c r="K1830" s="153" t="s">
        <v>204</v>
      </c>
      <c r="L1830" s="153" t="s">
        <v>325</v>
      </c>
      <c r="M1830" s="153" t="s">
        <v>340</v>
      </c>
      <c r="N1830" s="153" t="s">
        <v>464</v>
      </c>
      <c r="O1830" s="153" t="s">
        <v>339</v>
      </c>
      <c r="P1830" s="153" t="s">
        <v>1923</v>
      </c>
      <c r="Q1830" s="153" t="s">
        <v>415</v>
      </c>
      <c r="R1830" s="153" t="s">
        <v>407</v>
      </c>
      <c r="S1830" s="153" t="s">
        <v>1212</v>
      </c>
      <c r="T1830" s="154">
        <v>2.89</v>
      </c>
      <c r="U1830" s="153" t="s">
        <v>2297</v>
      </c>
      <c r="V1830" s="155">
        <v>1.8600000000000001E-3</v>
      </c>
      <c r="W1830" s="155">
        <v>2.8199999999999999E-2</v>
      </c>
      <c r="X1830" s="153" t="s">
        <v>412</v>
      </c>
      <c r="Y1830" s="153" t="s">
        <v>339</v>
      </c>
      <c r="Z1830" s="154">
        <v>123269.4</v>
      </c>
      <c r="AA1830" s="154">
        <v>1</v>
      </c>
      <c r="AB1830" s="154">
        <v>112.38</v>
      </c>
      <c r="AD1830" s="154">
        <v>138.53</v>
      </c>
      <c r="AG1830" s="157" t="s">
        <v>15</v>
      </c>
      <c r="AH1830" s="155">
        <v>5.0000000000000002E-5</v>
      </c>
      <c r="AI1830" s="155">
        <f t="shared" si="28"/>
        <v>9.9391333015493421E-3</v>
      </c>
      <c r="AJ1830" s="155">
        <v>1.1819044074418566E-3</v>
      </c>
    </row>
    <row r="1831" spans="1:36" s="160" customFormat="1">
      <c r="A1831" s="153" t="s">
        <v>1213</v>
      </c>
      <c r="B1831" s="160">
        <v>9631</v>
      </c>
      <c r="C1831" s="153" t="s">
        <v>2385</v>
      </c>
      <c r="D1831" s="153" t="s">
        <v>2386</v>
      </c>
      <c r="E1831" s="153" t="s">
        <v>309</v>
      </c>
      <c r="F1831" s="153" t="s">
        <v>2387</v>
      </c>
      <c r="G1831" s="153" t="s">
        <v>2388</v>
      </c>
      <c r="H1831" s="153" t="s">
        <v>321</v>
      </c>
      <c r="I1831" s="153" t="s">
        <v>754</v>
      </c>
      <c r="J1831" s="153" t="s">
        <v>204</v>
      </c>
      <c r="K1831" s="153" t="s">
        <v>204</v>
      </c>
      <c r="L1831" s="153" t="s">
        <v>325</v>
      </c>
      <c r="M1831" s="153" t="s">
        <v>340</v>
      </c>
      <c r="N1831" s="153" t="s">
        <v>464</v>
      </c>
      <c r="O1831" s="153" t="s">
        <v>339</v>
      </c>
      <c r="P1831" s="153" t="s">
        <v>1211</v>
      </c>
      <c r="Q1831" s="153" t="s">
        <v>415</v>
      </c>
      <c r="R1831" s="153" t="s">
        <v>407</v>
      </c>
      <c r="S1831" s="153" t="s">
        <v>1212</v>
      </c>
      <c r="T1831" s="154">
        <v>1.46</v>
      </c>
      <c r="U1831" s="153" t="s">
        <v>1659</v>
      </c>
      <c r="V1831" s="155">
        <v>-1.23E-3</v>
      </c>
      <c r="W1831" s="155">
        <v>2.1899999999999999E-2</v>
      </c>
      <c r="X1831" s="153" t="s">
        <v>412</v>
      </c>
      <c r="Y1831" s="153" t="s">
        <v>339</v>
      </c>
      <c r="Z1831" s="154">
        <v>118600.58</v>
      </c>
      <c r="AA1831" s="154">
        <v>1</v>
      </c>
      <c r="AB1831" s="154">
        <v>114.36</v>
      </c>
      <c r="AD1831" s="154">
        <v>135.63200000000001</v>
      </c>
      <c r="AG1831" s="157" t="s">
        <v>15</v>
      </c>
      <c r="AH1831" s="155">
        <v>1E-4</v>
      </c>
      <c r="AI1831" s="155">
        <f t="shared" si="28"/>
        <v>9.7312100480454796E-3</v>
      </c>
      <c r="AJ1831" s="155">
        <v>1.1571793733498442E-3</v>
      </c>
    </row>
    <row r="1832" spans="1:36" s="160" customFormat="1">
      <c r="A1832" s="153" t="s">
        <v>1213</v>
      </c>
      <c r="B1832" s="160">
        <v>9631</v>
      </c>
      <c r="C1832" s="153" t="s">
        <v>1998</v>
      </c>
      <c r="D1832" s="153" t="s">
        <v>1999</v>
      </c>
      <c r="E1832" s="153" t="s">
        <v>309</v>
      </c>
      <c r="F1832" s="153" t="s">
        <v>2806</v>
      </c>
      <c r="G1832" s="153" t="s">
        <v>2807</v>
      </c>
      <c r="H1832" s="153" t="s">
        <v>321</v>
      </c>
      <c r="I1832" s="153" t="s">
        <v>754</v>
      </c>
      <c r="J1832" s="153" t="s">
        <v>204</v>
      </c>
      <c r="K1832" s="153" t="s">
        <v>204</v>
      </c>
      <c r="L1832" s="153" t="s">
        <v>325</v>
      </c>
      <c r="M1832" s="153" t="s">
        <v>340</v>
      </c>
      <c r="N1832" s="153" t="s">
        <v>464</v>
      </c>
      <c r="O1832" s="153" t="s">
        <v>339</v>
      </c>
      <c r="P1832" s="153" t="s">
        <v>1554</v>
      </c>
      <c r="Q1832" s="153" t="s">
        <v>413</v>
      </c>
      <c r="R1832" s="153" t="s">
        <v>407</v>
      </c>
      <c r="S1832" s="153" t="s">
        <v>1212</v>
      </c>
      <c r="T1832" s="154">
        <v>2.0099999999999998</v>
      </c>
      <c r="U1832" s="153" t="s">
        <v>1638</v>
      </c>
      <c r="V1832" s="155">
        <v>9.6100000000000005E-3</v>
      </c>
      <c r="W1832" s="155">
        <v>3.4099999999999998E-2</v>
      </c>
      <c r="X1832" s="153" t="s">
        <v>412</v>
      </c>
      <c r="Y1832" s="153" t="s">
        <v>339</v>
      </c>
      <c r="Z1832" s="154">
        <v>116850</v>
      </c>
      <c r="AA1832" s="154">
        <v>1</v>
      </c>
      <c r="AB1832" s="154">
        <v>115.86</v>
      </c>
      <c r="AD1832" s="154">
        <v>135.38200000000001</v>
      </c>
      <c r="AG1832" s="157" t="s">
        <v>15</v>
      </c>
      <c r="AH1832" s="155">
        <v>1.9000000000000001E-4</v>
      </c>
      <c r="AI1832" s="155">
        <f t="shared" si="28"/>
        <v>9.7132732594409372E-3</v>
      </c>
      <c r="AJ1832" s="155">
        <v>1.1550464339009129E-3</v>
      </c>
    </row>
    <row r="1833" spans="1:36" s="160" customFormat="1">
      <c r="A1833" s="153" t="s">
        <v>1213</v>
      </c>
      <c r="B1833" s="160">
        <v>9631</v>
      </c>
      <c r="C1833" s="153" t="s">
        <v>1674</v>
      </c>
      <c r="D1833" s="153" t="s">
        <v>1675</v>
      </c>
      <c r="E1833" s="153" t="s">
        <v>309</v>
      </c>
      <c r="F1833" s="153" t="s">
        <v>2319</v>
      </c>
      <c r="G1833" s="153" t="s">
        <v>2320</v>
      </c>
      <c r="H1833" s="153" t="s">
        <v>321</v>
      </c>
      <c r="I1833" s="153" t="s">
        <v>754</v>
      </c>
      <c r="J1833" s="153" t="s">
        <v>204</v>
      </c>
      <c r="K1833" s="153" t="s">
        <v>204</v>
      </c>
      <c r="L1833" s="153" t="s">
        <v>325</v>
      </c>
      <c r="M1833" s="153" t="s">
        <v>340</v>
      </c>
      <c r="N1833" s="153" t="s">
        <v>464</v>
      </c>
      <c r="O1833" s="153" t="s">
        <v>339</v>
      </c>
      <c r="P1833" s="153" t="s">
        <v>1982</v>
      </c>
      <c r="Q1833" s="153" t="s">
        <v>415</v>
      </c>
      <c r="R1833" s="153" t="s">
        <v>407</v>
      </c>
      <c r="S1833" s="153" t="s">
        <v>1212</v>
      </c>
      <c r="T1833" s="154">
        <v>4.25</v>
      </c>
      <c r="U1833" s="153" t="s">
        <v>1819</v>
      </c>
      <c r="V1833" s="155">
        <v>1.7799999999999999E-3</v>
      </c>
      <c r="W1833" s="155">
        <v>3.15E-2</v>
      </c>
      <c r="X1833" s="153" t="s">
        <v>412</v>
      </c>
      <c r="Y1833" s="153" t="s">
        <v>339</v>
      </c>
      <c r="Z1833" s="154">
        <v>123500</v>
      </c>
      <c r="AA1833" s="154">
        <v>1</v>
      </c>
      <c r="AB1833" s="154">
        <v>106.76</v>
      </c>
      <c r="AD1833" s="154">
        <v>131.84899999999999</v>
      </c>
      <c r="AG1833" s="157" t="s">
        <v>15</v>
      </c>
      <c r="AH1833" s="155">
        <v>1E-4</v>
      </c>
      <c r="AI1833" s="155">
        <f t="shared" si="28"/>
        <v>9.4597905628815357E-3</v>
      </c>
      <c r="AJ1833" s="155">
        <v>1.1249037336086144E-3</v>
      </c>
    </row>
    <row r="1834" spans="1:36" s="160" customFormat="1">
      <c r="A1834" s="153" t="s">
        <v>1213</v>
      </c>
      <c r="B1834" s="160">
        <v>9631</v>
      </c>
      <c r="C1834" s="153" t="s">
        <v>1917</v>
      </c>
      <c r="D1834" s="153" t="s">
        <v>1918</v>
      </c>
      <c r="E1834" s="153" t="s">
        <v>309</v>
      </c>
      <c r="F1834" s="153" t="s">
        <v>1919</v>
      </c>
      <c r="G1834" s="153" t="s">
        <v>1920</v>
      </c>
      <c r="H1834" s="153" t="s">
        <v>321</v>
      </c>
      <c r="I1834" s="153" t="s">
        <v>754</v>
      </c>
      <c r="J1834" s="153" t="s">
        <v>204</v>
      </c>
      <c r="K1834" s="153" t="s">
        <v>204</v>
      </c>
      <c r="L1834" s="153" t="s">
        <v>325</v>
      </c>
      <c r="M1834" s="153" t="s">
        <v>340</v>
      </c>
      <c r="N1834" s="153" t="s">
        <v>447</v>
      </c>
      <c r="O1834" s="153" t="s">
        <v>339</v>
      </c>
      <c r="P1834" s="153" t="s">
        <v>1560</v>
      </c>
      <c r="Q1834" s="153" t="s">
        <v>413</v>
      </c>
      <c r="R1834" s="153" t="s">
        <v>407</v>
      </c>
      <c r="S1834" s="153" t="s">
        <v>1212</v>
      </c>
      <c r="T1834" s="154">
        <v>3.26</v>
      </c>
      <c r="U1834" s="153" t="s">
        <v>1913</v>
      </c>
      <c r="V1834" s="155">
        <v>2.65E-3</v>
      </c>
      <c r="W1834" s="155">
        <v>3.5099999999999999E-2</v>
      </c>
      <c r="X1834" s="153" t="s">
        <v>412</v>
      </c>
      <c r="Y1834" s="153" t="s">
        <v>339</v>
      </c>
      <c r="Z1834" s="154">
        <v>125000</v>
      </c>
      <c r="AA1834" s="154">
        <v>1</v>
      </c>
      <c r="AB1834" s="154">
        <v>103.23</v>
      </c>
      <c r="AD1834" s="154">
        <v>129.03800000000001</v>
      </c>
      <c r="AG1834" s="157" t="s">
        <v>15</v>
      </c>
      <c r="AH1834" s="155">
        <v>8.0000000000000007E-5</v>
      </c>
      <c r="AI1834" s="155">
        <f t="shared" si="28"/>
        <v>9.2581093118120558E-3</v>
      </c>
      <c r="AJ1834" s="155">
        <v>1.10092096244483E-3</v>
      </c>
    </row>
    <row r="1835" spans="1:36" s="160" customFormat="1">
      <c r="A1835" s="153" t="s">
        <v>1213</v>
      </c>
      <c r="B1835" s="160">
        <v>9631</v>
      </c>
      <c r="C1835" s="153" t="s">
        <v>2757</v>
      </c>
      <c r="D1835" s="153" t="s">
        <v>2758</v>
      </c>
      <c r="E1835" s="153" t="s">
        <v>309</v>
      </c>
      <c r="F1835" s="153" t="s">
        <v>2784</v>
      </c>
      <c r="G1835" s="153" t="s">
        <v>2785</v>
      </c>
      <c r="H1835" s="153" t="s">
        <v>321</v>
      </c>
      <c r="I1835" s="153" t="s">
        <v>951</v>
      </c>
      <c r="J1835" s="153" t="s">
        <v>204</v>
      </c>
      <c r="K1835" s="153" t="s">
        <v>204</v>
      </c>
      <c r="L1835" s="153" t="s">
        <v>325</v>
      </c>
      <c r="M1835" s="153" t="s">
        <v>340</v>
      </c>
      <c r="N1835" s="153" t="s">
        <v>440</v>
      </c>
      <c r="O1835" s="153" t="s">
        <v>339</v>
      </c>
      <c r="P1835" s="153" t="s">
        <v>1521</v>
      </c>
      <c r="Q1835" s="153" t="s">
        <v>413</v>
      </c>
      <c r="R1835" s="153" t="s">
        <v>407</v>
      </c>
      <c r="S1835" s="153" t="s">
        <v>1212</v>
      </c>
      <c r="T1835" s="154">
        <v>2.31</v>
      </c>
      <c r="U1835" s="153" t="s">
        <v>2786</v>
      </c>
      <c r="V1835" s="155">
        <v>5.713E-2</v>
      </c>
      <c r="W1835" s="155">
        <v>5.8999999999999997E-2</v>
      </c>
      <c r="X1835" s="153" t="s">
        <v>412</v>
      </c>
      <c r="Y1835" s="153" t="s">
        <v>339</v>
      </c>
      <c r="Z1835" s="154">
        <v>129240.55</v>
      </c>
      <c r="AA1835" s="154">
        <v>1</v>
      </c>
      <c r="AB1835" s="154">
        <v>93.07</v>
      </c>
      <c r="AD1835" s="154">
        <v>120.28400000000001</v>
      </c>
      <c r="AG1835" s="157" t="s">
        <v>15</v>
      </c>
      <c r="AH1835" s="155">
        <v>1.9000000000000001E-4</v>
      </c>
      <c r="AI1835" s="155">
        <f t="shared" si="28"/>
        <v>8.6300347220353794E-3</v>
      </c>
      <c r="AJ1835" s="155">
        <v>1.0262339547010488E-3</v>
      </c>
    </row>
    <row r="1836" spans="1:36" s="160" customFormat="1">
      <c r="A1836" s="153" t="s">
        <v>1213</v>
      </c>
      <c r="B1836" s="160">
        <v>9631</v>
      </c>
      <c r="C1836" s="153" t="s">
        <v>2228</v>
      </c>
      <c r="D1836" s="153" t="s">
        <v>2229</v>
      </c>
      <c r="E1836" s="153" t="s">
        <v>309</v>
      </c>
      <c r="F1836" s="153" t="s">
        <v>2715</v>
      </c>
      <c r="G1836" s="153" t="s">
        <v>2716</v>
      </c>
      <c r="H1836" s="153" t="s">
        <v>321</v>
      </c>
      <c r="I1836" s="153" t="s">
        <v>951</v>
      </c>
      <c r="J1836" s="153" t="s">
        <v>204</v>
      </c>
      <c r="K1836" s="153" t="s">
        <v>204</v>
      </c>
      <c r="L1836" s="153" t="s">
        <v>325</v>
      </c>
      <c r="M1836" s="153" t="s">
        <v>340</v>
      </c>
      <c r="N1836" s="153" t="s">
        <v>441</v>
      </c>
      <c r="O1836" s="153" t="s">
        <v>339</v>
      </c>
      <c r="P1836" s="153" t="s">
        <v>1614</v>
      </c>
      <c r="Q1836" s="153" t="s">
        <v>415</v>
      </c>
      <c r="R1836" s="153" t="s">
        <v>407</v>
      </c>
      <c r="S1836" s="153" t="s">
        <v>1212</v>
      </c>
      <c r="T1836" s="154">
        <v>3.76</v>
      </c>
      <c r="U1836" s="153" t="s">
        <v>2717</v>
      </c>
      <c r="V1836" s="155">
        <v>2.9420000000000002E-2</v>
      </c>
      <c r="W1836" s="155">
        <v>5.9900000000000002E-2</v>
      </c>
      <c r="X1836" s="153" t="s">
        <v>412</v>
      </c>
      <c r="Y1836" s="153" t="s">
        <v>339</v>
      </c>
      <c r="Z1836" s="154">
        <v>133000</v>
      </c>
      <c r="AA1836" s="154">
        <v>1</v>
      </c>
      <c r="AB1836" s="154">
        <v>85.02</v>
      </c>
      <c r="AD1836" s="154">
        <v>113.077</v>
      </c>
      <c r="AG1836" s="157" t="s">
        <v>15</v>
      </c>
      <c r="AH1836" s="155">
        <v>3.4000000000000002E-4</v>
      </c>
      <c r="AI1836" s="155">
        <f t="shared" si="28"/>
        <v>8.1129529801436152E-3</v>
      </c>
      <c r="AJ1836" s="155">
        <v>9.6474557626725498E-4</v>
      </c>
    </row>
    <row r="1837" spans="1:36" s="160" customFormat="1">
      <c r="A1837" s="153" t="s">
        <v>1213</v>
      </c>
      <c r="B1837" s="160">
        <v>9631</v>
      </c>
      <c r="C1837" s="153" t="s">
        <v>2136</v>
      </c>
      <c r="D1837" s="153" t="s">
        <v>2137</v>
      </c>
      <c r="E1837" s="153" t="s">
        <v>309</v>
      </c>
      <c r="F1837" s="153" t="s">
        <v>2698</v>
      </c>
      <c r="G1837" s="153" t="s">
        <v>2699</v>
      </c>
      <c r="H1837" s="153" t="s">
        <v>321</v>
      </c>
      <c r="I1837" s="153" t="s">
        <v>754</v>
      </c>
      <c r="J1837" s="153" t="s">
        <v>204</v>
      </c>
      <c r="K1837" s="153" t="s">
        <v>204</v>
      </c>
      <c r="L1837" s="153" t="s">
        <v>325</v>
      </c>
      <c r="M1837" s="153" t="s">
        <v>340</v>
      </c>
      <c r="N1837" s="153" t="s">
        <v>440</v>
      </c>
      <c r="O1837" s="153" t="s">
        <v>339</v>
      </c>
      <c r="P1837" s="153" t="s">
        <v>1566</v>
      </c>
      <c r="Q1837" s="153" t="s">
        <v>413</v>
      </c>
      <c r="R1837" s="153" t="s">
        <v>407</v>
      </c>
      <c r="S1837" s="153" t="s">
        <v>1212</v>
      </c>
      <c r="T1837" s="154">
        <v>3.07</v>
      </c>
      <c r="U1837" s="153" t="s">
        <v>2700</v>
      </c>
      <c r="V1837" s="155">
        <v>9.6600000000000002E-3</v>
      </c>
      <c r="W1837" s="155">
        <v>2.5999999999999999E-2</v>
      </c>
      <c r="X1837" s="153" t="s">
        <v>412</v>
      </c>
      <c r="Y1837" s="153" t="s">
        <v>339</v>
      </c>
      <c r="Z1837" s="154">
        <v>99900.160000000003</v>
      </c>
      <c r="AA1837" s="154">
        <v>1</v>
      </c>
      <c r="AB1837" s="154">
        <v>111.75</v>
      </c>
      <c r="AD1837" s="154">
        <v>111.63800000000001</v>
      </c>
      <c r="AG1837" s="157" t="s">
        <v>15</v>
      </c>
      <c r="AH1837" s="155">
        <v>9.0000000000000006E-5</v>
      </c>
      <c r="AI1837" s="155">
        <f t="shared" si="28"/>
        <v>8.0097088249358652E-3</v>
      </c>
      <c r="AJ1837" s="155">
        <v>9.5246837679920592E-4</v>
      </c>
    </row>
    <row r="1838" spans="1:36" s="160" customFormat="1">
      <c r="A1838" s="153" t="s">
        <v>1213</v>
      </c>
      <c r="B1838" s="160">
        <v>9631</v>
      </c>
      <c r="C1838" s="153" t="s">
        <v>1917</v>
      </c>
      <c r="D1838" s="153" t="s">
        <v>1918</v>
      </c>
      <c r="E1838" s="153" t="s">
        <v>309</v>
      </c>
      <c r="F1838" s="153" t="s">
        <v>2720</v>
      </c>
      <c r="G1838" s="153" t="s">
        <v>2721</v>
      </c>
      <c r="H1838" s="153" t="s">
        <v>321</v>
      </c>
      <c r="I1838" s="153" t="s">
        <v>754</v>
      </c>
      <c r="J1838" s="153" t="s">
        <v>204</v>
      </c>
      <c r="K1838" s="153" t="s">
        <v>204</v>
      </c>
      <c r="L1838" s="153" t="s">
        <v>325</v>
      </c>
      <c r="M1838" s="153" t="s">
        <v>340</v>
      </c>
      <c r="N1838" s="153" t="s">
        <v>447</v>
      </c>
      <c r="O1838" s="153" t="s">
        <v>339</v>
      </c>
      <c r="P1838" s="153" t="s">
        <v>1560</v>
      </c>
      <c r="Q1838" s="153" t="s">
        <v>413</v>
      </c>
      <c r="R1838" s="153" t="s">
        <v>407</v>
      </c>
      <c r="S1838" s="153" t="s">
        <v>1212</v>
      </c>
      <c r="T1838" s="154">
        <v>5.47</v>
      </c>
      <c r="U1838" s="153" t="s">
        <v>1732</v>
      </c>
      <c r="V1838" s="155">
        <v>4.0390000000000002E-2</v>
      </c>
      <c r="W1838" s="155">
        <v>3.9800000000000002E-2</v>
      </c>
      <c r="X1838" s="153" t="s">
        <v>412</v>
      </c>
      <c r="Y1838" s="153" t="s">
        <v>339</v>
      </c>
      <c r="Z1838" s="154">
        <v>103000</v>
      </c>
      <c r="AA1838" s="154">
        <v>1</v>
      </c>
      <c r="AB1838" s="154">
        <v>105.93</v>
      </c>
      <c r="AD1838" s="154">
        <v>109.108</v>
      </c>
      <c r="AG1838" s="157" t="s">
        <v>15</v>
      </c>
      <c r="AH1838" s="155">
        <v>2.9E-4</v>
      </c>
      <c r="AI1838" s="155">
        <f t="shared" si="28"/>
        <v>7.8281885242578904E-3</v>
      </c>
      <c r="AJ1838" s="155">
        <v>9.3088302957602042E-4</v>
      </c>
    </row>
    <row r="1839" spans="1:36" s="160" customFormat="1">
      <c r="A1839" s="153" t="s">
        <v>1213</v>
      </c>
      <c r="B1839" s="160">
        <v>9631</v>
      </c>
      <c r="C1839" s="153" t="s">
        <v>1573</v>
      </c>
      <c r="D1839" s="153" t="s">
        <v>1574</v>
      </c>
      <c r="E1839" s="153" t="s">
        <v>309</v>
      </c>
      <c r="F1839" s="153" t="s">
        <v>2310</v>
      </c>
      <c r="G1839" s="153" t="s">
        <v>2311</v>
      </c>
      <c r="H1839" s="153" t="s">
        <v>321</v>
      </c>
      <c r="I1839" s="153" t="s">
        <v>754</v>
      </c>
      <c r="J1839" s="153" t="s">
        <v>204</v>
      </c>
      <c r="K1839" s="153" t="s">
        <v>204</v>
      </c>
      <c r="L1839" s="153" t="s">
        <v>325</v>
      </c>
      <c r="M1839" s="153" t="s">
        <v>340</v>
      </c>
      <c r="N1839" s="153" t="s">
        <v>448</v>
      </c>
      <c r="O1839" s="153" t="s">
        <v>339</v>
      </c>
      <c r="P1839" s="153" t="s">
        <v>1215</v>
      </c>
      <c r="Q1839" s="153" t="s">
        <v>413</v>
      </c>
      <c r="R1839" s="153" t="s">
        <v>407</v>
      </c>
      <c r="S1839" s="153" t="s">
        <v>1212</v>
      </c>
      <c r="T1839" s="154">
        <v>1.74</v>
      </c>
      <c r="U1839" s="153" t="s">
        <v>1833</v>
      </c>
      <c r="V1839" s="155">
        <v>1.6250000000000001E-2</v>
      </c>
      <c r="W1839" s="155">
        <v>2.0400000000000001E-2</v>
      </c>
      <c r="X1839" s="153" t="s">
        <v>412</v>
      </c>
      <c r="Y1839" s="153" t="s">
        <v>339</v>
      </c>
      <c r="Z1839" s="154">
        <v>96379.5</v>
      </c>
      <c r="AA1839" s="154">
        <v>1</v>
      </c>
      <c r="AB1839" s="154">
        <v>113.2</v>
      </c>
      <c r="AD1839" s="154">
        <v>109.102</v>
      </c>
      <c r="AG1839" s="157" t="s">
        <v>15</v>
      </c>
      <c r="AH1839" s="155">
        <v>6.0000000000000002E-5</v>
      </c>
      <c r="AI1839" s="155">
        <f t="shared" si="28"/>
        <v>7.8277580413313817E-3</v>
      </c>
      <c r="AJ1839" s="155">
        <v>9.3083183902924606E-4</v>
      </c>
    </row>
    <row r="1840" spans="1:36" s="160" customFormat="1">
      <c r="A1840" s="153" t="s">
        <v>1213</v>
      </c>
      <c r="B1840" s="160">
        <v>9631</v>
      </c>
      <c r="C1840" s="153" t="s">
        <v>2238</v>
      </c>
      <c r="D1840" s="153" t="s">
        <v>2239</v>
      </c>
      <c r="E1840" s="153" t="s">
        <v>309</v>
      </c>
      <c r="F1840" s="153" t="s">
        <v>2810</v>
      </c>
      <c r="G1840" s="153" t="s">
        <v>2811</v>
      </c>
      <c r="H1840" s="153" t="s">
        <v>321</v>
      </c>
      <c r="I1840" s="153" t="s">
        <v>951</v>
      </c>
      <c r="J1840" s="153" t="s">
        <v>204</v>
      </c>
      <c r="K1840" s="153" t="s">
        <v>204</v>
      </c>
      <c r="L1840" s="153" t="s">
        <v>325</v>
      </c>
      <c r="M1840" s="153" t="s">
        <v>340</v>
      </c>
      <c r="N1840" s="153" t="s">
        <v>447</v>
      </c>
      <c r="O1840" s="153" t="s">
        <v>339</v>
      </c>
      <c r="P1840" s="153" t="s">
        <v>1544</v>
      </c>
      <c r="Q1840" s="153" t="s">
        <v>415</v>
      </c>
      <c r="R1840" s="153" t="s">
        <v>407</v>
      </c>
      <c r="S1840" s="153" t="s">
        <v>1212</v>
      </c>
      <c r="T1840" s="154">
        <v>2.08</v>
      </c>
      <c r="U1840" s="153" t="s">
        <v>1528</v>
      </c>
      <c r="V1840" s="155">
        <v>2.572E-2</v>
      </c>
      <c r="W1840" s="155">
        <v>5.5199999999999999E-2</v>
      </c>
      <c r="X1840" s="153" t="s">
        <v>412</v>
      </c>
      <c r="Y1840" s="153" t="s">
        <v>339</v>
      </c>
      <c r="Z1840" s="154">
        <v>109421.9</v>
      </c>
      <c r="AA1840" s="154">
        <v>1</v>
      </c>
      <c r="AB1840" s="154">
        <v>94.9</v>
      </c>
      <c r="AD1840" s="154">
        <v>103.84099999999999</v>
      </c>
      <c r="AG1840" s="157" t="s">
        <v>15</v>
      </c>
      <c r="AH1840" s="155">
        <v>4.0999999999999999E-4</v>
      </c>
      <c r="AI1840" s="155">
        <f t="shared" si="28"/>
        <v>7.4502962619373793E-3</v>
      </c>
      <c r="AJ1840" s="155">
        <v>8.8594626126593399E-4</v>
      </c>
    </row>
    <row r="1841" spans="1:36" s="160" customFormat="1">
      <c r="A1841" s="153" t="s">
        <v>1213</v>
      </c>
      <c r="B1841" s="160">
        <v>9631</v>
      </c>
      <c r="C1841" s="153" t="s">
        <v>2404</v>
      </c>
      <c r="D1841" s="153" t="s">
        <v>2405</v>
      </c>
      <c r="E1841" s="153" t="s">
        <v>309</v>
      </c>
      <c r="F1841" s="153" t="s">
        <v>2571</v>
      </c>
      <c r="G1841" s="153" t="s">
        <v>2572</v>
      </c>
      <c r="H1841" s="153" t="s">
        <v>321</v>
      </c>
      <c r="I1841" s="153" t="s">
        <v>951</v>
      </c>
      <c r="J1841" s="153" t="s">
        <v>204</v>
      </c>
      <c r="K1841" s="153" t="s">
        <v>204</v>
      </c>
      <c r="L1841" s="153" t="s">
        <v>325</v>
      </c>
      <c r="M1841" s="153" t="s">
        <v>340</v>
      </c>
      <c r="N1841" s="153" t="s">
        <v>440</v>
      </c>
      <c r="O1841" s="153" t="s">
        <v>339</v>
      </c>
      <c r="P1841" s="153" t="s">
        <v>1554</v>
      </c>
      <c r="Q1841" s="153" t="s">
        <v>413</v>
      </c>
      <c r="R1841" s="153" t="s">
        <v>407</v>
      </c>
      <c r="S1841" s="153" t="s">
        <v>1212</v>
      </c>
      <c r="T1841" s="154">
        <v>3.25</v>
      </c>
      <c r="U1841" s="153" t="s">
        <v>2573</v>
      </c>
      <c r="V1841" s="155">
        <v>1.949E-2</v>
      </c>
      <c r="W1841" s="155">
        <v>6.1100000000000002E-2</v>
      </c>
      <c r="X1841" s="153" t="s">
        <v>412</v>
      </c>
      <c r="Y1841" s="153" t="s">
        <v>339</v>
      </c>
      <c r="Z1841" s="154">
        <v>113609.7</v>
      </c>
      <c r="AA1841" s="154">
        <v>1</v>
      </c>
      <c r="AB1841" s="154">
        <v>89.41</v>
      </c>
      <c r="AD1841" s="154">
        <v>101.578</v>
      </c>
      <c r="AG1841" s="157" t="s">
        <v>15</v>
      </c>
      <c r="AH1841" s="155">
        <v>1.4999999999999999E-4</v>
      </c>
      <c r="AI1841" s="155">
        <f t="shared" si="28"/>
        <v>7.2879324514890575E-3</v>
      </c>
      <c r="AJ1841" s="155">
        <v>8.6663889337420716E-4</v>
      </c>
    </row>
    <row r="1842" spans="1:36" s="160" customFormat="1">
      <c r="A1842" s="153" t="s">
        <v>1213</v>
      </c>
      <c r="B1842" s="160">
        <v>9631</v>
      </c>
      <c r="C1842" s="153" t="s">
        <v>2771</v>
      </c>
      <c r="D1842" s="153" t="s">
        <v>2772</v>
      </c>
      <c r="E1842" s="153" t="s">
        <v>309</v>
      </c>
      <c r="F1842" s="153" t="s">
        <v>2773</v>
      </c>
      <c r="G1842" s="153" t="s">
        <v>2774</v>
      </c>
      <c r="H1842" s="153" t="s">
        <v>321</v>
      </c>
      <c r="I1842" s="153" t="s">
        <v>754</v>
      </c>
      <c r="J1842" s="153" t="s">
        <v>204</v>
      </c>
      <c r="K1842" s="153" t="s">
        <v>204</v>
      </c>
      <c r="L1842" s="153" t="s">
        <v>325</v>
      </c>
      <c r="M1842" s="153" t="s">
        <v>340</v>
      </c>
      <c r="N1842" s="153" t="s">
        <v>447</v>
      </c>
      <c r="O1842" s="153" t="s">
        <v>339</v>
      </c>
      <c r="P1842" s="153" t="s">
        <v>1544</v>
      </c>
      <c r="Q1842" s="153" t="s">
        <v>415</v>
      </c>
      <c r="R1842" s="153" t="s">
        <v>407</v>
      </c>
      <c r="S1842" s="153" t="s">
        <v>1212</v>
      </c>
      <c r="T1842" s="154">
        <v>4.1100000000000003</v>
      </c>
      <c r="U1842" s="153" t="s">
        <v>1587</v>
      </c>
      <c r="V1842" s="155">
        <v>1.4630000000000001E-2</v>
      </c>
      <c r="W1842" s="155">
        <v>2.98E-2</v>
      </c>
      <c r="X1842" s="153" t="s">
        <v>412</v>
      </c>
      <c r="Y1842" s="153" t="s">
        <v>339</v>
      </c>
      <c r="Z1842" s="154">
        <v>96471.6</v>
      </c>
      <c r="AA1842" s="154">
        <v>1</v>
      </c>
      <c r="AB1842" s="154">
        <v>101.61</v>
      </c>
      <c r="AD1842" s="154">
        <v>98.025000000000006</v>
      </c>
      <c r="AG1842" s="157" t="s">
        <v>15</v>
      </c>
      <c r="AH1842" s="155">
        <v>5.9000000000000003E-4</v>
      </c>
      <c r="AI1842" s="155">
        <f t="shared" si="28"/>
        <v>7.0330148118412927E-3</v>
      </c>
      <c r="AJ1842" s="155">
        <v>8.3632555792599443E-4</v>
      </c>
    </row>
    <row r="1843" spans="1:36" s="160" customFormat="1">
      <c r="A1843" s="153" t="s">
        <v>1213</v>
      </c>
      <c r="B1843" s="160">
        <v>9631</v>
      </c>
      <c r="C1843" s="153" t="s">
        <v>2780</v>
      </c>
      <c r="D1843" s="153" t="s">
        <v>2781</v>
      </c>
      <c r="E1843" s="153" t="s">
        <v>309</v>
      </c>
      <c r="F1843" s="153" t="s">
        <v>2782</v>
      </c>
      <c r="G1843" s="153" t="s">
        <v>2783</v>
      </c>
      <c r="H1843" s="153" t="s">
        <v>321</v>
      </c>
      <c r="I1843" s="153" t="s">
        <v>754</v>
      </c>
      <c r="J1843" s="153" t="s">
        <v>204</v>
      </c>
      <c r="K1843" s="153" t="s">
        <v>204</v>
      </c>
      <c r="L1843" s="153" t="s">
        <v>325</v>
      </c>
      <c r="M1843" s="153" t="s">
        <v>340</v>
      </c>
      <c r="N1843" s="153" t="s">
        <v>464</v>
      </c>
      <c r="O1843" s="153" t="s">
        <v>339</v>
      </c>
      <c r="P1843" s="153" t="s">
        <v>1560</v>
      </c>
      <c r="Q1843" s="153" t="s">
        <v>413</v>
      </c>
      <c r="R1843" s="153" t="s">
        <v>407</v>
      </c>
      <c r="S1843" s="153" t="s">
        <v>1212</v>
      </c>
      <c r="T1843" s="154">
        <v>1.44</v>
      </c>
      <c r="U1843" s="153" t="s">
        <v>1741</v>
      </c>
      <c r="V1843" s="155">
        <v>2.3120000000000002E-2</v>
      </c>
      <c r="W1843" s="155">
        <v>2.7900000000000001E-2</v>
      </c>
      <c r="X1843" s="153" t="s">
        <v>412</v>
      </c>
      <c r="Y1843" s="153" t="s">
        <v>339</v>
      </c>
      <c r="Z1843" s="154">
        <v>79682.91</v>
      </c>
      <c r="AA1843" s="154">
        <v>1</v>
      </c>
      <c r="AB1843" s="154">
        <v>118.52</v>
      </c>
      <c r="AD1843" s="154">
        <v>94.44</v>
      </c>
      <c r="AG1843" s="157" t="s">
        <v>15</v>
      </c>
      <c r="AH1843" s="155">
        <v>2.3000000000000001E-4</v>
      </c>
      <c r="AI1843" s="155">
        <f t="shared" si="28"/>
        <v>6.7758012632521463E-3</v>
      </c>
      <c r="AJ1843" s="155">
        <v>8.0573920622831836E-4</v>
      </c>
    </row>
    <row r="1844" spans="1:36" s="160" customFormat="1">
      <c r="A1844" s="153" t="s">
        <v>1213</v>
      </c>
      <c r="B1844" s="160">
        <v>9631</v>
      </c>
      <c r="C1844" s="153" t="s">
        <v>1820</v>
      </c>
      <c r="D1844" s="153" t="s">
        <v>1821</v>
      </c>
      <c r="E1844" s="153" t="s">
        <v>309</v>
      </c>
      <c r="F1844" s="153" t="s">
        <v>1952</v>
      </c>
      <c r="G1844" s="153" t="s">
        <v>1953</v>
      </c>
      <c r="H1844" s="153" t="s">
        <v>321</v>
      </c>
      <c r="I1844" s="153" t="s">
        <v>754</v>
      </c>
      <c r="J1844" s="153" t="s">
        <v>204</v>
      </c>
      <c r="K1844" s="153" t="s">
        <v>204</v>
      </c>
      <c r="L1844" s="153" t="s">
        <v>325</v>
      </c>
      <c r="M1844" s="153" t="s">
        <v>340</v>
      </c>
      <c r="N1844" s="153" t="s">
        <v>464</v>
      </c>
      <c r="O1844" s="153" t="s">
        <v>339</v>
      </c>
      <c r="P1844" s="153" t="s">
        <v>1538</v>
      </c>
      <c r="Q1844" s="153" t="s">
        <v>413</v>
      </c>
      <c r="R1844" s="153" t="s">
        <v>407</v>
      </c>
      <c r="S1844" s="153" t="s">
        <v>1212</v>
      </c>
      <c r="T1844" s="154">
        <v>2.19</v>
      </c>
      <c r="U1844" s="153" t="s">
        <v>1308</v>
      </c>
      <c r="V1844" s="155">
        <v>4.4900000000000001E-3</v>
      </c>
      <c r="W1844" s="155">
        <v>2.6599999999999999E-2</v>
      </c>
      <c r="X1844" s="153" t="s">
        <v>412</v>
      </c>
      <c r="Y1844" s="153" t="s">
        <v>339</v>
      </c>
      <c r="Z1844" s="154">
        <v>73412.7</v>
      </c>
      <c r="AA1844" s="154">
        <v>1</v>
      </c>
      <c r="AB1844" s="154">
        <v>115.87</v>
      </c>
      <c r="AD1844" s="154">
        <v>85.063000000000002</v>
      </c>
      <c r="AG1844" s="157" t="s">
        <v>15</v>
      </c>
      <c r="AH1844" s="155">
        <v>3.0000000000000001E-5</v>
      </c>
      <c r="AI1844" s="155">
        <f t="shared" si="28"/>
        <v>6.1030281962729492E-3</v>
      </c>
      <c r="AJ1844" s="155">
        <v>7.257369133778002E-4</v>
      </c>
    </row>
    <row r="1845" spans="1:36" s="160" customFormat="1">
      <c r="A1845" s="153" t="s">
        <v>1213</v>
      </c>
      <c r="B1845" s="160">
        <v>9631</v>
      </c>
      <c r="C1845" s="153" t="s">
        <v>2203</v>
      </c>
      <c r="D1845" s="153" t="s">
        <v>2204</v>
      </c>
      <c r="E1845" s="153" t="s">
        <v>309</v>
      </c>
      <c r="F1845" s="153" t="s">
        <v>2733</v>
      </c>
      <c r="G1845" s="153" t="s">
        <v>2734</v>
      </c>
      <c r="H1845" s="153" t="s">
        <v>321</v>
      </c>
      <c r="I1845" s="153" t="s">
        <v>951</v>
      </c>
      <c r="J1845" s="153" t="s">
        <v>204</v>
      </c>
      <c r="K1845" s="153" t="s">
        <v>204</v>
      </c>
      <c r="L1845" s="153" t="s">
        <v>325</v>
      </c>
      <c r="M1845" s="153" t="s">
        <v>340</v>
      </c>
      <c r="N1845" s="153" t="s">
        <v>459</v>
      </c>
      <c r="O1845" s="153" t="s">
        <v>339</v>
      </c>
      <c r="P1845" s="153" t="s">
        <v>1811</v>
      </c>
      <c r="Q1845" s="153" t="s">
        <v>413</v>
      </c>
      <c r="R1845" s="153" t="s">
        <v>407</v>
      </c>
      <c r="S1845" s="153" t="s">
        <v>1212</v>
      </c>
      <c r="T1845" s="154">
        <v>1.69</v>
      </c>
      <c r="U1845" s="153" t="s">
        <v>1572</v>
      </c>
      <c r="V1845" s="155">
        <v>2.478E-2</v>
      </c>
      <c r="W1845" s="155">
        <v>4.6899999999999997E-2</v>
      </c>
      <c r="X1845" s="153" t="s">
        <v>412</v>
      </c>
      <c r="Y1845" s="153" t="s">
        <v>339</v>
      </c>
      <c r="Z1845" s="154">
        <v>84234</v>
      </c>
      <c r="AA1845" s="154">
        <v>1</v>
      </c>
      <c r="AB1845" s="154">
        <v>97.33</v>
      </c>
      <c r="AD1845" s="154">
        <v>81.984999999999999</v>
      </c>
      <c r="AG1845" s="157" t="s">
        <v>15</v>
      </c>
      <c r="AH1845" s="155">
        <v>2.3000000000000001E-4</v>
      </c>
      <c r="AI1845" s="155">
        <f t="shared" si="28"/>
        <v>5.8821904549738162E-3</v>
      </c>
      <c r="AJ1845" s="155">
        <v>6.9947616288255703E-4</v>
      </c>
    </row>
    <row r="1846" spans="1:36" s="160" customFormat="1">
      <c r="A1846" s="153" t="s">
        <v>1213</v>
      </c>
      <c r="B1846" s="160">
        <v>9631</v>
      </c>
      <c r="C1846" s="153" t="s">
        <v>2789</v>
      </c>
      <c r="D1846" s="153" t="s">
        <v>2790</v>
      </c>
      <c r="E1846" s="153" t="s">
        <v>309</v>
      </c>
      <c r="F1846" s="153" t="s">
        <v>2791</v>
      </c>
      <c r="G1846" s="153" t="s">
        <v>2792</v>
      </c>
      <c r="H1846" s="153" t="s">
        <v>321</v>
      </c>
      <c r="I1846" s="153" t="s">
        <v>951</v>
      </c>
      <c r="J1846" s="153" t="s">
        <v>204</v>
      </c>
      <c r="K1846" s="153" t="s">
        <v>204</v>
      </c>
      <c r="L1846" s="153" t="s">
        <v>325</v>
      </c>
      <c r="M1846" s="153" t="s">
        <v>340</v>
      </c>
      <c r="N1846" s="153" t="s">
        <v>441</v>
      </c>
      <c r="O1846" s="153" t="s">
        <v>339</v>
      </c>
      <c r="P1846" s="153" t="s">
        <v>1614</v>
      </c>
      <c r="Q1846" s="153" t="s">
        <v>415</v>
      </c>
      <c r="R1846" s="153" t="s">
        <v>407</v>
      </c>
      <c r="S1846" s="153" t="s">
        <v>1212</v>
      </c>
      <c r="T1846" s="154">
        <v>2.86</v>
      </c>
      <c r="U1846" s="153" t="s">
        <v>2793</v>
      </c>
      <c r="V1846" s="155">
        <v>1.6740000000000001E-2</v>
      </c>
      <c r="W1846" s="155">
        <v>5.9200000000000003E-2</v>
      </c>
      <c r="X1846" s="153" t="s">
        <v>412</v>
      </c>
      <c r="Y1846" s="153" t="s">
        <v>339</v>
      </c>
      <c r="Z1846" s="154">
        <v>89466.7</v>
      </c>
      <c r="AA1846" s="154">
        <v>1</v>
      </c>
      <c r="AB1846" s="154">
        <v>90.04</v>
      </c>
      <c r="AD1846" s="154">
        <v>80.555999999999997</v>
      </c>
      <c r="AG1846" s="157" t="s">
        <v>15</v>
      </c>
      <c r="AH1846" s="155">
        <v>2.0000000000000001E-4</v>
      </c>
      <c r="AI1846" s="155">
        <f t="shared" si="28"/>
        <v>5.7796637713102492E-3</v>
      </c>
      <c r="AJ1846" s="155">
        <v>6.8728428099246522E-4</v>
      </c>
    </row>
    <row r="1847" spans="1:36" s="160" customFormat="1">
      <c r="A1847" s="153" t="s">
        <v>1213</v>
      </c>
      <c r="B1847" s="160">
        <v>9631</v>
      </c>
      <c r="C1847" s="153" t="s">
        <v>1546</v>
      </c>
      <c r="D1847" s="153" t="s">
        <v>1547</v>
      </c>
      <c r="E1847" s="153" t="s">
        <v>309</v>
      </c>
      <c r="F1847" s="153" t="s">
        <v>2487</v>
      </c>
      <c r="G1847" s="153" t="s">
        <v>2488</v>
      </c>
      <c r="H1847" s="153" t="s">
        <v>321</v>
      </c>
      <c r="I1847" s="153" t="s">
        <v>754</v>
      </c>
      <c r="J1847" s="153" t="s">
        <v>204</v>
      </c>
      <c r="K1847" s="153" t="s">
        <v>204</v>
      </c>
      <c r="L1847" s="153" t="s">
        <v>325</v>
      </c>
      <c r="M1847" s="153" t="s">
        <v>340</v>
      </c>
      <c r="N1847" s="153" t="s">
        <v>443</v>
      </c>
      <c r="O1847" s="153" t="s">
        <v>339</v>
      </c>
      <c r="P1847" s="153" t="s">
        <v>1544</v>
      </c>
      <c r="Q1847" s="153" t="s">
        <v>415</v>
      </c>
      <c r="R1847" s="153" t="s">
        <v>407</v>
      </c>
      <c r="S1847" s="153" t="s">
        <v>1212</v>
      </c>
      <c r="T1847" s="154">
        <v>0.79</v>
      </c>
      <c r="U1847" s="153" t="s">
        <v>1777</v>
      </c>
      <c r="V1847" s="155">
        <v>5.1799999999999997E-3</v>
      </c>
      <c r="W1847" s="155">
        <v>2.7199999999999998E-2</v>
      </c>
      <c r="X1847" s="153" t="s">
        <v>412</v>
      </c>
      <c r="Y1847" s="153" t="s">
        <v>339</v>
      </c>
      <c r="Z1847" s="154">
        <v>66286</v>
      </c>
      <c r="AA1847" s="154">
        <v>1</v>
      </c>
      <c r="AB1847" s="154">
        <v>115.1</v>
      </c>
      <c r="AD1847" s="154">
        <v>76.295000000000002</v>
      </c>
      <c r="AG1847" s="157" t="s">
        <v>15</v>
      </c>
      <c r="AH1847" s="155">
        <v>1.8000000000000001E-4</v>
      </c>
      <c r="AI1847" s="155">
        <f t="shared" si="28"/>
        <v>5.4739491463344191E-3</v>
      </c>
      <c r="AJ1847" s="155">
        <v>6.5093046102487884E-4</v>
      </c>
    </row>
    <row r="1848" spans="1:36" s="160" customFormat="1">
      <c r="A1848" s="153" t="s">
        <v>1213</v>
      </c>
      <c r="B1848" s="160">
        <v>9631</v>
      </c>
      <c r="C1848" s="153" t="s">
        <v>2356</v>
      </c>
      <c r="D1848" s="153" t="s">
        <v>2357</v>
      </c>
      <c r="E1848" s="153" t="s">
        <v>309</v>
      </c>
      <c r="F1848" s="153" t="s">
        <v>2724</v>
      </c>
      <c r="G1848" s="153" t="s">
        <v>2725</v>
      </c>
      <c r="H1848" s="153" t="s">
        <v>321</v>
      </c>
      <c r="I1848" s="153" t="s">
        <v>754</v>
      </c>
      <c r="J1848" s="153" t="s">
        <v>204</v>
      </c>
      <c r="K1848" s="153" t="s">
        <v>204</v>
      </c>
      <c r="L1848" s="153" t="s">
        <v>325</v>
      </c>
      <c r="M1848" s="153" t="s">
        <v>340</v>
      </c>
      <c r="N1848" s="153" t="s">
        <v>447</v>
      </c>
      <c r="O1848" s="153" t="s">
        <v>339</v>
      </c>
      <c r="P1848" s="153" t="s">
        <v>1560</v>
      </c>
      <c r="Q1848" s="153" t="s">
        <v>413</v>
      </c>
      <c r="R1848" s="153" t="s">
        <v>407</v>
      </c>
      <c r="S1848" s="153" t="s">
        <v>1212</v>
      </c>
      <c r="T1848" s="154">
        <v>0.5</v>
      </c>
      <c r="U1848" s="153" t="s">
        <v>1965</v>
      </c>
      <c r="V1848" s="155">
        <v>6.4079999999999998E-2</v>
      </c>
      <c r="W1848" s="155">
        <v>3.4700000000000002E-2</v>
      </c>
      <c r="X1848" s="153" t="s">
        <v>412</v>
      </c>
      <c r="Y1848" s="153" t="s">
        <v>339</v>
      </c>
      <c r="Z1848" s="154">
        <v>63585.33</v>
      </c>
      <c r="AA1848" s="154">
        <v>1</v>
      </c>
      <c r="AB1848" s="154">
        <v>115.84</v>
      </c>
      <c r="AC1848" s="154">
        <v>1.591</v>
      </c>
      <c r="AD1848" s="154">
        <v>75.248000000000005</v>
      </c>
      <c r="AG1848" s="157" t="s">
        <v>15</v>
      </c>
      <c r="AH1848" s="155">
        <v>1.4999999999999999E-4</v>
      </c>
      <c r="AI1848" s="155">
        <f t="shared" si="28"/>
        <v>5.3988298756585933E-3</v>
      </c>
      <c r="AJ1848" s="155">
        <v>6.4199771061275424E-4</v>
      </c>
    </row>
    <row r="1849" spans="1:36" s="160" customFormat="1">
      <c r="A1849" s="153" t="s">
        <v>1213</v>
      </c>
      <c r="B1849" s="160">
        <v>9631</v>
      </c>
      <c r="C1849" s="153" t="s">
        <v>1600</v>
      </c>
      <c r="D1849" s="153" t="s">
        <v>1601</v>
      </c>
      <c r="E1849" s="153" t="s">
        <v>309</v>
      </c>
      <c r="F1849" s="153" t="s">
        <v>1954</v>
      </c>
      <c r="G1849" s="153" t="s">
        <v>1955</v>
      </c>
      <c r="H1849" s="153" t="s">
        <v>321</v>
      </c>
      <c r="I1849" s="153" t="s">
        <v>754</v>
      </c>
      <c r="J1849" s="153" t="s">
        <v>204</v>
      </c>
      <c r="K1849" s="153" t="s">
        <v>204</v>
      </c>
      <c r="L1849" s="153" t="s">
        <v>325</v>
      </c>
      <c r="M1849" s="153" t="s">
        <v>340</v>
      </c>
      <c r="N1849" s="153" t="s">
        <v>448</v>
      </c>
      <c r="O1849" s="153" t="s">
        <v>339</v>
      </c>
      <c r="P1849" s="153" t="s">
        <v>1215</v>
      </c>
      <c r="Q1849" s="153" t="s">
        <v>413</v>
      </c>
      <c r="R1849" s="153" t="s">
        <v>407</v>
      </c>
      <c r="S1849" s="153" t="s">
        <v>1212</v>
      </c>
      <c r="T1849" s="154">
        <v>3.02</v>
      </c>
      <c r="U1849" s="153" t="s">
        <v>1956</v>
      </c>
      <c r="V1849" s="155">
        <v>1.7500000000000002E-2</v>
      </c>
      <c r="W1849" s="155">
        <v>2.35E-2</v>
      </c>
      <c r="X1849" s="153" t="s">
        <v>412</v>
      </c>
      <c r="Y1849" s="153" t="s">
        <v>339</v>
      </c>
      <c r="Z1849" s="154">
        <v>63115</v>
      </c>
      <c r="AA1849" s="154">
        <v>1</v>
      </c>
      <c r="AB1849" s="154">
        <v>114.28</v>
      </c>
      <c r="AD1849" s="154">
        <v>72.128</v>
      </c>
      <c r="AG1849" s="157" t="s">
        <v>15</v>
      </c>
      <c r="AH1849" s="155">
        <v>2.0000000000000002E-5</v>
      </c>
      <c r="AI1849" s="155">
        <f t="shared" si="28"/>
        <v>5.1749787538738967E-3</v>
      </c>
      <c r="AJ1849" s="155">
        <v>6.1537862629009051E-4</v>
      </c>
    </row>
    <row r="1850" spans="1:36" s="160" customFormat="1">
      <c r="A1850" s="153" t="s">
        <v>1213</v>
      </c>
      <c r="B1850" s="160">
        <v>9631</v>
      </c>
      <c r="C1850" s="153" t="s">
        <v>1769</v>
      </c>
      <c r="D1850" s="153" t="s">
        <v>1770</v>
      </c>
      <c r="E1850" s="153" t="s">
        <v>309</v>
      </c>
      <c r="F1850" s="153" t="s">
        <v>2037</v>
      </c>
      <c r="G1850" s="153" t="s">
        <v>2038</v>
      </c>
      <c r="H1850" s="153" t="s">
        <v>321</v>
      </c>
      <c r="I1850" s="153" t="s">
        <v>951</v>
      </c>
      <c r="J1850" s="153" t="s">
        <v>204</v>
      </c>
      <c r="K1850" s="153" t="s">
        <v>204</v>
      </c>
      <c r="L1850" s="153" t="s">
        <v>325</v>
      </c>
      <c r="M1850" s="153" t="s">
        <v>340</v>
      </c>
      <c r="N1850" s="153" t="s">
        <v>464</v>
      </c>
      <c r="O1850" s="153" t="s">
        <v>339</v>
      </c>
      <c r="P1850" s="153" t="s">
        <v>1560</v>
      </c>
      <c r="Q1850" s="153" t="s">
        <v>413</v>
      </c>
      <c r="R1850" s="153" t="s">
        <v>407</v>
      </c>
      <c r="S1850" s="153" t="s">
        <v>1212</v>
      </c>
      <c r="T1850" s="154">
        <v>2.9</v>
      </c>
      <c r="U1850" s="153" t="s">
        <v>1587</v>
      </c>
      <c r="V1850" s="155">
        <v>4.9369999999999997E-2</v>
      </c>
      <c r="W1850" s="155">
        <v>7.1999999999999995E-2</v>
      </c>
      <c r="X1850" s="153" t="s">
        <v>412</v>
      </c>
      <c r="Y1850" s="153" t="s">
        <v>339</v>
      </c>
      <c r="Z1850" s="154">
        <v>76759.839999999997</v>
      </c>
      <c r="AA1850" s="154">
        <v>1</v>
      </c>
      <c r="AB1850" s="154">
        <v>92.4</v>
      </c>
      <c r="AD1850" s="154">
        <v>70.926000000000002</v>
      </c>
      <c r="AG1850" s="157" t="s">
        <v>15</v>
      </c>
      <c r="AH1850" s="155">
        <v>6.0000000000000002E-5</v>
      </c>
      <c r="AI1850" s="155">
        <f t="shared" si="28"/>
        <v>5.0887386742632544E-3</v>
      </c>
      <c r="AJ1850" s="155">
        <v>6.051234534196285E-4</v>
      </c>
    </row>
    <row r="1851" spans="1:36" s="160" customFormat="1">
      <c r="A1851" s="153" t="s">
        <v>1213</v>
      </c>
      <c r="B1851" s="160">
        <v>9631</v>
      </c>
      <c r="C1851" s="153" t="s">
        <v>1577</v>
      </c>
      <c r="D1851" s="153" t="s">
        <v>1578</v>
      </c>
      <c r="E1851" s="153" t="s">
        <v>309</v>
      </c>
      <c r="F1851" s="153" t="s">
        <v>1579</v>
      </c>
      <c r="G1851" s="153" t="s">
        <v>1580</v>
      </c>
      <c r="H1851" s="153" t="s">
        <v>321</v>
      </c>
      <c r="I1851" s="153" t="s">
        <v>754</v>
      </c>
      <c r="J1851" s="153" t="s">
        <v>204</v>
      </c>
      <c r="K1851" s="153" t="s">
        <v>204</v>
      </c>
      <c r="L1851" s="153" t="s">
        <v>325</v>
      </c>
      <c r="M1851" s="153" t="s">
        <v>340</v>
      </c>
      <c r="N1851" s="153" t="s">
        <v>456</v>
      </c>
      <c r="O1851" s="153" t="s">
        <v>339</v>
      </c>
      <c r="P1851" s="153" t="s">
        <v>1566</v>
      </c>
      <c r="Q1851" s="153" t="s">
        <v>413</v>
      </c>
      <c r="R1851" s="153" t="s">
        <v>407</v>
      </c>
      <c r="S1851" s="153" t="s">
        <v>1212</v>
      </c>
      <c r="T1851" s="154">
        <v>5.0199999999999996</v>
      </c>
      <c r="U1851" s="153" t="s">
        <v>1581</v>
      </c>
      <c r="V1851" s="155">
        <v>2.716E-2</v>
      </c>
      <c r="W1851" s="155">
        <v>5.1499999999999997E-2</v>
      </c>
      <c r="X1851" s="153" t="s">
        <v>412</v>
      </c>
      <c r="Y1851" s="153" t="s">
        <v>339</v>
      </c>
      <c r="Z1851" s="154">
        <v>45815.839999999997</v>
      </c>
      <c r="AA1851" s="154">
        <v>1</v>
      </c>
      <c r="AB1851" s="154">
        <v>141.9</v>
      </c>
      <c r="AD1851" s="154">
        <v>65.013000000000005</v>
      </c>
      <c r="AG1851" s="157" t="s">
        <v>15</v>
      </c>
      <c r="AH1851" s="155">
        <v>2.0000000000000002E-5</v>
      </c>
      <c r="AI1851" s="155">
        <f t="shared" si="28"/>
        <v>4.6644977501886049E-3</v>
      </c>
      <c r="AJ1851" s="155">
        <v>5.5467516957350348E-4</v>
      </c>
    </row>
    <row r="1852" spans="1:36" s="160" customFormat="1">
      <c r="A1852" s="153" t="s">
        <v>1213</v>
      </c>
      <c r="B1852" s="160">
        <v>9631</v>
      </c>
      <c r="C1852" s="153" t="s">
        <v>2178</v>
      </c>
      <c r="D1852" s="153" t="s">
        <v>2179</v>
      </c>
      <c r="E1852" s="153" t="s">
        <v>309</v>
      </c>
      <c r="F1852" s="153" t="s">
        <v>2762</v>
      </c>
      <c r="G1852" s="153" t="s">
        <v>2763</v>
      </c>
      <c r="H1852" s="153" t="s">
        <v>321</v>
      </c>
      <c r="I1852" s="153" t="s">
        <v>951</v>
      </c>
      <c r="J1852" s="153" t="s">
        <v>204</v>
      </c>
      <c r="K1852" s="153" t="s">
        <v>204</v>
      </c>
      <c r="L1852" s="153" t="s">
        <v>325</v>
      </c>
      <c r="M1852" s="153" t="s">
        <v>340</v>
      </c>
      <c r="N1852" s="153" t="s">
        <v>464</v>
      </c>
      <c r="O1852" s="153" t="s">
        <v>339</v>
      </c>
      <c r="P1852" s="153" t="s">
        <v>1566</v>
      </c>
      <c r="Q1852" s="153" t="s">
        <v>413</v>
      </c>
      <c r="R1852" s="153" t="s">
        <v>407</v>
      </c>
      <c r="S1852" s="153" t="s">
        <v>1212</v>
      </c>
      <c r="T1852" s="154">
        <v>1.34</v>
      </c>
      <c r="U1852" s="153" t="s">
        <v>2764</v>
      </c>
      <c r="V1852" s="155">
        <v>-9.0799999999999995E-3</v>
      </c>
      <c r="W1852" s="155">
        <v>6.1800000000000001E-2</v>
      </c>
      <c r="X1852" s="153" t="s">
        <v>412</v>
      </c>
      <c r="Y1852" s="153" t="s">
        <v>339</v>
      </c>
      <c r="Z1852" s="154">
        <v>61393.5</v>
      </c>
      <c r="AA1852" s="154">
        <v>1</v>
      </c>
      <c r="AB1852" s="154">
        <v>101.51</v>
      </c>
      <c r="AD1852" s="154">
        <v>62.320999999999998</v>
      </c>
      <c r="AG1852" s="157" t="s">
        <v>15</v>
      </c>
      <c r="AH1852" s="155">
        <v>6.0000000000000002E-5</v>
      </c>
      <c r="AI1852" s="155">
        <f t="shared" si="28"/>
        <v>4.4713544104948858E-3</v>
      </c>
      <c r="AJ1852" s="155">
        <v>5.317076775874103E-4</v>
      </c>
    </row>
    <row r="1853" spans="1:36" s="160" customFormat="1">
      <c r="A1853" s="153" t="s">
        <v>1213</v>
      </c>
      <c r="B1853" s="160">
        <v>9631</v>
      </c>
      <c r="C1853" s="153" t="s">
        <v>2812</v>
      </c>
      <c r="D1853" s="153" t="s">
        <v>2813</v>
      </c>
      <c r="E1853" s="153" t="s">
        <v>309</v>
      </c>
      <c r="F1853" s="153" t="s">
        <v>2814</v>
      </c>
      <c r="G1853" s="153" t="s">
        <v>2815</v>
      </c>
      <c r="H1853" s="153" t="s">
        <v>321</v>
      </c>
      <c r="I1853" s="153" t="s">
        <v>951</v>
      </c>
      <c r="J1853" s="153" t="s">
        <v>204</v>
      </c>
      <c r="K1853" s="153" t="s">
        <v>204</v>
      </c>
      <c r="L1853" s="153" t="s">
        <v>325</v>
      </c>
      <c r="M1853" s="153" t="s">
        <v>340</v>
      </c>
      <c r="N1853" s="153" t="s">
        <v>447</v>
      </c>
      <c r="O1853" s="153" t="s">
        <v>339</v>
      </c>
      <c r="P1853" s="153" t="s">
        <v>1614</v>
      </c>
      <c r="Q1853" s="153" t="s">
        <v>415</v>
      </c>
      <c r="R1853" s="153" t="s">
        <v>407</v>
      </c>
      <c r="S1853" s="153" t="s">
        <v>1212</v>
      </c>
      <c r="T1853" s="154">
        <v>1.71</v>
      </c>
      <c r="U1853" s="153" t="s">
        <v>1343</v>
      </c>
      <c r="V1853" s="155">
        <v>5.3409999999999999E-2</v>
      </c>
      <c r="W1853" s="155">
        <v>5.6000000000000001E-2</v>
      </c>
      <c r="X1853" s="153" t="s">
        <v>412</v>
      </c>
      <c r="Y1853" s="153" t="s">
        <v>339</v>
      </c>
      <c r="Z1853" s="154">
        <v>62888.44</v>
      </c>
      <c r="AA1853" s="154">
        <v>1</v>
      </c>
      <c r="AB1853" s="154">
        <v>94.88</v>
      </c>
      <c r="AD1853" s="154">
        <v>59.668999999999997</v>
      </c>
      <c r="AG1853" s="157" t="s">
        <v>15</v>
      </c>
      <c r="AH1853" s="155">
        <v>2.5000000000000001E-4</v>
      </c>
      <c r="AI1853" s="155">
        <f t="shared" si="28"/>
        <v>4.2810809569778941E-3</v>
      </c>
      <c r="AJ1853" s="155">
        <v>5.090814559131462E-4</v>
      </c>
    </row>
    <row r="1854" spans="1:36" s="160" customFormat="1">
      <c r="A1854" s="153" t="s">
        <v>1213</v>
      </c>
      <c r="B1854" s="160">
        <v>9631</v>
      </c>
      <c r="C1854" s="153" t="s">
        <v>2883</v>
      </c>
      <c r="D1854" s="153">
        <v>53368</v>
      </c>
      <c r="E1854" s="153" t="s">
        <v>311</v>
      </c>
      <c r="F1854" s="153" t="s">
        <v>2885</v>
      </c>
      <c r="G1854" s="153" t="s">
        <v>2886</v>
      </c>
      <c r="H1854" s="153" t="s">
        <v>321</v>
      </c>
      <c r="I1854" s="153" t="s">
        <v>755</v>
      </c>
      <c r="J1854" s="153" t="s">
        <v>204</v>
      </c>
      <c r="K1854" s="153" t="s">
        <v>204</v>
      </c>
      <c r="L1854" s="153" t="s">
        <v>325</v>
      </c>
      <c r="M1854" s="153" t="s">
        <v>340</v>
      </c>
      <c r="N1854" s="153" t="s">
        <v>480</v>
      </c>
      <c r="O1854" s="153" t="s">
        <v>339</v>
      </c>
      <c r="P1854" s="153" t="s">
        <v>1566</v>
      </c>
      <c r="Q1854" s="153" t="s">
        <v>413</v>
      </c>
      <c r="R1854" s="153" t="s">
        <v>407</v>
      </c>
      <c r="S1854" s="153" t="s">
        <v>1212</v>
      </c>
      <c r="T1854" s="154">
        <v>0.73</v>
      </c>
      <c r="U1854" s="153" t="s">
        <v>1749</v>
      </c>
      <c r="V1854" s="155">
        <v>3.2149999999999998E-2</v>
      </c>
      <c r="W1854" s="155">
        <v>7.2599999999999998E-2</v>
      </c>
      <c r="X1854" s="153" t="s">
        <v>412</v>
      </c>
      <c r="Y1854" s="153" t="s">
        <v>339</v>
      </c>
      <c r="Z1854" s="154">
        <v>54000</v>
      </c>
      <c r="AA1854" s="154">
        <v>1</v>
      </c>
      <c r="AB1854" s="154">
        <v>103.4</v>
      </c>
      <c r="AD1854" s="154">
        <v>55.835999999999999</v>
      </c>
      <c r="AG1854" s="157" t="s">
        <v>15</v>
      </c>
      <c r="AH1854" s="155">
        <v>3.8999999999999999E-4</v>
      </c>
      <c r="AI1854" s="155">
        <f t="shared" si="28"/>
        <v>4.0060741140930415E-3</v>
      </c>
      <c r="AJ1854" s="155">
        <v>4.7637922828213026E-4</v>
      </c>
    </row>
    <row r="1855" spans="1:36" s="160" customFormat="1">
      <c r="A1855" s="153" t="s">
        <v>1213</v>
      </c>
      <c r="B1855" s="160">
        <v>9631</v>
      </c>
      <c r="C1855" s="153" t="s">
        <v>2576</v>
      </c>
      <c r="D1855" s="153" t="s">
        <v>2577</v>
      </c>
      <c r="E1855" s="153" t="s">
        <v>309</v>
      </c>
      <c r="F1855" s="153" t="s">
        <v>2816</v>
      </c>
      <c r="G1855" s="153" t="s">
        <v>2817</v>
      </c>
      <c r="H1855" s="153" t="s">
        <v>321</v>
      </c>
      <c r="I1855" s="153" t="s">
        <v>951</v>
      </c>
      <c r="J1855" s="153" t="s">
        <v>204</v>
      </c>
      <c r="K1855" s="153" t="s">
        <v>204</v>
      </c>
      <c r="L1855" s="153" t="s">
        <v>325</v>
      </c>
      <c r="M1855" s="153" t="s">
        <v>340</v>
      </c>
      <c r="N1855" s="153" t="s">
        <v>451</v>
      </c>
      <c r="O1855" s="153" t="s">
        <v>339</v>
      </c>
      <c r="P1855" s="153" t="s">
        <v>1521</v>
      </c>
      <c r="Q1855" s="153" t="s">
        <v>413</v>
      </c>
      <c r="R1855" s="153" t="s">
        <v>407</v>
      </c>
      <c r="S1855" s="153" t="s">
        <v>1212</v>
      </c>
      <c r="T1855" s="154">
        <v>3.62</v>
      </c>
      <c r="U1855" s="153" t="s">
        <v>2818</v>
      </c>
      <c r="V1855" s="155">
        <v>4.7530000000000003E-2</v>
      </c>
      <c r="W1855" s="155">
        <v>5.79E-2</v>
      </c>
      <c r="X1855" s="153" t="s">
        <v>412</v>
      </c>
      <c r="Y1855" s="153" t="s">
        <v>339</v>
      </c>
      <c r="Z1855" s="154">
        <v>56238</v>
      </c>
      <c r="AA1855" s="154">
        <v>1</v>
      </c>
      <c r="AB1855" s="154">
        <v>90.3</v>
      </c>
      <c r="AD1855" s="154">
        <v>50.783000000000001</v>
      </c>
      <c r="AG1855" s="157" t="s">
        <v>15</v>
      </c>
      <c r="AH1855" s="155">
        <v>6.9999999999999994E-5</v>
      </c>
      <c r="AI1855" s="155">
        <f t="shared" si="28"/>
        <v>3.6435357428180196E-3</v>
      </c>
      <c r="AJ1855" s="155">
        <v>4.3326825614032922E-4</v>
      </c>
    </row>
    <row r="1856" spans="1:36" s="160" customFormat="1">
      <c r="A1856" s="153" t="s">
        <v>1213</v>
      </c>
      <c r="B1856" s="160">
        <v>9631</v>
      </c>
      <c r="C1856" s="153" t="s">
        <v>2032</v>
      </c>
      <c r="D1856" s="153" t="s">
        <v>2033</v>
      </c>
      <c r="E1856" s="153" t="s">
        <v>309</v>
      </c>
      <c r="F1856" s="153" t="s">
        <v>2765</v>
      </c>
      <c r="G1856" s="153" t="s">
        <v>2766</v>
      </c>
      <c r="H1856" s="153" t="s">
        <v>321</v>
      </c>
      <c r="I1856" s="153" t="s">
        <v>754</v>
      </c>
      <c r="J1856" s="153" t="s">
        <v>204</v>
      </c>
      <c r="K1856" s="153" t="s">
        <v>204</v>
      </c>
      <c r="L1856" s="153" t="s">
        <v>325</v>
      </c>
      <c r="M1856" s="153" t="s">
        <v>340</v>
      </c>
      <c r="N1856" s="153" t="s">
        <v>445</v>
      </c>
      <c r="O1856" s="153" t="s">
        <v>339</v>
      </c>
      <c r="P1856" s="153" t="s">
        <v>1538</v>
      </c>
      <c r="Q1856" s="153" t="s">
        <v>413</v>
      </c>
      <c r="R1856" s="153" t="s">
        <v>407</v>
      </c>
      <c r="S1856" s="153" t="s">
        <v>1212</v>
      </c>
      <c r="T1856" s="154">
        <v>5.09</v>
      </c>
      <c r="U1856" s="153" t="s">
        <v>2210</v>
      </c>
      <c r="V1856" s="155">
        <v>2.2360000000000001E-2</v>
      </c>
      <c r="W1856" s="155">
        <v>2.8899999999999999E-2</v>
      </c>
      <c r="X1856" s="153" t="s">
        <v>412</v>
      </c>
      <c r="Y1856" s="153" t="s">
        <v>339</v>
      </c>
      <c r="Z1856" s="154">
        <v>49415</v>
      </c>
      <c r="AA1856" s="154">
        <v>1</v>
      </c>
      <c r="AB1856" s="154">
        <v>100.89</v>
      </c>
      <c r="AD1856" s="154">
        <v>49.854999999999997</v>
      </c>
      <c r="AG1856" s="157" t="s">
        <v>15</v>
      </c>
      <c r="AH1856" s="155">
        <v>1.6000000000000001E-4</v>
      </c>
      <c r="AI1856" s="155">
        <f t="shared" si="28"/>
        <v>3.5769543835179559E-3</v>
      </c>
      <c r="AJ1856" s="155">
        <v>4.2535078490589593E-4</v>
      </c>
    </row>
    <row r="1857" spans="1:36" s="160" customFormat="1">
      <c r="A1857" s="153" t="s">
        <v>1213</v>
      </c>
      <c r="B1857" s="160">
        <v>9631</v>
      </c>
      <c r="C1857" s="153" t="s">
        <v>2238</v>
      </c>
      <c r="D1857" s="153" t="s">
        <v>2239</v>
      </c>
      <c r="E1857" s="153" t="s">
        <v>309</v>
      </c>
      <c r="F1857" s="153" t="s">
        <v>2794</v>
      </c>
      <c r="G1857" s="153" t="s">
        <v>2795</v>
      </c>
      <c r="H1857" s="153" t="s">
        <v>321</v>
      </c>
      <c r="I1857" s="153" t="s">
        <v>951</v>
      </c>
      <c r="J1857" s="153" t="s">
        <v>204</v>
      </c>
      <c r="K1857" s="153" t="s">
        <v>204</v>
      </c>
      <c r="L1857" s="153" t="s">
        <v>325</v>
      </c>
      <c r="M1857" s="153" t="s">
        <v>340</v>
      </c>
      <c r="N1857" s="153" t="s">
        <v>447</v>
      </c>
      <c r="O1857" s="153" t="s">
        <v>339</v>
      </c>
      <c r="P1857" s="153" t="s">
        <v>1544</v>
      </c>
      <c r="Q1857" s="153" t="s">
        <v>415</v>
      </c>
      <c r="R1857" s="153" t="s">
        <v>407</v>
      </c>
      <c r="S1857" s="153" t="s">
        <v>1212</v>
      </c>
      <c r="T1857" s="154">
        <v>0.74</v>
      </c>
      <c r="U1857" s="153" t="s">
        <v>1848</v>
      </c>
      <c r="V1857" s="155">
        <v>5.2380000000000003E-2</v>
      </c>
      <c r="W1857" s="155">
        <v>5.4600000000000003E-2</v>
      </c>
      <c r="X1857" s="153" t="s">
        <v>412</v>
      </c>
      <c r="Y1857" s="153" t="s">
        <v>339</v>
      </c>
      <c r="Z1857" s="154">
        <v>40342.800000000003</v>
      </c>
      <c r="AA1857" s="154">
        <v>1</v>
      </c>
      <c r="AB1857" s="154">
        <v>100.18</v>
      </c>
      <c r="AD1857" s="154">
        <v>40.414999999999999</v>
      </c>
      <c r="AG1857" s="157" t="s">
        <v>15</v>
      </c>
      <c r="AH1857" s="155">
        <v>3.8999999999999999E-4</v>
      </c>
      <c r="AI1857" s="155">
        <f t="shared" si="28"/>
        <v>2.8996612458104141E-3</v>
      </c>
      <c r="AJ1857" s="155">
        <v>3.4481099131424703E-4</v>
      </c>
    </row>
    <row r="1858" spans="1:36" s="160" customFormat="1">
      <c r="A1858" s="153" t="s">
        <v>1213</v>
      </c>
      <c r="B1858" s="160">
        <v>9631</v>
      </c>
      <c r="C1858" s="153" t="s">
        <v>1759</v>
      </c>
      <c r="D1858" s="153" t="s">
        <v>1760</v>
      </c>
      <c r="E1858" s="153" t="s">
        <v>309</v>
      </c>
      <c r="F1858" s="153" t="s">
        <v>2819</v>
      </c>
      <c r="G1858" s="153" t="s">
        <v>2820</v>
      </c>
      <c r="H1858" s="153" t="s">
        <v>321</v>
      </c>
      <c r="I1858" s="153" t="s">
        <v>754</v>
      </c>
      <c r="J1858" s="153" t="s">
        <v>204</v>
      </c>
      <c r="K1858" s="153" t="s">
        <v>204</v>
      </c>
      <c r="L1858" s="153" t="s">
        <v>325</v>
      </c>
      <c r="M1858" s="153" t="s">
        <v>340</v>
      </c>
      <c r="N1858" s="153" t="s">
        <v>465</v>
      </c>
      <c r="O1858" s="153" t="s">
        <v>339</v>
      </c>
      <c r="P1858" s="153" t="s">
        <v>1614</v>
      </c>
      <c r="Q1858" s="153" t="s">
        <v>415</v>
      </c>
      <c r="R1858" s="153" t="s">
        <v>407</v>
      </c>
      <c r="S1858" s="153" t="s">
        <v>1212</v>
      </c>
      <c r="T1858" s="154">
        <v>0.74</v>
      </c>
      <c r="U1858" s="153" t="s">
        <v>2821</v>
      </c>
      <c r="V1858" s="155">
        <v>3.3579999999999999E-2</v>
      </c>
      <c r="W1858" s="155">
        <v>2.7099999999999999E-2</v>
      </c>
      <c r="X1858" s="153" t="s">
        <v>412</v>
      </c>
      <c r="Y1858" s="153" t="s">
        <v>339</v>
      </c>
      <c r="Z1858" s="154">
        <v>29719.599999999999</v>
      </c>
      <c r="AA1858" s="154">
        <v>1</v>
      </c>
      <c r="AB1858" s="154">
        <v>118.92</v>
      </c>
      <c r="AD1858" s="154">
        <v>35.343000000000004</v>
      </c>
      <c r="AG1858" s="157" t="s">
        <v>15</v>
      </c>
      <c r="AH1858" s="155">
        <v>2.1000000000000001E-4</v>
      </c>
      <c r="AI1858" s="155">
        <f t="shared" si="28"/>
        <v>2.535759678601447E-3</v>
      </c>
      <c r="AJ1858" s="155">
        <v>3.0153791577432719E-4</v>
      </c>
    </row>
    <row r="1859" spans="1:36" s="160" customFormat="1">
      <c r="A1859" s="153" t="s">
        <v>1213</v>
      </c>
      <c r="B1859" s="160">
        <v>9631</v>
      </c>
      <c r="C1859" s="153" t="s">
        <v>2385</v>
      </c>
      <c r="D1859" s="153" t="s">
        <v>2386</v>
      </c>
      <c r="E1859" s="153" t="s">
        <v>309</v>
      </c>
      <c r="F1859" s="153" t="s">
        <v>2539</v>
      </c>
      <c r="G1859" s="153" t="s">
        <v>2540</v>
      </c>
      <c r="H1859" s="153" t="s">
        <v>321</v>
      </c>
      <c r="I1859" s="153" t="s">
        <v>951</v>
      </c>
      <c r="J1859" s="153" t="s">
        <v>204</v>
      </c>
      <c r="K1859" s="153" t="s">
        <v>204</v>
      </c>
      <c r="L1859" s="153" t="s">
        <v>325</v>
      </c>
      <c r="M1859" s="153" t="s">
        <v>340</v>
      </c>
      <c r="N1859" s="153" t="s">
        <v>464</v>
      </c>
      <c r="O1859" s="153" t="s">
        <v>339</v>
      </c>
      <c r="P1859" s="153" t="s">
        <v>1211</v>
      </c>
      <c r="Q1859" s="153" t="s">
        <v>415</v>
      </c>
      <c r="R1859" s="153" t="s">
        <v>407</v>
      </c>
      <c r="S1859" s="153" t="s">
        <v>1212</v>
      </c>
      <c r="T1859" s="154">
        <v>0.25</v>
      </c>
      <c r="U1859" s="153" t="s">
        <v>2541</v>
      </c>
      <c r="V1859" s="155">
        <v>9.7999999999999997E-4</v>
      </c>
      <c r="W1859" s="155">
        <v>4.5199999999999997E-2</v>
      </c>
      <c r="X1859" s="153" t="s">
        <v>412</v>
      </c>
      <c r="Y1859" s="153" t="s">
        <v>339</v>
      </c>
      <c r="Z1859" s="154">
        <v>35219.75</v>
      </c>
      <c r="AA1859" s="154">
        <v>1</v>
      </c>
      <c r="AB1859" s="154">
        <v>99.71</v>
      </c>
      <c r="AD1859" s="154">
        <v>35.118000000000002</v>
      </c>
      <c r="AG1859" s="157" t="s">
        <v>15</v>
      </c>
      <c r="AH1859" s="155">
        <v>3.4000000000000002E-4</v>
      </c>
      <c r="AI1859" s="155">
        <f t="shared" ref="AI1859:AI1922" si="29">AD1859/SUMIF(B:B,B1859,AD:AD)</f>
        <v>2.5196165688573581E-3</v>
      </c>
      <c r="AJ1859" s="155">
        <v>2.9961827027028893E-4</v>
      </c>
    </row>
    <row r="1860" spans="1:36" s="160" customFormat="1">
      <c r="A1860" s="153" t="s">
        <v>1213</v>
      </c>
      <c r="B1860" s="160">
        <v>9631</v>
      </c>
      <c r="C1860" s="153" t="s">
        <v>2753</v>
      </c>
      <c r="D1860" s="153" t="s">
        <v>2754</v>
      </c>
      <c r="E1860" s="153" t="s">
        <v>309</v>
      </c>
      <c r="F1860" s="153" t="s">
        <v>2843</v>
      </c>
      <c r="G1860" s="153" t="s">
        <v>2844</v>
      </c>
      <c r="H1860" s="153" t="s">
        <v>321</v>
      </c>
      <c r="I1860" s="153" t="s">
        <v>951</v>
      </c>
      <c r="J1860" s="153" t="s">
        <v>204</v>
      </c>
      <c r="K1860" s="153" t="s">
        <v>204</v>
      </c>
      <c r="L1860" s="153" t="s">
        <v>325</v>
      </c>
      <c r="M1860" s="153" t="s">
        <v>340</v>
      </c>
      <c r="N1860" s="153" t="s">
        <v>447</v>
      </c>
      <c r="O1860" s="153" t="s">
        <v>339</v>
      </c>
      <c r="P1860" s="153" t="s">
        <v>1586</v>
      </c>
      <c r="Q1860" s="153" t="s">
        <v>415</v>
      </c>
      <c r="R1860" s="153" t="s">
        <v>407</v>
      </c>
      <c r="S1860" s="153" t="s">
        <v>1212</v>
      </c>
      <c r="T1860" s="154">
        <v>0.73</v>
      </c>
      <c r="U1860" s="153" t="s">
        <v>1848</v>
      </c>
      <c r="V1860" s="155">
        <v>3.5860000000000003E-2</v>
      </c>
      <c r="W1860" s="155">
        <v>6.1499999999999999E-2</v>
      </c>
      <c r="X1860" s="153" t="s">
        <v>412</v>
      </c>
      <c r="Y1860" s="153" t="s">
        <v>339</v>
      </c>
      <c r="Z1860" s="154">
        <v>32846.1</v>
      </c>
      <c r="AA1860" s="154">
        <v>1</v>
      </c>
      <c r="AB1860" s="154">
        <v>99.92</v>
      </c>
      <c r="AD1860" s="154">
        <v>32.82</v>
      </c>
      <c r="AG1860" s="157" t="s">
        <v>15</v>
      </c>
      <c r="AH1860" s="155">
        <v>5.0000000000000001E-4</v>
      </c>
      <c r="AI1860" s="155">
        <f t="shared" si="29"/>
        <v>2.354741608004399E-3</v>
      </c>
      <c r="AJ1860" s="155">
        <v>2.8001229085571164E-4</v>
      </c>
    </row>
    <row r="1861" spans="1:36" s="160" customFormat="1">
      <c r="A1861" s="153" t="s">
        <v>1213</v>
      </c>
      <c r="B1861" s="160">
        <v>9631</v>
      </c>
      <c r="C1861" s="153" t="s">
        <v>2361</v>
      </c>
      <c r="D1861" s="153" t="s">
        <v>2362</v>
      </c>
      <c r="E1861" s="153" t="s">
        <v>309</v>
      </c>
      <c r="F1861" s="153" t="s">
        <v>2363</v>
      </c>
      <c r="G1861" s="153" t="s">
        <v>2364</v>
      </c>
      <c r="H1861" s="153" t="s">
        <v>321</v>
      </c>
      <c r="I1861" s="153" t="s">
        <v>951</v>
      </c>
      <c r="J1861" s="153" t="s">
        <v>204</v>
      </c>
      <c r="K1861" s="153" t="s">
        <v>204</v>
      </c>
      <c r="L1861" s="153" t="s">
        <v>325</v>
      </c>
      <c r="M1861" s="153" t="s">
        <v>340</v>
      </c>
      <c r="N1861" s="153" t="s">
        <v>446</v>
      </c>
      <c r="O1861" s="153" t="s">
        <v>339</v>
      </c>
      <c r="P1861" s="153" t="s">
        <v>1538</v>
      </c>
      <c r="Q1861" s="153" t="s">
        <v>413</v>
      </c>
      <c r="R1861" s="153" t="s">
        <v>407</v>
      </c>
      <c r="S1861" s="153" t="s">
        <v>1212</v>
      </c>
      <c r="T1861" s="154">
        <v>2.62</v>
      </c>
      <c r="U1861" s="153" t="s">
        <v>1587</v>
      </c>
      <c r="V1861" s="155">
        <v>4.8869999999999997E-2</v>
      </c>
      <c r="W1861" s="155">
        <v>5.2200000000000003E-2</v>
      </c>
      <c r="X1861" s="153" t="s">
        <v>412</v>
      </c>
      <c r="Y1861" s="153" t="s">
        <v>339</v>
      </c>
      <c r="Z1861" s="154">
        <v>31889.279999999999</v>
      </c>
      <c r="AA1861" s="154">
        <v>1</v>
      </c>
      <c r="AB1861" s="154">
        <v>90.15</v>
      </c>
      <c r="AD1861" s="154">
        <v>28.748000000000001</v>
      </c>
      <c r="AG1861" s="157" t="s">
        <v>15</v>
      </c>
      <c r="AH1861" s="155">
        <v>3.0000000000000001E-5</v>
      </c>
      <c r="AI1861" s="155">
        <f t="shared" si="29"/>
        <v>2.0625871952136034E-3</v>
      </c>
      <c r="AJ1861" s="155">
        <v>2.4527097311151733E-4</v>
      </c>
    </row>
    <row r="1862" spans="1:36" s="160" customFormat="1">
      <c r="A1862" s="153" t="s">
        <v>1213</v>
      </c>
      <c r="B1862" s="160">
        <v>9631</v>
      </c>
      <c r="C1862" s="153" t="s">
        <v>2408</v>
      </c>
      <c r="D1862" s="153" t="s">
        <v>2409</v>
      </c>
      <c r="E1862" s="153" t="s">
        <v>309</v>
      </c>
      <c r="F1862" s="153" t="s">
        <v>2410</v>
      </c>
      <c r="G1862" s="153" t="s">
        <v>2411</v>
      </c>
      <c r="H1862" s="153" t="s">
        <v>321</v>
      </c>
      <c r="I1862" s="153" t="s">
        <v>951</v>
      </c>
      <c r="J1862" s="153" t="s">
        <v>204</v>
      </c>
      <c r="K1862" s="153" t="s">
        <v>204</v>
      </c>
      <c r="L1862" s="153" t="s">
        <v>325</v>
      </c>
      <c r="M1862" s="153" t="s">
        <v>340</v>
      </c>
      <c r="N1862" s="153" t="s">
        <v>451</v>
      </c>
      <c r="O1862" s="153" t="s">
        <v>339</v>
      </c>
      <c r="P1862" s="153" t="s">
        <v>1521</v>
      </c>
      <c r="Q1862" s="153" t="s">
        <v>413</v>
      </c>
      <c r="R1862" s="153" t="s">
        <v>407</v>
      </c>
      <c r="S1862" s="153" t="s">
        <v>1212</v>
      </c>
      <c r="T1862" s="154">
        <v>1.46</v>
      </c>
      <c r="U1862" s="153" t="s">
        <v>1522</v>
      </c>
      <c r="V1862" s="155">
        <v>2.1659999999999999E-2</v>
      </c>
      <c r="W1862" s="155">
        <v>5.8700000000000002E-2</v>
      </c>
      <c r="X1862" s="153" t="s">
        <v>412</v>
      </c>
      <c r="Y1862" s="153" t="s">
        <v>339</v>
      </c>
      <c r="Z1862" s="154">
        <v>27446.400000000001</v>
      </c>
      <c r="AA1862" s="154">
        <v>1</v>
      </c>
      <c r="AB1862" s="154">
        <v>97.35</v>
      </c>
      <c r="AD1862" s="154">
        <v>26.719000000000001</v>
      </c>
      <c r="AG1862" s="157" t="s">
        <v>15</v>
      </c>
      <c r="AH1862" s="155">
        <v>5.0000000000000002E-5</v>
      </c>
      <c r="AI1862" s="155">
        <f t="shared" si="29"/>
        <v>1.9170122188991328E-3</v>
      </c>
      <c r="AJ1862" s="155">
        <v>2.2796003654399025E-4</v>
      </c>
    </row>
    <row r="1863" spans="1:36" s="160" customFormat="1">
      <c r="A1863" s="153" t="s">
        <v>1213</v>
      </c>
      <c r="B1863" s="160">
        <v>9631</v>
      </c>
      <c r="C1863" s="153" t="s">
        <v>2757</v>
      </c>
      <c r="D1863" s="153" t="s">
        <v>2758</v>
      </c>
      <c r="E1863" s="153" t="s">
        <v>309</v>
      </c>
      <c r="F1863" s="153" t="s">
        <v>2759</v>
      </c>
      <c r="G1863" s="153" t="s">
        <v>2760</v>
      </c>
      <c r="H1863" s="153" t="s">
        <v>321</v>
      </c>
      <c r="I1863" s="153" t="s">
        <v>755</v>
      </c>
      <c r="J1863" s="153" t="s">
        <v>204</v>
      </c>
      <c r="K1863" s="153" t="s">
        <v>204</v>
      </c>
      <c r="L1863" s="153" t="s">
        <v>325</v>
      </c>
      <c r="M1863" s="153" t="s">
        <v>340</v>
      </c>
      <c r="N1863" s="153" t="s">
        <v>440</v>
      </c>
      <c r="O1863" s="153" t="s">
        <v>339</v>
      </c>
      <c r="P1863" s="153" t="s">
        <v>1521</v>
      </c>
      <c r="Q1863" s="153" t="s">
        <v>413</v>
      </c>
      <c r="R1863" s="153" t="s">
        <v>407</v>
      </c>
      <c r="S1863" s="153" t="s">
        <v>1212</v>
      </c>
      <c r="T1863" s="154">
        <v>0.74</v>
      </c>
      <c r="U1863" s="153" t="s">
        <v>2761</v>
      </c>
      <c r="V1863" s="155">
        <v>4.249E-2</v>
      </c>
      <c r="W1863" s="155">
        <v>7.5899999999999995E-2</v>
      </c>
      <c r="X1863" s="153" t="s">
        <v>412</v>
      </c>
      <c r="Y1863" s="153" t="s">
        <v>339</v>
      </c>
      <c r="Z1863" s="154">
        <v>22800</v>
      </c>
      <c r="AA1863" s="154">
        <v>1</v>
      </c>
      <c r="AB1863" s="154">
        <v>100.15</v>
      </c>
      <c r="AD1863" s="154">
        <v>22.834</v>
      </c>
      <c r="AG1863" s="157" t="s">
        <v>15</v>
      </c>
      <c r="AH1863" s="155">
        <v>9.0000000000000006E-5</v>
      </c>
      <c r="AI1863" s="155">
        <f t="shared" si="29"/>
        <v>1.6382745239845353E-3</v>
      </c>
      <c r="AJ1863" s="155">
        <v>1.9481415750759659E-4</v>
      </c>
    </row>
    <row r="1864" spans="1:36" s="160" customFormat="1">
      <c r="A1864" s="153" t="s">
        <v>1213</v>
      </c>
      <c r="B1864" s="160">
        <v>9631</v>
      </c>
      <c r="C1864" s="153" t="s">
        <v>2576</v>
      </c>
      <c r="D1864" s="153" t="s">
        <v>2577</v>
      </c>
      <c r="E1864" s="153" t="s">
        <v>309</v>
      </c>
      <c r="F1864" s="153" t="s">
        <v>2578</v>
      </c>
      <c r="G1864" s="153" t="s">
        <v>2579</v>
      </c>
      <c r="H1864" s="153" t="s">
        <v>321</v>
      </c>
      <c r="I1864" s="153" t="s">
        <v>755</v>
      </c>
      <c r="J1864" s="153" t="s">
        <v>204</v>
      </c>
      <c r="K1864" s="153" t="s">
        <v>204</v>
      </c>
      <c r="L1864" s="153" t="s">
        <v>325</v>
      </c>
      <c r="M1864" s="153" t="s">
        <v>340</v>
      </c>
      <c r="N1864" s="153" t="s">
        <v>451</v>
      </c>
      <c r="O1864" s="153" t="s">
        <v>339</v>
      </c>
      <c r="P1864" s="153" t="s">
        <v>1521</v>
      </c>
      <c r="Q1864" s="153" t="s">
        <v>413</v>
      </c>
      <c r="R1864" s="153" t="s">
        <v>407</v>
      </c>
      <c r="S1864" s="153" t="s">
        <v>1212</v>
      </c>
      <c r="T1864" s="154">
        <v>1.48</v>
      </c>
      <c r="U1864" s="153" t="s">
        <v>1522</v>
      </c>
      <c r="V1864" s="155">
        <v>5.4469999999999998E-2</v>
      </c>
      <c r="W1864" s="155">
        <v>7.0099999999999996E-2</v>
      </c>
      <c r="X1864" s="153" t="s">
        <v>412</v>
      </c>
      <c r="Y1864" s="153" t="s">
        <v>339</v>
      </c>
      <c r="Z1864" s="154">
        <v>20083.13</v>
      </c>
      <c r="AA1864" s="154">
        <v>1</v>
      </c>
      <c r="AB1864" s="154">
        <v>105.21</v>
      </c>
      <c r="AD1864" s="154">
        <v>21.129000000000001</v>
      </c>
      <c r="AG1864" s="157" t="s">
        <v>15</v>
      </c>
      <c r="AH1864" s="155">
        <v>1.9000000000000001E-4</v>
      </c>
      <c r="AI1864" s="155">
        <f t="shared" si="29"/>
        <v>1.5159456257015525E-3</v>
      </c>
      <c r="AJ1864" s="155">
        <v>1.8026751046588458E-4</v>
      </c>
    </row>
    <row r="1865" spans="1:36" s="160" customFormat="1">
      <c r="A1865" s="153" t="s">
        <v>1213</v>
      </c>
      <c r="B1865" s="160">
        <v>9631</v>
      </c>
      <c r="C1865" s="153" t="s">
        <v>2771</v>
      </c>
      <c r="D1865" s="153" t="s">
        <v>2772</v>
      </c>
      <c r="E1865" s="153" t="s">
        <v>309</v>
      </c>
      <c r="F1865" s="153" t="s">
        <v>2822</v>
      </c>
      <c r="G1865" s="153" t="s">
        <v>2823</v>
      </c>
      <c r="H1865" s="153" t="s">
        <v>321</v>
      </c>
      <c r="I1865" s="153" t="s">
        <v>951</v>
      </c>
      <c r="J1865" s="153" t="s">
        <v>204</v>
      </c>
      <c r="K1865" s="153" t="s">
        <v>204</v>
      </c>
      <c r="L1865" s="153" t="s">
        <v>325</v>
      </c>
      <c r="M1865" s="153" t="s">
        <v>340</v>
      </c>
      <c r="N1865" s="153" t="s">
        <v>447</v>
      </c>
      <c r="O1865" s="153" t="s">
        <v>339</v>
      </c>
      <c r="P1865" s="153" t="s">
        <v>1614</v>
      </c>
      <c r="Q1865" s="153" t="s">
        <v>415</v>
      </c>
      <c r="R1865" s="153" t="s">
        <v>407</v>
      </c>
      <c r="S1865" s="153" t="s">
        <v>1212</v>
      </c>
      <c r="T1865" s="154">
        <v>1.36</v>
      </c>
      <c r="U1865" s="153" t="s">
        <v>1659</v>
      </c>
      <c r="V1865" s="155">
        <v>2.818E-2</v>
      </c>
      <c r="W1865" s="155">
        <v>5.9299999999999999E-2</v>
      </c>
      <c r="X1865" s="153" t="s">
        <v>412</v>
      </c>
      <c r="Y1865" s="153" t="s">
        <v>339</v>
      </c>
      <c r="Z1865" s="154">
        <v>19592.400000000001</v>
      </c>
      <c r="AA1865" s="154">
        <v>1</v>
      </c>
      <c r="AB1865" s="154">
        <v>96.89</v>
      </c>
      <c r="AD1865" s="154">
        <v>18.983000000000001</v>
      </c>
      <c r="AG1865" s="157" t="s">
        <v>15</v>
      </c>
      <c r="AH1865" s="155">
        <v>6.0000000000000002E-5</v>
      </c>
      <c r="AI1865" s="155">
        <f t="shared" si="29"/>
        <v>1.3619762323201557E-3</v>
      </c>
      <c r="AJ1865" s="155">
        <v>1.619583582362576E-4</v>
      </c>
    </row>
    <row r="1866" spans="1:36" s="160" customFormat="1">
      <c r="A1866" s="153" t="s">
        <v>1213</v>
      </c>
      <c r="B1866" s="160">
        <v>9631</v>
      </c>
      <c r="C1866" s="153" t="s">
        <v>2824</v>
      </c>
      <c r="D1866" s="153" t="s">
        <v>2825</v>
      </c>
      <c r="E1866" s="153" t="s">
        <v>309</v>
      </c>
      <c r="F1866" s="153" t="s">
        <v>2826</v>
      </c>
      <c r="G1866" s="153" t="s">
        <v>2827</v>
      </c>
      <c r="H1866" s="153" t="s">
        <v>321</v>
      </c>
      <c r="I1866" s="153" t="s">
        <v>951</v>
      </c>
      <c r="J1866" s="153" t="s">
        <v>204</v>
      </c>
      <c r="K1866" s="153" t="s">
        <v>204</v>
      </c>
      <c r="L1866" s="153" t="s">
        <v>325</v>
      </c>
      <c r="M1866" s="153" t="s">
        <v>340</v>
      </c>
      <c r="N1866" s="153" t="s">
        <v>463</v>
      </c>
      <c r="O1866" s="153" t="s">
        <v>339</v>
      </c>
      <c r="P1866" s="153" t="s">
        <v>1521</v>
      </c>
      <c r="Q1866" s="153" t="s">
        <v>413</v>
      </c>
      <c r="R1866" s="153" t="s">
        <v>407</v>
      </c>
      <c r="S1866" s="153" t="s">
        <v>1212</v>
      </c>
      <c r="T1866" s="154">
        <v>5.46</v>
      </c>
      <c r="U1866" s="153" t="s">
        <v>2828</v>
      </c>
      <c r="V1866" s="155">
        <v>2.24E-2</v>
      </c>
      <c r="W1866" s="155">
        <v>6.0199999999999997E-2</v>
      </c>
      <c r="X1866" s="153" t="s">
        <v>412</v>
      </c>
      <c r="Y1866" s="153" t="s">
        <v>339</v>
      </c>
      <c r="Z1866" s="154">
        <v>21567</v>
      </c>
      <c r="AA1866" s="154">
        <v>1</v>
      </c>
      <c r="AB1866" s="154">
        <v>82.39</v>
      </c>
      <c r="AD1866" s="154">
        <v>17.768999999999998</v>
      </c>
      <c r="AG1866" s="157" t="s">
        <v>15</v>
      </c>
      <c r="AH1866" s="155">
        <v>2.0000000000000002E-5</v>
      </c>
      <c r="AI1866" s="155">
        <f t="shared" si="29"/>
        <v>1.2748751868564949E-3</v>
      </c>
      <c r="AJ1866" s="155">
        <v>1.5160080427224681E-4</v>
      </c>
    </row>
    <row r="1867" spans="1:36" s="160" customFormat="1">
      <c r="A1867" s="153" t="s">
        <v>1213</v>
      </c>
      <c r="B1867" s="160">
        <v>9631</v>
      </c>
      <c r="C1867" s="153" t="s">
        <v>2336</v>
      </c>
      <c r="D1867" s="153" t="s">
        <v>2337</v>
      </c>
      <c r="E1867" s="153" t="s">
        <v>309</v>
      </c>
      <c r="F1867" s="153" t="s">
        <v>2796</v>
      </c>
      <c r="G1867" s="153" t="s">
        <v>2797</v>
      </c>
      <c r="H1867" s="153" t="s">
        <v>321</v>
      </c>
      <c r="I1867" s="153" t="s">
        <v>754</v>
      </c>
      <c r="J1867" s="153" t="s">
        <v>204</v>
      </c>
      <c r="K1867" s="153" t="s">
        <v>204</v>
      </c>
      <c r="L1867" s="153" t="s">
        <v>325</v>
      </c>
      <c r="M1867" s="153" t="s">
        <v>340</v>
      </c>
      <c r="N1867" s="153" t="s">
        <v>464</v>
      </c>
      <c r="O1867" s="153" t="s">
        <v>339</v>
      </c>
      <c r="P1867" s="153" t="s">
        <v>1982</v>
      </c>
      <c r="Q1867" s="153" t="s">
        <v>415</v>
      </c>
      <c r="R1867" s="153" t="s">
        <v>407</v>
      </c>
      <c r="S1867" s="153" t="s">
        <v>1212</v>
      </c>
      <c r="T1867" s="154">
        <v>2.91</v>
      </c>
      <c r="U1867" s="153" t="s">
        <v>2798</v>
      </c>
      <c r="V1867" s="155">
        <v>6.3099999999999996E-3</v>
      </c>
      <c r="W1867" s="155">
        <v>2.76E-2</v>
      </c>
      <c r="X1867" s="153" t="s">
        <v>412</v>
      </c>
      <c r="Y1867" s="153" t="s">
        <v>339</v>
      </c>
      <c r="Z1867" s="154">
        <v>10730</v>
      </c>
      <c r="AA1867" s="154">
        <v>1</v>
      </c>
      <c r="AB1867" s="154">
        <v>114.46</v>
      </c>
      <c r="AD1867" s="154">
        <v>12.282</v>
      </c>
      <c r="AG1867" s="157" t="s">
        <v>15</v>
      </c>
      <c r="AH1867" s="155">
        <v>1.0000000000000001E-5</v>
      </c>
      <c r="AI1867" s="155">
        <f t="shared" si="29"/>
        <v>8.8119855056398625E-4</v>
      </c>
      <c r="AJ1867" s="155">
        <v>1.0478704924710088E-4</v>
      </c>
    </row>
    <row r="1868" spans="1:36" s="160" customFormat="1">
      <c r="A1868" s="153" t="s">
        <v>1213</v>
      </c>
      <c r="B1868" s="160">
        <v>9631</v>
      </c>
      <c r="C1868" s="153" t="s">
        <v>2298</v>
      </c>
      <c r="D1868" s="153" t="s">
        <v>2299</v>
      </c>
      <c r="E1868" s="153" t="s">
        <v>309</v>
      </c>
      <c r="F1868" s="153" t="s">
        <v>2562</v>
      </c>
      <c r="G1868" s="153" t="s">
        <v>2563</v>
      </c>
      <c r="H1868" s="153" t="s">
        <v>321</v>
      </c>
      <c r="I1868" s="153" t="s">
        <v>951</v>
      </c>
      <c r="J1868" s="153" t="s">
        <v>204</v>
      </c>
      <c r="K1868" s="153" t="s">
        <v>204</v>
      </c>
      <c r="L1868" s="153" t="s">
        <v>325</v>
      </c>
      <c r="M1868" s="153" t="s">
        <v>340</v>
      </c>
      <c r="N1868" s="153" t="s">
        <v>462</v>
      </c>
      <c r="O1868" s="153" t="s">
        <v>339</v>
      </c>
      <c r="P1868" s="153" t="s">
        <v>1566</v>
      </c>
      <c r="Q1868" s="153" t="s">
        <v>413</v>
      </c>
      <c r="R1868" s="153" t="s">
        <v>407</v>
      </c>
      <c r="S1868" s="153" t="s">
        <v>1212</v>
      </c>
      <c r="T1868" s="154">
        <v>1.1499999999999999</v>
      </c>
      <c r="U1868" s="153" t="s">
        <v>2232</v>
      </c>
      <c r="V1868" s="155">
        <v>1.231E-2</v>
      </c>
      <c r="W1868" s="155">
        <v>5.5399999999999998E-2</v>
      </c>
      <c r="X1868" s="153" t="s">
        <v>412</v>
      </c>
      <c r="Y1868" s="153" t="s">
        <v>339</v>
      </c>
      <c r="Z1868" s="154">
        <v>6835.89</v>
      </c>
      <c r="AA1868" s="154">
        <v>1</v>
      </c>
      <c r="AB1868" s="154">
        <v>97.21</v>
      </c>
      <c r="AD1868" s="154">
        <v>6.6449999999999996</v>
      </c>
      <c r="AG1868" s="157" t="s">
        <v>15</v>
      </c>
      <c r="AH1868" s="155">
        <v>4.0000000000000003E-5</v>
      </c>
      <c r="AI1868" s="155">
        <f t="shared" si="29"/>
        <v>4.7675984110875171E-4</v>
      </c>
      <c r="AJ1868" s="155">
        <v>5.66935305525961E-5</v>
      </c>
    </row>
    <row r="1869" spans="1:36" s="160" customFormat="1">
      <c r="A1869" s="153" t="s">
        <v>1213</v>
      </c>
      <c r="B1869" s="160">
        <v>9631</v>
      </c>
      <c r="C1869" s="153" t="s">
        <v>1973</v>
      </c>
      <c r="D1869" s="153" t="s">
        <v>1974</v>
      </c>
      <c r="E1869" s="153" t="s">
        <v>309</v>
      </c>
      <c r="F1869" s="153" t="s">
        <v>2004</v>
      </c>
      <c r="G1869" s="153" t="s">
        <v>2005</v>
      </c>
      <c r="H1869" s="153" t="s">
        <v>321</v>
      </c>
      <c r="I1869" s="153" t="s">
        <v>754</v>
      </c>
      <c r="J1869" s="153" t="s">
        <v>204</v>
      </c>
      <c r="K1869" s="153" t="s">
        <v>204</v>
      </c>
      <c r="L1869" s="153" t="s">
        <v>325</v>
      </c>
      <c r="M1869" s="153" t="s">
        <v>340</v>
      </c>
      <c r="N1869" s="153" t="s">
        <v>464</v>
      </c>
      <c r="O1869" s="153" t="s">
        <v>339</v>
      </c>
      <c r="P1869" s="153" t="s">
        <v>1538</v>
      </c>
      <c r="Q1869" s="153" t="s">
        <v>413</v>
      </c>
      <c r="R1869" s="153" t="s">
        <v>407</v>
      </c>
      <c r="S1869" s="153" t="s">
        <v>1212</v>
      </c>
      <c r="T1869" s="154">
        <v>3.44</v>
      </c>
      <c r="U1869" s="153" t="s">
        <v>1913</v>
      </c>
      <c r="V1869" s="155">
        <v>4.4319999999999998E-2</v>
      </c>
      <c r="W1869" s="155">
        <v>2.93E-2</v>
      </c>
      <c r="X1869" s="153" t="s">
        <v>412</v>
      </c>
      <c r="Y1869" s="153" t="s">
        <v>339</v>
      </c>
      <c r="Z1869" s="154">
        <v>4348.5</v>
      </c>
      <c r="AA1869" s="154">
        <v>1</v>
      </c>
      <c r="AB1869" s="154">
        <v>117.13</v>
      </c>
      <c r="AD1869" s="154">
        <v>5.093</v>
      </c>
      <c r="AG1869" s="157" t="s">
        <v>15</v>
      </c>
      <c r="AH1869" s="155">
        <v>0</v>
      </c>
      <c r="AI1869" s="155">
        <f t="shared" si="29"/>
        <v>3.6540825745174906E-4</v>
      </c>
      <c r="AJ1869" s="155">
        <v>4.3452242453630086E-5</v>
      </c>
    </row>
    <row r="1870" spans="1:36" s="160" customFormat="1">
      <c r="A1870" s="153" t="s">
        <v>1213</v>
      </c>
      <c r="B1870" s="160">
        <v>9631</v>
      </c>
      <c r="C1870" s="153" t="s">
        <v>1917</v>
      </c>
      <c r="D1870" s="153" t="s">
        <v>1918</v>
      </c>
      <c r="E1870" s="153" t="s">
        <v>309</v>
      </c>
      <c r="F1870" s="153" t="s">
        <v>2799</v>
      </c>
      <c r="G1870" s="153" t="s">
        <v>2800</v>
      </c>
      <c r="H1870" s="153" t="s">
        <v>321</v>
      </c>
      <c r="I1870" s="153" t="s">
        <v>951</v>
      </c>
      <c r="J1870" s="153" t="s">
        <v>204</v>
      </c>
      <c r="K1870" s="153" t="s">
        <v>204</v>
      </c>
      <c r="L1870" s="153" t="s">
        <v>325</v>
      </c>
      <c r="M1870" s="153" t="s">
        <v>340</v>
      </c>
      <c r="N1870" s="153" t="s">
        <v>447</v>
      </c>
      <c r="O1870" s="153" t="s">
        <v>339</v>
      </c>
      <c r="P1870" s="153" t="s">
        <v>1560</v>
      </c>
      <c r="Q1870" s="153" t="s">
        <v>413</v>
      </c>
      <c r="R1870" s="153" t="s">
        <v>407</v>
      </c>
      <c r="S1870" s="153" t="s">
        <v>1212</v>
      </c>
      <c r="T1870" s="154">
        <v>0.6</v>
      </c>
      <c r="U1870" s="153" t="s">
        <v>2801</v>
      </c>
      <c r="V1870" s="155">
        <v>5.9389999999999998E-2</v>
      </c>
      <c r="W1870" s="155">
        <v>6.13E-2</v>
      </c>
      <c r="X1870" s="153" t="s">
        <v>412</v>
      </c>
      <c r="Y1870" s="153" t="s">
        <v>339</v>
      </c>
      <c r="Z1870" s="154">
        <v>3783.66</v>
      </c>
      <c r="AA1870" s="154">
        <v>1</v>
      </c>
      <c r="AB1870" s="154">
        <v>100.56</v>
      </c>
      <c r="AD1870" s="154">
        <v>3.8050000000000002</v>
      </c>
      <c r="AG1870" s="157" t="s">
        <v>15</v>
      </c>
      <c r="AH1870" s="155">
        <v>3.0000000000000001E-5</v>
      </c>
      <c r="AI1870" s="155">
        <f t="shared" si="29"/>
        <v>2.7299792256114377E-4</v>
      </c>
      <c r="AJ1870" s="155">
        <v>3.2463338412735616E-5</v>
      </c>
    </row>
    <row r="1871" spans="1:36" s="160" customFormat="1">
      <c r="A1871" s="153" t="s">
        <v>1213</v>
      </c>
      <c r="B1871" s="160">
        <v>9631</v>
      </c>
      <c r="C1871" s="153" t="s">
        <v>2771</v>
      </c>
      <c r="D1871" s="153" t="s">
        <v>2772</v>
      </c>
      <c r="E1871" s="153" t="s">
        <v>309</v>
      </c>
      <c r="F1871" s="153" t="s">
        <v>2849</v>
      </c>
      <c r="G1871" s="153" t="s">
        <v>2850</v>
      </c>
      <c r="H1871" s="153" t="s">
        <v>321</v>
      </c>
      <c r="I1871" s="153" t="s">
        <v>951</v>
      </c>
      <c r="J1871" s="153" t="s">
        <v>204</v>
      </c>
      <c r="K1871" s="153" t="s">
        <v>204</v>
      </c>
      <c r="L1871" s="153" t="s">
        <v>325</v>
      </c>
      <c r="M1871" s="153" t="s">
        <v>340</v>
      </c>
      <c r="N1871" s="153" t="s">
        <v>447</v>
      </c>
      <c r="O1871" s="153" t="s">
        <v>339</v>
      </c>
      <c r="P1871" s="153" t="s">
        <v>1614</v>
      </c>
      <c r="Q1871" s="153" t="s">
        <v>415</v>
      </c>
      <c r="R1871" s="153" t="s">
        <v>407</v>
      </c>
      <c r="S1871" s="153" t="s">
        <v>1212</v>
      </c>
      <c r="T1871" s="154">
        <v>0.74</v>
      </c>
      <c r="U1871" s="153" t="s">
        <v>1848</v>
      </c>
      <c r="V1871" s="155">
        <v>3.1379999999999998E-2</v>
      </c>
      <c r="W1871" s="155">
        <v>5.8000000000000003E-2</v>
      </c>
      <c r="X1871" s="153" t="s">
        <v>412</v>
      </c>
      <c r="Y1871" s="153" t="s">
        <v>339</v>
      </c>
      <c r="Z1871" s="154">
        <v>3790.45</v>
      </c>
      <c r="AA1871" s="154">
        <v>1</v>
      </c>
      <c r="AB1871" s="154">
        <v>98.95</v>
      </c>
      <c r="AD1871" s="154">
        <v>3.7509999999999999</v>
      </c>
      <c r="AG1871" s="157" t="s">
        <v>15</v>
      </c>
      <c r="AH1871" s="155">
        <v>6.9999999999999994E-5</v>
      </c>
      <c r="AI1871" s="155">
        <f t="shared" si="29"/>
        <v>2.6912357622256247E-4</v>
      </c>
      <c r="AJ1871" s="155">
        <v>3.2002623491766438E-5</v>
      </c>
    </row>
    <row r="1872" spans="1:36" s="160" customFormat="1">
      <c r="A1872" s="153" t="s">
        <v>1213</v>
      </c>
      <c r="B1872" s="160">
        <v>9631</v>
      </c>
      <c r="C1872" s="153" t="s">
        <v>1986</v>
      </c>
      <c r="D1872" s="153" t="s">
        <v>1987</v>
      </c>
      <c r="E1872" s="153" t="s">
        <v>309</v>
      </c>
      <c r="F1872" s="153" t="s">
        <v>2504</v>
      </c>
      <c r="G1872" s="153" t="s">
        <v>2505</v>
      </c>
      <c r="H1872" s="153" t="s">
        <v>321</v>
      </c>
      <c r="I1872" s="153" t="s">
        <v>951</v>
      </c>
      <c r="J1872" s="153" t="s">
        <v>204</v>
      </c>
      <c r="K1872" s="153" t="s">
        <v>204</v>
      </c>
      <c r="L1872" s="153" t="s">
        <v>325</v>
      </c>
      <c r="M1872" s="153" t="s">
        <v>340</v>
      </c>
      <c r="N1872" s="153" t="s">
        <v>484</v>
      </c>
      <c r="O1872" s="153" t="s">
        <v>339</v>
      </c>
      <c r="P1872" s="153" t="s">
        <v>1538</v>
      </c>
      <c r="Q1872" s="153" t="s">
        <v>413</v>
      </c>
      <c r="R1872" s="153" t="s">
        <v>407</v>
      </c>
      <c r="S1872" s="153" t="s">
        <v>1212</v>
      </c>
      <c r="T1872" s="154">
        <v>0.65</v>
      </c>
      <c r="U1872" s="153" t="s">
        <v>2372</v>
      </c>
      <c r="V1872" s="155">
        <v>3.066E-2</v>
      </c>
      <c r="W1872" s="155">
        <v>5.0500000000000003E-2</v>
      </c>
      <c r="X1872" s="153" t="s">
        <v>412</v>
      </c>
      <c r="Y1872" s="153" t="s">
        <v>339</v>
      </c>
      <c r="Z1872" s="154">
        <v>1216.43</v>
      </c>
      <c r="AA1872" s="154">
        <v>1</v>
      </c>
      <c r="AB1872" s="154">
        <v>100.35</v>
      </c>
      <c r="AD1872" s="154">
        <v>1.2210000000000001</v>
      </c>
      <c r="AG1872" s="157" t="s">
        <v>15</v>
      </c>
      <c r="AH1872" s="155">
        <v>0</v>
      </c>
      <c r="AI1872" s="155">
        <f t="shared" si="29"/>
        <v>8.7603275544587792E-5</v>
      </c>
      <c r="AJ1872" s="155">
        <v>1.0417276268580865E-5</v>
      </c>
    </row>
    <row r="1873" spans="1:36" s="160" customFormat="1">
      <c r="A1873" s="153" t="s">
        <v>1213</v>
      </c>
      <c r="B1873" s="160">
        <v>9631</v>
      </c>
      <c r="C1873" s="153" t="s">
        <v>2775</v>
      </c>
      <c r="D1873" s="153" t="s">
        <v>2776</v>
      </c>
      <c r="E1873" s="153" t="s">
        <v>80</v>
      </c>
      <c r="F1873" s="153" t="s">
        <v>2777</v>
      </c>
      <c r="G1873" s="153" t="s">
        <v>2778</v>
      </c>
      <c r="H1873" s="153" t="s">
        <v>321</v>
      </c>
      <c r="I1873" s="153" t="s">
        <v>755</v>
      </c>
      <c r="J1873" s="153" t="s">
        <v>205</v>
      </c>
      <c r="K1873" s="153" t="s">
        <v>224</v>
      </c>
      <c r="L1873" s="153" t="s">
        <v>325</v>
      </c>
      <c r="M1873" s="153" t="s">
        <v>314</v>
      </c>
      <c r="N1873" s="153" t="s">
        <v>546</v>
      </c>
      <c r="O1873" s="153" t="s">
        <v>339</v>
      </c>
      <c r="P1873" s="153" t="s">
        <v>2779</v>
      </c>
      <c r="Q1873" s="153" t="s">
        <v>433</v>
      </c>
      <c r="R1873" s="153" t="s">
        <v>407</v>
      </c>
      <c r="S1873" s="153" t="s">
        <v>1216</v>
      </c>
      <c r="T1873" s="154">
        <v>2.9239999999999999</v>
      </c>
      <c r="U1873" s="153" t="s">
        <v>1488</v>
      </c>
      <c r="V1873" s="155">
        <v>5.373E-2</v>
      </c>
      <c r="W1873" s="155">
        <v>4.6559999999999997E-2</v>
      </c>
      <c r="X1873" s="153" t="s">
        <v>412</v>
      </c>
      <c r="Y1873" s="153" t="s">
        <v>339</v>
      </c>
      <c r="Z1873" s="154">
        <v>82000</v>
      </c>
      <c r="AA1873" s="154">
        <v>3.71</v>
      </c>
      <c r="AB1873" s="154">
        <v>106.401</v>
      </c>
      <c r="AD1873" s="154">
        <v>323.69200000000001</v>
      </c>
      <c r="AG1873" s="157" t="s">
        <v>15</v>
      </c>
      <c r="AH1873" s="155">
        <v>8.0000000000000007E-5</v>
      </c>
      <c r="AI1873" s="155">
        <f t="shared" si="29"/>
        <v>2.3223979907926871E-2</v>
      </c>
      <c r="AJ1873" s="155">
        <v>2.7616617444139861E-3</v>
      </c>
    </row>
    <row r="1874" spans="1:36" s="160" customFormat="1">
      <c r="A1874" s="153" t="s">
        <v>1213</v>
      </c>
      <c r="B1874" s="160">
        <v>9631</v>
      </c>
      <c r="C1874" s="153" t="s">
        <v>2829</v>
      </c>
      <c r="D1874" s="153" t="s">
        <v>2830</v>
      </c>
      <c r="E1874" s="153" t="s">
        <v>80</v>
      </c>
      <c r="F1874" s="153" t="s">
        <v>2831</v>
      </c>
      <c r="G1874" s="153" t="s">
        <v>2832</v>
      </c>
      <c r="H1874" s="153" t="s">
        <v>321</v>
      </c>
      <c r="I1874" s="153" t="s">
        <v>755</v>
      </c>
      <c r="J1874" s="153" t="s">
        <v>205</v>
      </c>
      <c r="K1874" s="153" t="s">
        <v>245</v>
      </c>
      <c r="L1874" s="153" t="s">
        <v>325</v>
      </c>
      <c r="M1874" s="153" t="s">
        <v>314</v>
      </c>
      <c r="N1874" s="153" t="s">
        <v>491</v>
      </c>
      <c r="O1874" s="153" t="s">
        <v>339</v>
      </c>
      <c r="P1874" s="153" t="s">
        <v>2833</v>
      </c>
      <c r="Q1874" s="153" t="s">
        <v>433</v>
      </c>
      <c r="R1874" s="153" t="s">
        <v>407</v>
      </c>
      <c r="S1874" s="153" t="s">
        <v>1216</v>
      </c>
      <c r="T1874" s="154">
        <v>4.0339999999999998</v>
      </c>
      <c r="U1874" s="153" t="s">
        <v>2834</v>
      </c>
      <c r="V1874" s="155">
        <v>3.3059999999999999E-2</v>
      </c>
      <c r="W1874" s="155">
        <v>5.1709999999999999E-2</v>
      </c>
      <c r="X1874" s="153" t="s">
        <v>412</v>
      </c>
      <c r="Y1874" s="153" t="s">
        <v>339</v>
      </c>
      <c r="Z1874" s="154">
        <v>41000</v>
      </c>
      <c r="AA1874" s="154">
        <v>3.71</v>
      </c>
      <c r="AB1874" s="154">
        <v>95.608999999999995</v>
      </c>
      <c r="AD1874" s="154">
        <v>145.43100000000001</v>
      </c>
      <c r="AG1874" s="157" t="s">
        <v>15</v>
      </c>
      <c r="AH1874" s="155">
        <v>8.0000000000000007E-5</v>
      </c>
      <c r="AI1874" s="155">
        <f t="shared" si="29"/>
        <v>1.0434260414189147E-2</v>
      </c>
      <c r="AJ1874" s="155">
        <v>1.2407820679901586E-3</v>
      </c>
    </row>
    <row r="1875" spans="1:36" s="160" customFormat="1">
      <c r="A1875" s="153" t="s">
        <v>1213</v>
      </c>
      <c r="B1875" s="160">
        <v>9719</v>
      </c>
      <c r="C1875" s="153" t="s">
        <v>3342</v>
      </c>
      <c r="D1875" s="153" t="s">
        <v>3343</v>
      </c>
      <c r="E1875" s="153" t="s">
        <v>309</v>
      </c>
      <c r="F1875" s="153" t="s">
        <v>3344</v>
      </c>
      <c r="G1875" s="153" t="s">
        <v>3345</v>
      </c>
      <c r="H1875" s="153" t="s">
        <v>321</v>
      </c>
      <c r="I1875" s="153" t="s">
        <v>951</v>
      </c>
      <c r="J1875" s="153" t="s">
        <v>204</v>
      </c>
      <c r="K1875" s="153" t="s">
        <v>204</v>
      </c>
      <c r="L1875" s="153" t="s">
        <v>325</v>
      </c>
      <c r="M1875" s="153" t="s">
        <v>340</v>
      </c>
      <c r="N1875" s="153" t="s">
        <v>436</v>
      </c>
      <c r="O1875" s="153" t="s">
        <v>339</v>
      </c>
      <c r="P1875" s="153" t="s">
        <v>1215</v>
      </c>
      <c r="Q1875" s="153" t="s">
        <v>413</v>
      </c>
      <c r="R1875" s="153" t="s">
        <v>407</v>
      </c>
      <c r="S1875" s="153" t="s">
        <v>1212</v>
      </c>
      <c r="T1875" s="154">
        <v>0.17</v>
      </c>
      <c r="U1875" s="153" t="s">
        <v>3346</v>
      </c>
      <c r="V1875" s="155">
        <v>-1.7899999999999999E-3</v>
      </c>
      <c r="W1875" s="155">
        <v>4.65E-2</v>
      </c>
      <c r="X1875" s="153" t="s">
        <v>412</v>
      </c>
      <c r="Y1875" s="153" t="s">
        <v>339</v>
      </c>
      <c r="Z1875" s="154">
        <v>18764000</v>
      </c>
      <c r="AA1875" s="154">
        <v>1</v>
      </c>
      <c r="AB1875" s="154">
        <v>105.83</v>
      </c>
      <c r="AD1875" s="154">
        <v>19857.940999999999</v>
      </c>
      <c r="AG1875" s="157" t="s">
        <v>15</v>
      </c>
      <c r="AH1875" s="155">
        <v>8.0599999999999995E-3</v>
      </c>
      <c r="AI1875" s="155">
        <f t="shared" si="29"/>
        <v>5.9006800338514256E-2</v>
      </c>
      <c r="AJ1875" s="155">
        <v>6.5577848285855323E-3</v>
      </c>
    </row>
    <row r="1876" spans="1:36" s="160" customFormat="1">
      <c r="A1876" s="153" t="s">
        <v>1213</v>
      </c>
      <c r="B1876" s="160">
        <v>9719</v>
      </c>
      <c r="C1876" s="153" t="s">
        <v>1807</v>
      </c>
      <c r="D1876" s="153" t="s">
        <v>1808</v>
      </c>
      <c r="E1876" s="153" t="s">
        <v>309</v>
      </c>
      <c r="F1876" s="153" t="s">
        <v>2200</v>
      </c>
      <c r="G1876" s="153" t="s">
        <v>2201</v>
      </c>
      <c r="H1876" s="153" t="s">
        <v>321</v>
      </c>
      <c r="I1876" s="153" t="s">
        <v>754</v>
      </c>
      <c r="J1876" s="153" t="s">
        <v>204</v>
      </c>
      <c r="K1876" s="153" t="s">
        <v>204</v>
      </c>
      <c r="L1876" s="153" t="s">
        <v>325</v>
      </c>
      <c r="M1876" s="153" t="s">
        <v>340</v>
      </c>
      <c r="N1876" s="153" t="s">
        <v>464</v>
      </c>
      <c r="O1876" s="153" t="s">
        <v>339</v>
      </c>
      <c r="P1876" s="153" t="s">
        <v>1811</v>
      </c>
      <c r="Q1876" s="153" t="s">
        <v>413</v>
      </c>
      <c r="R1876" s="153" t="s">
        <v>407</v>
      </c>
      <c r="S1876" s="153" t="s">
        <v>1212</v>
      </c>
      <c r="T1876" s="154">
        <v>10.34</v>
      </c>
      <c r="U1876" s="153" t="s">
        <v>2202</v>
      </c>
      <c r="V1876" s="155">
        <v>3.1370000000000002E-2</v>
      </c>
      <c r="W1876" s="155">
        <v>3.6400000000000002E-2</v>
      </c>
      <c r="X1876" s="153" t="s">
        <v>412</v>
      </c>
      <c r="Y1876" s="153" t="s">
        <v>339</v>
      </c>
      <c r="Z1876" s="154">
        <v>18632046</v>
      </c>
      <c r="AA1876" s="154">
        <v>1</v>
      </c>
      <c r="AB1876" s="154">
        <v>93.61</v>
      </c>
      <c r="AD1876" s="154">
        <v>17441.457999999999</v>
      </c>
      <c r="AG1876" s="157" t="s">
        <v>15</v>
      </c>
      <c r="AH1876" s="155">
        <v>4.2700000000000004E-3</v>
      </c>
      <c r="AI1876" s="155">
        <f t="shared" si="29"/>
        <v>5.1826351474132296E-2</v>
      </c>
      <c r="AJ1876" s="155">
        <v>5.7597778470996445E-3</v>
      </c>
    </row>
    <row r="1877" spans="1:36" s="160" customFormat="1">
      <c r="A1877" s="153" t="s">
        <v>1213</v>
      </c>
      <c r="B1877" s="160">
        <v>9719</v>
      </c>
      <c r="C1877" s="153" t="s">
        <v>2032</v>
      </c>
      <c r="D1877" s="153" t="s">
        <v>2033</v>
      </c>
      <c r="E1877" s="153" t="s">
        <v>309</v>
      </c>
      <c r="F1877" s="153" t="s">
        <v>2765</v>
      </c>
      <c r="G1877" s="153" t="s">
        <v>2766</v>
      </c>
      <c r="H1877" s="153" t="s">
        <v>321</v>
      </c>
      <c r="I1877" s="153" t="s">
        <v>754</v>
      </c>
      <c r="J1877" s="153" t="s">
        <v>204</v>
      </c>
      <c r="K1877" s="153" t="s">
        <v>204</v>
      </c>
      <c r="L1877" s="153" t="s">
        <v>325</v>
      </c>
      <c r="M1877" s="153" t="s">
        <v>340</v>
      </c>
      <c r="N1877" s="153" t="s">
        <v>445</v>
      </c>
      <c r="O1877" s="153" t="s">
        <v>339</v>
      </c>
      <c r="P1877" s="153" t="s">
        <v>1538</v>
      </c>
      <c r="Q1877" s="153" t="s">
        <v>413</v>
      </c>
      <c r="R1877" s="153" t="s">
        <v>407</v>
      </c>
      <c r="S1877" s="153" t="s">
        <v>1212</v>
      </c>
      <c r="T1877" s="154">
        <v>5.09</v>
      </c>
      <c r="U1877" s="153" t="s">
        <v>2210</v>
      </c>
      <c r="V1877" s="155">
        <v>2.0480000000000002E-2</v>
      </c>
      <c r="W1877" s="155">
        <v>2.8899999999999999E-2</v>
      </c>
      <c r="X1877" s="153" t="s">
        <v>412</v>
      </c>
      <c r="Y1877" s="153" t="s">
        <v>339</v>
      </c>
      <c r="Z1877" s="154">
        <v>10746921</v>
      </c>
      <c r="AA1877" s="154">
        <v>1</v>
      </c>
      <c r="AB1877" s="154">
        <v>100.89</v>
      </c>
      <c r="AD1877" s="154">
        <v>10842.569</v>
      </c>
      <c r="AG1877" s="157" t="s">
        <v>15</v>
      </c>
      <c r="AH1877" s="155">
        <v>3.5819999999999998E-2</v>
      </c>
      <c r="AI1877" s="155">
        <f t="shared" si="29"/>
        <v>3.2218108823042844E-2</v>
      </c>
      <c r="AJ1877" s="155">
        <v>3.5805945083174436E-3</v>
      </c>
    </row>
    <row r="1878" spans="1:36" s="160" customFormat="1">
      <c r="A1878" s="153" t="s">
        <v>1213</v>
      </c>
      <c r="B1878" s="160">
        <v>9719</v>
      </c>
      <c r="C1878" s="153" t="s">
        <v>1512</v>
      </c>
      <c r="D1878" s="153" t="s">
        <v>1513</v>
      </c>
      <c r="E1878" s="153" t="s">
        <v>309</v>
      </c>
      <c r="F1878" s="153" t="s">
        <v>2103</v>
      </c>
      <c r="G1878" s="153" t="s">
        <v>2104</v>
      </c>
      <c r="H1878" s="153" t="s">
        <v>321</v>
      </c>
      <c r="I1878" s="153" t="s">
        <v>754</v>
      </c>
      <c r="J1878" s="153" t="s">
        <v>204</v>
      </c>
      <c r="K1878" s="153" t="s">
        <v>204</v>
      </c>
      <c r="L1878" s="153" t="s">
        <v>325</v>
      </c>
      <c r="M1878" s="153" t="s">
        <v>340</v>
      </c>
      <c r="N1878" s="153" t="s">
        <v>448</v>
      </c>
      <c r="O1878" s="153" t="s">
        <v>339</v>
      </c>
      <c r="P1878" s="153" t="s">
        <v>1215</v>
      </c>
      <c r="Q1878" s="153" t="s">
        <v>413</v>
      </c>
      <c r="R1878" s="153" t="s">
        <v>407</v>
      </c>
      <c r="S1878" s="153" t="s">
        <v>1212</v>
      </c>
      <c r="T1878" s="154">
        <v>4.38</v>
      </c>
      <c r="U1878" s="153" t="s">
        <v>2105</v>
      </c>
      <c r="V1878" s="155">
        <v>1.7569999999999999E-2</v>
      </c>
      <c r="W1878" s="155">
        <v>2.5700000000000001E-2</v>
      </c>
      <c r="X1878" s="153" t="s">
        <v>412</v>
      </c>
      <c r="Y1878" s="153" t="s">
        <v>339</v>
      </c>
      <c r="Z1878" s="154">
        <v>10506822</v>
      </c>
      <c r="AA1878" s="154">
        <v>1</v>
      </c>
      <c r="AB1878" s="154">
        <v>102.5</v>
      </c>
      <c r="AD1878" s="154">
        <v>10769.493</v>
      </c>
      <c r="AG1878" s="157" t="s">
        <v>15</v>
      </c>
      <c r="AH1878" s="155">
        <v>3.8899999999999998E-3</v>
      </c>
      <c r="AI1878" s="155">
        <f t="shared" si="29"/>
        <v>3.2000967431519062E-2</v>
      </c>
      <c r="AJ1878" s="155">
        <v>3.5564622639858833E-3</v>
      </c>
    </row>
    <row r="1879" spans="1:36" s="160" customFormat="1">
      <c r="A1879" s="153" t="s">
        <v>1213</v>
      </c>
      <c r="B1879" s="160">
        <v>9719</v>
      </c>
      <c r="C1879" s="153" t="s">
        <v>1573</v>
      </c>
      <c r="D1879" s="153" t="s">
        <v>1574</v>
      </c>
      <c r="E1879" s="153" t="s">
        <v>309</v>
      </c>
      <c r="F1879" s="153" t="s">
        <v>2094</v>
      </c>
      <c r="G1879" s="153" t="s">
        <v>2095</v>
      </c>
      <c r="H1879" s="153" t="s">
        <v>321</v>
      </c>
      <c r="I1879" s="153" t="s">
        <v>754</v>
      </c>
      <c r="J1879" s="153" t="s">
        <v>204</v>
      </c>
      <c r="K1879" s="153" t="s">
        <v>204</v>
      </c>
      <c r="L1879" s="153" t="s">
        <v>325</v>
      </c>
      <c r="M1879" s="153" t="s">
        <v>340</v>
      </c>
      <c r="N1879" s="153" t="s">
        <v>448</v>
      </c>
      <c r="O1879" s="153" t="s">
        <v>339</v>
      </c>
      <c r="P1879" s="153" t="s">
        <v>1215</v>
      </c>
      <c r="Q1879" s="153" t="s">
        <v>413</v>
      </c>
      <c r="R1879" s="153" t="s">
        <v>407</v>
      </c>
      <c r="S1879" s="153" t="s">
        <v>1212</v>
      </c>
      <c r="T1879" s="154">
        <v>5.04</v>
      </c>
      <c r="U1879" s="153" t="s">
        <v>2096</v>
      </c>
      <c r="V1879" s="155">
        <v>1.7510000000000001E-2</v>
      </c>
      <c r="W1879" s="155">
        <v>2.5899999999999999E-2</v>
      </c>
      <c r="X1879" s="153" t="s">
        <v>412</v>
      </c>
      <c r="Y1879" s="153" t="s">
        <v>339</v>
      </c>
      <c r="Z1879" s="154">
        <v>10404305</v>
      </c>
      <c r="AA1879" s="154">
        <v>1</v>
      </c>
      <c r="AB1879" s="154">
        <v>101.35</v>
      </c>
      <c r="AD1879" s="154">
        <v>10544.763000000001</v>
      </c>
      <c r="AG1879" s="157" t="s">
        <v>15</v>
      </c>
      <c r="AH1879" s="155">
        <v>2.9199999999999999E-3</v>
      </c>
      <c r="AI1879" s="155">
        <f t="shared" si="29"/>
        <v>3.1333194360782558E-2</v>
      </c>
      <c r="AJ1879" s="155">
        <v>3.4822485786633202E-3</v>
      </c>
    </row>
    <row r="1880" spans="1:36" s="160" customFormat="1">
      <c r="A1880" s="153" t="s">
        <v>1213</v>
      </c>
      <c r="B1880" s="160">
        <v>9719</v>
      </c>
      <c r="C1880" s="153" t="s">
        <v>2032</v>
      </c>
      <c r="D1880" s="153" t="s">
        <v>2033</v>
      </c>
      <c r="E1880" s="153" t="s">
        <v>309</v>
      </c>
      <c r="F1880" s="153" t="s">
        <v>2193</v>
      </c>
      <c r="G1880" s="153" t="s">
        <v>2194</v>
      </c>
      <c r="H1880" s="153" t="s">
        <v>321</v>
      </c>
      <c r="I1880" s="153" t="s">
        <v>951</v>
      </c>
      <c r="J1880" s="153" t="s">
        <v>204</v>
      </c>
      <c r="K1880" s="153" t="s">
        <v>204</v>
      </c>
      <c r="L1880" s="153" t="s">
        <v>325</v>
      </c>
      <c r="M1880" s="153" t="s">
        <v>340</v>
      </c>
      <c r="N1880" s="153" t="s">
        <v>445</v>
      </c>
      <c r="O1880" s="153" t="s">
        <v>339</v>
      </c>
      <c r="P1880" s="153" t="s">
        <v>1538</v>
      </c>
      <c r="Q1880" s="153" t="s">
        <v>413</v>
      </c>
      <c r="R1880" s="153" t="s">
        <v>407</v>
      </c>
      <c r="S1880" s="153" t="s">
        <v>1212</v>
      </c>
      <c r="T1880" s="154">
        <v>5.05</v>
      </c>
      <c r="U1880" s="153" t="s">
        <v>1717</v>
      </c>
      <c r="V1880" s="155">
        <v>4.1590000000000002E-2</v>
      </c>
      <c r="W1880" s="155">
        <v>5.6500000000000002E-2</v>
      </c>
      <c r="X1880" s="153" t="s">
        <v>412</v>
      </c>
      <c r="Y1880" s="153" t="s">
        <v>339</v>
      </c>
      <c r="Z1880" s="154">
        <v>10896000</v>
      </c>
      <c r="AA1880" s="154">
        <v>1</v>
      </c>
      <c r="AB1880" s="154">
        <v>95.86</v>
      </c>
      <c r="AD1880" s="154">
        <v>10444.906000000001</v>
      </c>
      <c r="AG1880" s="157" t="s">
        <v>15</v>
      </c>
      <c r="AH1880" s="155">
        <v>2.179E-2</v>
      </c>
      <c r="AI1880" s="155">
        <f t="shared" si="29"/>
        <v>3.1036474672603252E-2</v>
      </c>
      <c r="AJ1880" s="155">
        <v>3.4492723139222746E-3</v>
      </c>
    </row>
    <row r="1881" spans="1:36" s="160" customFormat="1">
      <c r="A1881" s="153" t="s">
        <v>1213</v>
      </c>
      <c r="B1881" s="160">
        <v>9719</v>
      </c>
      <c r="C1881" s="153" t="s">
        <v>1605</v>
      </c>
      <c r="D1881" s="153" t="s">
        <v>1606</v>
      </c>
      <c r="E1881" s="153" t="s">
        <v>311</v>
      </c>
      <c r="F1881" s="153" t="s">
        <v>1607</v>
      </c>
      <c r="G1881" s="153" t="s">
        <v>1608</v>
      </c>
      <c r="H1881" s="153" t="s">
        <v>321</v>
      </c>
      <c r="I1881" s="153" t="s">
        <v>951</v>
      </c>
      <c r="J1881" s="153" t="s">
        <v>204</v>
      </c>
      <c r="K1881" s="153" t="s">
        <v>224</v>
      </c>
      <c r="L1881" s="153" t="s">
        <v>325</v>
      </c>
      <c r="M1881" s="153" t="s">
        <v>340</v>
      </c>
      <c r="N1881" s="153" t="s">
        <v>465</v>
      </c>
      <c r="O1881" s="153" t="s">
        <v>339</v>
      </c>
      <c r="P1881" s="153" t="s">
        <v>1566</v>
      </c>
      <c r="Q1881" s="153" t="s">
        <v>413</v>
      </c>
      <c r="R1881" s="153" t="s">
        <v>407</v>
      </c>
      <c r="S1881" s="153" t="s">
        <v>1212</v>
      </c>
      <c r="T1881" s="154">
        <v>3.44</v>
      </c>
      <c r="U1881" s="153" t="s">
        <v>1609</v>
      </c>
      <c r="V1881" s="155">
        <v>6.0729999999999999E-2</v>
      </c>
      <c r="W1881" s="155">
        <v>6.59E-2</v>
      </c>
      <c r="X1881" s="153" t="s">
        <v>412</v>
      </c>
      <c r="Y1881" s="153" t="s">
        <v>339</v>
      </c>
      <c r="Z1881" s="154">
        <v>10101089</v>
      </c>
      <c r="AA1881" s="154">
        <v>1</v>
      </c>
      <c r="AB1881" s="154">
        <v>95.42</v>
      </c>
      <c r="AD1881" s="154">
        <v>9638.4590000000007</v>
      </c>
      <c r="AG1881" s="157" t="s">
        <v>15</v>
      </c>
      <c r="AH1881" s="155">
        <v>1.1010000000000001E-2</v>
      </c>
      <c r="AI1881" s="155">
        <f t="shared" si="29"/>
        <v>2.8640160920205972E-2</v>
      </c>
      <c r="AJ1881" s="155">
        <v>3.1829553829948276E-3</v>
      </c>
    </row>
    <row r="1882" spans="1:36" s="160" customFormat="1">
      <c r="A1882" s="153" t="s">
        <v>1213</v>
      </c>
      <c r="B1882" s="160">
        <v>9719</v>
      </c>
      <c r="C1882" s="153" t="s">
        <v>1893</v>
      </c>
      <c r="D1882" s="153" t="s">
        <v>1894</v>
      </c>
      <c r="E1882" s="153" t="s">
        <v>309</v>
      </c>
      <c r="F1882" s="153" t="s">
        <v>2208</v>
      </c>
      <c r="G1882" s="153" t="s">
        <v>2209</v>
      </c>
      <c r="H1882" s="153" t="s">
        <v>321</v>
      </c>
      <c r="I1882" s="153" t="s">
        <v>754</v>
      </c>
      <c r="J1882" s="153" t="s">
        <v>204</v>
      </c>
      <c r="K1882" s="153" t="s">
        <v>204</v>
      </c>
      <c r="L1882" s="153" t="s">
        <v>325</v>
      </c>
      <c r="M1882" s="153" t="s">
        <v>340</v>
      </c>
      <c r="N1882" s="153" t="s">
        <v>464</v>
      </c>
      <c r="O1882" s="153" t="s">
        <v>339</v>
      </c>
      <c r="P1882" s="153" t="s">
        <v>1521</v>
      </c>
      <c r="Q1882" s="153" t="s">
        <v>413</v>
      </c>
      <c r="R1882" s="153" t="s">
        <v>407</v>
      </c>
      <c r="S1882" s="153" t="s">
        <v>1212</v>
      </c>
      <c r="T1882" s="154">
        <v>4.32</v>
      </c>
      <c r="U1882" s="153" t="s">
        <v>2210</v>
      </c>
      <c r="V1882" s="155">
        <v>3.1640000000000001E-2</v>
      </c>
      <c r="W1882" s="155">
        <v>3.27E-2</v>
      </c>
      <c r="X1882" s="153" t="s">
        <v>412</v>
      </c>
      <c r="Y1882" s="153" t="s">
        <v>339</v>
      </c>
      <c r="Z1882" s="154">
        <v>7539182</v>
      </c>
      <c r="AA1882" s="154">
        <v>1</v>
      </c>
      <c r="AB1882" s="154">
        <v>103.92</v>
      </c>
      <c r="AD1882" s="154">
        <v>7834.7179999999998</v>
      </c>
      <c r="AG1882" s="157" t="s">
        <v>15</v>
      </c>
      <c r="AH1882" s="155">
        <v>9.1599999999999997E-3</v>
      </c>
      <c r="AI1882" s="155">
        <f t="shared" si="29"/>
        <v>2.3280441851174991E-2</v>
      </c>
      <c r="AJ1882" s="155">
        <v>2.5872971843680058E-3</v>
      </c>
    </row>
    <row r="1883" spans="1:36" s="160" customFormat="1">
      <c r="A1883" s="153" t="s">
        <v>1213</v>
      </c>
      <c r="B1883" s="160">
        <v>9719</v>
      </c>
      <c r="C1883" s="153" t="s">
        <v>2273</v>
      </c>
      <c r="D1883" s="153" t="s">
        <v>2274</v>
      </c>
      <c r="E1883" s="153" t="s">
        <v>309</v>
      </c>
      <c r="F1883" s="153" t="s">
        <v>2275</v>
      </c>
      <c r="G1883" s="153" t="s">
        <v>2276</v>
      </c>
      <c r="H1883" s="153" t="s">
        <v>321</v>
      </c>
      <c r="I1883" s="153" t="s">
        <v>754</v>
      </c>
      <c r="J1883" s="153" t="s">
        <v>204</v>
      </c>
      <c r="K1883" s="153" t="s">
        <v>204</v>
      </c>
      <c r="L1883" s="153" t="s">
        <v>325</v>
      </c>
      <c r="M1883" s="153" t="s">
        <v>340</v>
      </c>
      <c r="N1883" s="153" t="s">
        <v>477</v>
      </c>
      <c r="O1883" s="153" t="s">
        <v>339</v>
      </c>
      <c r="P1883" s="153" t="s">
        <v>1215</v>
      </c>
      <c r="Q1883" s="153" t="s">
        <v>413</v>
      </c>
      <c r="R1883" s="153" t="s">
        <v>407</v>
      </c>
      <c r="S1883" s="153" t="s">
        <v>1212</v>
      </c>
      <c r="T1883" s="154">
        <v>1.72</v>
      </c>
      <c r="U1883" s="153" t="s">
        <v>1528</v>
      </c>
      <c r="V1883" s="155">
        <v>-4.4099999999999999E-3</v>
      </c>
      <c r="W1883" s="155">
        <v>1.9699999999999999E-2</v>
      </c>
      <c r="X1883" s="153" t="s">
        <v>412</v>
      </c>
      <c r="Y1883" s="153" t="s">
        <v>339</v>
      </c>
      <c r="Z1883" s="154">
        <v>7103016</v>
      </c>
      <c r="AA1883" s="154">
        <v>1</v>
      </c>
      <c r="AB1883" s="154">
        <v>110.07</v>
      </c>
      <c r="AD1883" s="154">
        <v>7818.29</v>
      </c>
      <c r="AG1883" s="157" t="s">
        <v>15</v>
      </c>
      <c r="AH1883" s="155">
        <v>8.2900000000000005E-3</v>
      </c>
      <c r="AI1883" s="155">
        <f t="shared" si="29"/>
        <v>2.3231626935471442E-2</v>
      </c>
      <c r="AJ1883" s="155">
        <v>2.5818720857052591E-3</v>
      </c>
    </row>
    <row r="1884" spans="1:36" s="160" customFormat="1">
      <c r="A1884" s="153" t="s">
        <v>1213</v>
      </c>
      <c r="B1884" s="160">
        <v>9719</v>
      </c>
      <c r="C1884" s="153" t="s">
        <v>2404</v>
      </c>
      <c r="D1884" s="153" t="s">
        <v>2405</v>
      </c>
      <c r="E1884" s="153" t="s">
        <v>309</v>
      </c>
      <c r="F1884" s="153" t="s">
        <v>2406</v>
      </c>
      <c r="G1884" s="153" t="s">
        <v>2407</v>
      </c>
      <c r="H1884" s="153" t="s">
        <v>321</v>
      </c>
      <c r="I1884" s="153" t="s">
        <v>754</v>
      </c>
      <c r="J1884" s="153" t="s">
        <v>204</v>
      </c>
      <c r="K1884" s="153" t="s">
        <v>204</v>
      </c>
      <c r="L1884" s="153" t="s">
        <v>325</v>
      </c>
      <c r="M1884" s="153" t="s">
        <v>340</v>
      </c>
      <c r="N1884" s="153" t="s">
        <v>440</v>
      </c>
      <c r="O1884" s="153" t="s">
        <v>339</v>
      </c>
      <c r="P1884" s="153" t="s">
        <v>1554</v>
      </c>
      <c r="Q1884" s="153" t="s">
        <v>413</v>
      </c>
      <c r="R1884" s="153" t="s">
        <v>407</v>
      </c>
      <c r="S1884" s="153" t="s">
        <v>1212</v>
      </c>
      <c r="T1884" s="154">
        <v>3.02</v>
      </c>
      <c r="U1884" s="153" t="s">
        <v>1654</v>
      </c>
      <c r="V1884" s="155">
        <v>2.4979999999999999E-2</v>
      </c>
      <c r="W1884" s="155">
        <v>3.1E-2</v>
      </c>
      <c r="X1884" s="153" t="s">
        <v>412</v>
      </c>
      <c r="Y1884" s="153" t="s">
        <v>339</v>
      </c>
      <c r="Z1884" s="154">
        <v>5973177.0999999996</v>
      </c>
      <c r="AA1884" s="154">
        <v>1</v>
      </c>
      <c r="AB1884" s="154">
        <v>113.65</v>
      </c>
      <c r="AD1884" s="154">
        <v>6788.5159999999996</v>
      </c>
      <c r="AG1884" s="157" t="s">
        <v>15</v>
      </c>
      <c r="AH1884" s="155">
        <v>7.5300000000000002E-3</v>
      </c>
      <c r="AI1884" s="155">
        <f t="shared" si="29"/>
        <v>2.0171709051145306E-2</v>
      </c>
      <c r="AJ1884" s="155">
        <v>2.2418047889965096E-3</v>
      </c>
    </row>
    <row r="1885" spans="1:36" s="160" customFormat="1">
      <c r="A1885" s="153" t="s">
        <v>1213</v>
      </c>
      <c r="B1885" s="160">
        <v>9719</v>
      </c>
      <c r="C1885" s="153" t="s">
        <v>2463</v>
      </c>
      <c r="D1885" s="153" t="s">
        <v>2464</v>
      </c>
      <c r="E1885" s="153" t="s">
        <v>309</v>
      </c>
      <c r="F1885" s="153" t="s">
        <v>2472</v>
      </c>
      <c r="G1885" s="153" t="s">
        <v>2473</v>
      </c>
      <c r="H1885" s="153" t="s">
        <v>321</v>
      </c>
      <c r="I1885" s="153" t="s">
        <v>754</v>
      </c>
      <c r="J1885" s="153" t="s">
        <v>204</v>
      </c>
      <c r="K1885" s="153" t="s">
        <v>204</v>
      </c>
      <c r="L1885" s="153" t="s">
        <v>325</v>
      </c>
      <c r="M1885" s="153" t="s">
        <v>340</v>
      </c>
      <c r="N1885" s="153" t="s">
        <v>465</v>
      </c>
      <c r="O1885" s="153" t="s">
        <v>339</v>
      </c>
      <c r="P1885" s="153" t="s">
        <v>1554</v>
      </c>
      <c r="Q1885" s="153" t="s">
        <v>413</v>
      </c>
      <c r="R1885" s="153" t="s">
        <v>407</v>
      </c>
      <c r="S1885" s="153" t="s">
        <v>1212</v>
      </c>
      <c r="T1885" s="154">
        <v>2.23</v>
      </c>
      <c r="U1885" s="153" t="s">
        <v>1744</v>
      </c>
      <c r="V1885" s="155">
        <v>2.7949999999999999E-2</v>
      </c>
      <c r="W1885" s="155">
        <v>4.3999999999999997E-2</v>
      </c>
      <c r="X1885" s="153" t="s">
        <v>412</v>
      </c>
      <c r="Y1885" s="153" t="s">
        <v>339</v>
      </c>
      <c r="Z1885" s="154">
        <v>5797196.9800000004</v>
      </c>
      <c r="AA1885" s="154">
        <v>1</v>
      </c>
      <c r="AB1885" s="154">
        <v>115.06</v>
      </c>
      <c r="AD1885" s="154">
        <v>6670.2550000000001</v>
      </c>
      <c r="AG1885" s="157" t="s">
        <v>15</v>
      </c>
      <c r="AH1885" s="155">
        <v>3.62E-3</v>
      </c>
      <c r="AI1885" s="155">
        <f t="shared" si="29"/>
        <v>1.9820302869868356E-2</v>
      </c>
      <c r="AJ1885" s="155">
        <v>2.2027508814633297E-3</v>
      </c>
    </row>
    <row r="1886" spans="1:36" s="160" customFormat="1">
      <c r="A1886" s="153" t="s">
        <v>1213</v>
      </c>
      <c r="B1886" s="160">
        <v>9719</v>
      </c>
      <c r="C1886" s="153" t="s">
        <v>1573</v>
      </c>
      <c r="D1886" s="153" t="s">
        <v>1574</v>
      </c>
      <c r="E1886" s="153" t="s">
        <v>309</v>
      </c>
      <c r="F1886" s="153" t="s">
        <v>2534</v>
      </c>
      <c r="G1886" s="153" t="s">
        <v>2535</v>
      </c>
      <c r="H1886" s="153" t="s">
        <v>321</v>
      </c>
      <c r="I1886" s="153" t="s">
        <v>951</v>
      </c>
      <c r="J1886" s="153" t="s">
        <v>204</v>
      </c>
      <c r="K1886" s="153" t="s">
        <v>204</v>
      </c>
      <c r="L1886" s="153" t="s">
        <v>325</v>
      </c>
      <c r="M1886" s="153" t="s">
        <v>340</v>
      </c>
      <c r="N1886" s="153" t="s">
        <v>448</v>
      </c>
      <c r="O1886" s="153" t="s">
        <v>339</v>
      </c>
      <c r="P1886" s="153" t="s">
        <v>1215</v>
      </c>
      <c r="Q1886" s="153" t="s">
        <v>413</v>
      </c>
      <c r="R1886" s="153" t="s">
        <v>407</v>
      </c>
      <c r="S1886" s="153" t="s">
        <v>1212</v>
      </c>
      <c r="T1886" s="154">
        <v>0.41</v>
      </c>
      <c r="U1886" s="153" t="s">
        <v>1392</v>
      </c>
      <c r="V1886" s="155">
        <v>4.3060000000000001E-2</v>
      </c>
      <c r="W1886" s="155">
        <v>4.4299999999999999E-2</v>
      </c>
      <c r="X1886" s="153" t="s">
        <v>412</v>
      </c>
      <c r="Y1886" s="153" t="s">
        <v>339</v>
      </c>
      <c r="Z1886" s="154">
        <v>6400000</v>
      </c>
      <c r="AA1886" s="154">
        <v>1</v>
      </c>
      <c r="AB1886" s="154">
        <v>100.22</v>
      </c>
      <c r="AD1886" s="154">
        <v>6414.08</v>
      </c>
      <c r="AG1886" s="157" t="s">
        <v>15</v>
      </c>
      <c r="AH1886" s="155">
        <v>7.5799999999999999E-3</v>
      </c>
      <c r="AI1886" s="155">
        <f t="shared" si="29"/>
        <v>1.9059092678100794E-2</v>
      </c>
      <c r="AJ1886" s="155">
        <v>2.1181529602356001E-3</v>
      </c>
    </row>
    <row r="1887" spans="1:36" s="160" customFormat="1">
      <c r="A1887" s="153" t="s">
        <v>1213</v>
      </c>
      <c r="B1887" s="160">
        <v>9719</v>
      </c>
      <c r="C1887" s="153" t="s">
        <v>1512</v>
      </c>
      <c r="D1887" s="153" t="s">
        <v>1513</v>
      </c>
      <c r="E1887" s="153" t="s">
        <v>309</v>
      </c>
      <c r="F1887" s="153" t="s">
        <v>2510</v>
      </c>
      <c r="G1887" s="153" t="s">
        <v>2511</v>
      </c>
      <c r="H1887" s="153" t="s">
        <v>321</v>
      </c>
      <c r="I1887" s="153" t="s">
        <v>754</v>
      </c>
      <c r="J1887" s="153" t="s">
        <v>204</v>
      </c>
      <c r="K1887" s="153" t="s">
        <v>204</v>
      </c>
      <c r="L1887" s="153" t="s">
        <v>325</v>
      </c>
      <c r="M1887" s="153" t="s">
        <v>340</v>
      </c>
      <c r="N1887" s="153" t="s">
        <v>448</v>
      </c>
      <c r="O1887" s="153" t="s">
        <v>339</v>
      </c>
      <c r="P1887" s="153" t="s">
        <v>1215</v>
      </c>
      <c r="Q1887" s="153" t="s">
        <v>413</v>
      </c>
      <c r="R1887" s="153" t="s">
        <v>407</v>
      </c>
      <c r="S1887" s="153" t="s">
        <v>1212</v>
      </c>
      <c r="T1887" s="154">
        <v>5.72</v>
      </c>
      <c r="U1887" s="153" t="s">
        <v>1865</v>
      </c>
      <c r="V1887" s="155">
        <v>2.3869999999999999E-2</v>
      </c>
      <c r="W1887" s="155">
        <v>2.6200000000000001E-2</v>
      </c>
      <c r="X1887" s="153" t="s">
        <v>412</v>
      </c>
      <c r="Y1887" s="153" t="s">
        <v>339</v>
      </c>
      <c r="Z1887" s="154">
        <v>6203423</v>
      </c>
      <c r="AA1887" s="154">
        <v>1</v>
      </c>
      <c r="AB1887" s="154">
        <v>100.79</v>
      </c>
      <c r="AD1887" s="154">
        <v>6252.43</v>
      </c>
      <c r="AG1887" s="157" t="s">
        <v>15</v>
      </c>
      <c r="AH1887" s="155">
        <v>6.4700000000000001E-3</v>
      </c>
      <c r="AI1887" s="155">
        <f t="shared" si="29"/>
        <v>1.8578758424175838E-2</v>
      </c>
      <c r="AJ1887" s="155">
        <v>2.064770491351195E-3</v>
      </c>
    </row>
    <row r="1888" spans="1:36" s="160" customFormat="1">
      <c r="A1888" s="153" t="s">
        <v>1213</v>
      </c>
      <c r="B1888" s="160">
        <v>9719</v>
      </c>
      <c r="C1888" s="153" t="s">
        <v>2988</v>
      </c>
      <c r="D1888" s="153" t="s">
        <v>2989</v>
      </c>
      <c r="E1888" s="153" t="s">
        <v>309</v>
      </c>
      <c r="F1888" s="153" t="s">
        <v>2990</v>
      </c>
      <c r="G1888" s="153" t="s">
        <v>2991</v>
      </c>
      <c r="H1888" s="153" t="s">
        <v>321</v>
      </c>
      <c r="I1888" s="153" t="s">
        <v>951</v>
      </c>
      <c r="J1888" s="153" t="s">
        <v>204</v>
      </c>
      <c r="K1888" s="153" t="s">
        <v>204</v>
      </c>
      <c r="L1888" s="153" t="s">
        <v>325</v>
      </c>
      <c r="M1888" s="153" t="s">
        <v>340</v>
      </c>
      <c r="N1888" s="153" t="s">
        <v>445</v>
      </c>
      <c r="O1888" s="153" t="s">
        <v>339</v>
      </c>
      <c r="P1888" s="153" t="s">
        <v>1614</v>
      </c>
      <c r="Q1888" s="153" t="s">
        <v>415</v>
      </c>
      <c r="R1888" s="153" t="s">
        <v>407</v>
      </c>
      <c r="S1888" s="153" t="s">
        <v>1212</v>
      </c>
      <c r="T1888" s="154">
        <v>1.1000000000000001</v>
      </c>
      <c r="U1888" s="153" t="s">
        <v>2992</v>
      </c>
      <c r="V1888" s="155">
        <v>4.4650000000000002E-2</v>
      </c>
      <c r="W1888" s="155">
        <v>5.5399999999999998E-2</v>
      </c>
      <c r="X1888" s="153" t="s">
        <v>412</v>
      </c>
      <c r="Y1888" s="153" t="s">
        <v>339</v>
      </c>
      <c r="Z1888" s="154">
        <v>6200000</v>
      </c>
      <c r="AA1888" s="154">
        <v>1</v>
      </c>
      <c r="AB1888" s="154">
        <v>98.85</v>
      </c>
      <c r="AD1888" s="154">
        <v>6128.7</v>
      </c>
      <c r="AG1888" s="157" t="s">
        <v>15</v>
      </c>
      <c r="AH1888" s="155">
        <v>1.9650000000000001E-2</v>
      </c>
      <c r="AI1888" s="155">
        <f t="shared" si="29"/>
        <v>1.8211101404453381E-2</v>
      </c>
      <c r="AJ1888" s="155">
        <v>2.0239105292412817E-3</v>
      </c>
    </row>
    <row r="1889" spans="1:36" s="160" customFormat="1">
      <c r="A1889" s="153" t="s">
        <v>1213</v>
      </c>
      <c r="B1889" s="160">
        <v>9719</v>
      </c>
      <c r="C1889" s="153" t="s">
        <v>455</v>
      </c>
      <c r="D1889" s="153" t="s">
        <v>2106</v>
      </c>
      <c r="E1889" s="153" t="s">
        <v>309</v>
      </c>
      <c r="F1889" s="153" t="s">
        <v>2289</v>
      </c>
      <c r="G1889" s="153" t="s">
        <v>2290</v>
      </c>
      <c r="H1889" s="153" t="s">
        <v>321</v>
      </c>
      <c r="I1889" s="153" t="s">
        <v>754</v>
      </c>
      <c r="J1889" s="153" t="s">
        <v>204</v>
      </c>
      <c r="K1889" s="153" t="s">
        <v>204</v>
      </c>
      <c r="L1889" s="153" t="s">
        <v>325</v>
      </c>
      <c r="M1889" s="153" t="s">
        <v>340</v>
      </c>
      <c r="N1889" s="153" t="s">
        <v>440</v>
      </c>
      <c r="O1889" s="153" t="s">
        <v>339</v>
      </c>
      <c r="P1889" s="153" t="s">
        <v>1923</v>
      </c>
      <c r="Q1889" s="153" t="s">
        <v>415</v>
      </c>
      <c r="R1889" s="153" t="s">
        <v>407</v>
      </c>
      <c r="S1889" s="153" t="s">
        <v>1212</v>
      </c>
      <c r="T1889" s="154">
        <v>3.44</v>
      </c>
      <c r="U1889" s="153" t="s">
        <v>2291</v>
      </c>
      <c r="V1889" s="155">
        <v>-1.83E-3</v>
      </c>
      <c r="W1889" s="155">
        <v>2.5700000000000001E-2</v>
      </c>
      <c r="X1889" s="153" t="s">
        <v>412</v>
      </c>
      <c r="Y1889" s="153" t="s">
        <v>339</v>
      </c>
      <c r="Z1889" s="154">
        <v>4925122.1900000004</v>
      </c>
      <c r="AA1889" s="154">
        <v>1</v>
      </c>
      <c r="AB1889" s="154">
        <v>121.2</v>
      </c>
      <c r="AC1889" s="154">
        <v>110.104</v>
      </c>
      <c r="AD1889" s="154">
        <v>6079.3530000000001</v>
      </c>
      <c r="AG1889" s="157" t="s">
        <v>15</v>
      </c>
      <c r="AH1889" s="155">
        <v>1.9300000000000001E-3</v>
      </c>
      <c r="AI1889" s="155">
        <f t="shared" si="29"/>
        <v>1.8064469456241596E-2</v>
      </c>
      <c r="AJ1889" s="155">
        <v>2.0076144284553944E-3</v>
      </c>
    </row>
    <row r="1890" spans="1:36" s="160" customFormat="1">
      <c r="A1890" s="153" t="s">
        <v>1213</v>
      </c>
      <c r="B1890" s="160">
        <v>9719</v>
      </c>
      <c r="C1890" s="153" t="s">
        <v>1591</v>
      </c>
      <c r="D1890" s="153" t="s">
        <v>1592</v>
      </c>
      <c r="E1890" s="153" t="s">
        <v>309</v>
      </c>
      <c r="F1890" s="153" t="s">
        <v>1593</v>
      </c>
      <c r="G1890" s="153" t="s">
        <v>1594</v>
      </c>
      <c r="H1890" s="153" t="s">
        <v>321</v>
      </c>
      <c r="I1890" s="153" t="s">
        <v>754</v>
      </c>
      <c r="J1890" s="153" t="s">
        <v>204</v>
      </c>
      <c r="K1890" s="153" t="s">
        <v>204</v>
      </c>
      <c r="L1890" s="153" t="s">
        <v>325</v>
      </c>
      <c r="M1890" s="153" t="s">
        <v>340</v>
      </c>
      <c r="N1890" s="153" t="s">
        <v>464</v>
      </c>
      <c r="O1890" s="153" t="s">
        <v>339</v>
      </c>
      <c r="P1890" s="153" t="s">
        <v>1538</v>
      </c>
      <c r="Q1890" s="153" t="s">
        <v>413</v>
      </c>
      <c r="R1890" s="153" t="s">
        <v>407</v>
      </c>
      <c r="S1890" s="153" t="s">
        <v>1212</v>
      </c>
      <c r="T1890" s="154">
        <v>3.74</v>
      </c>
      <c r="U1890" s="153" t="s">
        <v>1283</v>
      </c>
      <c r="V1890" s="155">
        <v>2.5739999999999999E-2</v>
      </c>
      <c r="W1890" s="155">
        <v>3.0700000000000002E-2</v>
      </c>
      <c r="X1890" s="153" t="s">
        <v>412</v>
      </c>
      <c r="Y1890" s="153" t="s">
        <v>339</v>
      </c>
      <c r="Z1890" s="154">
        <v>5700000</v>
      </c>
      <c r="AA1890" s="154">
        <v>1</v>
      </c>
      <c r="AB1890" s="154">
        <v>103.53</v>
      </c>
      <c r="AD1890" s="154">
        <v>5901.21</v>
      </c>
      <c r="AG1890" s="157" t="s">
        <v>15</v>
      </c>
      <c r="AH1890" s="155">
        <v>7.6699999999999997E-3</v>
      </c>
      <c r="AI1890" s="155">
        <f t="shared" si="29"/>
        <v>1.7535127142619858E-2</v>
      </c>
      <c r="AJ1890" s="155">
        <v>1.9487853956408284E-3</v>
      </c>
    </row>
    <row r="1891" spans="1:36" s="160" customFormat="1">
      <c r="A1891" s="153" t="s">
        <v>1213</v>
      </c>
      <c r="B1891" s="160">
        <v>9719</v>
      </c>
      <c r="C1891" s="153" t="s">
        <v>2436</v>
      </c>
      <c r="D1891" s="153" t="s">
        <v>2437</v>
      </c>
      <c r="E1891" s="153" t="s">
        <v>309</v>
      </c>
      <c r="F1891" s="153" t="s">
        <v>2590</v>
      </c>
      <c r="G1891" s="153" t="s">
        <v>2591</v>
      </c>
      <c r="H1891" s="153" t="s">
        <v>321</v>
      </c>
      <c r="I1891" s="153" t="s">
        <v>951</v>
      </c>
      <c r="J1891" s="153" t="s">
        <v>204</v>
      </c>
      <c r="K1891" s="153" t="s">
        <v>204</v>
      </c>
      <c r="L1891" s="153" t="s">
        <v>325</v>
      </c>
      <c r="M1891" s="153" t="s">
        <v>340</v>
      </c>
      <c r="N1891" s="153" t="s">
        <v>475</v>
      </c>
      <c r="O1891" s="153" t="s">
        <v>339</v>
      </c>
      <c r="P1891" s="153" t="s">
        <v>1538</v>
      </c>
      <c r="Q1891" s="153" t="s">
        <v>413</v>
      </c>
      <c r="R1891" s="153" t="s">
        <v>407</v>
      </c>
      <c r="S1891" s="153" t="s">
        <v>1212</v>
      </c>
      <c r="T1891" s="154">
        <v>2.83</v>
      </c>
      <c r="U1891" s="153" t="s">
        <v>2592</v>
      </c>
      <c r="V1891" s="155">
        <v>2.2270000000000002E-2</v>
      </c>
      <c r="W1891" s="155">
        <v>5.2699999999999997E-2</v>
      </c>
      <c r="X1891" s="153" t="s">
        <v>412</v>
      </c>
      <c r="Y1891" s="153" t="s">
        <v>339</v>
      </c>
      <c r="Z1891" s="154">
        <v>4662735.1900000004</v>
      </c>
      <c r="AA1891" s="154">
        <v>1</v>
      </c>
      <c r="AB1891" s="154">
        <v>99.41</v>
      </c>
      <c r="AC1891" s="154">
        <v>1217.347</v>
      </c>
      <c r="AD1891" s="154">
        <v>5852.5720000000001</v>
      </c>
      <c r="AG1891" s="157" t="s">
        <v>15</v>
      </c>
      <c r="AH1891" s="155">
        <v>9.0299999999999998E-3</v>
      </c>
      <c r="AI1891" s="155">
        <f t="shared" si="29"/>
        <v>1.7390601949657272E-2</v>
      </c>
      <c r="AJ1891" s="155">
        <v>1.9327234313871961E-3</v>
      </c>
    </row>
    <row r="1892" spans="1:36" s="160" customFormat="1">
      <c r="A1892" s="153" t="s">
        <v>1213</v>
      </c>
      <c r="B1892" s="160">
        <v>9719</v>
      </c>
      <c r="C1892" s="153" t="s">
        <v>2315</v>
      </c>
      <c r="D1892" s="153" t="s">
        <v>2316</v>
      </c>
      <c r="E1892" s="153" t="s">
        <v>309</v>
      </c>
      <c r="F1892" s="153" t="s">
        <v>3307</v>
      </c>
      <c r="G1892" s="153" t="s">
        <v>3308</v>
      </c>
      <c r="H1892" s="153" t="s">
        <v>321</v>
      </c>
      <c r="I1892" s="153" t="s">
        <v>951</v>
      </c>
      <c r="J1892" s="153" t="s">
        <v>204</v>
      </c>
      <c r="K1892" s="153" t="s">
        <v>204</v>
      </c>
      <c r="L1892" s="153" t="s">
        <v>325</v>
      </c>
      <c r="M1892" s="153" t="s">
        <v>340</v>
      </c>
      <c r="N1892" s="153" t="s">
        <v>484</v>
      </c>
      <c r="O1892" s="153" t="s">
        <v>339</v>
      </c>
      <c r="P1892" s="153" t="s">
        <v>1527</v>
      </c>
      <c r="Q1892" s="153" t="s">
        <v>415</v>
      </c>
      <c r="R1892" s="153" t="s">
        <v>407</v>
      </c>
      <c r="S1892" s="153" t="s">
        <v>1212</v>
      </c>
      <c r="T1892" s="154">
        <v>2.0699999999999998</v>
      </c>
      <c r="U1892" s="153" t="s">
        <v>2530</v>
      </c>
      <c r="V1892" s="155">
        <v>4.9340000000000002E-2</v>
      </c>
      <c r="W1892" s="155">
        <v>5.5899999999999998E-2</v>
      </c>
      <c r="X1892" s="153" t="s">
        <v>412</v>
      </c>
      <c r="Y1892" s="153" t="s">
        <v>339</v>
      </c>
      <c r="Z1892" s="154">
        <v>6000000</v>
      </c>
      <c r="AA1892" s="154">
        <v>1</v>
      </c>
      <c r="AB1892" s="154">
        <v>97.46</v>
      </c>
      <c r="AD1892" s="154">
        <v>5847.6</v>
      </c>
      <c r="AG1892" s="157" t="s">
        <v>15</v>
      </c>
      <c r="AH1892" s="155">
        <v>5.94E-3</v>
      </c>
      <c r="AI1892" s="155">
        <f t="shared" si="29"/>
        <v>1.7375827919898442E-2</v>
      </c>
      <c r="AJ1892" s="155">
        <v>1.9310815035474605E-3</v>
      </c>
    </row>
    <row r="1893" spans="1:36" s="160" customFormat="1">
      <c r="A1893" s="153" t="s">
        <v>1213</v>
      </c>
      <c r="B1893" s="160">
        <v>9719</v>
      </c>
      <c r="C1893" s="153" t="s">
        <v>1687</v>
      </c>
      <c r="D1893" s="153" t="s">
        <v>1688</v>
      </c>
      <c r="E1893" s="153" t="s">
        <v>309</v>
      </c>
      <c r="F1893" s="153" t="s">
        <v>3347</v>
      </c>
      <c r="G1893" s="153" t="s">
        <v>3348</v>
      </c>
      <c r="H1893" s="153" t="s">
        <v>321</v>
      </c>
      <c r="I1893" s="153" t="s">
        <v>951</v>
      </c>
      <c r="J1893" s="153" t="s">
        <v>204</v>
      </c>
      <c r="K1893" s="153" t="s">
        <v>204</v>
      </c>
      <c r="L1893" s="153" t="s">
        <v>325</v>
      </c>
      <c r="M1893" s="153" t="s">
        <v>340</v>
      </c>
      <c r="N1893" s="153" t="s">
        <v>465</v>
      </c>
      <c r="O1893" s="153" t="s">
        <v>339</v>
      </c>
      <c r="P1893" s="153" t="s">
        <v>1614</v>
      </c>
      <c r="Q1893" s="153" t="s">
        <v>415</v>
      </c>
      <c r="R1893" s="153" t="s">
        <v>407</v>
      </c>
      <c r="S1893" s="153" t="s">
        <v>1212</v>
      </c>
      <c r="T1893" s="154">
        <v>2.87</v>
      </c>
      <c r="U1893" s="153" t="s">
        <v>3349</v>
      </c>
      <c r="V1893" s="155">
        <v>5.985E-2</v>
      </c>
      <c r="W1893" s="155">
        <v>6.08E-2</v>
      </c>
      <c r="X1893" s="153" t="s">
        <v>412</v>
      </c>
      <c r="Y1893" s="153" t="s">
        <v>339</v>
      </c>
      <c r="Z1893" s="154">
        <v>6237555</v>
      </c>
      <c r="AA1893" s="154">
        <v>1</v>
      </c>
      <c r="AB1893" s="154">
        <v>92.53</v>
      </c>
      <c r="AD1893" s="154">
        <v>5771.61</v>
      </c>
      <c r="AG1893" s="157" t="s">
        <v>15</v>
      </c>
      <c r="AH1893" s="155">
        <v>2.138E-2</v>
      </c>
      <c r="AI1893" s="155">
        <f t="shared" si="29"/>
        <v>1.7150027734585991E-2</v>
      </c>
      <c r="AJ1893" s="155">
        <v>1.9059869547659821E-3</v>
      </c>
    </row>
    <row r="1894" spans="1:36" s="160" customFormat="1">
      <c r="A1894" s="153" t="s">
        <v>1213</v>
      </c>
      <c r="B1894" s="160">
        <v>9719</v>
      </c>
      <c r="C1894" s="153" t="s">
        <v>3350</v>
      </c>
      <c r="D1894" s="153" t="s">
        <v>3351</v>
      </c>
      <c r="E1894" s="153" t="s">
        <v>309</v>
      </c>
      <c r="F1894" s="153" t="s">
        <v>3352</v>
      </c>
      <c r="G1894" s="153" t="s">
        <v>3353</v>
      </c>
      <c r="H1894" s="153" t="s">
        <v>321</v>
      </c>
      <c r="I1894" s="153" t="s">
        <v>951</v>
      </c>
      <c r="J1894" s="153" t="s">
        <v>204</v>
      </c>
      <c r="K1894" s="153" t="s">
        <v>204</v>
      </c>
      <c r="L1894" s="159" t="s">
        <v>325</v>
      </c>
      <c r="M1894" s="153" t="s">
        <v>340</v>
      </c>
      <c r="N1894" s="153" t="s">
        <v>475</v>
      </c>
      <c r="O1894" s="153" t="s">
        <v>339</v>
      </c>
      <c r="P1894" s="153" t="s">
        <v>1544</v>
      </c>
      <c r="Q1894" s="153" t="s">
        <v>415</v>
      </c>
      <c r="R1894" s="153" t="s">
        <v>407</v>
      </c>
      <c r="S1894" s="153" t="s">
        <v>1212</v>
      </c>
      <c r="T1894" s="154">
        <v>3.54</v>
      </c>
      <c r="U1894" s="153" t="s">
        <v>3354</v>
      </c>
      <c r="V1894" s="155">
        <v>5.0380000000000001E-2</v>
      </c>
      <c r="W1894" s="155">
        <v>5.6099999999999997E-2</v>
      </c>
      <c r="X1894" s="177"/>
      <c r="Y1894" s="177"/>
      <c r="Z1894" s="154">
        <v>6017957</v>
      </c>
      <c r="AA1894" s="154">
        <v>1</v>
      </c>
      <c r="AB1894" s="154">
        <v>95.5</v>
      </c>
      <c r="AD1894" s="154">
        <v>5747.1490000000003</v>
      </c>
      <c r="AG1894" s="157" t="s">
        <v>15</v>
      </c>
      <c r="AH1894" s="155">
        <v>3.687E-2</v>
      </c>
      <c r="AI1894" s="155">
        <f t="shared" si="29"/>
        <v>1.7077343192765652E-2</v>
      </c>
      <c r="AJ1894" s="155">
        <v>1.8979090792857385E-3</v>
      </c>
    </row>
    <row r="1895" spans="1:36" s="160" customFormat="1">
      <c r="A1895" s="153" t="s">
        <v>1213</v>
      </c>
      <c r="B1895" s="160">
        <v>9719</v>
      </c>
      <c r="C1895" s="153" t="s">
        <v>2211</v>
      </c>
      <c r="D1895" s="153" t="s">
        <v>2212</v>
      </c>
      <c r="E1895" s="153" t="s">
        <v>309</v>
      </c>
      <c r="F1895" s="153" t="s">
        <v>2389</v>
      </c>
      <c r="G1895" s="153" t="s">
        <v>2390</v>
      </c>
      <c r="H1895" s="153" t="s">
        <v>321</v>
      </c>
      <c r="I1895" s="153" t="s">
        <v>951</v>
      </c>
      <c r="J1895" s="153" t="s">
        <v>204</v>
      </c>
      <c r="K1895" s="153" t="s">
        <v>204</v>
      </c>
      <c r="L1895" s="153" t="s">
        <v>325</v>
      </c>
      <c r="M1895" s="153" t="s">
        <v>340</v>
      </c>
      <c r="N1895" s="153" t="s">
        <v>454</v>
      </c>
      <c r="O1895" s="153" t="s">
        <v>339</v>
      </c>
      <c r="P1895" s="153" t="s">
        <v>1527</v>
      </c>
      <c r="Q1895" s="153" t="s">
        <v>415</v>
      </c>
      <c r="R1895" s="153" t="s">
        <v>407</v>
      </c>
      <c r="S1895" s="153" t="s">
        <v>1212</v>
      </c>
      <c r="T1895" s="154">
        <v>2.72</v>
      </c>
      <c r="U1895" s="153" t="s">
        <v>1628</v>
      </c>
      <c r="V1895" s="155">
        <v>4.8239999999999998E-2</v>
      </c>
      <c r="W1895" s="155">
        <v>6.4399999999999999E-2</v>
      </c>
      <c r="X1895" s="153" t="s">
        <v>412</v>
      </c>
      <c r="Y1895" s="153" t="s">
        <v>339</v>
      </c>
      <c r="Z1895" s="154">
        <v>5507876</v>
      </c>
      <c r="AA1895" s="154">
        <v>1</v>
      </c>
      <c r="AB1895" s="154">
        <v>102.2</v>
      </c>
      <c r="AD1895" s="154">
        <v>5629.049</v>
      </c>
      <c r="AG1895" s="157" t="s">
        <v>15</v>
      </c>
      <c r="AH1895" s="155">
        <v>3.15E-3</v>
      </c>
      <c r="AI1895" s="155">
        <f t="shared" si="29"/>
        <v>1.6726415414302691E-2</v>
      </c>
      <c r="AJ1895" s="155">
        <v>1.8589083395687681E-3</v>
      </c>
    </row>
    <row r="1896" spans="1:36" s="160" customFormat="1">
      <c r="A1896" s="153" t="s">
        <v>1213</v>
      </c>
      <c r="B1896" s="160">
        <v>9719</v>
      </c>
      <c r="C1896" s="153" t="s">
        <v>2391</v>
      </c>
      <c r="D1896" s="153" t="s">
        <v>2392</v>
      </c>
      <c r="E1896" s="153" t="s">
        <v>309</v>
      </c>
      <c r="F1896" s="153" t="s">
        <v>2528</v>
      </c>
      <c r="G1896" s="153" t="s">
        <v>2529</v>
      </c>
      <c r="H1896" s="153" t="s">
        <v>321</v>
      </c>
      <c r="I1896" s="153" t="s">
        <v>754</v>
      </c>
      <c r="J1896" s="153" t="s">
        <v>204</v>
      </c>
      <c r="K1896" s="153" t="s">
        <v>204</v>
      </c>
      <c r="L1896" s="153" t="s">
        <v>325</v>
      </c>
      <c r="M1896" s="153" t="s">
        <v>340</v>
      </c>
      <c r="N1896" s="153" t="s">
        <v>464</v>
      </c>
      <c r="O1896" s="153" t="s">
        <v>339</v>
      </c>
      <c r="P1896" s="153" t="s">
        <v>1566</v>
      </c>
      <c r="Q1896" s="153" t="s">
        <v>413</v>
      </c>
      <c r="R1896" s="153" t="s">
        <v>407</v>
      </c>
      <c r="S1896" s="153" t="s">
        <v>1212</v>
      </c>
      <c r="T1896" s="154">
        <v>1.21</v>
      </c>
      <c r="U1896" s="153" t="s">
        <v>2530</v>
      </c>
      <c r="V1896" s="155">
        <v>1.0359999999999999E-2</v>
      </c>
      <c r="W1896" s="155">
        <v>2.6499999999999999E-2</v>
      </c>
      <c r="X1896" s="153" t="s">
        <v>412</v>
      </c>
      <c r="Y1896" s="153" t="s">
        <v>339</v>
      </c>
      <c r="Z1896" s="154">
        <v>4638075.7</v>
      </c>
      <c r="AA1896" s="154">
        <v>1</v>
      </c>
      <c r="AB1896" s="154">
        <v>117.11</v>
      </c>
      <c r="AD1896" s="154">
        <v>5431.65</v>
      </c>
      <c r="AG1896" s="157" t="s">
        <v>15</v>
      </c>
      <c r="AH1896" s="155">
        <v>2.3600000000000001E-3</v>
      </c>
      <c r="AI1896" s="155">
        <f t="shared" si="29"/>
        <v>1.6139854935549005E-2</v>
      </c>
      <c r="AJ1896" s="155">
        <v>1.7937203038415012E-3</v>
      </c>
    </row>
    <row r="1897" spans="1:36" s="160" customFormat="1">
      <c r="A1897" s="153" t="s">
        <v>1213</v>
      </c>
      <c r="B1897" s="160">
        <v>9719</v>
      </c>
      <c r="C1897" s="153" t="s">
        <v>1512</v>
      </c>
      <c r="D1897" s="153" t="s">
        <v>1513</v>
      </c>
      <c r="E1897" s="153" t="s">
        <v>309</v>
      </c>
      <c r="F1897" s="153" t="s">
        <v>2220</v>
      </c>
      <c r="G1897" s="153" t="s">
        <v>2221</v>
      </c>
      <c r="H1897" s="153" t="s">
        <v>321</v>
      </c>
      <c r="I1897" s="153" t="s">
        <v>951</v>
      </c>
      <c r="J1897" s="153" t="s">
        <v>204</v>
      </c>
      <c r="K1897" s="153" t="s">
        <v>204</v>
      </c>
      <c r="L1897" s="153" t="s">
        <v>325</v>
      </c>
      <c r="M1897" s="153" t="s">
        <v>340</v>
      </c>
      <c r="N1897" s="153" t="s">
        <v>448</v>
      </c>
      <c r="O1897" s="153" t="s">
        <v>339</v>
      </c>
      <c r="P1897" s="153" t="s">
        <v>1215</v>
      </c>
      <c r="Q1897" s="153" t="s">
        <v>413</v>
      </c>
      <c r="R1897" s="153" t="s">
        <v>407</v>
      </c>
      <c r="S1897" s="153" t="s">
        <v>1212</v>
      </c>
      <c r="T1897" s="154">
        <v>0.68</v>
      </c>
      <c r="U1897" s="153" t="s">
        <v>2222</v>
      </c>
      <c r="V1897" s="155">
        <v>1.8100000000000002E-2</v>
      </c>
      <c r="W1897" s="155">
        <v>4.4600000000000001E-2</v>
      </c>
      <c r="X1897" s="153" t="s">
        <v>412</v>
      </c>
      <c r="Y1897" s="153" t="s">
        <v>339</v>
      </c>
      <c r="Z1897" s="154">
        <v>5274374</v>
      </c>
      <c r="AA1897" s="154">
        <v>1</v>
      </c>
      <c r="AB1897" s="154">
        <v>99.95</v>
      </c>
      <c r="AD1897" s="154">
        <v>5271.7370000000001</v>
      </c>
      <c r="AG1897" s="157" t="s">
        <v>15</v>
      </c>
      <c r="AH1897" s="155">
        <v>2.0699999999999998E-3</v>
      </c>
      <c r="AI1897" s="155">
        <f t="shared" si="29"/>
        <v>1.5664682083412283E-2</v>
      </c>
      <c r="AJ1897" s="155">
        <v>1.7409114529493772E-3</v>
      </c>
    </row>
    <row r="1898" spans="1:36" s="160" customFormat="1">
      <c r="A1898" s="153" t="s">
        <v>1213</v>
      </c>
      <c r="B1898" s="160">
        <v>9719</v>
      </c>
      <c r="C1898" s="153" t="s">
        <v>2123</v>
      </c>
      <c r="D1898" s="153" t="s">
        <v>2124</v>
      </c>
      <c r="E1898" s="153" t="s">
        <v>309</v>
      </c>
      <c r="F1898" s="153" t="s">
        <v>3355</v>
      </c>
      <c r="G1898" s="153" t="s">
        <v>3356</v>
      </c>
      <c r="H1898" s="153" t="s">
        <v>321</v>
      </c>
      <c r="I1898" s="153" t="s">
        <v>951</v>
      </c>
      <c r="J1898" s="153" t="s">
        <v>204</v>
      </c>
      <c r="K1898" s="153" t="s">
        <v>204</v>
      </c>
      <c r="L1898" s="153" t="s">
        <v>325</v>
      </c>
      <c r="M1898" s="153" t="s">
        <v>340</v>
      </c>
      <c r="N1898" s="153" t="s">
        <v>445</v>
      </c>
      <c r="O1898" s="153" t="s">
        <v>339</v>
      </c>
      <c r="P1898" s="153" t="s">
        <v>1982</v>
      </c>
      <c r="Q1898" s="153" t="s">
        <v>415</v>
      </c>
      <c r="R1898" s="153" t="s">
        <v>407</v>
      </c>
      <c r="S1898" s="153" t="s">
        <v>1212</v>
      </c>
      <c r="T1898" s="154">
        <v>5.12</v>
      </c>
      <c r="U1898" s="153" t="s">
        <v>1283</v>
      </c>
      <c r="V1898" s="155">
        <v>2.3480000000000001E-2</v>
      </c>
      <c r="W1898" s="155">
        <v>5.7799999999999997E-2</v>
      </c>
      <c r="X1898" s="153" t="s">
        <v>412</v>
      </c>
      <c r="Y1898" s="153" t="s">
        <v>339</v>
      </c>
      <c r="Z1898" s="154">
        <v>5830487</v>
      </c>
      <c r="AA1898" s="154">
        <v>1</v>
      </c>
      <c r="AB1898" s="154">
        <v>85.75</v>
      </c>
      <c r="AD1898" s="154">
        <v>4999.643</v>
      </c>
      <c r="AG1898" s="157" t="s">
        <v>15</v>
      </c>
      <c r="AH1898" s="155">
        <v>3.5599999999999998E-3</v>
      </c>
      <c r="AI1898" s="155">
        <f t="shared" si="29"/>
        <v>1.4856169441980437E-2</v>
      </c>
      <c r="AJ1898" s="155">
        <v>1.6510565226144976E-3</v>
      </c>
    </row>
    <row r="1899" spans="1:36" s="160" customFormat="1">
      <c r="A1899" s="153" t="s">
        <v>1213</v>
      </c>
      <c r="B1899" s="160">
        <v>9719</v>
      </c>
      <c r="C1899" s="153" t="s">
        <v>1820</v>
      </c>
      <c r="D1899" s="153" t="s">
        <v>1821</v>
      </c>
      <c r="E1899" s="153" t="s">
        <v>309</v>
      </c>
      <c r="F1899" s="153" t="s">
        <v>1952</v>
      </c>
      <c r="G1899" s="153" t="s">
        <v>1953</v>
      </c>
      <c r="H1899" s="153" t="s">
        <v>321</v>
      </c>
      <c r="I1899" s="153" t="s">
        <v>754</v>
      </c>
      <c r="J1899" s="153" t="s">
        <v>204</v>
      </c>
      <c r="K1899" s="153" t="s">
        <v>204</v>
      </c>
      <c r="L1899" s="153" t="s">
        <v>325</v>
      </c>
      <c r="M1899" s="153" t="s">
        <v>340</v>
      </c>
      <c r="N1899" s="153" t="s">
        <v>464</v>
      </c>
      <c r="O1899" s="153" t="s">
        <v>339</v>
      </c>
      <c r="P1899" s="153" t="s">
        <v>1538</v>
      </c>
      <c r="Q1899" s="153" t="s">
        <v>413</v>
      </c>
      <c r="R1899" s="153" t="s">
        <v>407</v>
      </c>
      <c r="S1899" s="153" t="s">
        <v>1212</v>
      </c>
      <c r="T1899" s="154">
        <v>2.19</v>
      </c>
      <c r="U1899" s="153" t="s">
        <v>1308</v>
      </c>
      <c r="V1899" s="155">
        <v>-1.4499999999999999E-3</v>
      </c>
      <c r="W1899" s="155">
        <v>2.6599999999999999E-2</v>
      </c>
      <c r="X1899" s="153" t="s">
        <v>412</v>
      </c>
      <c r="Y1899" s="153" t="s">
        <v>339</v>
      </c>
      <c r="Z1899" s="154">
        <v>4220132.87</v>
      </c>
      <c r="AA1899" s="154">
        <v>1</v>
      </c>
      <c r="AB1899" s="154">
        <v>115.87</v>
      </c>
      <c r="AD1899" s="154">
        <v>4889.8680000000004</v>
      </c>
      <c r="AG1899" s="157" t="s">
        <v>15</v>
      </c>
      <c r="AH1899" s="155">
        <v>2E-3</v>
      </c>
      <c r="AI1899" s="155">
        <f t="shared" si="29"/>
        <v>1.4529978951880766E-2</v>
      </c>
      <c r="AJ1899" s="155">
        <v>1.6148049883009464E-3</v>
      </c>
    </row>
    <row r="1900" spans="1:36" s="160" customFormat="1">
      <c r="A1900" s="153" t="s">
        <v>1213</v>
      </c>
      <c r="B1900" s="160">
        <v>9719</v>
      </c>
      <c r="C1900" s="153" t="s">
        <v>2250</v>
      </c>
      <c r="D1900" s="153" t="s">
        <v>2251</v>
      </c>
      <c r="E1900" s="153" t="s">
        <v>309</v>
      </c>
      <c r="F1900" s="153" t="s">
        <v>2252</v>
      </c>
      <c r="G1900" s="153" t="s">
        <v>2253</v>
      </c>
      <c r="H1900" s="153" t="s">
        <v>321</v>
      </c>
      <c r="I1900" s="153" t="s">
        <v>754</v>
      </c>
      <c r="J1900" s="153" t="s">
        <v>204</v>
      </c>
      <c r="K1900" s="153" t="s">
        <v>204</v>
      </c>
      <c r="L1900" s="153" t="s">
        <v>325</v>
      </c>
      <c r="M1900" s="153" t="s">
        <v>340</v>
      </c>
      <c r="N1900" s="153" t="s">
        <v>448</v>
      </c>
      <c r="O1900" s="153" t="s">
        <v>339</v>
      </c>
      <c r="P1900" s="153" t="s">
        <v>1215</v>
      </c>
      <c r="Q1900" s="153" t="s">
        <v>413</v>
      </c>
      <c r="R1900" s="153" t="s">
        <v>407</v>
      </c>
      <c r="S1900" s="153" t="s">
        <v>1212</v>
      </c>
      <c r="T1900" s="154">
        <v>0.94</v>
      </c>
      <c r="U1900" s="153" t="s">
        <v>2254</v>
      </c>
      <c r="V1900" s="155">
        <v>-3.6700000000000001E-3</v>
      </c>
      <c r="W1900" s="155">
        <v>1.9699999999999999E-2</v>
      </c>
      <c r="X1900" s="153" t="s">
        <v>412</v>
      </c>
      <c r="Y1900" s="153" t="s">
        <v>339</v>
      </c>
      <c r="Z1900" s="154">
        <v>4179361</v>
      </c>
      <c r="AA1900" s="154">
        <v>1</v>
      </c>
      <c r="AB1900" s="154">
        <v>112.67</v>
      </c>
      <c r="AD1900" s="154">
        <v>4708.8860000000004</v>
      </c>
      <c r="AG1900" s="157" t="s">
        <v>15</v>
      </c>
      <c r="AH1900" s="155">
        <v>2.7899999999999999E-3</v>
      </c>
      <c r="AI1900" s="155">
        <f t="shared" si="29"/>
        <v>1.399220070292409E-2</v>
      </c>
      <c r="AJ1900" s="155">
        <v>1.5550384186527101E-3</v>
      </c>
    </row>
    <row r="1901" spans="1:36" s="160" customFormat="1">
      <c r="A1901" s="153" t="s">
        <v>1213</v>
      </c>
      <c r="B1901" s="160">
        <v>9719</v>
      </c>
      <c r="C1901" s="153" t="s">
        <v>1573</v>
      </c>
      <c r="D1901" s="153" t="s">
        <v>1574</v>
      </c>
      <c r="E1901" s="153" t="s">
        <v>309</v>
      </c>
      <c r="F1901" s="153" t="s">
        <v>2501</v>
      </c>
      <c r="G1901" s="153" t="s">
        <v>2502</v>
      </c>
      <c r="H1901" s="153" t="s">
        <v>321</v>
      </c>
      <c r="I1901" s="153" t="s">
        <v>951</v>
      </c>
      <c r="J1901" s="153" t="s">
        <v>204</v>
      </c>
      <c r="K1901" s="153" t="s">
        <v>204</v>
      </c>
      <c r="L1901" s="153" t="s">
        <v>325</v>
      </c>
      <c r="M1901" s="153" t="s">
        <v>340</v>
      </c>
      <c r="N1901" s="153" t="s">
        <v>448</v>
      </c>
      <c r="O1901" s="153" t="s">
        <v>339</v>
      </c>
      <c r="P1901" s="153" t="s">
        <v>1215</v>
      </c>
      <c r="Q1901" s="153" t="s">
        <v>413</v>
      </c>
      <c r="R1901" s="153" t="s">
        <v>407</v>
      </c>
      <c r="S1901" s="153" t="s">
        <v>1212</v>
      </c>
      <c r="T1901" s="154">
        <v>3.11</v>
      </c>
      <c r="U1901" s="153" t="s">
        <v>2503</v>
      </c>
      <c r="V1901" s="155">
        <v>3.8609999999999998E-2</v>
      </c>
      <c r="W1901" s="155">
        <v>5.0999999999999997E-2</v>
      </c>
      <c r="X1901" s="153" t="s">
        <v>412</v>
      </c>
      <c r="Y1901" s="153" t="s">
        <v>339</v>
      </c>
      <c r="Z1901" s="154">
        <v>4676398</v>
      </c>
      <c r="AA1901" s="154">
        <v>1</v>
      </c>
      <c r="AB1901" s="154">
        <v>94.29</v>
      </c>
      <c r="AD1901" s="154">
        <v>4409.3760000000002</v>
      </c>
      <c r="AG1901" s="157" t="s">
        <v>15</v>
      </c>
      <c r="AH1901" s="155">
        <v>3.5000000000000001E-3</v>
      </c>
      <c r="AI1901" s="155">
        <f t="shared" si="29"/>
        <v>1.3102222896595205E-2</v>
      </c>
      <c r="AJ1901" s="155">
        <v>1.4561297687574538E-3</v>
      </c>
    </row>
    <row r="1902" spans="1:36" s="160" customFormat="1">
      <c r="A1902" s="153" t="s">
        <v>1213</v>
      </c>
      <c r="B1902" s="160">
        <v>9719</v>
      </c>
      <c r="C1902" s="153" t="s">
        <v>1534</v>
      </c>
      <c r="D1902" s="153" t="s">
        <v>1535</v>
      </c>
      <c r="E1902" s="153" t="s">
        <v>309</v>
      </c>
      <c r="F1902" s="153" t="s">
        <v>2913</v>
      </c>
      <c r="G1902" s="153" t="s">
        <v>2914</v>
      </c>
      <c r="H1902" s="153" t="s">
        <v>321</v>
      </c>
      <c r="I1902" s="153" t="s">
        <v>951</v>
      </c>
      <c r="J1902" s="153" t="s">
        <v>204</v>
      </c>
      <c r="K1902" s="153" t="s">
        <v>204</v>
      </c>
      <c r="L1902" s="153" t="s">
        <v>325</v>
      </c>
      <c r="M1902" s="153" t="s">
        <v>340</v>
      </c>
      <c r="N1902" s="153" t="s">
        <v>464</v>
      </c>
      <c r="O1902" s="153" t="s">
        <v>339</v>
      </c>
      <c r="P1902" s="153" t="s">
        <v>1538</v>
      </c>
      <c r="Q1902" s="153" t="s">
        <v>413</v>
      </c>
      <c r="R1902" s="153" t="s">
        <v>407</v>
      </c>
      <c r="S1902" s="153" t="s">
        <v>1212</v>
      </c>
      <c r="T1902" s="154">
        <v>0.74</v>
      </c>
      <c r="U1902" s="153" t="s">
        <v>2915</v>
      </c>
      <c r="V1902" s="155">
        <v>4.6620000000000002E-2</v>
      </c>
      <c r="W1902" s="155">
        <v>5.45E-2</v>
      </c>
      <c r="X1902" s="153" t="s">
        <v>412</v>
      </c>
      <c r="Y1902" s="153" t="s">
        <v>339</v>
      </c>
      <c r="Z1902" s="154">
        <v>4133333.34</v>
      </c>
      <c r="AA1902" s="154">
        <v>1</v>
      </c>
      <c r="AB1902" s="154">
        <v>101</v>
      </c>
      <c r="AD1902" s="154">
        <v>4174.6670000000004</v>
      </c>
      <c r="AG1902" s="157" t="s">
        <v>15</v>
      </c>
      <c r="AH1902" s="155">
        <v>9.5200000000000007E-3</v>
      </c>
      <c r="AI1902" s="155">
        <f t="shared" si="29"/>
        <v>1.2404797765729303E-2</v>
      </c>
      <c r="AJ1902" s="155">
        <v>1.3786206695345041E-3</v>
      </c>
    </row>
    <row r="1903" spans="1:36" s="160" customFormat="1">
      <c r="A1903" s="153" t="s">
        <v>1213</v>
      </c>
      <c r="B1903" s="160">
        <v>9719</v>
      </c>
      <c r="C1903" s="153" t="s">
        <v>1973</v>
      </c>
      <c r="D1903" s="153" t="s">
        <v>1974</v>
      </c>
      <c r="E1903" s="153" t="s">
        <v>309</v>
      </c>
      <c r="F1903" s="153" t="s">
        <v>1984</v>
      </c>
      <c r="G1903" s="153" t="s">
        <v>1985</v>
      </c>
      <c r="H1903" s="153" t="s">
        <v>321</v>
      </c>
      <c r="I1903" s="153" t="s">
        <v>754</v>
      </c>
      <c r="J1903" s="153" t="s">
        <v>204</v>
      </c>
      <c r="K1903" s="153" t="s">
        <v>204</v>
      </c>
      <c r="L1903" s="153" t="s">
        <v>325</v>
      </c>
      <c r="M1903" s="153" t="s">
        <v>340</v>
      </c>
      <c r="N1903" s="153" t="s">
        <v>464</v>
      </c>
      <c r="O1903" s="153" t="s">
        <v>339</v>
      </c>
      <c r="P1903" s="153" t="s">
        <v>1538</v>
      </c>
      <c r="Q1903" s="153" t="s">
        <v>413</v>
      </c>
      <c r="R1903" s="153" t="s">
        <v>407</v>
      </c>
      <c r="S1903" s="153" t="s">
        <v>1212</v>
      </c>
      <c r="T1903" s="154">
        <v>1.89</v>
      </c>
      <c r="U1903" s="153" t="s">
        <v>1522</v>
      </c>
      <c r="V1903" s="155">
        <v>-1.176E-2</v>
      </c>
      <c r="W1903" s="155">
        <v>2.4899999999999999E-2</v>
      </c>
      <c r="X1903" s="153" t="s">
        <v>412</v>
      </c>
      <c r="Y1903" s="153" t="s">
        <v>339</v>
      </c>
      <c r="Z1903" s="154">
        <v>3565194.95</v>
      </c>
      <c r="AA1903" s="154">
        <v>1</v>
      </c>
      <c r="AB1903" s="154">
        <v>115.87</v>
      </c>
      <c r="AD1903" s="154">
        <v>4130.991</v>
      </c>
      <c r="AG1903" s="157" t="s">
        <v>15</v>
      </c>
      <c r="AH1903" s="155">
        <v>6.6299999999999996E-3</v>
      </c>
      <c r="AI1903" s="155">
        <f t="shared" si="29"/>
        <v>1.227501688806505E-2</v>
      </c>
      <c r="AJ1903" s="155">
        <v>1.3641973307717743E-3</v>
      </c>
    </row>
    <row r="1904" spans="1:36" s="160" customFormat="1">
      <c r="A1904" s="153" t="s">
        <v>1213</v>
      </c>
      <c r="B1904" s="160">
        <v>9719</v>
      </c>
      <c r="C1904" s="153" t="s">
        <v>2385</v>
      </c>
      <c r="D1904" s="153" t="s">
        <v>2386</v>
      </c>
      <c r="E1904" s="153" t="s">
        <v>309</v>
      </c>
      <c r="F1904" s="153" t="s">
        <v>2400</v>
      </c>
      <c r="G1904" s="153" t="s">
        <v>2401</v>
      </c>
      <c r="H1904" s="153" t="s">
        <v>321</v>
      </c>
      <c r="I1904" s="153" t="s">
        <v>754</v>
      </c>
      <c r="J1904" s="153" t="s">
        <v>204</v>
      </c>
      <c r="K1904" s="153" t="s">
        <v>204</v>
      </c>
      <c r="L1904" s="153" t="s">
        <v>325</v>
      </c>
      <c r="M1904" s="153" t="s">
        <v>340</v>
      </c>
      <c r="N1904" s="153" t="s">
        <v>464</v>
      </c>
      <c r="O1904" s="153" t="s">
        <v>339</v>
      </c>
      <c r="P1904" s="153" t="s">
        <v>1211</v>
      </c>
      <c r="Q1904" s="153" t="s">
        <v>415</v>
      </c>
      <c r="R1904" s="153" t="s">
        <v>407</v>
      </c>
      <c r="S1904" s="153" t="s">
        <v>1212</v>
      </c>
      <c r="T1904" s="154">
        <v>4.99</v>
      </c>
      <c r="U1904" s="153" t="s">
        <v>2227</v>
      </c>
      <c r="V1904" s="155">
        <v>4.4999999999999999E-4</v>
      </c>
      <c r="W1904" s="155">
        <v>2.7E-2</v>
      </c>
      <c r="X1904" s="153" t="s">
        <v>412</v>
      </c>
      <c r="Y1904" s="153" t="s">
        <v>339</v>
      </c>
      <c r="Z1904" s="154">
        <v>3698660</v>
      </c>
      <c r="AA1904" s="154">
        <v>1</v>
      </c>
      <c r="AB1904" s="154">
        <v>111.02</v>
      </c>
      <c r="AD1904" s="154">
        <v>4106.2520000000004</v>
      </c>
      <c r="AG1904" s="157" t="s">
        <v>15</v>
      </c>
      <c r="AH1904" s="155">
        <v>1.75E-3</v>
      </c>
      <c r="AI1904" s="155">
        <f t="shared" si="29"/>
        <v>1.2201506284242908E-2</v>
      </c>
      <c r="AJ1904" s="155">
        <v>1.3560276499939748E-3</v>
      </c>
    </row>
    <row r="1905" spans="1:36" s="160" customFormat="1">
      <c r="A1905" s="153" t="s">
        <v>1213</v>
      </c>
      <c r="B1905" s="160">
        <v>9719</v>
      </c>
      <c r="C1905" s="153" t="s">
        <v>2306</v>
      </c>
      <c r="D1905" s="153" t="s">
        <v>2307</v>
      </c>
      <c r="E1905" s="153" t="s">
        <v>309</v>
      </c>
      <c r="F1905" s="153" t="s">
        <v>2508</v>
      </c>
      <c r="G1905" s="153" t="s">
        <v>2509</v>
      </c>
      <c r="H1905" s="153" t="s">
        <v>321</v>
      </c>
      <c r="I1905" s="153" t="s">
        <v>951</v>
      </c>
      <c r="J1905" s="153" t="s">
        <v>204</v>
      </c>
      <c r="K1905" s="153" t="s">
        <v>204</v>
      </c>
      <c r="L1905" s="153" t="s">
        <v>325</v>
      </c>
      <c r="M1905" s="153" t="s">
        <v>340</v>
      </c>
      <c r="N1905" s="153" t="s">
        <v>445</v>
      </c>
      <c r="O1905" s="153" t="s">
        <v>339</v>
      </c>
      <c r="P1905" s="153" t="s">
        <v>1544</v>
      </c>
      <c r="Q1905" s="153" t="s">
        <v>415</v>
      </c>
      <c r="R1905" s="153" t="s">
        <v>407</v>
      </c>
      <c r="S1905" s="153" t="s">
        <v>1212</v>
      </c>
      <c r="T1905" s="154">
        <v>2.13</v>
      </c>
      <c r="U1905" s="153" t="s">
        <v>1659</v>
      </c>
      <c r="V1905" s="155">
        <v>2.342E-2</v>
      </c>
      <c r="W1905" s="155">
        <v>5.4199999999999998E-2</v>
      </c>
      <c r="X1905" s="153" t="s">
        <v>412</v>
      </c>
      <c r="Y1905" s="153" t="s">
        <v>339</v>
      </c>
      <c r="Z1905" s="154">
        <v>3836577</v>
      </c>
      <c r="AA1905" s="154">
        <v>1</v>
      </c>
      <c r="AB1905" s="154">
        <v>100.34</v>
      </c>
      <c r="AD1905" s="154">
        <v>3849.6210000000001</v>
      </c>
      <c r="AG1905" s="157" t="s">
        <v>15</v>
      </c>
      <c r="AH1905" s="155">
        <v>5.3800000000000002E-3</v>
      </c>
      <c r="AI1905" s="155">
        <f t="shared" si="29"/>
        <v>1.1438941113076709E-2</v>
      </c>
      <c r="AJ1905" s="155">
        <v>1.2712791416594634E-3</v>
      </c>
    </row>
    <row r="1906" spans="1:36" s="160" customFormat="1">
      <c r="A1906" s="153" t="s">
        <v>1213</v>
      </c>
      <c r="B1906" s="160">
        <v>9719</v>
      </c>
      <c r="C1906" s="153" t="s">
        <v>455</v>
      </c>
      <c r="D1906" s="153" t="s">
        <v>2106</v>
      </c>
      <c r="E1906" s="153" t="s">
        <v>309</v>
      </c>
      <c r="F1906" s="153" t="s">
        <v>2107</v>
      </c>
      <c r="G1906" s="153" t="s">
        <v>2108</v>
      </c>
      <c r="H1906" s="153" t="s">
        <v>321</v>
      </c>
      <c r="I1906" s="153" t="s">
        <v>754</v>
      </c>
      <c r="J1906" s="153" t="s">
        <v>204</v>
      </c>
      <c r="K1906" s="153" t="s">
        <v>204</v>
      </c>
      <c r="L1906" s="153" t="s">
        <v>325</v>
      </c>
      <c r="M1906" s="153" t="s">
        <v>340</v>
      </c>
      <c r="N1906" s="153" t="s">
        <v>440</v>
      </c>
      <c r="O1906" s="153" t="s">
        <v>339</v>
      </c>
      <c r="P1906" s="153" t="s">
        <v>1923</v>
      </c>
      <c r="Q1906" s="153" t="s">
        <v>415</v>
      </c>
      <c r="R1906" s="153" t="s">
        <v>407</v>
      </c>
      <c r="S1906" s="153" t="s">
        <v>1212</v>
      </c>
      <c r="T1906" s="154">
        <v>10.4</v>
      </c>
      <c r="U1906" s="153" t="s">
        <v>2109</v>
      </c>
      <c r="V1906" s="155">
        <v>2.8230000000000002E-2</v>
      </c>
      <c r="W1906" s="155">
        <v>3.4799999999999998E-2</v>
      </c>
      <c r="X1906" s="153" t="s">
        <v>412</v>
      </c>
      <c r="Y1906" s="153" t="s">
        <v>339</v>
      </c>
      <c r="Z1906" s="154">
        <v>3720993</v>
      </c>
      <c r="AA1906" s="154">
        <v>1</v>
      </c>
      <c r="AB1906" s="154">
        <v>102.97</v>
      </c>
      <c r="AD1906" s="154">
        <v>3831.5059999999999</v>
      </c>
      <c r="AG1906" s="157" t="s">
        <v>15</v>
      </c>
      <c r="AH1906" s="155">
        <v>7.6000000000000004E-4</v>
      </c>
      <c r="AI1906" s="155">
        <f t="shared" si="29"/>
        <v>1.1385113367887407E-2</v>
      </c>
      <c r="AJ1906" s="155">
        <v>1.2652969367486003E-3</v>
      </c>
    </row>
    <row r="1907" spans="1:36" s="160" customFormat="1">
      <c r="A1907" s="153" t="s">
        <v>1213</v>
      </c>
      <c r="B1907" s="160">
        <v>9719</v>
      </c>
      <c r="C1907" s="153" t="s">
        <v>1986</v>
      </c>
      <c r="D1907" s="153" t="s">
        <v>1987</v>
      </c>
      <c r="E1907" s="153" t="s">
        <v>309</v>
      </c>
      <c r="F1907" s="153" t="s">
        <v>2504</v>
      </c>
      <c r="G1907" s="153" t="s">
        <v>2505</v>
      </c>
      <c r="H1907" s="153" t="s">
        <v>321</v>
      </c>
      <c r="I1907" s="153" t="s">
        <v>951</v>
      </c>
      <c r="J1907" s="153" t="s">
        <v>204</v>
      </c>
      <c r="K1907" s="153" t="s">
        <v>204</v>
      </c>
      <c r="L1907" s="153" t="s">
        <v>325</v>
      </c>
      <c r="M1907" s="153" t="s">
        <v>340</v>
      </c>
      <c r="N1907" s="153" t="s">
        <v>484</v>
      </c>
      <c r="O1907" s="153" t="s">
        <v>339</v>
      </c>
      <c r="P1907" s="153" t="s">
        <v>1538</v>
      </c>
      <c r="Q1907" s="153" t="s">
        <v>413</v>
      </c>
      <c r="R1907" s="153" t="s">
        <v>407</v>
      </c>
      <c r="S1907" s="153" t="s">
        <v>1212</v>
      </c>
      <c r="T1907" s="154">
        <v>0.65</v>
      </c>
      <c r="U1907" s="153" t="s">
        <v>2372</v>
      </c>
      <c r="V1907" s="155">
        <v>1.5859999999999999E-2</v>
      </c>
      <c r="W1907" s="155">
        <v>5.0500000000000003E-2</v>
      </c>
      <c r="X1907" s="153" t="s">
        <v>412</v>
      </c>
      <c r="Y1907" s="153" t="s">
        <v>339</v>
      </c>
      <c r="Z1907" s="154">
        <v>3564741.16</v>
      </c>
      <c r="AA1907" s="154">
        <v>1</v>
      </c>
      <c r="AB1907" s="154">
        <v>100.35</v>
      </c>
      <c r="AD1907" s="154">
        <v>3577.2179999999998</v>
      </c>
      <c r="AG1907" s="157" t="s">
        <v>15</v>
      </c>
      <c r="AH1907" s="155">
        <v>3.3500000000000001E-3</v>
      </c>
      <c r="AI1907" s="155">
        <f t="shared" si="29"/>
        <v>1.0629510294815524E-2</v>
      </c>
      <c r="AJ1907" s="155">
        <v>1.181322168745646E-3</v>
      </c>
    </row>
    <row r="1908" spans="1:36" s="160" customFormat="1">
      <c r="A1908" s="153" t="s">
        <v>1213</v>
      </c>
      <c r="B1908" s="160">
        <v>9719</v>
      </c>
      <c r="C1908" s="153" t="s">
        <v>2420</v>
      </c>
      <c r="D1908" s="153" t="s">
        <v>2421</v>
      </c>
      <c r="E1908" s="153" t="s">
        <v>309</v>
      </c>
      <c r="F1908" s="153" t="s">
        <v>2574</v>
      </c>
      <c r="G1908" s="153" t="s">
        <v>2575</v>
      </c>
      <c r="H1908" s="153" t="s">
        <v>321</v>
      </c>
      <c r="I1908" s="153" t="s">
        <v>951</v>
      </c>
      <c r="J1908" s="153" t="s">
        <v>204</v>
      </c>
      <c r="K1908" s="153" t="s">
        <v>204</v>
      </c>
      <c r="L1908" s="153" t="s">
        <v>325</v>
      </c>
      <c r="M1908" s="153" t="s">
        <v>340</v>
      </c>
      <c r="N1908" s="153" t="s">
        <v>445</v>
      </c>
      <c r="O1908" s="153" t="s">
        <v>339</v>
      </c>
      <c r="P1908" s="153" t="s">
        <v>1982</v>
      </c>
      <c r="Q1908" s="153" t="s">
        <v>415</v>
      </c>
      <c r="R1908" s="153" t="s">
        <v>407</v>
      </c>
      <c r="S1908" s="153" t="s">
        <v>1212</v>
      </c>
      <c r="T1908" s="154">
        <v>1.7</v>
      </c>
      <c r="U1908" s="153" t="s">
        <v>1833</v>
      </c>
      <c r="V1908" s="155">
        <v>1.831E-2</v>
      </c>
      <c r="W1908" s="155">
        <v>5.3499999999999999E-2</v>
      </c>
      <c r="X1908" s="153" t="s">
        <v>412</v>
      </c>
      <c r="Y1908" s="153" t="s">
        <v>339</v>
      </c>
      <c r="Z1908" s="154">
        <v>3559429</v>
      </c>
      <c r="AA1908" s="154">
        <v>1</v>
      </c>
      <c r="AB1908" s="154">
        <v>96.84</v>
      </c>
      <c r="AD1908" s="154">
        <v>3446.951</v>
      </c>
      <c r="AG1908" s="157" t="s">
        <v>15</v>
      </c>
      <c r="AH1908" s="155">
        <v>5.9300000000000004E-3</v>
      </c>
      <c r="AI1908" s="155">
        <f t="shared" si="29"/>
        <v>1.0242428932266547E-2</v>
      </c>
      <c r="AJ1908" s="155">
        <v>1.138303461203643E-3</v>
      </c>
    </row>
    <row r="1909" spans="1:36" s="160" customFormat="1">
      <c r="A1909" s="153" t="s">
        <v>1213</v>
      </c>
      <c r="B1909" s="160">
        <v>9719</v>
      </c>
      <c r="C1909" s="153" t="s">
        <v>1600</v>
      </c>
      <c r="D1909" s="153" t="s">
        <v>1601</v>
      </c>
      <c r="E1909" s="153" t="s">
        <v>309</v>
      </c>
      <c r="F1909" s="153" t="s">
        <v>2412</v>
      </c>
      <c r="G1909" s="153" t="s">
        <v>2413</v>
      </c>
      <c r="H1909" s="153" t="s">
        <v>321</v>
      </c>
      <c r="I1909" s="153" t="s">
        <v>951</v>
      </c>
      <c r="J1909" s="153" t="s">
        <v>204</v>
      </c>
      <c r="K1909" s="153" t="s">
        <v>204</v>
      </c>
      <c r="L1909" s="153" t="s">
        <v>325</v>
      </c>
      <c r="M1909" s="153" t="s">
        <v>340</v>
      </c>
      <c r="N1909" s="153" t="s">
        <v>448</v>
      </c>
      <c r="O1909" s="153" t="s">
        <v>339</v>
      </c>
      <c r="P1909" s="153" t="s">
        <v>1215</v>
      </c>
      <c r="Q1909" s="153" t="s">
        <v>413</v>
      </c>
      <c r="R1909" s="153" t="s">
        <v>407</v>
      </c>
      <c r="S1909" s="153" t="s">
        <v>1212</v>
      </c>
      <c r="T1909" s="154">
        <v>3.31</v>
      </c>
      <c r="U1909" s="153" t="s">
        <v>2335</v>
      </c>
      <c r="V1909" s="155">
        <v>3.2059999999999998E-2</v>
      </c>
      <c r="W1909" s="155">
        <v>5.1200000000000002E-2</v>
      </c>
      <c r="X1909" s="153" t="s">
        <v>412</v>
      </c>
      <c r="Y1909" s="153" t="s">
        <v>339</v>
      </c>
      <c r="Z1909" s="154">
        <v>3661992</v>
      </c>
      <c r="AA1909" s="154">
        <v>1</v>
      </c>
      <c r="AB1909" s="154">
        <v>93.69</v>
      </c>
      <c r="AD1909" s="154">
        <v>3430.92</v>
      </c>
      <c r="AG1909" s="157" t="s">
        <v>15</v>
      </c>
      <c r="AH1909" s="155">
        <v>1.58E-3</v>
      </c>
      <c r="AI1909" s="155">
        <f t="shared" si="29"/>
        <v>1.0194793680644703E-2</v>
      </c>
      <c r="AJ1909" s="155">
        <v>1.1330094657895637E-3</v>
      </c>
    </row>
    <row r="1910" spans="1:36" s="160" customFormat="1">
      <c r="A1910" s="153" t="s">
        <v>1213</v>
      </c>
      <c r="B1910" s="160">
        <v>9719</v>
      </c>
      <c r="C1910" s="153" t="s">
        <v>1986</v>
      </c>
      <c r="D1910" s="153" t="s">
        <v>1987</v>
      </c>
      <c r="E1910" s="153" t="s">
        <v>309</v>
      </c>
      <c r="F1910" s="153" t="s">
        <v>2370</v>
      </c>
      <c r="G1910" s="153" t="s">
        <v>2371</v>
      </c>
      <c r="H1910" s="153" t="s">
        <v>321</v>
      </c>
      <c r="I1910" s="153" t="s">
        <v>754</v>
      </c>
      <c r="J1910" s="153" t="s">
        <v>204</v>
      </c>
      <c r="K1910" s="153" t="s">
        <v>204</v>
      </c>
      <c r="L1910" s="153" t="s">
        <v>325</v>
      </c>
      <c r="M1910" s="153" t="s">
        <v>340</v>
      </c>
      <c r="N1910" s="153" t="s">
        <v>484</v>
      </c>
      <c r="O1910" s="153" t="s">
        <v>339</v>
      </c>
      <c r="P1910" s="153" t="s">
        <v>1538</v>
      </c>
      <c r="Q1910" s="153" t="s">
        <v>413</v>
      </c>
      <c r="R1910" s="153" t="s">
        <v>407</v>
      </c>
      <c r="S1910" s="153" t="s">
        <v>1212</v>
      </c>
      <c r="T1910" s="154">
        <v>0.66</v>
      </c>
      <c r="U1910" s="153" t="s">
        <v>2372</v>
      </c>
      <c r="V1910" s="155">
        <v>-2.3E-3</v>
      </c>
      <c r="W1910" s="155">
        <v>2.1100000000000001E-2</v>
      </c>
      <c r="X1910" s="153" t="s">
        <v>412</v>
      </c>
      <c r="Y1910" s="153" t="s">
        <v>339</v>
      </c>
      <c r="Z1910" s="154">
        <v>2733739.2</v>
      </c>
      <c r="AA1910" s="154">
        <v>1</v>
      </c>
      <c r="AB1910" s="154">
        <v>116.47</v>
      </c>
      <c r="AD1910" s="154">
        <v>3183.9859999999999</v>
      </c>
      <c r="AG1910" s="157" t="s">
        <v>15</v>
      </c>
      <c r="AH1910" s="155">
        <v>5.1700000000000001E-3</v>
      </c>
      <c r="AI1910" s="155">
        <f t="shared" si="29"/>
        <v>9.4610426218219024E-3</v>
      </c>
      <c r="AJ1910" s="155">
        <v>1.0514632451183502E-3</v>
      </c>
    </row>
    <row r="1911" spans="1:36" s="160" customFormat="1">
      <c r="A1911" s="153" t="s">
        <v>1213</v>
      </c>
      <c r="B1911" s="160">
        <v>9719</v>
      </c>
      <c r="C1911" s="153" t="s">
        <v>2336</v>
      </c>
      <c r="D1911" s="153" t="s">
        <v>2337</v>
      </c>
      <c r="E1911" s="153" t="s">
        <v>309</v>
      </c>
      <c r="F1911" s="153" t="s">
        <v>2796</v>
      </c>
      <c r="G1911" s="153" t="s">
        <v>2797</v>
      </c>
      <c r="H1911" s="153" t="s">
        <v>321</v>
      </c>
      <c r="I1911" s="153" t="s">
        <v>754</v>
      </c>
      <c r="J1911" s="153" t="s">
        <v>204</v>
      </c>
      <c r="K1911" s="153" t="s">
        <v>204</v>
      </c>
      <c r="L1911" s="153" t="s">
        <v>325</v>
      </c>
      <c r="M1911" s="153" t="s">
        <v>340</v>
      </c>
      <c r="N1911" s="153" t="s">
        <v>464</v>
      </c>
      <c r="O1911" s="153" t="s">
        <v>339</v>
      </c>
      <c r="P1911" s="153" t="s">
        <v>1982</v>
      </c>
      <c r="Q1911" s="153" t="s">
        <v>415</v>
      </c>
      <c r="R1911" s="153" t="s">
        <v>407</v>
      </c>
      <c r="S1911" s="153" t="s">
        <v>1212</v>
      </c>
      <c r="T1911" s="154">
        <v>2.91</v>
      </c>
      <c r="U1911" s="153" t="s">
        <v>2798</v>
      </c>
      <c r="V1911" s="155">
        <v>1.97E-3</v>
      </c>
      <c r="W1911" s="155">
        <v>2.76E-2</v>
      </c>
      <c r="X1911" s="153" t="s">
        <v>412</v>
      </c>
      <c r="Y1911" s="153" t="s">
        <v>339</v>
      </c>
      <c r="Z1911" s="154">
        <v>2660419</v>
      </c>
      <c r="AA1911" s="154">
        <v>1</v>
      </c>
      <c r="AB1911" s="154">
        <v>114.46</v>
      </c>
      <c r="AD1911" s="154">
        <v>3045.116</v>
      </c>
      <c r="AG1911" s="157" t="s">
        <v>15</v>
      </c>
      <c r="AH1911" s="155">
        <v>2.32E-3</v>
      </c>
      <c r="AI1911" s="155">
        <f t="shared" si="29"/>
        <v>9.0483979089078358E-3</v>
      </c>
      <c r="AJ1911" s="155">
        <v>1.0056035268753724E-3</v>
      </c>
    </row>
    <row r="1912" spans="1:36" s="160" customFormat="1">
      <c r="A1912" s="153" t="s">
        <v>1213</v>
      </c>
      <c r="B1912" s="160">
        <v>9719</v>
      </c>
      <c r="C1912" s="153" t="s">
        <v>1512</v>
      </c>
      <c r="D1912" s="153" t="s">
        <v>1513</v>
      </c>
      <c r="E1912" s="153" t="s">
        <v>309</v>
      </c>
      <c r="F1912" s="153" t="s">
        <v>2512</v>
      </c>
      <c r="G1912" s="153" t="s">
        <v>2513</v>
      </c>
      <c r="H1912" s="153" t="s">
        <v>321</v>
      </c>
      <c r="I1912" s="153" t="s">
        <v>951</v>
      </c>
      <c r="J1912" s="153" t="s">
        <v>204</v>
      </c>
      <c r="K1912" s="153" t="s">
        <v>204</v>
      </c>
      <c r="L1912" s="153" t="s">
        <v>325</v>
      </c>
      <c r="M1912" s="153" t="s">
        <v>340</v>
      </c>
      <c r="N1912" s="153" t="s">
        <v>448</v>
      </c>
      <c r="O1912" s="153" t="s">
        <v>339</v>
      </c>
      <c r="P1912" s="153" t="s">
        <v>1215</v>
      </c>
      <c r="Q1912" s="153" t="s">
        <v>413</v>
      </c>
      <c r="R1912" s="153" t="s">
        <v>407</v>
      </c>
      <c r="S1912" s="153" t="s">
        <v>1212</v>
      </c>
      <c r="T1912" s="154">
        <v>3.23</v>
      </c>
      <c r="U1912" s="153" t="s">
        <v>1900</v>
      </c>
      <c r="V1912" s="155">
        <v>2.7799999999999998E-2</v>
      </c>
      <c r="W1912" s="155">
        <v>5.1400000000000001E-2</v>
      </c>
      <c r="X1912" s="153" t="s">
        <v>412</v>
      </c>
      <c r="Y1912" s="153" t="s">
        <v>339</v>
      </c>
      <c r="Z1912" s="154">
        <v>3095556.11</v>
      </c>
      <c r="AA1912" s="154">
        <v>1</v>
      </c>
      <c r="AB1912" s="154">
        <v>93.89</v>
      </c>
      <c r="AD1912" s="154">
        <v>2906.4180000000001</v>
      </c>
      <c r="AG1912" s="157" t="s">
        <v>15</v>
      </c>
      <c r="AH1912" s="155">
        <v>2.0699999999999998E-3</v>
      </c>
      <c r="AI1912" s="155">
        <f t="shared" si="29"/>
        <v>8.6362642847143088E-3</v>
      </c>
      <c r="AJ1912" s="155">
        <v>9.5980060903232145E-4</v>
      </c>
    </row>
    <row r="1913" spans="1:36" s="160" customFormat="1">
      <c r="A1913" s="153" t="s">
        <v>1213</v>
      </c>
      <c r="B1913" s="160">
        <v>9719</v>
      </c>
      <c r="C1913" s="153" t="s">
        <v>1861</v>
      </c>
      <c r="D1913" s="153" t="s">
        <v>1862</v>
      </c>
      <c r="E1913" s="153" t="s">
        <v>309</v>
      </c>
      <c r="F1913" s="153" t="s">
        <v>2564</v>
      </c>
      <c r="G1913" s="153" t="s">
        <v>2565</v>
      </c>
      <c r="H1913" s="153" t="s">
        <v>321</v>
      </c>
      <c r="I1913" s="153" t="s">
        <v>754</v>
      </c>
      <c r="J1913" s="153" t="s">
        <v>204</v>
      </c>
      <c r="K1913" s="153" t="s">
        <v>204</v>
      </c>
      <c r="L1913" s="153" t="s">
        <v>325</v>
      </c>
      <c r="M1913" s="153" t="s">
        <v>340</v>
      </c>
      <c r="N1913" s="153" t="s">
        <v>464</v>
      </c>
      <c r="O1913" s="153" t="s">
        <v>339</v>
      </c>
      <c r="P1913" s="153" t="s">
        <v>1538</v>
      </c>
      <c r="Q1913" s="153" t="s">
        <v>413</v>
      </c>
      <c r="R1913" s="153" t="s">
        <v>407</v>
      </c>
      <c r="S1913" s="153" t="s">
        <v>1212</v>
      </c>
      <c r="T1913" s="154">
        <v>0.76</v>
      </c>
      <c r="U1913" s="153" t="s">
        <v>2460</v>
      </c>
      <c r="V1913" s="155">
        <v>5.9100000000000003E-3</v>
      </c>
      <c r="W1913" s="155">
        <v>2.6800000000000001E-2</v>
      </c>
      <c r="X1913" s="153" t="s">
        <v>412</v>
      </c>
      <c r="Y1913" s="153" t="s">
        <v>339</v>
      </c>
      <c r="Z1913" s="154">
        <v>2468274.67</v>
      </c>
      <c r="AA1913" s="154">
        <v>1</v>
      </c>
      <c r="AB1913" s="154">
        <v>117.49</v>
      </c>
      <c r="AD1913" s="154">
        <v>2899.9760000000001</v>
      </c>
      <c r="AG1913" s="157" t="s">
        <v>15</v>
      </c>
      <c r="AH1913" s="155">
        <v>3.0599999999999998E-3</v>
      </c>
      <c r="AI1913" s="155">
        <f t="shared" si="29"/>
        <v>8.6171222292625027E-3</v>
      </c>
      <c r="AJ1913" s="155">
        <v>9.5767323591414426E-4</v>
      </c>
    </row>
    <row r="1914" spans="1:36" s="160" customFormat="1">
      <c r="A1914" s="153" t="s">
        <v>1213</v>
      </c>
      <c r="B1914" s="160">
        <v>9719</v>
      </c>
      <c r="C1914" s="153" t="s">
        <v>1591</v>
      </c>
      <c r="D1914" s="153" t="s">
        <v>1592</v>
      </c>
      <c r="E1914" s="153" t="s">
        <v>309</v>
      </c>
      <c r="F1914" s="153" t="s">
        <v>2479</v>
      </c>
      <c r="G1914" s="153" t="s">
        <v>2480</v>
      </c>
      <c r="H1914" s="153" t="s">
        <v>321</v>
      </c>
      <c r="I1914" s="153" t="s">
        <v>951</v>
      </c>
      <c r="J1914" s="153" t="s">
        <v>204</v>
      </c>
      <c r="K1914" s="153" t="s">
        <v>204</v>
      </c>
      <c r="L1914" s="153" t="s">
        <v>325</v>
      </c>
      <c r="M1914" s="153" t="s">
        <v>340</v>
      </c>
      <c r="N1914" s="153" t="s">
        <v>464</v>
      </c>
      <c r="O1914" s="153" t="s">
        <v>339</v>
      </c>
      <c r="P1914" s="153" t="s">
        <v>1538</v>
      </c>
      <c r="Q1914" s="153" t="s">
        <v>413</v>
      </c>
      <c r="R1914" s="153" t="s">
        <v>407</v>
      </c>
      <c r="S1914" s="153" t="s">
        <v>1212</v>
      </c>
      <c r="T1914" s="154">
        <v>5.14</v>
      </c>
      <c r="U1914" s="153" t="s">
        <v>2481</v>
      </c>
      <c r="V1914" s="155">
        <v>2.3259999999999999E-2</v>
      </c>
      <c r="W1914" s="155">
        <v>6.0100000000000001E-2</v>
      </c>
      <c r="X1914" s="153" t="s">
        <v>412</v>
      </c>
      <c r="Y1914" s="153" t="s">
        <v>339</v>
      </c>
      <c r="Z1914" s="154">
        <v>3427438.98</v>
      </c>
      <c r="AA1914" s="154">
        <v>1</v>
      </c>
      <c r="AB1914" s="154">
        <v>84.61</v>
      </c>
      <c r="AD1914" s="154">
        <v>2899.9560000000001</v>
      </c>
      <c r="AG1914" s="157" t="s">
        <v>15</v>
      </c>
      <c r="AH1914" s="155">
        <v>1.98E-3</v>
      </c>
      <c r="AI1914" s="155">
        <f t="shared" si="29"/>
        <v>8.6170628003415101E-3</v>
      </c>
      <c r="AJ1914" s="155">
        <v>9.5766663121647842E-4</v>
      </c>
    </row>
    <row r="1915" spans="1:36" s="160" customFormat="1">
      <c r="A1915" s="153" t="s">
        <v>1213</v>
      </c>
      <c r="B1915" s="160">
        <v>9719</v>
      </c>
      <c r="C1915" s="153" t="s">
        <v>2436</v>
      </c>
      <c r="D1915" s="153" t="s">
        <v>2437</v>
      </c>
      <c r="E1915" s="153" t="s">
        <v>309</v>
      </c>
      <c r="F1915" s="153" t="s">
        <v>2438</v>
      </c>
      <c r="G1915" s="153" t="s">
        <v>2439</v>
      </c>
      <c r="H1915" s="153" t="s">
        <v>321</v>
      </c>
      <c r="I1915" s="153" t="s">
        <v>754</v>
      </c>
      <c r="J1915" s="153" t="s">
        <v>204</v>
      </c>
      <c r="K1915" s="153" t="s">
        <v>204</v>
      </c>
      <c r="L1915" s="153" t="s">
        <v>325</v>
      </c>
      <c r="M1915" s="153" t="s">
        <v>340</v>
      </c>
      <c r="N1915" s="153" t="s">
        <v>475</v>
      </c>
      <c r="O1915" s="153" t="s">
        <v>339</v>
      </c>
      <c r="P1915" s="153" t="s">
        <v>1538</v>
      </c>
      <c r="Q1915" s="153" t="s">
        <v>413</v>
      </c>
      <c r="R1915" s="153" t="s">
        <v>407</v>
      </c>
      <c r="S1915" s="153" t="s">
        <v>1212</v>
      </c>
      <c r="T1915" s="154">
        <v>2.44</v>
      </c>
      <c r="U1915" s="153" t="s">
        <v>2440</v>
      </c>
      <c r="V1915" s="155">
        <v>-1.15E-3</v>
      </c>
      <c r="W1915" s="155">
        <v>2.3E-2</v>
      </c>
      <c r="X1915" s="153" t="s">
        <v>412</v>
      </c>
      <c r="Y1915" s="153" t="s">
        <v>339</v>
      </c>
      <c r="Z1915" s="154">
        <v>1810961.89</v>
      </c>
      <c r="AA1915" s="154">
        <v>1</v>
      </c>
      <c r="AB1915" s="154">
        <v>120.79</v>
      </c>
      <c r="AC1915" s="154">
        <v>634.35900000000004</v>
      </c>
      <c r="AD1915" s="154">
        <v>2821.82</v>
      </c>
      <c r="AG1915" s="157" t="s">
        <v>15</v>
      </c>
      <c r="AH1915" s="155">
        <v>4.4400000000000004E-3</v>
      </c>
      <c r="AI1915" s="155">
        <f t="shared" si="29"/>
        <v>8.3848858918065226E-3</v>
      </c>
      <c r="AJ1915" s="155">
        <v>9.3186339837545231E-4</v>
      </c>
    </row>
    <row r="1916" spans="1:36" s="160" customFormat="1">
      <c r="A1916" s="153" t="s">
        <v>1213</v>
      </c>
      <c r="B1916" s="160">
        <v>9719</v>
      </c>
      <c r="C1916" s="153" t="s">
        <v>1904</v>
      </c>
      <c r="D1916" s="153" t="s">
        <v>1905</v>
      </c>
      <c r="E1916" s="153" t="s">
        <v>309</v>
      </c>
      <c r="F1916" s="153" t="s">
        <v>2268</v>
      </c>
      <c r="G1916" s="153" t="s">
        <v>2269</v>
      </c>
      <c r="H1916" s="153" t="s">
        <v>321</v>
      </c>
      <c r="I1916" s="153" t="s">
        <v>951</v>
      </c>
      <c r="J1916" s="153" t="s">
        <v>204</v>
      </c>
      <c r="K1916" s="153" t="s">
        <v>204</v>
      </c>
      <c r="L1916" s="153" t="s">
        <v>325</v>
      </c>
      <c r="M1916" s="153" t="s">
        <v>340</v>
      </c>
      <c r="N1916" s="153" t="s">
        <v>448</v>
      </c>
      <c r="O1916" s="153" t="s">
        <v>339</v>
      </c>
      <c r="P1916" s="153" t="s">
        <v>1215</v>
      </c>
      <c r="Q1916" s="153" t="s">
        <v>413</v>
      </c>
      <c r="R1916" s="153" t="s">
        <v>407</v>
      </c>
      <c r="S1916" s="153" t="s">
        <v>1212</v>
      </c>
      <c r="T1916" s="154">
        <v>2.89</v>
      </c>
      <c r="U1916" s="153" t="s">
        <v>2270</v>
      </c>
      <c r="V1916" s="155">
        <v>3.9669999999999997E-2</v>
      </c>
      <c r="W1916" s="155">
        <v>5.11E-2</v>
      </c>
      <c r="X1916" s="153" t="s">
        <v>412</v>
      </c>
      <c r="Y1916" s="153" t="s">
        <v>339</v>
      </c>
      <c r="Z1916" s="154">
        <v>2858458.69</v>
      </c>
      <c r="AA1916" s="154">
        <v>1</v>
      </c>
      <c r="AB1916" s="154">
        <v>95.42</v>
      </c>
      <c r="AD1916" s="154">
        <v>2727.5410000000002</v>
      </c>
      <c r="AG1916" s="157" t="s">
        <v>15</v>
      </c>
      <c r="AH1916" s="155">
        <v>1.25E-3</v>
      </c>
      <c r="AI1916" s="155">
        <f t="shared" si="29"/>
        <v>8.1047409296921332E-3</v>
      </c>
      <c r="AJ1916" s="155">
        <v>9.0072918381341812E-4</v>
      </c>
    </row>
    <row r="1917" spans="1:36" s="160" customFormat="1">
      <c r="A1917" s="153" t="s">
        <v>1213</v>
      </c>
      <c r="B1917" s="160">
        <v>9719</v>
      </c>
      <c r="C1917" s="153" t="s">
        <v>1534</v>
      </c>
      <c r="D1917" s="153" t="s">
        <v>1535</v>
      </c>
      <c r="E1917" s="153" t="s">
        <v>309</v>
      </c>
      <c r="F1917" s="153" t="s">
        <v>2378</v>
      </c>
      <c r="G1917" s="153" t="s">
        <v>2379</v>
      </c>
      <c r="H1917" s="153" t="s">
        <v>321</v>
      </c>
      <c r="I1917" s="153" t="s">
        <v>951</v>
      </c>
      <c r="J1917" s="153" t="s">
        <v>204</v>
      </c>
      <c r="K1917" s="153" t="s">
        <v>204</v>
      </c>
      <c r="L1917" s="153" t="s">
        <v>325</v>
      </c>
      <c r="M1917" s="153" t="s">
        <v>340</v>
      </c>
      <c r="N1917" s="153" t="s">
        <v>464</v>
      </c>
      <c r="O1917" s="153" t="s">
        <v>339</v>
      </c>
      <c r="P1917" s="153" t="s">
        <v>2011</v>
      </c>
      <c r="Q1917" s="153" t="s">
        <v>415</v>
      </c>
      <c r="R1917" s="153" t="s">
        <v>407</v>
      </c>
      <c r="S1917" s="153" t="s">
        <v>1212</v>
      </c>
      <c r="T1917" s="154">
        <v>5.25</v>
      </c>
      <c r="U1917" s="153" t="s">
        <v>2012</v>
      </c>
      <c r="V1917" s="155">
        <v>4.4790000000000003E-2</v>
      </c>
      <c r="W1917" s="155">
        <v>5.91E-2</v>
      </c>
      <c r="X1917" s="153" t="s">
        <v>412</v>
      </c>
      <c r="Y1917" s="153" t="s">
        <v>339</v>
      </c>
      <c r="Z1917" s="154">
        <v>3147309</v>
      </c>
      <c r="AA1917" s="154">
        <v>1</v>
      </c>
      <c r="AB1917" s="154">
        <v>85.33</v>
      </c>
      <c r="AD1917" s="154">
        <v>2685.5990000000002</v>
      </c>
      <c r="AG1917" s="157" t="s">
        <v>15</v>
      </c>
      <c r="AH1917" s="155">
        <v>2.5899999999999999E-3</v>
      </c>
      <c r="AI1917" s="155">
        <f t="shared" si="29"/>
        <v>7.9801125394779633E-3</v>
      </c>
      <c r="AJ1917" s="155">
        <v>8.8687847233831941E-4</v>
      </c>
    </row>
    <row r="1918" spans="1:36" s="160" customFormat="1">
      <c r="A1918" s="153" t="s">
        <v>1213</v>
      </c>
      <c r="B1918" s="160">
        <v>9719</v>
      </c>
      <c r="C1918" s="153" t="s">
        <v>2128</v>
      </c>
      <c r="D1918" s="153" t="s">
        <v>2129</v>
      </c>
      <c r="E1918" s="153" t="s">
        <v>309</v>
      </c>
      <c r="F1918" s="153" t="s">
        <v>2485</v>
      </c>
      <c r="G1918" s="153" t="s">
        <v>2486</v>
      </c>
      <c r="H1918" s="153" t="s">
        <v>321</v>
      </c>
      <c r="I1918" s="153" t="s">
        <v>951</v>
      </c>
      <c r="J1918" s="153" t="s">
        <v>204</v>
      </c>
      <c r="K1918" s="153" t="s">
        <v>204</v>
      </c>
      <c r="L1918" s="153" t="s">
        <v>325</v>
      </c>
      <c r="M1918" s="153" t="s">
        <v>340</v>
      </c>
      <c r="N1918" s="153" t="s">
        <v>445</v>
      </c>
      <c r="O1918" s="153" t="s">
        <v>339</v>
      </c>
      <c r="P1918" s="153" t="s">
        <v>1538</v>
      </c>
      <c r="Q1918" s="153" t="s">
        <v>413</v>
      </c>
      <c r="R1918" s="153" t="s">
        <v>407</v>
      </c>
      <c r="S1918" s="153" t="s">
        <v>1212</v>
      </c>
      <c r="T1918" s="154">
        <v>2.15</v>
      </c>
      <c r="U1918" s="153" t="s">
        <v>1382</v>
      </c>
      <c r="V1918" s="155">
        <v>-2.1000000000000001E-4</v>
      </c>
      <c r="W1918" s="155">
        <v>5.3100000000000001E-2</v>
      </c>
      <c r="X1918" s="153" t="s">
        <v>412</v>
      </c>
      <c r="Y1918" s="153" t="s">
        <v>339</v>
      </c>
      <c r="Z1918" s="154">
        <v>2560467</v>
      </c>
      <c r="AA1918" s="154">
        <v>1</v>
      </c>
      <c r="AB1918" s="154">
        <v>102.22</v>
      </c>
      <c r="AD1918" s="154">
        <v>2617.3090000000002</v>
      </c>
      <c r="AG1918" s="157" t="s">
        <v>15</v>
      </c>
      <c r="AH1918" s="155">
        <v>6.43E-3</v>
      </c>
      <c r="AI1918" s="155">
        <f t="shared" si="29"/>
        <v>7.7771924887477728E-3</v>
      </c>
      <c r="AJ1918" s="155">
        <v>8.6432673215820169E-4</v>
      </c>
    </row>
    <row r="1919" spans="1:36" s="160" customFormat="1">
      <c r="A1919" s="153" t="s">
        <v>1213</v>
      </c>
      <c r="B1919" s="160">
        <v>9719</v>
      </c>
      <c r="C1919" s="153" t="s">
        <v>1861</v>
      </c>
      <c r="D1919" s="153" t="s">
        <v>1862</v>
      </c>
      <c r="E1919" s="153" t="s">
        <v>309</v>
      </c>
      <c r="F1919" s="153" t="s">
        <v>2458</v>
      </c>
      <c r="G1919" s="153" t="s">
        <v>2459</v>
      </c>
      <c r="H1919" s="153" t="s">
        <v>321</v>
      </c>
      <c r="I1919" s="153" t="s">
        <v>754</v>
      </c>
      <c r="J1919" s="153" t="s">
        <v>204</v>
      </c>
      <c r="K1919" s="153" t="s">
        <v>204</v>
      </c>
      <c r="L1919" s="153" t="s">
        <v>325</v>
      </c>
      <c r="M1919" s="153" t="s">
        <v>340</v>
      </c>
      <c r="N1919" s="153" t="s">
        <v>464</v>
      </c>
      <c r="O1919" s="153" t="s">
        <v>339</v>
      </c>
      <c r="P1919" s="153" t="s">
        <v>1538</v>
      </c>
      <c r="Q1919" s="153" t="s">
        <v>413</v>
      </c>
      <c r="R1919" s="153" t="s">
        <v>407</v>
      </c>
      <c r="S1919" s="153" t="s">
        <v>1212</v>
      </c>
      <c r="T1919" s="154">
        <v>0.76</v>
      </c>
      <c r="U1919" s="153" t="s">
        <v>2460</v>
      </c>
      <c r="V1919" s="155">
        <v>-4.4200000000000003E-3</v>
      </c>
      <c r="W1919" s="155">
        <v>2.52E-2</v>
      </c>
      <c r="X1919" s="153" t="s">
        <v>412</v>
      </c>
      <c r="Y1919" s="153" t="s">
        <v>339</v>
      </c>
      <c r="Z1919" s="154">
        <v>2235353.14</v>
      </c>
      <c r="AA1919" s="154">
        <v>1</v>
      </c>
      <c r="AB1919" s="154">
        <v>117</v>
      </c>
      <c r="AD1919" s="154">
        <v>2615.3629999999998</v>
      </c>
      <c r="AG1919" s="157" t="s">
        <v>15</v>
      </c>
      <c r="AH1919" s="155">
        <v>2.9099999999999998E-3</v>
      </c>
      <c r="AI1919" s="155">
        <f t="shared" si="29"/>
        <v>7.7714100547351646E-3</v>
      </c>
      <c r="AJ1919" s="155">
        <v>8.6368409507531229E-4</v>
      </c>
    </row>
    <row r="1920" spans="1:36" s="160" customFormat="1">
      <c r="A1920" s="153" t="s">
        <v>1213</v>
      </c>
      <c r="B1920" s="160">
        <v>9719</v>
      </c>
      <c r="C1920" s="153" t="s">
        <v>1687</v>
      </c>
      <c r="D1920" s="153" t="s">
        <v>1688</v>
      </c>
      <c r="E1920" s="153" t="s">
        <v>309</v>
      </c>
      <c r="F1920" s="153" t="s">
        <v>1837</v>
      </c>
      <c r="G1920" s="153" t="s">
        <v>1838</v>
      </c>
      <c r="H1920" s="153" t="s">
        <v>321</v>
      </c>
      <c r="I1920" s="153" t="s">
        <v>754</v>
      </c>
      <c r="J1920" s="153" t="s">
        <v>204</v>
      </c>
      <c r="K1920" s="153" t="s">
        <v>204</v>
      </c>
      <c r="L1920" s="153" t="s">
        <v>325</v>
      </c>
      <c r="M1920" s="153" t="s">
        <v>340</v>
      </c>
      <c r="N1920" s="153" t="s">
        <v>465</v>
      </c>
      <c r="O1920" s="153" t="s">
        <v>339</v>
      </c>
      <c r="P1920" s="153" t="s">
        <v>1614</v>
      </c>
      <c r="Q1920" s="153" t="s">
        <v>415</v>
      </c>
      <c r="R1920" s="153" t="s">
        <v>407</v>
      </c>
      <c r="S1920" s="153" t="s">
        <v>1212</v>
      </c>
      <c r="T1920" s="154">
        <v>1.46</v>
      </c>
      <c r="U1920" s="153" t="s">
        <v>1839</v>
      </c>
      <c r="V1920" s="155">
        <v>5.8399999999999997E-3</v>
      </c>
      <c r="W1920" s="155">
        <v>3.1099999999999999E-2</v>
      </c>
      <c r="X1920" s="153" t="s">
        <v>412</v>
      </c>
      <c r="Y1920" s="153" t="s">
        <v>339</v>
      </c>
      <c r="Z1920" s="154">
        <v>2174488</v>
      </c>
      <c r="AA1920" s="154">
        <v>1</v>
      </c>
      <c r="AB1920" s="154">
        <v>116.88</v>
      </c>
      <c r="AD1920" s="154">
        <v>2541.5419999999999</v>
      </c>
      <c r="AG1920" s="157" t="s">
        <v>15</v>
      </c>
      <c r="AH1920" s="155">
        <v>1.6999999999999999E-3</v>
      </c>
      <c r="AI1920" s="155">
        <f t="shared" si="29"/>
        <v>7.5520549359043929E-3</v>
      </c>
      <c r="AJ1920" s="155">
        <v>8.3930582575569802E-4</v>
      </c>
    </row>
    <row r="1921" spans="1:36" s="160" customFormat="1">
      <c r="A1921" s="153" t="s">
        <v>1213</v>
      </c>
      <c r="B1921" s="160">
        <v>9719</v>
      </c>
      <c r="C1921" s="153" t="s">
        <v>1893</v>
      </c>
      <c r="D1921" s="153" t="s">
        <v>1894</v>
      </c>
      <c r="E1921" s="153" t="s">
        <v>309</v>
      </c>
      <c r="F1921" s="153" t="s">
        <v>3357</v>
      </c>
      <c r="G1921" s="153" t="s">
        <v>3358</v>
      </c>
      <c r="H1921" s="153" t="s">
        <v>321</v>
      </c>
      <c r="I1921" s="153" t="s">
        <v>754</v>
      </c>
      <c r="J1921" s="153" t="s">
        <v>204</v>
      </c>
      <c r="K1921" s="153" t="s">
        <v>204</v>
      </c>
      <c r="L1921" s="153" t="s">
        <v>325</v>
      </c>
      <c r="M1921" s="153" t="s">
        <v>340</v>
      </c>
      <c r="N1921" s="153" t="s">
        <v>464</v>
      </c>
      <c r="O1921" s="153" t="s">
        <v>339</v>
      </c>
      <c r="P1921" s="153" t="s">
        <v>1521</v>
      </c>
      <c r="Q1921" s="153" t="s">
        <v>413</v>
      </c>
      <c r="R1921" s="153" t="s">
        <v>407</v>
      </c>
      <c r="S1921" s="153" t="s">
        <v>1212</v>
      </c>
      <c r="T1921" s="154">
        <v>1.23</v>
      </c>
      <c r="U1921" s="153" t="s">
        <v>1833</v>
      </c>
      <c r="V1921" s="155">
        <v>-1.15E-3</v>
      </c>
      <c r="W1921" s="155">
        <v>2.6599999999999999E-2</v>
      </c>
      <c r="X1921" s="153" t="s">
        <v>412</v>
      </c>
      <c r="Y1921" s="153" t="s">
        <v>339</v>
      </c>
      <c r="Z1921" s="154">
        <v>2164187.5299999998</v>
      </c>
      <c r="AA1921" s="154">
        <v>1</v>
      </c>
      <c r="AB1921" s="154">
        <v>116.61</v>
      </c>
      <c r="AD1921" s="154">
        <v>2523.6590000000001</v>
      </c>
      <c r="AG1921" s="157" t="s">
        <v>15</v>
      </c>
      <c r="AH1921" s="155">
        <v>8.77E-3</v>
      </c>
      <c r="AI1921" s="155">
        <f t="shared" si="29"/>
        <v>7.4989165661986093E-3</v>
      </c>
      <c r="AJ1921" s="155">
        <v>8.3340023533775914E-4</v>
      </c>
    </row>
    <row r="1922" spans="1:36" s="160" customFormat="1">
      <c r="A1922" s="153" t="s">
        <v>1213</v>
      </c>
      <c r="B1922" s="160">
        <v>9719</v>
      </c>
      <c r="C1922" s="153" t="s">
        <v>1986</v>
      </c>
      <c r="D1922" s="153" t="s">
        <v>1987</v>
      </c>
      <c r="E1922" s="153" t="s">
        <v>309</v>
      </c>
      <c r="F1922" s="153" t="s">
        <v>1988</v>
      </c>
      <c r="G1922" s="153" t="s">
        <v>1989</v>
      </c>
      <c r="H1922" s="153" t="s">
        <v>321</v>
      </c>
      <c r="I1922" s="153" t="s">
        <v>754</v>
      </c>
      <c r="J1922" s="153" t="s">
        <v>204</v>
      </c>
      <c r="K1922" s="153" t="s">
        <v>204</v>
      </c>
      <c r="L1922" s="153" t="s">
        <v>325</v>
      </c>
      <c r="M1922" s="153" t="s">
        <v>340</v>
      </c>
      <c r="N1922" s="153" t="s">
        <v>484</v>
      </c>
      <c r="O1922" s="153" t="s">
        <v>339</v>
      </c>
      <c r="P1922" s="153" t="s">
        <v>1538</v>
      </c>
      <c r="Q1922" s="153" t="s">
        <v>413</v>
      </c>
      <c r="R1922" s="153" t="s">
        <v>407</v>
      </c>
      <c r="S1922" s="153" t="s">
        <v>1212</v>
      </c>
      <c r="T1922" s="154">
        <v>8.3699999999999992</v>
      </c>
      <c r="U1922" s="153" t="s">
        <v>1990</v>
      </c>
      <c r="V1922" s="155">
        <v>2.7390000000000001E-2</v>
      </c>
      <c r="W1922" s="155">
        <v>3.1600000000000003E-2</v>
      </c>
      <c r="X1922" s="153" t="s">
        <v>412</v>
      </c>
      <c r="Y1922" s="153" t="s">
        <v>339</v>
      </c>
      <c r="Z1922" s="154">
        <v>2644449</v>
      </c>
      <c r="AA1922" s="154">
        <v>1</v>
      </c>
      <c r="AB1922" s="154">
        <v>91.2</v>
      </c>
      <c r="AD1922" s="154">
        <v>2411.7370000000001</v>
      </c>
      <c r="AG1922" s="157" t="s">
        <v>15</v>
      </c>
      <c r="AH1922" s="155">
        <v>5.5300000000000002E-3</v>
      </c>
      <c r="AI1922" s="155">
        <f t="shared" si="29"/>
        <v>7.1663463814303496E-3</v>
      </c>
      <c r="AJ1922" s="155">
        <v>7.9643968672977658E-4</v>
      </c>
    </row>
    <row r="1923" spans="1:36" s="160" customFormat="1">
      <c r="A1923" s="153" t="s">
        <v>1213</v>
      </c>
      <c r="B1923" s="160">
        <v>9719</v>
      </c>
      <c r="C1923" s="153" t="s">
        <v>2032</v>
      </c>
      <c r="D1923" s="153" t="s">
        <v>2033</v>
      </c>
      <c r="E1923" s="153" t="s">
        <v>309</v>
      </c>
      <c r="F1923" s="153" t="s">
        <v>3097</v>
      </c>
      <c r="G1923" s="153" t="s">
        <v>3098</v>
      </c>
      <c r="H1923" s="153" t="s">
        <v>321</v>
      </c>
      <c r="I1923" s="153" t="s">
        <v>951</v>
      </c>
      <c r="J1923" s="153" t="s">
        <v>204</v>
      </c>
      <c r="K1923" s="153" t="s">
        <v>204</v>
      </c>
      <c r="L1923" s="153" t="s">
        <v>325</v>
      </c>
      <c r="M1923" s="153" t="s">
        <v>340</v>
      </c>
      <c r="N1923" s="153" t="s">
        <v>445</v>
      </c>
      <c r="O1923" s="153" t="s">
        <v>339</v>
      </c>
      <c r="P1923" s="153" t="s">
        <v>2011</v>
      </c>
      <c r="Q1923" s="153" t="s">
        <v>415</v>
      </c>
      <c r="R1923" s="153" t="s">
        <v>407</v>
      </c>
      <c r="S1923" s="153" t="s">
        <v>1212</v>
      </c>
      <c r="T1923" s="154">
        <v>0.82</v>
      </c>
      <c r="U1923" s="153" t="s">
        <v>2419</v>
      </c>
      <c r="V1923" s="155">
        <v>2.6960000000000001E-2</v>
      </c>
      <c r="W1923" s="155">
        <v>5.1900000000000002E-2</v>
      </c>
      <c r="X1923" s="153" t="s">
        <v>412</v>
      </c>
      <c r="Y1923" s="153" t="s">
        <v>339</v>
      </c>
      <c r="Z1923" s="154">
        <v>2374786</v>
      </c>
      <c r="AA1923" s="154">
        <v>1</v>
      </c>
      <c r="AB1923" s="154">
        <v>99.39</v>
      </c>
      <c r="AD1923" s="154">
        <v>2360.3000000000002</v>
      </c>
      <c r="AG1923" s="157" t="s">
        <v>15</v>
      </c>
      <c r="AH1923" s="155">
        <v>3.0899999999999999E-3</v>
      </c>
      <c r="AI1923" s="155">
        <f t="shared" ref="AI1923:AI1986" si="30">AD1923/SUMIF(B:B,B1923,AD:AD)</f>
        <v>7.0135041109748095E-3</v>
      </c>
      <c r="AJ1923" s="155">
        <v>7.7945339503780547E-4</v>
      </c>
    </row>
    <row r="1924" spans="1:36" s="160" customFormat="1">
      <c r="A1924" s="153" t="s">
        <v>1213</v>
      </c>
      <c r="B1924" s="160">
        <v>9719</v>
      </c>
      <c r="C1924" s="153" t="s">
        <v>2032</v>
      </c>
      <c r="D1924" s="153" t="s">
        <v>2033</v>
      </c>
      <c r="E1924" s="153" t="s">
        <v>309</v>
      </c>
      <c r="F1924" s="153" t="s">
        <v>3359</v>
      </c>
      <c r="G1924" s="153" t="s">
        <v>3360</v>
      </c>
      <c r="H1924" s="153" t="s">
        <v>321</v>
      </c>
      <c r="I1924" s="153" t="s">
        <v>951</v>
      </c>
      <c r="J1924" s="153" t="s">
        <v>204</v>
      </c>
      <c r="K1924" s="153" t="s">
        <v>204</v>
      </c>
      <c r="L1924" s="153" t="s">
        <v>325</v>
      </c>
      <c r="M1924" s="153" t="s">
        <v>340</v>
      </c>
      <c r="N1924" s="153" t="s">
        <v>445</v>
      </c>
      <c r="O1924" s="153" t="s">
        <v>339</v>
      </c>
      <c r="P1924" s="153" t="s">
        <v>1538</v>
      </c>
      <c r="Q1924" s="153" t="s">
        <v>413</v>
      </c>
      <c r="R1924" s="153" t="s">
        <v>407</v>
      </c>
      <c r="S1924" s="153" t="s">
        <v>1212</v>
      </c>
      <c r="T1924" s="154">
        <v>0.33</v>
      </c>
      <c r="U1924" s="153" t="s">
        <v>3361</v>
      </c>
      <c r="V1924" s="155">
        <v>9.6000000000000002E-4</v>
      </c>
      <c r="W1924" s="155">
        <v>5.8700000000000002E-2</v>
      </c>
      <c r="X1924" s="153" t="s">
        <v>412</v>
      </c>
      <c r="Y1924" s="153" t="s">
        <v>339</v>
      </c>
      <c r="Z1924" s="154">
        <v>2254031</v>
      </c>
      <c r="AA1924" s="154">
        <v>1</v>
      </c>
      <c r="AB1924" s="154">
        <v>101.02</v>
      </c>
      <c r="AD1924" s="154">
        <v>2277.0219999999999</v>
      </c>
      <c r="AG1924" s="157" t="s">
        <v>15</v>
      </c>
      <c r="AH1924" s="155">
        <v>7.6800000000000002E-3</v>
      </c>
      <c r="AI1924" s="155">
        <f t="shared" si="30"/>
        <v>6.7660480268525534E-3</v>
      </c>
      <c r="AJ1924" s="155">
        <v>7.519520944268837E-4</v>
      </c>
    </row>
    <row r="1925" spans="1:36" s="160" customFormat="1">
      <c r="A1925" s="153" t="s">
        <v>1213</v>
      </c>
      <c r="B1925" s="160">
        <v>9719</v>
      </c>
      <c r="C1925" s="153" t="s">
        <v>455</v>
      </c>
      <c r="D1925" s="153" t="s">
        <v>2106</v>
      </c>
      <c r="E1925" s="153" t="s">
        <v>309</v>
      </c>
      <c r="F1925" s="153" t="s">
        <v>2271</v>
      </c>
      <c r="G1925" s="153" t="s">
        <v>2272</v>
      </c>
      <c r="H1925" s="153" t="s">
        <v>321</v>
      </c>
      <c r="I1925" s="153" t="s">
        <v>754</v>
      </c>
      <c r="J1925" s="153" t="s">
        <v>204</v>
      </c>
      <c r="K1925" s="153" t="s">
        <v>204</v>
      </c>
      <c r="L1925" s="153" t="s">
        <v>325</v>
      </c>
      <c r="M1925" s="153" t="s">
        <v>340</v>
      </c>
      <c r="N1925" s="153" t="s">
        <v>440</v>
      </c>
      <c r="O1925" s="153" t="s">
        <v>339</v>
      </c>
      <c r="P1925" s="153" t="s">
        <v>1923</v>
      </c>
      <c r="Q1925" s="153" t="s">
        <v>415</v>
      </c>
      <c r="R1925" s="153" t="s">
        <v>407</v>
      </c>
      <c r="S1925" s="153" t="s">
        <v>1212</v>
      </c>
      <c r="T1925" s="154">
        <v>10.76</v>
      </c>
      <c r="U1925" s="153" t="s">
        <v>1367</v>
      </c>
      <c r="V1925" s="155">
        <v>3.107E-2</v>
      </c>
      <c r="W1925" s="155">
        <v>3.49E-2</v>
      </c>
      <c r="X1925" s="153" t="s">
        <v>412</v>
      </c>
      <c r="Y1925" s="153" t="s">
        <v>339</v>
      </c>
      <c r="Z1925" s="154">
        <v>2501603</v>
      </c>
      <c r="AA1925" s="154">
        <v>1</v>
      </c>
      <c r="AB1925" s="154">
        <v>90</v>
      </c>
      <c r="AD1925" s="154">
        <v>2251.4430000000002</v>
      </c>
      <c r="AG1925" s="157" t="s">
        <v>15</v>
      </c>
      <c r="AH1925" s="155">
        <v>5.8E-4</v>
      </c>
      <c r="AI1925" s="155">
        <f t="shared" si="30"/>
        <v>6.6900414083487098E-3</v>
      </c>
      <c r="AJ1925" s="155">
        <v>7.4350501634711766E-4</v>
      </c>
    </row>
    <row r="1926" spans="1:36" s="160" customFormat="1">
      <c r="A1926" s="153" t="s">
        <v>1213</v>
      </c>
      <c r="B1926" s="160">
        <v>9719</v>
      </c>
      <c r="C1926" s="153" t="s">
        <v>1799</v>
      </c>
      <c r="D1926" s="153" t="s">
        <v>1800</v>
      </c>
      <c r="E1926" s="153" t="s">
        <v>309</v>
      </c>
      <c r="F1926" s="153" t="s">
        <v>3362</v>
      </c>
      <c r="G1926" s="153" t="s">
        <v>3363</v>
      </c>
      <c r="H1926" s="153" t="s">
        <v>321</v>
      </c>
      <c r="I1926" s="153" t="s">
        <v>754</v>
      </c>
      <c r="J1926" s="153" t="s">
        <v>204</v>
      </c>
      <c r="K1926" s="153" t="s">
        <v>204</v>
      </c>
      <c r="L1926" s="153" t="s">
        <v>325</v>
      </c>
      <c r="M1926" s="153" t="s">
        <v>340</v>
      </c>
      <c r="N1926" s="153" t="s">
        <v>464</v>
      </c>
      <c r="O1926" s="153" t="s">
        <v>339</v>
      </c>
      <c r="P1926" s="153" t="s">
        <v>1982</v>
      </c>
      <c r="Q1926" s="153" t="s">
        <v>415</v>
      </c>
      <c r="R1926" s="153" t="s">
        <v>407</v>
      </c>
      <c r="S1926" s="153" t="s">
        <v>1212</v>
      </c>
      <c r="T1926" s="154">
        <v>3.68</v>
      </c>
      <c r="U1926" s="153" t="s">
        <v>3364</v>
      </c>
      <c r="V1926" s="155">
        <v>7.6000000000000004E-4</v>
      </c>
      <c r="W1926" s="155">
        <v>2.9899999999999999E-2</v>
      </c>
      <c r="X1926" s="153" t="s">
        <v>412</v>
      </c>
      <c r="Y1926" s="153" t="s">
        <v>339</v>
      </c>
      <c r="Z1926" s="154">
        <v>1900153.61</v>
      </c>
      <c r="AA1926" s="154">
        <v>1</v>
      </c>
      <c r="AB1926" s="154">
        <v>114.45</v>
      </c>
      <c r="AD1926" s="154">
        <v>2174.7260000000001</v>
      </c>
      <c r="AG1926" s="157" t="s">
        <v>15</v>
      </c>
      <c r="AH1926" s="155">
        <v>1.6000000000000001E-3</v>
      </c>
      <c r="AI1926" s="155">
        <f t="shared" si="30"/>
        <v>6.4620809817581681E-3</v>
      </c>
      <c r="AJ1926" s="155">
        <v>7.1817038680548507E-4</v>
      </c>
    </row>
    <row r="1927" spans="1:36" s="160" customFormat="1">
      <c r="A1927" s="153" t="s">
        <v>1213</v>
      </c>
      <c r="B1927" s="160">
        <v>9719</v>
      </c>
      <c r="C1927" s="153" t="s">
        <v>2420</v>
      </c>
      <c r="D1927" s="153" t="s">
        <v>2421</v>
      </c>
      <c r="E1927" s="153" t="s">
        <v>309</v>
      </c>
      <c r="F1927" s="153" t="s">
        <v>3365</v>
      </c>
      <c r="G1927" s="153" t="s">
        <v>3366</v>
      </c>
      <c r="H1927" s="153" t="s">
        <v>321</v>
      </c>
      <c r="I1927" s="153" t="s">
        <v>951</v>
      </c>
      <c r="J1927" s="153" t="s">
        <v>204</v>
      </c>
      <c r="K1927" s="153" t="s">
        <v>204</v>
      </c>
      <c r="L1927" s="153" t="s">
        <v>325</v>
      </c>
      <c r="M1927" s="153" t="s">
        <v>340</v>
      </c>
      <c r="N1927" s="153" t="s">
        <v>445</v>
      </c>
      <c r="O1927" s="153" t="s">
        <v>339</v>
      </c>
      <c r="P1927" s="153" t="s">
        <v>1982</v>
      </c>
      <c r="Q1927" s="153" t="s">
        <v>415</v>
      </c>
      <c r="R1927" s="153" t="s">
        <v>407</v>
      </c>
      <c r="S1927" s="153" t="s">
        <v>1212</v>
      </c>
      <c r="T1927" s="154">
        <v>3.03</v>
      </c>
      <c r="U1927" s="153" t="s">
        <v>1528</v>
      </c>
      <c r="V1927" s="155">
        <v>3.8850000000000003E-2</v>
      </c>
      <c r="W1927" s="155">
        <v>4.9399999999999999E-2</v>
      </c>
      <c r="X1927" s="153" t="s">
        <v>412</v>
      </c>
      <c r="Y1927" s="153" t="s">
        <v>339</v>
      </c>
      <c r="Z1927" s="154">
        <v>2182068</v>
      </c>
      <c r="AA1927" s="154">
        <v>1</v>
      </c>
      <c r="AB1927" s="154">
        <v>99.55</v>
      </c>
      <c r="AD1927" s="154">
        <v>2172.2489999999998</v>
      </c>
      <c r="AG1927" s="157" t="s">
        <v>15</v>
      </c>
      <c r="AH1927" s="155">
        <v>7.2700000000000004E-3</v>
      </c>
      <c r="AI1927" s="155">
        <f t="shared" si="30"/>
        <v>6.4547207098931986E-3</v>
      </c>
      <c r="AJ1927" s="155">
        <v>7.1735239499956679E-4</v>
      </c>
    </row>
    <row r="1928" spans="1:36" s="160" customFormat="1">
      <c r="A1928" s="153" t="s">
        <v>1213</v>
      </c>
      <c r="B1928" s="160">
        <v>9719</v>
      </c>
      <c r="C1928" s="153" t="s">
        <v>1909</v>
      </c>
      <c r="D1928" s="153" t="s">
        <v>1910</v>
      </c>
      <c r="E1928" s="153" t="s">
        <v>309</v>
      </c>
      <c r="F1928" s="153" t="s">
        <v>2870</v>
      </c>
      <c r="G1928" s="153" t="s">
        <v>2871</v>
      </c>
      <c r="H1928" s="153" t="s">
        <v>321</v>
      </c>
      <c r="I1928" s="153" t="s">
        <v>754</v>
      </c>
      <c r="J1928" s="153" t="s">
        <v>204</v>
      </c>
      <c r="K1928" s="153" t="s">
        <v>204</v>
      </c>
      <c r="L1928" s="153" t="s">
        <v>325</v>
      </c>
      <c r="M1928" s="153" t="s">
        <v>340</v>
      </c>
      <c r="N1928" s="153" t="s">
        <v>464</v>
      </c>
      <c r="O1928" s="153" t="s">
        <v>339</v>
      </c>
      <c r="Q1928" s="153" t="s">
        <v>410</v>
      </c>
      <c r="R1928" s="153" t="s">
        <v>410</v>
      </c>
      <c r="S1928" s="153" t="s">
        <v>1212</v>
      </c>
      <c r="T1928" s="154">
        <v>2.78</v>
      </c>
      <c r="U1928" s="153" t="s">
        <v>1528</v>
      </c>
      <c r="V1928" s="155">
        <v>2.5069999999999999E-2</v>
      </c>
      <c r="W1928" s="155">
        <v>2.7099999999999999E-2</v>
      </c>
      <c r="X1928" s="153" t="s">
        <v>412</v>
      </c>
      <c r="Y1928" s="153" t="s">
        <v>339</v>
      </c>
      <c r="Z1928" s="154">
        <v>1814750</v>
      </c>
      <c r="AA1928" s="154">
        <v>1</v>
      </c>
      <c r="AB1928" s="154">
        <v>115.62</v>
      </c>
      <c r="AD1928" s="154">
        <v>2098.2139999999999</v>
      </c>
      <c r="AG1928" s="157" t="s">
        <v>15</v>
      </c>
      <c r="AH1928" s="155">
        <v>3.3500000000000001E-3</v>
      </c>
      <c r="AI1928" s="155">
        <f t="shared" si="30"/>
        <v>6.2347297016078036E-3</v>
      </c>
      <c r="AJ1928" s="155">
        <v>6.929034554149277E-4</v>
      </c>
    </row>
    <row r="1929" spans="1:36" s="160" customFormat="1">
      <c r="A1929" s="153" t="s">
        <v>1213</v>
      </c>
      <c r="B1929" s="160">
        <v>9719</v>
      </c>
      <c r="C1929" s="153" t="s">
        <v>2436</v>
      </c>
      <c r="D1929" s="153" t="s">
        <v>2437</v>
      </c>
      <c r="E1929" s="153" t="s">
        <v>309</v>
      </c>
      <c r="F1929" s="153" t="s">
        <v>2690</v>
      </c>
      <c r="G1929" s="153" t="s">
        <v>2691</v>
      </c>
      <c r="H1929" s="153" t="s">
        <v>321</v>
      </c>
      <c r="I1929" s="153" t="s">
        <v>951</v>
      </c>
      <c r="J1929" s="153" t="s">
        <v>204</v>
      </c>
      <c r="K1929" s="153" t="s">
        <v>204</v>
      </c>
      <c r="L1929" s="153" t="s">
        <v>325</v>
      </c>
      <c r="M1929" s="153" t="s">
        <v>340</v>
      </c>
      <c r="N1929" s="153" t="s">
        <v>475</v>
      </c>
      <c r="O1929" s="153" t="s">
        <v>339</v>
      </c>
      <c r="P1929" s="153" t="s">
        <v>1538</v>
      </c>
      <c r="Q1929" s="153" t="s">
        <v>413</v>
      </c>
      <c r="R1929" s="153" t="s">
        <v>407</v>
      </c>
      <c r="S1929" s="153" t="s">
        <v>1212</v>
      </c>
      <c r="T1929" s="154">
        <v>3.37</v>
      </c>
      <c r="U1929" s="153" t="s">
        <v>2692</v>
      </c>
      <c r="V1929" s="155">
        <v>4.1430000000000002E-2</v>
      </c>
      <c r="W1929" s="155">
        <v>5.3800000000000001E-2</v>
      </c>
      <c r="X1929" s="153" t="s">
        <v>412</v>
      </c>
      <c r="Y1929" s="153" t="s">
        <v>339</v>
      </c>
      <c r="Z1929" s="154">
        <v>2208110.6800000002</v>
      </c>
      <c r="AA1929" s="154">
        <v>1</v>
      </c>
      <c r="AB1929" s="154">
        <v>94.59</v>
      </c>
      <c r="AD1929" s="154">
        <v>2088.652</v>
      </c>
      <c r="AG1929" s="157" t="s">
        <v>15</v>
      </c>
      <c r="AH1929" s="155">
        <v>2.9299999999999999E-3</v>
      </c>
      <c r="AI1929" s="155">
        <f t="shared" si="30"/>
        <v>6.2063167344811069E-3</v>
      </c>
      <c r="AJ1929" s="155">
        <v>6.8974574946087462E-4</v>
      </c>
    </row>
    <row r="1930" spans="1:36" s="160" customFormat="1">
      <c r="A1930" s="153" t="s">
        <v>1213</v>
      </c>
      <c r="B1930" s="160">
        <v>9719</v>
      </c>
      <c r="C1930" s="153" t="s">
        <v>2789</v>
      </c>
      <c r="D1930" s="153" t="s">
        <v>2790</v>
      </c>
      <c r="E1930" s="153" t="s">
        <v>309</v>
      </c>
      <c r="F1930" s="153" t="s">
        <v>3367</v>
      </c>
      <c r="G1930" s="153" t="s">
        <v>3368</v>
      </c>
      <c r="H1930" s="153" t="s">
        <v>321</v>
      </c>
      <c r="I1930" s="153" t="s">
        <v>952</v>
      </c>
      <c r="J1930" s="153" t="s">
        <v>204</v>
      </c>
      <c r="K1930" s="153" t="s">
        <v>204</v>
      </c>
      <c r="L1930" s="153" t="s">
        <v>325</v>
      </c>
      <c r="M1930" s="153" t="s">
        <v>340</v>
      </c>
      <c r="N1930" s="153" t="s">
        <v>441</v>
      </c>
      <c r="O1930" s="153" t="s">
        <v>339</v>
      </c>
      <c r="P1930" s="153" t="s">
        <v>1614</v>
      </c>
      <c r="Q1930" s="153" t="s">
        <v>415</v>
      </c>
      <c r="R1930" s="153" t="s">
        <v>407</v>
      </c>
      <c r="S1930" s="153" t="s">
        <v>1212</v>
      </c>
      <c r="T1930" s="154">
        <v>2.82</v>
      </c>
      <c r="U1930" s="153" t="s">
        <v>3369</v>
      </c>
      <c r="V1930" s="155">
        <v>3.0999999999999999E-3</v>
      </c>
      <c r="W1930" s="155">
        <v>6.0699999999999997E-2</v>
      </c>
      <c r="X1930" s="153" t="s">
        <v>412</v>
      </c>
      <c r="Y1930" s="153" t="s">
        <v>339</v>
      </c>
      <c r="Z1930" s="154">
        <v>2429535</v>
      </c>
      <c r="AA1930" s="154">
        <v>1</v>
      </c>
      <c r="AB1930" s="154">
        <v>85.3</v>
      </c>
      <c r="AD1930" s="154">
        <v>2072.393</v>
      </c>
      <c r="AG1930" s="157" t="s">
        <v>15</v>
      </c>
      <c r="AH1930" s="155">
        <v>4.2900000000000004E-3</v>
      </c>
      <c r="AI1930" s="155">
        <f t="shared" si="30"/>
        <v>6.1580039931599445E-3</v>
      </c>
      <c r="AJ1930" s="155">
        <v>6.8437646049340447E-4</v>
      </c>
    </row>
    <row r="1931" spans="1:36" s="160" customFormat="1">
      <c r="A1931" s="153" t="s">
        <v>1213</v>
      </c>
      <c r="B1931" s="160">
        <v>9719</v>
      </c>
      <c r="C1931" s="153" t="s">
        <v>1674</v>
      </c>
      <c r="D1931" s="153" t="s">
        <v>1675</v>
      </c>
      <c r="E1931" s="153" t="s">
        <v>309</v>
      </c>
      <c r="F1931" s="153" t="s">
        <v>2548</v>
      </c>
      <c r="G1931" s="153" t="s">
        <v>2549</v>
      </c>
      <c r="H1931" s="153" t="s">
        <v>321</v>
      </c>
      <c r="I1931" s="153" t="s">
        <v>754</v>
      </c>
      <c r="J1931" s="153" t="s">
        <v>204</v>
      </c>
      <c r="K1931" s="153" t="s">
        <v>204</v>
      </c>
      <c r="L1931" s="153" t="s">
        <v>325</v>
      </c>
      <c r="M1931" s="153" t="s">
        <v>340</v>
      </c>
      <c r="N1931" s="153" t="s">
        <v>464</v>
      </c>
      <c r="O1931" s="153" t="s">
        <v>339</v>
      </c>
      <c r="P1931" s="153" t="s">
        <v>1982</v>
      </c>
      <c r="Q1931" s="153" t="s">
        <v>415</v>
      </c>
      <c r="R1931" s="153" t="s">
        <v>407</v>
      </c>
      <c r="S1931" s="153" t="s">
        <v>1212</v>
      </c>
      <c r="T1931" s="154">
        <v>2.75</v>
      </c>
      <c r="U1931" s="153" t="s">
        <v>2550</v>
      </c>
      <c r="V1931" s="155">
        <v>2.794E-2</v>
      </c>
      <c r="W1931" s="155">
        <v>2.7400000000000001E-2</v>
      </c>
      <c r="X1931" s="153" t="s">
        <v>412</v>
      </c>
      <c r="Y1931" s="153" t="s">
        <v>339</v>
      </c>
      <c r="Z1931" s="154">
        <v>1742602</v>
      </c>
      <c r="AA1931" s="154">
        <v>1</v>
      </c>
      <c r="AB1931" s="154">
        <v>117.34</v>
      </c>
      <c r="AD1931" s="154">
        <v>2044.769</v>
      </c>
      <c r="AG1931" s="157" t="s">
        <v>15</v>
      </c>
      <c r="AH1931" s="155">
        <v>2.7499999999999998E-3</v>
      </c>
      <c r="AI1931" s="155">
        <f t="shared" si="30"/>
        <v>6.0759207674845779E-3</v>
      </c>
      <c r="AJ1931" s="155">
        <v>6.75254052077303E-4</v>
      </c>
    </row>
    <row r="1932" spans="1:36" s="160" customFormat="1">
      <c r="A1932" s="153" t="s">
        <v>1213</v>
      </c>
      <c r="B1932" s="160">
        <v>9719</v>
      </c>
      <c r="C1932" s="153" t="s">
        <v>2328</v>
      </c>
      <c r="D1932" s="153" t="s">
        <v>2329</v>
      </c>
      <c r="E1932" s="153" t="s">
        <v>309</v>
      </c>
      <c r="F1932" s="153" t="s">
        <v>3370</v>
      </c>
      <c r="G1932" s="153" t="s">
        <v>3371</v>
      </c>
      <c r="H1932" s="153" t="s">
        <v>321</v>
      </c>
      <c r="I1932" s="153" t="s">
        <v>951</v>
      </c>
      <c r="J1932" s="153" t="s">
        <v>204</v>
      </c>
      <c r="K1932" s="153" t="s">
        <v>204</v>
      </c>
      <c r="L1932" s="153" t="s">
        <v>325</v>
      </c>
      <c r="M1932" s="153" t="s">
        <v>340</v>
      </c>
      <c r="N1932" s="153" t="s">
        <v>465</v>
      </c>
      <c r="O1932" s="153" t="s">
        <v>339</v>
      </c>
      <c r="P1932" s="153" t="s">
        <v>2011</v>
      </c>
      <c r="Q1932" s="153" t="s">
        <v>415</v>
      </c>
      <c r="R1932" s="153" t="s">
        <v>407</v>
      </c>
      <c r="S1932" s="153" t="s">
        <v>1212</v>
      </c>
      <c r="T1932" s="154">
        <v>4.0999999999999996</v>
      </c>
      <c r="U1932" s="153" t="s">
        <v>3372</v>
      </c>
      <c r="V1932" s="155">
        <v>4.4740000000000002E-2</v>
      </c>
      <c r="W1932" s="155">
        <v>5.8999999999999997E-2</v>
      </c>
      <c r="X1932" s="153" t="s">
        <v>412</v>
      </c>
      <c r="Y1932" s="153" t="s">
        <v>339</v>
      </c>
      <c r="Z1932" s="154">
        <v>2214367.66</v>
      </c>
      <c r="AA1932" s="154">
        <v>1</v>
      </c>
      <c r="AB1932" s="154">
        <v>92.31</v>
      </c>
      <c r="AD1932" s="154">
        <v>2044.0830000000001</v>
      </c>
      <c r="AG1932" s="157" t="s">
        <v>15</v>
      </c>
      <c r="AH1932" s="155">
        <v>8.3199999999999993E-3</v>
      </c>
      <c r="AI1932" s="155">
        <f t="shared" si="30"/>
        <v>6.0738823554945228E-3</v>
      </c>
      <c r="AJ1932" s="155">
        <v>6.7502751094736366E-4</v>
      </c>
    </row>
    <row r="1933" spans="1:36" s="160" customFormat="1">
      <c r="A1933" s="153" t="s">
        <v>1213</v>
      </c>
      <c r="B1933" s="160">
        <v>9719</v>
      </c>
      <c r="C1933" s="153" t="s">
        <v>2586</v>
      </c>
      <c r="D1933" s="153" t="s">
        <v>2587</v>
      </c>
      <c r="E1933" s="153" t="s">
        <v>309</v>
      </c>
      <c r="F1933" s="153" t="s">
        <v>2588</v>
      </c>
      <c r="G1933" s="153" t="s">
        <v>2589</v>
      </c>
      <c r="H1933" s="153" t="s">
        <v>321</v>
      </c>
      <c r="I1933" s="153" t="s">
        <v>951</v>
      </c>
      <c r="J1933" s="153" t="s">
        <v>204</v>
      </c>
      <c r="K1933" s="153" t="s">
        <v>204</v>
      </c>
      <c r="L1933" s="153" t="s">
        <v>325</v>
      </c>
      <c r="M1933" s="153" t="s">
        <v>340</v>
      </c>
      <c r="N1933" s="153" t="s">
        <v>445</v>
      </c>
      <c r="O1933" s="153" t="s">
        <v>339</v>
      </c>
      <c r="P1933" s="153" t="s">
        <v>1982</v>
      </c>
      <c r="Q1933" s="153" t="s">
        <v>415</v>
      </c>
      <c r="R1933" s="153" t="s">
        <v>407</v>
      </c>
      <c r="S1933" s="153" t="s">
        <v>1212</v>
      </c>
      <c r="T1933" s="154">
        <v>1.97</v>
      </c>
      <c r="U1933" s="153" t="s">
        <v>1522</v>
      </c>
      <c r="V1933" s="155">
        <v>4.9570000000000003E-2</v>
      </c>
      <c r="W1933" s="155">
        <v>5.2999999999999999E-2</v>
      </c>
      <c r="X1933" s="153" t="s">
        <v>412</v>
      </c>
      <c r="Y1933" s="153" t="s">
        <v>339</v>
      </c>
      <c r="Z1933" s="154">
        <v>2149266</v>
      </c>
      <c r="AA1933" s="154">
        <v>1</v>
      </c>
      <c r="AB1933" s="154">
        <v>93.66</v>
      </c>
      <c r="AD1933" s="154">
        <v>2013.0029999999999</v>
      </c>
      <c r="AG1933" s="157" t="s">
        <v>15</v>
      </c>
      <c r="AH1933" s="155">
        <v>7.1599999999999997E-3</v>
      </c>
      <c r="AI1933" s="155">
        <f t="shared" si="30"/>
        <v>5.9815298122715852E-3</v>
      </c>
      <c r="AJ1933" s="155">
        <v>6.6476381077459955E-4</v>
      </c>
    </row>
    <row r="1934" spans="1:36" s="160" customFormat="1">
      <c r="A1934" s="153" t="s">
        <v>1213</v>
      </c>
      <c r="B1934" s="160">
        <v>9719</v>
      </c>
      <c r="C1934" s="153" t="s">
        <v>2155</v>
      </c>
      <c r="D1934" s="153" t="s">
        <v>2156</v>
      </c>
      <c r="E1934" s="153" t="s">
        <v>309</v>
      </c>
      <c r="F1934" s="153" t="s">
        <v>2623</v>
      </c>
      <c r="G1934" s="153" t="s">
        <v>2624</v>
      </c>
      <c r="H1934" s="153" t="s">
        <v>321</v>
      </c>
      <c r="I1934" s="153" t="s">
        <v>951</v>
      </c>
      <c r="J1934" s="153" t="s">
        <v>204</v>
      </c>
      <c r="K1934" s="153" t="s">
        <v>204</v>
      </c>
      <c r="L1934" s="153" t="s">
        <v>325</v>
      </c>
      <c r="M1934" s="153" t="s">
        <v>340</v>
      </c>
      <c r="N1934" s="153" t="s">
        <v>451</v>
      </c>
      <c r="O1934" s="153" t="s">
        <v>339</v>
      </c>
      <c r="P1934" s="153" t="s">
        <v>1521</v>
      </c>
      <c r="Q1934" s="153" t="s">
        <v>413</v>
      </c>
      <c r="R1934" s="153" t="s">
        <v>407</v>
      </c>
      <c r="S1934" s="153" t="s">
        <v>1212</v>
      </c>
      <c r="T1934" s="154">
        <v>2.94</v>
      </c>
      <c r="U1934" s="153" t="s">
        <v>2625</v>
      </c>
      <c r="V1934" s="155">
        <v>4.6460000000000001E-2</v>
      </c>
      <c r="W1934" s="155">
        <v>5.7700000000000001E-2</v>
      </c>
      <c r="X1934" s="153" t="s">
        <v>412</v>
      </c>
      <c r="Y1934" s="153" t="s">
        <v>339</v>
      </c>
      <c r="Z1934" s="154">
        <v>2072972</v>
      </c>
      <c r="AA1934" s="154">
        <v>1</v>
      </c>
      <c r="AB1934" s="154">
        <v>96.04</v>
      </c>
      <c r="AD1934" s="154">
        <v>1990.8820000000001</v>
      </c>
      <c r="AG1934" s="157" t="s">
        <v>15</v>
      </c>
      <c r="AH1934" s="155">
        <v>3.0599999999999998E-3</v>
      </c>
      <c r="AI1934" s="155">
        <f t="shared" si="30"/>
        <v>5.9157984542074103E-3</v>
      </c>
      <c r="AJ1934" s="155">
        <v>6.5745868492126259E-4</v>
      </c>
    </row>
    <row r="1935" spans="1:36" s="160" customFormat="1">
      <c r="A1935" s="153" t="s">
        <v>1213</v>
      </c>
      <c r="B1935" s="160">
        <v>9719</v>
      </c>
      <c r="C1935" s="153" t="s">
        <v>2123</v>
      </c>
      <c r="D1935" s="153" t="s">
        <v>2124</v>
      </c>
      <c r="E1935" s="153" t="s">
        <v>309</v>
      </c>
      <c r="F1935" s="153" t="s">
        <v>2600</v>
      </c>
      <c r="G1935" s="153" t="s">
        <v>2601</v>
      </c>
      <c r="H1935" s="153" t="s">
        <v>321</v>
      </c>
      <c r="I1935" s="153" t="s">
        <v>754</v>
      </c>
      <c r="J1935" s="153" t="s">
        <v>204</v>
      </c>
      <c r="K1935" s="153" t="s">
        <v>204</v>
      </c>
      <c r="L1935" s="153" t="s">
        <v>325</v>
      </c>
      <c r="M1935" s="153" t="s">
        <v>340</v>
      </c>
      <c r="N1935" s="153" t="s">
        <v>445</v>
      </c>
      <c r="O1935" s="153" t="s">
        <v>339</v>
      </c>
      <c r="P1935" s="153" t="s">
        <v>1982</v>
      </c>
      <c r="Q1935" s="153" t="s">
        <v>415</v>
      </c>
      <c r="R1935" s="153" t="s">
        <v>407</v>
      </c>
      <c r="S1935" s="153" t="s">
        <v>1212</v>
      </c>
      <c r="T1935" s="154">
        <v>0.82</v>
      </c>
      <c r="U1935" s="153" t="s">
        <v>2419</v>
      </c>
      <c r="V1935" s="155">
        <v>-6.7499999999999999E-3</v>
      </c>
      <c r="W1935" s="155">
        <v>2.5999999999999999E-2</v>
      </c>
      <c r="X1935" s="153" t="s">
        <v>412</v>
      </c>
      <c r="Y1935" s="153" t="s">
        <v>339</v>
      </c>
      <c r="Z1935" s="154">
        <v>1647484</v>
      </c>
      <c r="AA1935" s="154">
        <v>1</v>
      </c>
      <c r="AB1935" s="154">
        <v>115.94</v>
      </c>
      <c r="AD1935" s="154">
        <v>1910.0930000000001</v>
      </c>
      <c r="AG1935" s="157" t="s">
        <v>15</v>
      </c>
      <c r="AH1935" s="155">
        <v>3.8899999999999998E-3</v>
      </c>
      <c r="AI1935" s="155">
        <f t="shared" si="30"/>
        <v>5.6757382993027185E-3</v>
      </c>
      <c r="AJ1935" s="155">
        <v>6.3077933893485863E-4</v>
      </c>
    </row>
    <row r="1936" spans="1:36" s="160" customFormat="1">
      <c r="A1936" s="153" t="s">
        <v>1213</v>
      </c>
      <c r="B1936" s="160">
        <v>9719</v>
      </c>
      <c r="C1936" s="153" t="s">
        <v>2032</v>
      </c>
      <c r="D1936" s="153" t="s">
        <v>2033</v>
      </c>
      <c r="E1936" s="153" t="s">
        <v>309</v>
      </c>
      <c r="F1936" s="153" t="s">
        <v>3373</v>
      </c>
      <c r="G1936" s="153" t="s">
        <v>3374</v>
      </c>
      <c r="H1936" s="153" t="s">
        <v>321</v>
      </c>
      <c r="I1936" s="153" t="s">
        <v>754</v>
      </c>
      <c r="J1936" s="153" t="s">
        <v>204</v>
      </c>
      <c r="K1936" s="153" t="s">
        <v>204</v>
      </c>
      <c r="L1936" s="153" t="s">
        <v>325</v>
      </c>
      <c r="M1936" s="153" t="s">
        <v>340</v>
      </c>
      <c r="N1936" s="153" t="s">
        <v>445</v>
      </c>
      <c r="O1936" s="153" t="s">
        <v>339</v>
      </c>
      <c r="P1936" s="153" t="s">
        <v>2011</v>
      </c>
      <c r="Q1936" s="153" t="s">
        <v>415</v>
      </c>
      <c r="R1936" s="153" t="s">
        <v>407</v>
      </c>
      <c r="S1936" s="153" t="s">
        <v>1212</v>
      </c>
      <c r="T1936" s="154">
        <v>2.0299999999999998</v>
      </c>
      <c r="U1936" s="153" t="s">
        <v>3375</v>
      </c>
      <c r="V1936" s="155">
        <v>-1.9400000000000001E-3</v>
      </c>
      <c r="W1936" s="155">
        <v>2.24E-2</v>
      </c>
      <c r="X1936" s="153" t="s">
        <v>412</v>
      </c>
      <c r="Y1936" s="153" t="s">
        <v>339</v>
      </c>
      <c r="Z1936" s="154">
        <v>1561366</v>
      </c>
      <c r="AA1936" s="154">
        <v>1</v>
      </c>
      <c r="AB1936" s="154">
        <v>117.98</v>
      </c>
      <c r="AD1936" s="154">
        <v>1842.1</v>
      </c>
      <c r="AG1936" s="157" t="s">
        <v>15</v>
      </c>
      <c r="AH1936" s="155">
        <v>3.82E-3</v>
      </c>
      <c r="AI1936" s="155">
        <f t="shared" si="30"/>
        <v>5.4737007680492715E-3</v>
      </c>
      <c r="AJ1936" s="155">
        <v>6.0832567851507914E-4</v>
      </c>
    </row>
    <row r="1937" spans="1:36" s="160" customFormat="1">
      <c r="A1937" s="153" t="s">
        <v>1213</v>
      </c>
      <c r="B1937" s="160">
        <v>9719</v>
      </c>
      <c r="C1937" s="153" t="s">
        <v>2136</v>
      </c>
      <c r="D1937" s="153" t="s">
        <v>2137</v>
      </c>
      <c r="E1937" s="153" t="s">
        <v>309</v>
      </c>
      <c r="F1937" s="153" t="s">
        <v>2461</v>
      </c>
      <c r="G1937" s="153" t="s">
        <v>2462</v>
      </c>
      <c r="H1937" s="153" t="s">
        <v>321</v>
      </c>
      <c r="I1937" s="153" t="s">
        <v>754</v>
      </c>
      <c r="J1937" s="153" t="s">
        <v>204</v>
      </c>
      <c r="K1937" s="153" t="s">
        <v>204</v>
      </c>
      <c r="L1937" s="153" t="s">
        <v>325</v>
      </c>
      <c r="M1937" s="153" t="s">
        <v>340</v>
      </c>
      <c r="N1937" s="153" t="s">
        <v>440</v>
      </c>
      <c r="O1937" s="153" t="s">
        <v>339</v>
      </c>
      <c r="P1937" s="153" t="s">
        <v>1566</v>
      </c>
      <c r="Q1937" s="153" t="s">
        <v>413</v>
      </c>
      <c r="R1937" s="153" t="s">
        <v>407</v>
      </c>
      <c r="S1937" s="153" t="s">
        <v>1212</v>
      </c>
      <c r="T1937" s="154">
        <v>2.09</v>
      </c>
      <c r="U1937" s="153" t="s">
        <v>2008</v>
      </c>
      <c r="V1937" s="155">
        <v>-1.32E-3</v>
      </c>
      <c r="W1937" s="155">
        <v>2.4199999999999999E-2</v>
      </c>
      <c r="X1937" s="153" t="s">
        <v>412</v>
      </c>
      <c r="Y1937" s="153" t="s">
        <v>339</v>
      </c>
      <c r="Z1937" s="154">
        <v>1577473.16</v>
      </c>
      <c r="AA1937" s="154">
        <v>1</v>
      </c>
      <c r="AB1937" s="154">
        <v>115.88</v>
      </c>
      <c r="AD1937" s="154">
        <v>1827.9760000000001</v>
      </c>
      <c r="AG1937" s="157" t="s">
        <v>15</v>
      </c>
      <c r="AH1937" s="155">
        <v>5.2399999999999999E-3</v>
      </c>
      <c r="AI1937" s="155">
        <f t="shared" si="30"/>
        <v>5.4317320640440998E-3</v>
      </c>
      <c r="AJ1937" s="155">
        <v>6.0366144102344088E-4</v>
      </c>
    </row>
    <row r="1938" spans="1:36" s="160" customFormat="1">
      <c r="A1938" s="153" t="s">
        <v>1213</v>
      </c>
      <c r="B1938" s="160">
        <v>9719</v>
      </c>
      <c r="C1938" s="153" t="s">
        <v>2228</v>
      </c>
      <c r="D1938" s="153" t="s">
        <v>2229</v>
      </c>
      <c r="E1938" s="153" t="s">
        <v>309</v>
      </c>
      <c r="F1938" s="153" t="s">
        <v>2230</v>
      </c>
      <c r="G1938" s="153" t="s">
        <v>2231</v>
      </c>
      <c r="H1938" s="153" t="s">
        <v>321</v>
      </c>
      <c r="I1938" s="153" t="s">
        <v>951</v>
      </c>
      <c r="J1938" s="153" t="s">
        <v>204</v>
      </c>
      <c r="K1938" s="153" t="s">
        <v>204</v>
      </c>
      <c r="L1938" s="153" t="s">
        <v>325</v>
      </c>
      <c r="M1938" s="153" t="s">
        <v>340</v>
      </c>
      <c r="N1938" s="153" t="s">
        <v>441</v>
      </c>
      <c r="O1938" s="153" t="s">
        <v>339</v>
      </c>
      <c r="P1938" s="153" t="s">
        <v>1614</v>
      </c>
      <c r="Q1938" s="153" t="s">
        <v>415</v>
      </c>
      <c r="R1938" s="153" t="s">
        <v>407</v>
      </c>
      <c r="S1938" s="153" t="s">
        <v>1212</v>
      </c>
      <c r="T1938" s="154">
        <v>1.74</v>
      </c>
      <c r="U1938" s="153" t="s">
        <v>2232</v>
      </c>
      <c r="V1938" s="155">
        <v>1.3259999999999999E-2</v>
      </c>
      <c r="W1938" s="155">
        <v>5.7200000000000001E-2</v>
      </c>
      <c r="X1938" s="153" t="s">
        <v>412</v>
      </c>
      <c r="Y1938" s="153" t="s">
        <v>339</v>
      </c>
      <c r="Z1938" s="154">
        <v>1825363.04</v>
      </c>
      <c r="AA1938" s="154">
        <v>1</v>
      </c>
      <c r="AB1938" s="154">
        <v>96.61</v>
      </c>
      <c r="AD1938" s="154">
        <v>1763.4829999999999</v>
      </c>
      <c r="AG1938" s="157" t="s">
        <v>15</v>
      </c>
      <c r="AH1938" s="155">
        <v>2.8400000000000001E-3</v>
      </c>
      <c r="AI1938" s="155">
        <f t="shared" si="30"/>
        <v>5.240094593964407E-3</v>
      </c>
      <c r="AJ1938" s="155">
        <v>5.8236360269518881E-4</v>
      </c>
    </row>
    <row r="1939" spans="1:36" s="160" customFormat="1">
      <c r="A1939" s="153" t="s">
        <v>1213</v>
      </c>
      <c r="B1939" s="160">
        <v>9719</v>
      </c>
      <c r="C1939" s="153" t="s">
        <v>2361</v>
      </c>
      <c r="D1939" s="153" t="s">
        <v>2362</v>
      </c>
      <c r="E1939" s="153" t="s">
        <v>309</v>
      </c>
      <c r="F1939" s="153" t="s">
        <v>2363</v>
      </c>
      <c r="G1939" s="153" t="s">
        <v>2364</v>
      </c>
      <c r="H1939" s="153" t="s">
        <v>321</v>
      </c>
      <c r="I1939" s="153" t="s">
        <v>951</v>
      </c>
      <c r="J1939" s="153" t="s">
        <v>204</v>
      </c>
      <c r="K1939" s="153" t="s">
        <v>204</v>
      </c>
      <c r="L1939" s="153" t="s">
        <v>325</v>
      </c>
      <c r="M1939" s="153" t="s">
        <v>340</v>
      </c>
      <c r="N1939" s="153" t="s">
        <v>446</v>
      </c>
      <c r="O1939" s="153" t="s">
        <v>339</v>
      </c>
      <c r="P1939" s="153" t="s">
        <v>1538</v>
      </c>
      <c r="Q1939" s="153" t="s">
        <v>413</v>
      </c>
      <c r="R1939" s="153" t="s">
        <v>407</v>
      </c>
      <c r="S1939" s="153" t="s">
        <v>1212</v>
      </c>
      <c r="T1939" s="154">
        <v>2.62</v>
      </c>
      <c r="U1939" s="153" t="s">
        <v>1587</v>
      </c>
      <c r="V1939" s="155">
        <v>4.7829999999999998E-2</v>
      </c>
      <c r="W1939" s="155">
        <v>5.2200000000000003E-2</v>
      </c>
      <c r="X1939" s="153" t="s">
        <v>412</v>
      </c>
      <c r="Y1939" s="153" t="s">
        <v>339</v>
      </c>
      <c r="Z1939" s="154">
        <v>1825595.83</v>
      </c>
      <c r="AA1939" s="154">
        <v>1</v>
      </c>
      <c r="AB1939" s="154">
        <v>90.15</v>
      </c>
      <c r="AD1939" s="154">
        <v>1645.7750000000001</v>
      </c>
      <c r="AG1939" s="157" t="s">
        <v>15</v>
      </c>
      <c r="AH1939" s="155">
        <v>1.9499999999999999E-3</v>
      </c>
      <c r="AI1939" s="155">
        <f t="shared" si="30"/>
        <v>4.8903316223529074E-3</v>
      </c>
      <c r="AJ1939" s="155">
        <v>5.434923150524697E-4</v>
      </c>
    </row>
    <row r="1940" spans="1:36" s="160" customFormat="1">
      <c r="A1940" s="153" t="s">
        <v>1213</v>
      </c>
      <c r="B1940" s="160">
        <v>9719</v>
      </c>
      <c r="C1940" s="153" t="s">
        <v>1973</v>
      </c>
      <c r="D1940" s="153" t="s">
        <v>1974</v>
      </c>
      <c r="E1940" s="153" t="s">
        <v>309</v>
      </c>
      <c r="F1940" s="153" t="s">
        <v>1975</v>
      </c>
      <c r="G1940" s="153" t="s">
        <v>1976</v>
      </c>
      <c r="H1940" s="153" t="s">
        <v>321</v>
      </c>
      <c r="I1940" s="153" t="s">
        <v>754</v>
      </c>
      <c r="J1940" s="153" t="s">
        <v>204</v>
      </c>
      <c r="K1940" s="153" t="s">
        <v>204</v>
      </c>
      <c r="L1940" s="153" t="s">
        <v>325</v>
      </c>
      <c r="M1940" s="153" t="s">
        <v>340</v>
      </c>
      <c r="N1940" s="153" t="s">
        <v>464</v>
      </c>
      <c r="O1940" s="153" t="s">
        <v>339</v>
      </c>
      <c r="P1940" s="153" t="s">
        <v>1538</v>
      </c>
      <c r="Q1940" s="153" t="s">
        <v>413</v>
      </c>
      <c r="R1940" s="153" t="s">
        <v>407</v>
      </c>
      <c r="S1940" s="153" t="s">
        <v>1212</v>
      </c>
      <c r="T1940" s="154">
        <v>2.25</v>
      </c>
      <c r="U1940" s="153" t="s">
        <v>1343</v>
      </c>
      <c r="V1940" s="155">
        <v>2.8500000000000001E-3</v>
      </c>
      <c r="W1940" s="155">
        <v>2.47E-2</v>
      </c>
      <c r="X1940" s="153" t="s">
        <v>412</v>
      </c>
      <c r="Y1940" s="153" t="s">
        <v>339</v>
      </c>
      <c r="Z1940" s="154">
        <v>1360551.16</v>
      </c>
      <c r="AA1940" s="154">
        <v>1</v>
      </c>
      <c r="AB1940" s="154">
        <v>116.75</v>
      </c>
      <c r="AD1940" s="154">
        <v>1588.443</v>
      </c>
      <c r="AG1940" s="157" t="s">
        <v>15</v>
      </c>
      <c r="AH1940" s="155">
        <v>3.7699999999999999E-3</v>
      </c>
      <c r="AI1940" s="155">
        <f t="shared" si="30"/>
        <v>4.7199726774347153E-3</v>
      </c>
      <c r="AJ1940" s="155">
        <v>5.2455928872348291E-4</v>
      </c>
    </row>
    <row r="1941" spans="1:36" s="160" customFormat="1">
      <c r="A1941" s="153" t="s">
        <v>1213</v>
      </c>
      <c r="B1941" s="160">
        <v>9719</v>
      </c>
      <c r="C1941" s="153" t="s">
        <v>1674</v>
      </c>
      <c r="D1941" s="153" t="s">
        <v>1675</v>
      </c>
      <c r="E1941" s="153" t="s">
        <v>309</v>
      </c>
      <c r="F1941" s="153" t="s">
        <v>1980</v>
      </c>
      <c r="G1941" s="153" t="s">
        <v>1981</v>
      </c>
      <c r="H1941" s="153" t="s">
        <v>321</v>
      </c>
      <c r="I1941" s="153" t="s">
        <v>754</v>
      </c>
      <c r="J1941" s="153" t="s">
        <v>204</v>
      </c>
      <c r="K1941" s="153" t="s">
        <v>204</v>
      </c>
      <c r="L1941" s="153" t="s">
        <v>325</v>
      </c>
      <c r="M1941" s="153" t="s">
        <v>340</v>
      </c>
      <c r="N1941" s="153" t="s">
        <v>464</v>
      </c>
      <c r="O1941" s="153" t="s">
        <v>339</v>
      </c>
      <c r="P1941" s="153" t="s">
        <v>1982</v>
      </c>
      <c r="Q1941" s="153" t="s">
        <v>415</v>
      </c>
      <c r="R1941" s="153" t="s">
        <v>407</v>
      </c>
      <c r="S1941" s="153" t="s">
        <v>1212</v>
      </c>
      <c r="T1941" s="154">
        <v>0.6</v>
      </c>
      <c r="U1941" s="153" t="s">
        <v>1983</v>
      </c>
      <c r="V1941" s="155">
        <v>-9.2000000000000003E-4</v>
      </c>
      <c r="W1941" s="155">
        <v>2.81E-2</v>
      </c>
      <c r="X1941" s="153" t="s">
        <v>412</v>
      </c>
      <c r="Y1941" s="153" t="s">
        <v>339</v>
      </c>
      <c r="Z1941" s="154">
        <v>1189277.1200000001</v>
      </c>
      <c r="AA1941" s="154">
        <v>1</v>
      </c>
      <c r="AB1941" s="154">
        <v>116.48</v>
      </c>
      <c r="AD1941" s="154">
        <v>1385.27</v>
      </c>
      <c r="AG1941" s="157" t="s">
        <v>15</v>
      </c>
      <c r="AH1941" s="155">
        <v>5.0499999999999998E-3</v>
      </c>
      <c r="AI1941" s="155">
        <f t="shared" si="30"/>
        <v>4.1162550691903887E-3</v>
      </c>
      <c r="AJ1941" s="155">
        <v>4.574644767800791E-4</v>
      </c>
    </row>
    <row r="1942" spans="1:36" s="160" customFormat="1">
      <c r="A1942" s="153" t="s">
        <v>1213</v>
      </c>
      <c r="B1942" s="160">
        <v>9719</v>
      </c>
      <c r="C1942" s="153" t="s">
        <v>2741</v>
      </c>
      <c r="D1942" s="153" t="s">
        <v>2742</v>
      </c>
      <c r="E1942" s="153" t="s">
        <v>309</v>
      </c>
      <c r="F1942" s="153" t="s">
        <v>3025</v>
      </c>
      <c r="G1942" s="153" t="s">
        <v>3026</v>
      </c>
      <c r="H1942" s="153" t="s">
        <v>321</v>
      </c>
      <c r="I1942" s="153" t="s">
        <v>754</v>
      </c>
      <c r="J1942" s="153" t="s">
        <v>204</v>
      </c>
      <c r="K1942" s="153" t="s">
        <v>204</v>
      </c>
      <c r="L1942" s="153" t="s">
        <v>325</v>
      </c>
      <c r="M1942" s="153" t="s">
        <v>340</v>
      </c>
      <c r="N1942" s="153" t="s">
        <v>464</v>
      </c>
      <c r="O1942" s="153" t="s">
        <v>339</v>
      </c>
      <c r="P1942" s="153" t="s">
        <v>1544</v>
      </c>
      <c r="Q1942" s="153" t="s">
        <v>415</v>
      </c>
      <c r="R1942" s="153" t="s">
        <v>407</v>
      </c>
      <c r="S1942" s="153" t="s">
        <v>1212</v>
      </c>
      <c r="T1942" s="154">
        <v>1.1599999999999999</v>
      </c>
      <c r="U1942" s="153" t="s">
        <v>1777</v>
      </c>
      <c r="V1942" s="155">
        <v>1.5890000000000001E-2</v>
      </c>
      <c r="W1942" s="155">
        <v>2.58E-2</v>
      </c>
      <c r="X1942" s="153" t="s">
        <v>412</v>
      </c>
      <c r="Y1942" s="153" t="s">
        <v>339</v>
      </c>
      <c r="Z1942" s="154">
        <v>1175879.8400000001</v>
      </c>
      <c r="AA1942" s="154">
        <v>1</v>
      </c>
      <c r="AB1942" s="154">
        <v>117.36</v>
      </c>
      <c r="AD1942" s="154">
        <v>1380.0129999999999</v>
      </c>
      <c r="AG1942" s="157" t="s">
        <v>15</v>
      </c>
      <c r="AH1942" s="155">
        <v>3.5599999999999998E-3</v>
      </c>
      <c r="AI1942" s="155">
        <f t="shared" si="30"/>
        <v>4.1006341773074098E-3</v>
      </c>
      <c r="AJ1942" s="155">
        <v>4.5572843199860477E-4</v>
      </c>
    </row>
    <row r="1943" spans="1:36" s="160" customFormat="1">
      <c r="A1943" s="153" t="s">
        <v>1213</v>
      </c>
      <c r="B1943" s="160">
        <v>9719</v>
      </c>
      <c r="C1943" s="153" t="s">
        <v>2356</v>
      </c>
      <c r="D1943" s="153" t="s">
        <v>2357</v>
      </c>
      <c r="E1943" s="153" t="s">
        <v>309</v>
      </c>
      <c r="F1943" s="153" t="s">
        <v>2358</v>
      </c>
      <c r="G1943" s="153" t="s">
        <v>2359</v>
      </c>
      <c r="H1943" s="153" t="s">
        <v>321</v>
      </c>
      <c r="I1943" s="153" t="s">
        <v>754</v>
      </c>
      <c r="J1943" s="153" t="s">
        <v>204</v>
      </c>
      <c r="K1943" s="153" t="s">
        <v>204</v>
      </c>
      <c r="L1943" s="153" t="s">
        <v>325</v>
      </c>
      <c r="M1943" s="153" t="s">
        <v>340</v>
      </c>
      <c r="N1943" s="153" t="s">
        <v>447</v>
      </c>
      <c r="O1943" s="153" t="s">
        <v>339</v>
      </c>
      <c r="P1943" s="153" t="s">
        <v>1560</v>
      </c>
      <c r="Q1943" s="153" t="s">
        <v>413</v>
      </c>
      <c r="R1943" s="153" t="s">
        <v>407</v>
      </c>
      <c r="S1943" s="153" t="s">
        <v>1212</v>
      </c>
      <c r="T1943" s="154">
        <v>2.79</v>
      </c>
      <c r="U1943" s="153" t="s">
        <v>2360</v>
      </c>
      <c r="V1943" s="155">
        <v>4.3400000000000001E-3</v>
      </c>
      <c r="W1943" s="155">
        <v>3.95E-2</v>
      </c>
      <c r="X1943" s="153" t="s">
        <v>412</v>
      </c>
      <c r="Y1943" s="153" t="s">
        <v>339</v>
      </c>
      <c r="Z1943" s="154">
        <v>1150916.72</v>
      </c>
      <c r="AA1943" s="154">
        <v>1</v>
      </c>
      <c r="AB1943" s="154">
        <v>117.74</v>
      </c>
      <c r="AD1943" s="154">
        <v>1355.0889999999999</v>
      </c>
      <c r="AG1943" s="157" t="s">
        <v>15</v>
      </c>
      <c r="AH1943" s="155">
        <v>8.0999999999999996E-4</v>
      </c>
      <c r="AI1943" s="155">
        <f t="shared" si="30"/>
        <v>4.0265738559660822E-3</v>
      </c>
      <c r="AJ1943" s="155">
        <v>4.4749765776739593E-4</v>
      </c>
    </row>
    <row r="1944" spans="1:36" s="160" customFormat="1">
      <c r="A1944" s="153" t="s">
        <v>1213</v>
      </c>
      <c r="B1944" s="160">
        <v>9719</v>
      </c>
      <c r="C1944" s="153" t="s">
        <v>2273</v>
      </c>
      <c r="D1944" s="153" t="s">
        <v>2274</v>
      </c>
      <c r="E1944" s="153" t="s">
        <v>309</v>
      </c>
      <c r="F1944" s="153" t="s">
        <v>2303</v>
      </c>
      <c r="G1944" s="153" t="s">
        <v>2304</v>
      </c>
      <c r="H1944" s="153" t="s">
        <v>321</v>
      </c>
      <c r="I1944" s="153" t="s">
        <v>754</v>
      </c>
      <c r="J1944" s="153" t="s">
        <v>204</v>
      </c>
      <c r="K1944" s="153" t="s">
        <v>204</v>
      </c>
      <c r="L1944" s="153" t="s">
        <v>325</v>
      </c>
      <c r="M1944" s="153" t="s">
        <v>340</v>
      </c>
      <c r="N1944" s="153" t="s">
        <v>477</v>
      </c>
      <c r="O1944" s="153" t="s">
        <v>339</v>
      </c>
      <c r="P1944" s="153" t="s">
        <v>1215</v>
      </c>
      <c r="Q1944" s="153" t="s">
        <v>413</v>
      </c>
      <c r="R1944" s="153" t="s">
        <v>407</v>
      </c>
      <c r="S1944" s="153" t="s">
        <v>1212</v>
      </c>
      <c r="T1944" s="154">
        <v>11.44</v>
      </c>
      <c r="U1944" s="153" t="s">
        <v>2305</v>
      </c>
      <c r="V1944" s="155">
        <v>2.6939999999999999E-2</v>
      </c>
      <c r="W1944" s="155">
        <v>3.2899999999999999E-2</v>
      </c>
      <c r="X1944" s="153" t="s">
        <v>412</v>
      </c>
      <c r="Y1944" s="153" t="s">
        <v>339</v>
      </c>
      <c r="Z1944" s="154">
        <v>1308615</v>
      </c>
      <c r="AA1944" s="154">
        <v>1</v>
      </c>
      <c r="AB1944" s="154">
        <v>99.37</v>
      </c>
      <c r="AD1944" s="154">
        <v>1300.3710000000001</v>
      </c>
      <c r="AG1944" s="157" t="s">
        <v>15</v>
      </c>
      <c r="AH1944" s="155">
        <v>2.9E-4</v>
      </c>
      <c r="AI1944" s="155">
        <f t="shared" si="30"/>
        <v>3.8639822710216602E-3</v>
      </c>
      <c r="AJ1944" s="155">
        <v>4.2942786542333859E-4</v>
      </c>
    </row>
    <row r="1945" spans="1:36" s="160" customFormat="1">
      <c r="A1945" s="153" t="s">
        <v>1213</v>
      </c>
      <c r="B1945" s="160">
        <v>9719</v>
      </c>
      <c r="C1945" s="153" t="s">
        <v>1674</v>
      </c>
      <c r="D1945" s="153" t="s">
        <v>1675</v>
      </c>
      <c r="E1945" s="153" t="s">
        <v>309</v>
      </c>
      <c r="F1945" s="153" t="s">
        <v>3376</v>
      </c>
      <c r="G1945" s="153" t="s">
        <v>3377</v>
      </c>
      <c r="H1945" s="153" t="s">
        <v>321</v>
      </c>
      <c r="I1945" s="153" t="s">
        <v>754</v>
      </c>
      <c r="J1945" s="153" t="s">
        <v>204</v>
      </c>
      <c r="K1945" s="153" t="s">
        <v>204</v>
      </c>
      <c r="L1945" s="153" t="s">
        <v>325</v>
      </c>
      <c r="M1945" s="153" t="s">
        <v>340</v>
      </c>
      <c r="N1945" s="153" t="s">
        <v>464</v>
      </c>
      <c r="O1945" s="153" t="s">
        <v>339</v>
      </c>
      <c r="P1945" s="153" t="s">
        <v>1982</v>
      </c>
      <c r="Q1945" s="153" t="s">
        <v>415</v>
      </c>
      <c r="R1945" s="153" t="s">
        <v>407</v>
      </c>
      <c r="S1945" s="153" t="s">
        <v>1212</v>
      </c>
      <c r="T1945" s="154">
        <v>1.2</v>
      </c>
      <c r="U1945" s="153" t="s">
        <v>3378</v>
      </c>
      <c r="V1945" s="155">
        <v>7.1199999999999996E-3</v>
      </c>
      <c r="W1945" s="155">
        <v>2.5600000000000001E-2</v>
      </c>
      <c r="X1945" s="153" t="s">
        <v>412</v>
      </c>
      <c r="Y1945" s="153" t="s">
        <v>339</v>
      </c>
      <c r="Z1945" s="154">
        <v>1114997.82</v>
      </c>
      <c r="AA1945" s="154">
        <v>1</v>
      </c>
      <c r="AB1945" s="154">
        <v>116.19</v>
      </c>
      <c r="AD1945" s="154">
        <v>1295.5160000000001</v>
      </c>
      <c r="AG1945" s="157" t="s">
        <v>15</v>
      </c>
      <c r="AH1945" s="155">
        <v>2.2100000000000002E-3</v>
      </c>
      <c r="AI1945" s="155">
        <f t="shared" si="30"/>
        <v>3.8495559004506383E-3</v>
      </c>
      <c r="AJ1945" s="155">
        <v>4.2782457506494834E-4</v>
      </c>
    </row>
    <row r="1946" spans="1:36" s="160" customFormat="1">
      <c r="A1946" s="153" t="s">
        <v>1213</v>
      </c>
      <c r="B1946" s="160">
        <v>9719</v>
      </c>
      <c r="C1946" s="153" t="s">
        <v>2780</v>
      </c>
      <c r="D1946" s="153" t="s">
        <v>2781</v>
      </c>
      <c r="E1946" s="153" t="s">
        <v>309</v>
      </c>
      <c r="F1946" s="153" t="s">
        <v>3017</v>
      </c>
      <c r="G1946" s="153" t="s">
        <v>3018</v>
      </c>
      <c r="H1946" s="153" t="s">
        <v>321</v>
      </c>
      <c r="I1946" s="153" t="s">
        <v>754</v>
      </c>
      <c r="J1946" s="153" t="s">
        <v>204</v>
      </c>
      <c r="K1946" s="153" t="s">
        <v>204</v>
      </c>
      <c r="L1946" s="153" t="s">
        <v>325</v>
      </c>
      <c r="M1946" s="153" t="s">
        <v>340</v>
      </c>
      <c r="N1946" s="153" t="s">
        <v>464</v>
      </c>
      <c r="O1946" s="153" t="s">
        <v>339</v>
      </c>
      <c r="P1946" s="153" t="s">
        <v>1521</v>
      </c>
      <c r="Q1946" s="153" t="s">
        <v>413</v>
      </c>
      <c r="R1946" s="153" t="s">
        <v>407</v>
      </c>
      <c r="S1946" s="153" t="s">
        <v>1212</v>
      </c>
      <c r="T1946" s="154">
        <v>3.43</v>
      </c>
      <c r="U1946" s="153" t="s">
        <v>1266</v>
      </c>
      <c r="V1946" s="155">
        <v>1.653E-2</v>
      </c>
      <c r="W1946" s="155">
        <v>2.8899999999999999E-2</v>
      </c>
      <c r="X1946" s="153" t="s">
        <v>412</v>
      </c>
      <c r="Y1946" s="153" t="s">
        <v>339</v>
      </c>
      <c r="Z1946" s="154">
        <v>1084037.3600000001</v>
      </c>
      <c r="AA1946" s="154">
        <v>1</v>
      </c>
      <c r="AB1946" s="154">
        <v>112.07</v>
      </c>
      <c r="AD1946" s="154">
        <v>1214.8810000000001</v>
      </c>
      <c r="AG1946" s="157" t="s">
        <v>15</v>
      </c>
      <c r="AH1946" s="155">
        <v>5.5599999999999998E-3</v>
      </c>
      <c r="AI1946" s="155">
        <f t="shared" si="30"/>
        <v>3.6099533482375919E-3</v>
      </c>
      <c r="AJ1946" s="155">
        <v>4.0119608525057156E-4</v>
      </c>
    </row>
    <row r="1947" spans="1:36" s="160" customFormat="1">
      <c r="A1947" s="153" t="s">
        <v>1213</v>
      </c>
      <c r="B1947" s="160">
        <v>9719</v>
      </c>
      <c r="C1947" s="153" t="s">
        <v>2576</v>
      </c>
      <c r="D1947" s="153" t="s">
        <v>2577</v>
      </c>
      <c r="E1947" s="153" t="s">
        <v>309</v>
      </c>
      <c r="F1947" s="153" t="s">
        <v>2584</v>
      </c>
      <c r="G1947" s="153" t="s">
        <v>2585</v>
      </c>
      <c r="H1947" s="153" t="s">
        <v>321</v>
      </c>
      <c r="I1947" s="153" t="s">
        <v>951</v>
      </c>
      <c r="J1947" s="153" t="s">
        <v>204</v>
      </c>
      <c r="K1947" s="153" t="s">
        <v>204</v>
      </c>
      <c r="L1947" s="153" t="s">
        <v>325</v>
      </c>
      <c r="M1947" s="153" t="s">
        <v>340</v>
      </c>
      <c r="N1947" s="153" t="s">
        <v>451</v>
      </c>
      <c r="O1947" s="153" t="s">
        <v>339</v>
      </c>
      <c r="P1947" s="153" t="s">
        <v>1521</v>
      </c>
      <c r="Q1947" s="153" t="s">
        <v>413</v>
      </c>
      <c r="R1947" s="153" t="s">
        <v>407</v>
      </c>
      <c r="S1947" s="153" t="s">
        <v>1212</v>
      </c>
      <c r="T1947" s="154">
        <v>1.49</v>
      </c>
      <c r="U1947" s="153" t="s">
        <v>1522</v>
      </c>
      <c r="V1947" s="155">
        <v>2.1000000000000001E-2</v>
      </c>
      <c r="W1947" s="155">
        <v>5.4399999999999997E-2</v>
      </c>
      <c r="X1947" s="153" t="s">
        <v>412</v>
      </c>
      <c r="Y1947" s="153" t="s">
        <v>339</v>
      </c>
      <c r="Z1947" s="154">
        <v>1245538.17</v>
      </c>
      <c r="AA1947" s="154">
        <v>1</v>
      </c>
      <c r="AB1947" s="154">
        <v>97.46</v>
      </c>
      <c r="AD1947" s="154">
        <v>1213.902</v>
      </c>
      <c r="AG1947" s="157" t="s">
        <v>15</v>
      </c>
      <c r="AH1947" s="155">
        <v>6.0000000000000001E-3</v>
      </c>
      <c r="AI1947" s="155">
        <f t="shared" si="30"/>
        <v>3.60704430255499E-3</v>
      </c>
      <c r="AJ1947" s="155">
        <v>4.0087278529982715E-4</v>
      </c>
    </row>
    <row r="1948" spans="1:36" s="160" customFormat="1">
      <c r="A1948" s="153" t="s">
        <v>1213</v>
      </c>
      <c r="B1948" s="160">
        <v>9719</v>
      </c>
      <c r="C1948" s="153" t="s">
        <v>2328</v>
      </c>
      <c r="D1948" s="153" t="s">
        <v>2329</v>
      </c>
      <c r="E1948" s="153" t="s">
        <v>309</v>
      </c>
      <c r="F1948" s="153" t="s">
        <v>3031</v>
      </c>
      <c r="G1948" s="153" t="s">
        <v>3032</v>
      </c>
      <c r="H1948" s="153" t="s">
        <v>321</v>
      </c>
      <c r="I1948" s="153" t="s">
        <v>951</v>
      </c>
      <c r="J1948" s="153" t="s">
        <v>204</v>
      </c>
      <c r="K1948" s="153" t="s">
        <v>204</v>
      </c>
      <c r="L1948" s="153" t="s">
        <v>325</v>
      </c>
      <c r="M1948" s="153" t="s">
        <v>340</v>
      </c>
      <c r="N1948" s="153" t="s">
        <v>465</v>
      </c>
      <c r="O1948" s="153" t="s">
        <v>339</v>
      </c>
      <c r="P1948" s="153" t="s">
        <v>1923</v>
      </c>
      <c r="Q1948" s="153" t="s">
        <v>415</v>
      </c>
      <c r="R1948" s="153" t="s">
        <v>407</v>
      </c>
      <c r="S1948" s="153" t="s">
        <v>1212</v>
      </c>
      <c r="T1948" s="154">
        <v>2.0099999999999998</v>
      </c>
      <c r="U1948" s="153" t="s">
        <v>1659</v>
      </c>
      <c r="V1948" s="155">
        <v>2.7730000000000001E-2</v>
      </c>
      <c r="W1948" s="155">
        <v>5.5100000000000003E-2</v>
      </c>
      <c r="X1948" s="153" t="s">
        <v>412</v>
      </c>
      <c r="Y1948" s="153" t="s">
        <v>339</v>
      </c>
      <c r="Z1948" s="154">
        <v>1222527.3</v>
      </c>
      <c r="AA1948" s="154">
        <v>1</v>
      </c>
      <c r="AB1948" s="154">
        <v>95.5</v>
      </c>
      <c r="AD1948" s="154">
        <v>1167.5139999999999</v>
      </c>
      <c r="AG1948" s="157" t="s">
        <v>15</v>
      </c>
      <c r="AH1948" s="155">
        <v>1.533E-2</v>
      </c>
      <c r="AI1948" s="155">
        <f t="shared" si="30"/>
        <v>3.4692048632041024E-3</v>
      </c>
      <c r="AJ1948" s="155">
        <v>3.8555384953360515E-4</v>
      </c>
    </row>
    <row r="1949" spans="1:36" s="160" customFormat="1">
      <c r="A1949" s="153" t="s">
        <v>1213</v>
      </c>
      <c r="B1949" s="160">
        <v>9719</v>
      </c>
      <c r="C1949" s="153" t="s">
        <v>1807</v>
      </c>
      <c r="D1949" s="153" t="s">
        <v>1808</v>
      </c>
      <c r="E1949" s="153" t="s">
        <v>309</v>
      </c>
      <c r="F1949" s="153" t="s">
        <v>2295</v>
      </c>
      <c r="G1949" s="153" t="s">
        <v>2296</v>
      </c>
      <c r="H1949" s="153" t="s">
        <v>321</v>
      </c>
      <c r="I1949" s="153" t="s">
        <v>754</v>
      </c>
      <c r="J1949" s="153" t="s">
        <v>204</v>
      </c>
      <c r="K1949" s="153" t="s">
        <v>204</v>
      </c>
      <c r="L1949" s="153" t="s">
        <v>325</v>
      </c>
      <c r="M1949" s="153" t="s">
        <v>340</v>
      </c>
      <c r="N1949" s="153" t="s">
        <v>464</v>
      </c>
      <c r="O1949" s="153" t="s">
        <v>339</v>
      </c>
      <c r="P1949" s="153" t="s">
        <v>1923</v>
      </c>
      <c r="Q1949" s="153" t="s">
        <v>415</v>
      </c>
      <c r="R1949" s="153" t="s">
        <v>407</v>
      </c>
      <c r="S1949" s="153" t="s">
        <v>1212</v>
      </c>
      <c r="T1949" s="154">
        <v>2.89</v>
      </c>
      <c r="U1949" s="153" t="s">
        <v>2297</v>
      </c>
      <c r="V1949" s="155">
        <v>2.8340000000000001E-2</v>
      </c>
      <c r="W1949" s="155">
        <v>2.8199999999999999E-2</v>
      </c>
      <c r="X1949" s="153" t="s">
        <v>412</v>
      </c>
      <c r="Y1949" s="153" t="s">
        <v>339</v>
      </c>
      <c r="Z1949" s="154">
        <v>1000000</v>
      </c>
      <c r="AA1949" s="154">
        <v>1</v>
      </c>
      <c r="AB1949" s="154">
        <v>112.38</v>
      </c>
      <c r="AD1949" s="154">
        <v>1123.8</v>
      </c>
      <c r="AG1949" s="157" t="s">
        <v>15</v>
      </c>
      <c r="AH1949" s="155">
        <v>3.8000000000000002E-4</v>
      </c>
      <c r="AI1949" s="155">
        <f t="shared" si="30"/>
        <v>3.3393110705899633E-3</v>
      </c>
      <c r="AJ1949" s="155">
        <v>3.7111796184531018E-4</v>
      </c>
    </row>
    <row r="1950" spans="1:36" s="160" customFormat="1">
      <c r="A1950" s="153" t="s">
        <v>1213</v>
      </c>
      <c r="B1950" s="160">
        <v>9719</v>
      </c>
      <c r="C1950" s="153" t="s">
        <v>2328</v>
      </c>
      <c r="D1950" s="153" t="s">
        <v>2329</v>
      </c>
      <c r="E1950" s="153" t="s">
        <v>309</v>
      </c>
      <c r="F1950" s="153" t="s">
        <v>2417</v>
      </c>
      <c r="G1950" s="153" t="s">
        <v>2418</v>
      </c>
      <c r="H1950" s="153" t="s">
        <v>321</v>
      </c>
      <c r="I1950" s="153" t="s">
        <v>951</v>
      </c>
      <c r="J1950" s="153" t="s">
        <v>204</v>
      </c>
      <c r="K1950" s="153" t="s">
        <v>204</v>
      </c>
      <c r="L1950" s="153" t="s">
        <v>325</v>
      </c>
      <c r="M1950" s="153" t="s">
        <v>340</v>
      </c>
      <c r="N1950" s="153" t="s">
        <v>465</v>
      </c>
      <c r="O1950" s="153" t="s">
        <v>339</v>
      </c>
      <c r="P1950" s="153" t="s">
        <v>2011</v>
      </c>
      <c r="Q1950" s="153" t="s">
        <v>415</v>
      </c>
      <c r="R1950" s="153" t="s">
        <v>407</v>
      </c>
      <c r="S1950" s="153" t="s">
        <v>1212</v>
      </c>
      <c r="T1950" s="154">
        <v>0.82</v>
      </c>
      <c r="U1950" s="153" t="s">
        <v>2419</v>
      </c>
      <c r="V1950" s="155">
        <v>2.7119999999999998E-2</v>
      </c>
      <c r="W1950" s="155">
        <v>4.7699999999999999E-2</v>
      </c>
      <c r="X1950" s="153" t="s">
        <v>412</v>
      </c>
      <c r="Y1950" s="153" t="s">
        <v>339</v>
      </c>
      <c r="Z1950" s="154">
        <v>1104001.6200000001</v>
      </c>
      <c r="AA1950" s="154">
        <v>1</v>
      </c>
      <c r="AB1950" s="154">
        <v>101.17</v>
      </c>
      <c r="AD1950" s="154">
        <v>1116.9179999999999</v>
      </c>
      <c r="AG1950" s="157" t="s">
        <v>15</v>
      </c>
      <c r="AH1950" s="155">
        <v>5.8399999999999997E-3</v>
      </c>
      <c r="AI1950" s="155">
        <f t="shared" si="30"/>
        <v>3.318861578876313E-3</v>
      </c>
      <c r="AJ1950" s="155">
        <v>3.6884528537848383E-4</v>
      </c>
    </row>
    <row r="1951" spans="1:36" s="160" customFormat="1">
      <c r="A1951" s="153" t="s">
        <v>1213</v>
      </c>
      <c r="B1951" s="160">
        <v>9719</v>
      </c>
      <c r="C1951" s="153" t="s">
        <v>1917</v>
      </c>
      <c r="D1951" s="153" t="s">
        <v>1918</v>
      </c>
      <c r="E1951" s="153" t="s">
        <v>309</v>
      </c>
      <c r="F1951" s="153" t="s">
        <v>3379</v>
      </c>
      <c r="G1951" s="153" t="s">
        <v>3380</v>
      </c>
      <c r="H1951" s="153" t="s">
        <v>321</v>
      </c>
      <c r="I1951" s="153" t="s">
        <v>951</v>
      </c>
      <c r="J1951" s="153" t="s">
        <v>204</v>
      </c>
      <c r="K1951" s="153" t="s">
        <v>204</v>
      </c>
      <c r="L1951" s="153" t="s">
        <v>325</v>
      </c>
      <c r="M1951" s="153" t="s">
        <v>340</v>
      </c>
      <c r="N1951" s="153" t="s">
        <v>447</v>
      </c>
      <c r="O1951" s="153" t="s">
        <v>339</v>
      </c>
      <c r="P1951" s="153" t="s">
        <v>1560</v>
      </c>
      <c r="Q1951" s="153" t="s">
        <v>413</v>
      </c>
      <c r="R1951" s="153" t="s">
        <v>407</v>
      </c>
      <c r="S1951" s="153" t="s">
        <v>1212</v>
      </c>
      <c r="T1951" s="154">
        <v>2.13</v>
      </c>
      <c r="U1951" s="153" t="s">
        <v>3381</v>
      </c>
      <c r="V1951" s="155">
        <v>3.1940000000000003E-2</v>
      </c>
      <c r="W1951" s="155">
        <v>6.1199999999999997E-2</v>
      </c>
      <c r="X1951" s="153" t="s">
        <v>412</v>
      </c>
      <c r="Y1951" s="153" t="s">
        <v>339</v>
      </c>
      <c r="Z1951" s="154">
        <v>1092213.4099999999</v>
      </c>
      <c r="AA1951" s="154">
        <v>1</v>
      </c>
      <c r="AB1951" s="154">
        <v>97.33</v>
      </c>
      <c r="AD1951" s="154">
        <v>1063.0509999999999</v>
      </c>
      <c r="AG1951" s="157" t="s">
        <v>15</v>
      </c>
      <c r="AH1951" s="155">
        <v>1.1999999999999999E-3</v>
      </c>
      <c r="AI1951" s="155">
        <f t="shared" si="30"/>
        <v>3.158798694520138E-3</v>
      </c>
      <c r="AJ1951" s="155">
        <v>3.5105652292010932E-4</v>
      </c>
    </row>
    <row r="1952" spans="1:36" s="160" customFormat="1">
      <c r="A1952" s="153" t="s">
        <v>1213</v>
      </c>
      <c r="B1952" s="160">
        <v>9719</v>
      </c>
      <c r="C1952" s="153" t="s">
        <v>1600</v>
      </c>
      <c r="D1952" s="153" t="s">
        <v>1601</v>
      </c>
      <c r="E1952" s="153" t="s">
        <v>309</v>
      </c>
      <c r="F1952" s="153" t="s">
        <v>2353</v>
      </c>
      <c r="G1952" s="153" t="s">
        <v>2354</v>
      </c>
      <c r="H1952" s="153" t="s">
        <v>321</v>
      </c>
      <c r="I1952" s="153" t="s">
        <v>754</v>
      </c>
      <c r="J1952" s="153" t="s">
        <v>204</v>
      </c>
      <c r="K1952" s="153" t="s">
        <v>204</v>
      </c>
      <c r="L1952" s="153" t="s">
        <v>325</v>
      </c>
      <c r="M1952" s="153" t="s">
        <v>340</v>
      </c>
      <c r="N1952" s="153" t="s">
        <v>448</v>
      </c>
      <c r="O1952" s="153" t="s">
        <v>339</v>
      </c>
      <c r="P1952" s="153" t="s">
        <v>1215</v>
      </c>
      <c r="Q1952" s="153" t="s">
        <v>413</v>
      </c>
      <c r="R1952" s="153" t="s">
        <v>407</v>
      </c>
      <c r="S1952" s="153" t="s">
        <v>1212</v>
      </c>
      <c r="T1952" s="154">
        <v>2.04</v>
      </c>
      <c r="U1952" s="153" t="s">
        <v>2355</v>
      </c>
      <c r="V1952" s="155">
        <v>6.0000000000000001E-3</v>
      </c>
      <c r="W1952" s="155">
        <v>2.07E-2</v>
      </c>
      <c r="X1952" s="153" t="s">
        <v>412</v>
      </c>
      <c r="Y1952" s="153" t="s">
        <v>339</v>
      </c>
      <c r="Z1952" s="154">
        <v>929978</v>
      </c>
      <c r="AA1952" s="154">
        <v>1</v>
      </c>
      <c r="AB1952" s="154">
        <v>113.24</v>
      </c>
      <c r="AD1952" s="154">
        <v>1053.107</v>
      </c>
      <c r="AG1952" s="157" t="s">
        <v>15</v>
      </c>
      <c r="AH1952" s="155">
        <v>1.0499999999999999E-3</v>
      </c>
      <c r="AI1952" s="155">
        <f t="shared" si="30"/>
        <v>3.1292506350024778E-3</v>
      </c>
      <c r="AJ1952" s="155">
        <v>3.4777266724063811E-4</v>
      </c>
    </row>
    <row r="1953" spans="1:36" s="160" customFormat="1">
      <c r="A1953" s="153" t="s">
        <v>1213</v>
      </c>
      <c r="B1953" s="160">
        <v>9719</v>
      </c>
      <c r="C1953" s="153" t="s">
        <v>2136</v>
      </c>
      <c r="D1953" s="153" t="s">
        <v>2137</v>
      </c>
      <c r="E1953" s="153" t="s">
        <v>309</v>
      </c>
      <c r="F1953" s="153" t="s">
        <v>2698</v>
      </c>
      <c r="G1953" s="153" t="s">
        <v>2699</v>
      </c>
      <c r="H1953" s="153" t="s">
        <v>321</v>
      </c>
      <c r="I1953" s="153" t="s">
        <v>754</v>
      </c>
      <c r="J1953" s="153" t="s">
        <v>204</v>
      </c>
      <c r="K1953" s="153" t="s">
        <v>204</v>
      </c>
      <c r="L1953" s="153" t="s">
        <v>325</v>
      </c>
      <c r="M1953" s="153" t="s">
        <v>340</v>
      </c>
      <c r="N1953" s="153" t="s">
        <v>440</v>
      </c>
      <c r="O1953" s="153" t="s">
        <v>339</v>
      </c>
      <c r="P1953" s="153" t="s">
        <v>1566</v>
      </c>
      <c r="Q1953" s="153" t="s">
        <v>413</v>
      </c>
      <c r="R1953" s="153" t="s">
        <v>407</v>
      </c>
      <c r="S1953" s="153" t="s">
        <v>1212</v>
      </c>
      <c r="T1953" s="154">
        <v>3.07</v>
      </c>
      <c r="U1953" s="153" t="s">
        <v>2700</v>
      </c>
      <c r="V1953" s="155">
        <v>2.1899999999999999E-2</v>
      </c>
      <c r="W1953" s="155">
        <v>2.5999999999999999E-2</v>
      </c>
      <c r="X1953" s="153" t="s">
        <v>412</v>
      </c>
      <c r="Y1953" s="153" t="s">
        <v>339</v>
      </c>
      <c r="Z1953" s="154">
        <v>925900</v>
      </c>
      <c r="AA1953" s="154">
        <v>1</v>
      </c>
      <c r="AB1953" s="154">
        <v>111.75</v>
      </c>
      <c r="AD1953" s="154">
        <v>1034.693</v>
      </c>
      <c r="AG1953" s="157" t="s">
        <v>15</v>
      </c>
      <c r="AH1953" s="155">
        <v>8.3000000000000001E-4</v>
      </c>
      <c r="AI1953" s="155">
        <f t="shared" si="30"/>
        <v>3.0745344274443324E-3</v>
      </c>
      <c r="AJ1953" s="155">
        <v>3.4169172209967035E-4</v>
      </c>
    </row>
    <row r="1954" spans="1:36" s="160" customFormat="1">
      <c r="A1954" s="153" t="s">
        <v>1213</v>
      </c>
      <c r="B1954" s="160">
        <v>9719</v>
      </c>
      <c r="C1954" s="153" t="s">
        <v>2420</v>
      </c>
      <c r="D1954" s="153" t="s">
        <v>2421</v>
      </c>
      <c r="E1954" s="153" t="s">
        <v>309</v>
      </c>
      <c r="F1954" s="153" t="s">
        <v>3382</v>
      </c>
      <c r="G1954" s="153" t="s">
        <v>3383</v>
      </c>
      <c r="H1954" s="153" t="s">
        <v>321</v>
      </c>
      <c r="I1954" s="153" t="s">
        <v>754</v>
      </c>
      <c r="J1954" s="153" t="s">
        <v>204</v>
      </c>
      <c r="K1954" s="153" t="s">
        <v>204</v>
      </c>
      <c r="L1954" s="153" t="s">
        <v>325</v>
      </c>
      <c r="M1954" s="153" t="s">
        <v>340</v>
      </c>
      <c r="N1954" s="153" t="s">
        <v>445</v>
      </c>
      <c r="O1954" s="153" t="s">
        <v>339</v>
      </c>
      <c r="P1954" s="153" t="s">
        <v>1566</v>
      </c>
      <c r="Q1954" s="153" t="s">
        <v>413</v>
      </c>
      <c r="R1954" s="153" t="s">
        <v>407</v>
      </c>
      <c r="S1954" s="153" t="s">
        <v>1212</v>
      </c>
      <c r="T1954" s="154">
        <v>2.19</v>
      </c>
      <c r="U1954" s="153" t="s">
        <v>1659</v>
      </c>
      <c r="V1954" s="155">
        <v>1.7999999999999999E-2</v>
      </c>
      <c r="W1954" s="155">
        <v>2.2200000000000001E-2</v>
      </c>
      <c r="X1954" s="153" t="s">
        <v>412</v>
      </c>
      <c r="Y1954" s="153" t="s">
        <v>339</v>
      </c>
      <c r="Z1954" s="154">
        <v>874890</v>
      </c>
      <c r="AA1954" s="154">
        <v>1</v>
      </c>
      <c r="AB1954" s="154">
        <v>116.5</v>
      </c>
      <c r="AD1954" s="154">
        <v>1019.247</v>
      </c>
      <c r="AG1954" s="157" t="s">
        <v>15</v>
      </c>
      <c r="AH1954" s="155">
        <v>2.96E-3</v>
      </c>
      <c r="AI1954" s="155">
        <f t="shared" si="30"/>
        <v>3.0286374717615307E-3</v>
      </c>
      <c r="AJ1954" s="155">
        <v>3.365909140923179E-4</v>
      </c>
    </row>
    <row r="1955" spans="1:36" s="160" customFormat="1">
      <c r="A1955" s="153" t="s">
        <v>1213</v>
      </c>
      <c r="B1955" s="160">
        <v>9719</v>
      </c>
      <c r="C1955" s="153" t="s">
        <v>2145</v>
      </c>
      <c r="D1955" s="153" t="s">
        <v>2146</v>
      </c>
      <c r="E1955" s="153" t="s">
        <v>309</v>
      </c>
      <c r="F1955" s="153" t="s">
        <v>2147</v>
      </c>
      <c r="G1955" s="153" t="s">
        <v>2148</v>
      </c>
      <c r="H1955" s="153" t="s">
        <v>321</v>
      </c>
      <c r="I1955" s="153" t="s">
        <v>951</v>
      </c>
      <c r="J1955" s="153" t="s">
        <v>204</v>
      </c>
      <c r="K1955" s="153" t="s">
        <v>204</v>
      </c>
      <c r="L1955" s="153" t="s">
        <v>325</v>
      </c>
      <c r="M1955" s="153" t="s">
        <v>340</v>
      </c>
      <c r="N1955" s="153" t="s">
        <v>445</v>
      </c>
      <c r="O1955" s="153" t="s">
        <v>339</v>
      </c>
      <c r="P1955" s="153" t="s">
        <v>1566</v>
      </c>
      <c r="Q1955" s="153" t="s">
        <v>413</v>
      </c>
      <c r="R1955" s="153" t="s">
        <v>407</v>
      </c>
      <c r="S1955" s="153" t="s">
        <v>1212</v>
      </c>
      <c r="T1955" s="154">
        <v>3.15</v>
      </c>
      <c r="U1955" s="153" t="s">
        <v>2149</v>
      </c>
      <c r="V1955" s="155">
        <v>3.9289999999999999E-2</v>
      </c>
      <c r="W1955" s="155">
        <v>5.4800000000000001E-2</v>
      </c>
      <c r="X1955" s="153" t="s">
        <v>412</v>
      </c>
      <c r="Y1955" s="153" t="s">
        <v>339</v>
      </c>
      <c r="Z1955" s="154">
        <v>1010815</v>
      </c>
      <c r="AA1955" s="154">
        <v>1</v>
      </c>
      <c r="AB1955" s="154">
        <v>100.38</v>
      </c>
      <c r="AD1955" s="154">
        <v>1014.6559999999999</v>
      </c>
      <c r="AG1955" s="157" t="s">
        <v>15</v>
      </c>
      <c r="AH1955" s="155">
        <v>1.1199999999999999E-3</v>
      </c>
      <c r="AI1955" s="155">
        <f t="shared" si="30"/>
        <v>3.0149955629476151E-3</v>
      </c>
      <c r="AJ1955" s="155">
        <v>3.3507480574311718E-4</v>
      </c>
    </row>
    <row r="1956" spans="1:36" s="160" customFormat="1">
      <c r="A1956" s="153" t="s">
        <v>1213</v>
      </c>
      <c r="B1956" s="160">
        <v>9719</v>
      </c>
      <c r="C1956" s="153" t="s">
        <v>1591</v>
      </c>
      <c r="D1956" s="153" t="s">
        <v>1592</v>
      </c>
      <c r="E1956" s="153" t="s">
        <v>309</v>
      </c>
      <c r="F1956" s="153" t="s">
        <v>2261</v>
      </c>
      <c r="G1956" s="153" t="s">
        <v>2262</v>
      </c>
      <c r="H1956" s="153" t="s">
        <v>321</v>
      </c>
      <c r="I1956" s="153" t="s">
        <v>754</v>
      </c>
      <c r="J1956" s="153" t="s">
        <v>204</v>
      </c>
      <c r="K1956" s="153" t="s">
        <v>204</v>
      </c>
      <c r="L1956" s="153" t="s">
        <v>325</v>
      </c>
      <c r="M1956" s="153" t="s">
        <v>340</v>
      </c>
      <c r="N1956" s="153" t="s">
        <v>464</v>
      </c>
      <c r="O1956" s="153" t="s">
        <v>339</v>
      </c>
      <c r="P1956" s="153" t="s">
        <v>1538</v>
      </c>
      <c r="Q1956" s="153" t="s">
        <v>413</v>
      </c>
      <c r="R1956" s="153" t="s">
        <v>407</v>
      </c>
      <c r="S1956" s="153" t="s">
        <v>1212</v>
      </c>
      <c r="T1956" s="154">
        <v>0.98</v>
      </c>
      <c r="U1956" s="153" t="s">
        <v>1768</v>
      </c>
      <c r="V1956" s="155">
        <v>-1.482E-2</v>
      </c>
      <c r="W1956" s="155">
        <v>2.5600000000000001E-2</v>
      </c>
      <c r="X1956" s="153" t="s">
        <v>412</v>
      </c>
      <c r="Y1956" s="153" t="s">
        <v>339</v>
      </c>
      <c r="Z1956" s="154">
        <v>669601.72</v>
      </c>
      <c r="AA1956" s="154">
        <v>1</v>
      </c>
      <c r="AB1956" s="154">
        <v>142.99</v>
      </c>
      <c r="AD1956" s="154">
        <v>957.46299999999997</v>
      </c>
      <c r="AG1956" s="157" t="s">
        <v>15</v>
      </c>
      <c r="AH1956" s="155">
        <v>6.9999999999999999E-4</v>
      </c>
      <c r="AI1956" s="155">
        <f t="shared" si="30"/>
        <v>2.8450496490303239E-3</v>
      </c>
      <c r="AJ1956" s="155">
        <v>3.1618768206290821E-4</v>
      </c>
    </row>
    <row r="1957" spans="1:36" s="160" customFormat="1">
      <c r="A1957" s="153" t="s">
        <v>1213</v>
      </c>
      <c r="B1957" s="160">
        <v>9719</v>
      </c>
      <c r="C1957" s="153" t="s">
        <v>2741</v>
      </c>
      <c r="D1957" s="153" t="s">
        <v>2742</v>
      </c>
      <c r="E1957" s="153" t="s">
        <v>309</v>
      </c>
      <c r="F1957" s="153" t="s">
        <v>3384</v>
      </c>
      <c r="G1957" s="153" t="s">
        <v>3385</v>
      </c>
      <c r="H1957" s="153" t="s">
        <v>321</v>
      </c>
      <c r="I1957" s="153" t="s">
        <v>754</v>
      </c>
      <c r="J1957" s="153" t="s">
        <v>204</v>
      </c>
      <c r="K1957" s="153" t="s">
        <v>204</v>
      </c>
      <c r="L1957" s="153" t="s">
        <v>325</v>
      </c>
      <c r="M1957" s="153" t="s">
        <v>340</v>
      </c>
      <c r="N1957" s="153" t="s">
        <v>464</v>
      </c>
      <c r="O1957" s="153" t="s">
        <v>339</v>
      </c>
      <c r="P1957" s="153" t="s">
        <v>1544</v>
      </c>
      <c r="Q1957" s="153" t="s">
        <v>415</v>
      </c>
      <c r="R1957" s="153" t="s">
        <v>407</v>
      </c>
      <c r="S1957" s="153" t="s">
        <v>1212</v>
      </c>
      <c r="T1957" s="154">
        <v>4.6100000000000003</v>
      </c>
      <c r="U1957" s="153" t="s">
        <v>2249</v>
      </c>
      <c r="V1957" s="155">
        <v>3.0890000000000001E-2</v>
      </c>
      <c r="W1957" s="155">
        <v>3.2300000000000002E-2</v>
      </c>
      <c r="X1957" s="153" t="s">
        <v>412</v>
      </c>
      <c r="Y1957" s="153" t="s">
        <v>339</v>
      </c>
      <c r="Z1957" s="154">
        <v>806158.46</v>
      </c>
      <c r="AA1957" s="154">
        <v>1</v>
      </c>
      <c r="AB1957" s="154">
        <v>109.77</v>
      </c>
      <c r="AD1957" s="154">
        <v>884.92</v>
      </c>
      <c r="AG1957" s="157" t="s">
        <v>15</v>
      </c>
      <c r="AH1957" s="155">
        <v>2.9299999999999999E-3</v>
      </c>
      <c r="AI1957" s="155">
        <f t="shared" si="30"/>
        <v>2.6294920382509968E-3</v>
      </c>
      <c r="AJ1957" s="155">
        <v>2.9223145292414302E-4</v>
      </c>
    </row>
    <row r="1958" spans="1:36" s="160" customFormat="1">
      <c r="A1958" s="153" t="s">
        <v>1213</v>
      </c>
      <c r="B1958" s="160">
        <v>9719</v>
      </c>
      <c r="C1958" s="153" t="s">
        <v>1799</v>
      </c>
      <c r="D1958" s="153" t="s">
        <v>1800</v>
      </c>
      <c r="E1958" s="153" t="s">
        <v>309</v>
      </c>
      <c r="F1958" s="153" t="s">
        <v>3386</v>
      </c>
      <c r="G1958" s="153" t="s">
        <v>3387</v>
      </c>
      <c r="H1958" s="153" t="s">
        <v>321</v>
      </c>
      <c r="I1958" s="153" t="s">
        <v>951</v>
      </c>
      <c r="J1958" s="153" t="s">
        <v>204</v>
      </c>
      <c r="K1958" s="153" t="s">
        <v>204</v>
      </c>
      <c r="L1958" s="153" t="s">
        <v>325</v>
      </c>
      <c r="M1958" s="153" t="s">
        <v>340</v>
      </c>
      <c r="N1958" s="153" t="s">
        <v>464</v>
      </c>
      <c r="O1958" s="153" t="s">
        <v>339</v>
      </c>
      <c r="P1958" s="153" t="s">
        <v>1982</v>
      </c>
      <c r="Q1958" s="153" t="s">
        <v>415</v>
      </c>
      <c r="R1958" s="153" t="s">
        <v>407</v>
      </c>
      <c r="S1958" s="153" t="s">
        <v>1212</v>
      </c>
      <c r="T1958" s="154">
        <v>1.36</v>
      </c>
      <c r="U1958" s="153" t="s">
        <v>3388</v>
      </c>
      <c r="V1958" s="155">
        <v>1.55E-2</v>
      </c>
      <c r="W1958" s="155">
        <v>5.2299999999999999E-2</v>
      </c>
      <c r="X1958" s="153" t="s">
        <v>412</v>
      </c>
      <c r="Y1958" s="153" t="s">
        <v>339</v>
      </c>
      <c r="Z1958" s="154">
        <v>770803.15</v>
      </c>
      <c r="AA1958" s="154">
        <v>1</v>
      </c>
      <c r="AB1958" s="154">
        <v>100.28</v>
      </c>
      <c r="AD1958" s="154">
        <v>772.96100000000001</v>
      </c>
      <c r="AG1958" s="157" t="s">
        <v>15</v>
      </c>
      <c r="AH1958" s="155">
        <v>2.7699999999999999E-3</v>
      </c>
      <c r="AI1958" s="155">
        <f t="shared" si="30"/>
        <v>2.296811909978901E-3</v>
      </c>
      <c r="AJ1958" s="155">
        <v>2.5525868562547861E-4</v>
      </c>
    </row>
    <row r="1959" spans="1:36" s="160" customFormat="1">
      <c r="A1959" s="153" t="s">
        <v>1213</v>
      </c>
      <c r="B1959" s="160">
        <v>9719</v>
      </c>
      <c r="C1959" s="153" t="s">
        <v>1674</v>
      </c>
      <c r="D1959" s="153" t="s">
        <v>1675</v>
      </c>
      <c r="E1959" s="153" t="s">
        <v>309</v>
      </c>
      <c r="F1959" s="153" t="s">
        <v>3389</v>
      </c>
      <c r="G1959" s="153" t="s">
        <v>3390</v>
      </c>
      <c r="H1959" s="153" t="s">
        <v>321</v>
      </c>
      <c r="I1959" s="153" t="s">
        <v>754</v>
      </c>
      <c r="J1959" s="153" t="s">
        <v>204</v>
      </c>
      <c r="K1959" s="153" t="s">
        <v>204</v>
      </c>
      <c r="L1959" s="153" t="s">
        <v>325</v>
      </c>
      <c r="M1959" s="153" t="s">
        <v>340</v>
      </c>
      <c r="N1959" s="153" t="s">
        <v>464</v>
      </c>
      <c r="O1959" s="153" t="s">
        <v>339</v>
      </c>
      <c r="P1959" s="153" t="s">
        <v>1538</v>
      </c>
      <c r="Q1959" s="153" t="s">
        <v>413</v>
      </c>
      <c r="R1959" s="153" t="s">
        <v>407</v>
      </c>
      <c r="S1959" s="153" t="s">
        <v>1212</v>
      </c>
      <c r="T1959" s="154">
        <v>3.68</v>
      </c>
      <c r="U1959" s="153" t="s">
        <v>3391</v>
      </c>
      <c r="V1959" s="155">
        <v>7.0899999999999999E-3</v>
      </c>
      <c r="W1959" s="155">
        <v>2.7699999999999999E-2</v>
      </c>
      <c r="X1959" s="153" t="s">
        <v>412</v>
      </c>
      <c r="Y1959" s="153" t="s">
        <v>339</v>
      </c>
      <c r="Z1959" s="154">
        <v>658248.64</v>
      </c>
      <c r="AA1959" s="154">
        <v>1</v>
      </c>
      <c r="AB1959" s="154">
        <v>106.39</v>
      </c>
      <c r="AD1959" s="154">
        <v>700.31100000000004</v>
      </c>
      <c r="AG1959" s="157" t="s">
        <v>15</v>
      </c>
      <c r="AH1959" s="155">
        <v>1.67E-3</v>
      </c>
      <c r="AI1959" s="155">
        <f t="shared" si="30"/>
        <v>2.0809363544722621E-3</v>
      </c>
      <c r="AJ1959" s="155">
        <v>2.3126712135420097E-4</v>
      </c>
    </row>
    <row r="1960" spans="1:36" s="160" customFormat="1">
      <c r="A1960" s="153" t="s">
        <v>1213</v>
      </c>
      <c r="B1960" s="160">
        <v>9719</v>
      </c>
      <c r="C1960" s="153" t="s">
        <v>1807</v>
      </c>
      <c r="D1960" s="153" t="s">
        <v>1808</v>
      </c>
      <c r="E1960" s="153" t="s">
        <v>309</v>
      </c>
      <c r="F1960" s="153" t="s">
        <v>2002</v>
      </c>
      <c r="G1960" s="153" t="s">
        <v>2003</v>
      </c>
      <c r="H1960" s="153" t="s">
        <v>321</v>
      </c>
      <c r="I1960" s="153" t="s">
        <v>754</v>
      </c>
      <c r="J1960" s="153" t="s">
        <v>204</v>
      </c>
      <c r="K1960" s="153" t="s">
        <v>204</v>
      </c>
      <c r="L1960" s="153" t="s">
        <v>325</v>
      </c>
      <c r="M1960" s="153" t="s">
        <v>340</v>
      </c>
      <c r="N1960" s="153" t="s">
        <v>464</v>
      </c>
      <c r="O1960" s="153" t="s">
        <v>339</v>
      </c>
      <c r="P1960" s="153" t="s">
        <v>1811</v>
      </c>
      <c r="Q1960" s="153" t="s">
        <v>413</v>
      </c>
      <c r="R1960" s="153" t="s">
        <v>407</v>
      </c>
      <c r="S1960" s="153" t="s">
        <v>1212</v>
      </c>
      <c r="T1960" s="154">
        <v>0.5</v>
      </c>
      <c r="U1960" s="153" t="s">
        <v>1965</v>
      </c>
      <c r="V1960" s="155">
        <v>2.86E-2</v>
      </c>
      <c r="W1960" s="155">
        <v>2.7900000000000001E-2</v>
      </c>
      <c r="X1960" s="153" t="s">
        <v>412</v>
      </c>
      <c r="Y1960" s="153" t="s">
        <v>339</v>
      </c>
      <c r="Z1960" s="154">
        <v>516680</v>
      </c>
      <c r="AA1960" s="154">
        <v>1</v>
      </c>
      <c r="AB1960" s="154">
        <v>114.12</v>
      </c>
      <c r="AD1960" s="154">
        <v>589.63499999999999</v>
      </c>
      <c r="AG1960" s="157" t="s">
        <v>15</v>
      </c>
      <c r="AH1960" s="155">
        <v>9.5E-4</v>
      </c>
      <c r="AI1960" s="155">
        <f t="shared" si="30"/>
        <v>1.7520685914818588E-3</v>
      </c>
      <c r="AJ1960" s="155">
        <v>1.9471804541080218E-4</v>
      </c>
    </row>
    <row r="1961" spans="1:36" s="160" customFormat="1">
      <c r="A1961" s="153" t="s">
        <v>1213</v>
      </c>
      <c r="B1961" s="160">
        <v>9719</v>
      </c>
      <c r="C1961" s="153" t="s">
        <v>1759</v>
      </c>
      <c r="D1961" s="153" t="s">
        <v>1760</v>
      </c>
      <c r="E1961" s="153" t="s">
        <v>309</v>
      </c>
      <c r="F1961" s="153" t="s">
        <v>2819</v>
      </c>
      <c r="G1961" s="153" t="s">
        <v>2820</v>
      </c>
      <c r="H1961" s="153" t="s">
        <v>321</v>
      </c>
      <c r="I1961" s="153" t="s">
        <v>754</v>
      </c>
      <c r="J1961" s="153" t="s">
        <v>204</v>
      </c>
      <c r="K1961" s="153" t="s">
        <v>204</v>
      </c>
      <c r="L1961" s="153" t="s">
        <v>325</v>
      </c>
      <c r="M1961" s="153" t="s">
        <v>340</v>
      </c>
      <c r="N1961" s="153" t="s">
        <v>465</v>
      </c>
      <c r="O1961" s="153" t="s">
        <v>339</v>
      </c>
      <c r="P1961" s="153" t="s">
        <v>1614</v>
      </c>
      <c r="Q1961" s="153" t="s">
        <v>415</v>
      </c>
      <c r="R1961" s="153" t="s">
        <v>407</v>
      </c>
      <c r="S1961" s="153" t="s">
        <v>1212</v>
      </c>
      <c r="T1961" s="154">
        <v>0.74</v>
      </c>
      <c r="U1961" s="153" t="s">
        <v>2821</v>
      </c>
      <c r="V1961" s="155">
        <v>3.3579999999999999E-2</v>
      </c>
      <c r="W1961" s="155">
        <v>2.7099999999999999E-2</v>
      </c>
      <c r="X1961" s="153" t="s">
        <v>412</v>
      </c>
      <c r="Y1961" s="153" t="s">
        <v>339</v>
      </c>
      <c r="Z1961" s="154">
        <v>442067.8</v>
      </c>
      <c r="AA1961" s="154">
        <v>1</v>
      </c>
      <c r="AB1961" s="154">
        <v>118.92</v>
      </c>
      <c r="AD1961" s="154">
        <v>525.70699999999999</v>
      </c>
      <c r="AG1961" s="157" t="s">
        <v>15</v>
      </c>
      <c r="AH1961" s="155">
        <v>3.0799999999999998E-3</v>
      </c>
      <c r="AI1961" s="155">
        <f t="shared" si="30"/>
        <v>1.5621099884202151E-3</v>
      </c>
      <c r="AJ1961" s="155">
        <v>1.7360678979161105E-4</v>
      </c>
    </row>
    <row r="1962" spans="1:36" s="160" customFormat="1">
      <c r="A1962" s="153" t="s">
        <v>1213</v>
      </c>
      <c r="B1962" s="160">
        <v>9719</v>
      </c>
      <c r="C1962" s="153" t="s">
        <v>2356</v>
      </c>
      <c r="D1962" s="153" t="s">
        <v>2357</v>
      </c>
      <c r="E1962" s="153" t="s">
        <v>309</v>
      </c>
      <c r="F1962" s="153" t="s">
        <v>2724</v>
      </c>
      <c r="G1962" s="153" t="s">
        <v>2725</v>
      </c>
      <c r="H1962" s="153" t="s">
        <v>321</v>
      </c>
      <c r="I1962" s="153" t="s">
        <v>754</v>
      </c>
      <c r="J1962" s="153" t="s">
        <v>204</v>
      </c>
      <c r="K1962" s="153" t="s">
        <v>204</v>
      </c>
      <c r="L1962" s="153" t="s">
        <v>325</v>
      </c>
      <c r="M1962" s="153" t="s">
        <v>340</v>
      </c>
      <c r="N1962" s="153" t="s">
        <v>447</v>
      </c>
      <c r="O1962" s="153" t="s">
        <v>339</v>
      </c>
      <c r="P1962" s="153" t="s">
        <v>1560</v>
      </c>
      <c r="Q1962" s="153" t="s">
        <v>413</v>
      </c>
      <c r="R1962" s="153" t="s">
        <v>407</v>
      </c>
      <c r="S1962" s="153" t="s">
        <v>1212</v>
      </c>
      <c r="T1962" s="154">
        <v>0.5</v>
      </c>
      <c r="U1962" s="153" t="s">
        <v>1965</v>
      </c>
      <c r="V1962" s="155">
        <v>-5.94E-3</v>
      </c>
      <c r="W1962" s="155">
        <v>3.4700000000000002E-2</v>
      </c>
      <c r="X1962" s="153" t="s">
        <v>412</v>
      </c>
      <c r="Y1962" s="153" t="s">
        <v>339</v>
      </c>
      <c r="Z1962" s="154">
        <v>428034.48</v>
      </c>
      <c r="AA1962" s="154">
        <v>1</v>
      </c>
      <c r="AB1962" s="154">
        <v>115.84</v>
      </c>
      <c r="AC1962" s="154">
        <v>10.712</v>
      </c>
      <c r="AD1962" s="154">
        <v>506.54700000000003</v>
      </c>
      <c r="AG1962" s="157" t="s">
        <v>15</v>
      </c>
      <c r="AH1962" s="155">
        <v>9.7999999999999997E-4</v>
      </c>
      <c r="AI1962" s="155">
        <f t="shared" si="30"/>
        <v>1.5051770821090356E-3</v>
      </c>
      <c r="AJ1962" s="155">
        <v>1.6727948942770631E-4</v>
      </c>
    </row>
    <row r="1963" spans="1:36" s="160" customFormat="1">
      <c r="A1963" s="153" t="s">
        <v>1213</v>
      </c>
      <c r="B1963" s="160">
        <v>9719</v>
      </c>
      <c r="C1963" s="153" t="s">
        <v>1973</v>
      </c>
      <c r="D1963" s="153" t="s">
        <v>1974</v>
      </c>
      <c r="E1963" s="153" t="s">
        <v>309</v>
      </c>
      <c r="F1963" s="153" t="s">
        <v>3392</v>
      </c>
      <c r="G1963" s="153" t="s">
        <v>3393</v>
      </c>
      <c r="H1963" s="153" t="s">
        <v>321</v>
      </c>
      <c r="I1963" s="153" t="s">
        <v>754</v>
      </c>
      <c r="J1963" s="153" t="s">
        <v>204</v>
      </c>
      <c r="K1963" s="153" t="s">
        <v>204</v>
      </c>
      <c r="L1963" s="153" t="s">
        <v>325</v>
      </c>
      <c r="M1963" s="153" t="s">
        <v>340</v>
      </c>
      <c r="N1963" s="153" t="s">
        <v>464</v>
      </c>
      <c r="O1963" s="153" t="s">
        <v>339</v>
      </c>
      <c r="P1963" s="153" t="s">
        <v>1538</v>
      </c>
      <c r="Q1963" s="153" t="s">
        <v>413</v>
      </c>
      <c r="R1963" s="153" t="s">
        <v>407</v>
      </c>
      <c r="S1963" s="153" t="s">
        <v>1212</v>
      </c>
      <c r="T1963" s="154">
        <v>2.15</v>
      </c>
      <c r="U1963" s="153" t="s">
        <v>1744</v>
      </c>
      <c r="V1963" s="155">
        <v>-1.575E-2</v>
      </c>
      <c r="W1963" s="155">
        <v>2.64E-2</v>
      </c>
      <c r="X1963" s="153" t="s">
        <v>412</v>
      </c>
      <c r="Y1963" s="153" t="s">
        <v>339</v>
      </c>
      <c r="Z1963" s="154">
        <v>417204.58</v>
      </c>
      <c r="AA1963" s="154">
        <v>1</v>
      </c>
      <c r="AB1963" s="154">
        <v>119.19</v>
      </c>
      <c r="AD1963" s="154">
        <v>497.26600000000002</v>
      </c>
      <c r="AG1963" s="157" t="s">
        <v>15</v>
      </c>
      <c r="AH1963" s="155">
        <v>1.39E-3</v>
      </c>
      <c r="AI1963" s="155">
        <f t="shared" si="30"/>
        <v>1.4775990913222894E-3</v>
      </c>
      <c r="AJ1963" s="155">
        <v>1.6421457947585872E-4</v>
      </c>
    </row>
    <row r="1964" spans="1:36" s="160" customFormat="1">
      <c r="A1964" s="153" t="s">
        <v>1213</v>
      </c>
      <c r="B1964" s="160">
        <v>9719</v>
      </c>
      <c r="C1964" s="153" t="s">
        <v>1807</v>
      </c>
      <c r="D1964" s="153" t="s">
        <v>1808</v>
      </c>
      <c r="E1964" s="153" t="s">
        <v>309</v>
      </c>
      <c r="F1964" s="153" t="s">
        <v>1809</v>
      </c>
      <c r="G1964" s="153" t="s">
        <v>1810</v>
      </c>
      <c r="H1964" s="153" t="s">
        <v>321</v>
      </c>
      <c r="I1964" s="153" t="s">
        <v>754</v>
      </c>
      <c r="J1964" s="153" t="s">
        <v>204</v>
      </c>
      <c r="K1964" s="153" t="s">
        <v>204</v>
      </c>
      <c r="L1964" s="153" t="s">
        <v>325</v>
      </c>
      <c r="M1964" s="153" t="s">
        <v>340</v>
      </c>
      <c r="N1964" s="153" t="s">
        <v>464</v>
      </c>
      <c r="O1964" s="153" t="s">
        <v>339</v>
      </c>
      <c r="P1964" s="153" t="s">
        <v>1811</v>
      </c>
      <c r="Q1964" s="153" t="s">
        <v>413</v>
      </c>
      <c r="R1964" s="153" t="s">
        <v>407</v>
      </c>
      <c r="S1964" s="153" t="s">
        <v>1212</v>
      </c>
      <c r="T1964" s="154">
        <v>6.92</v>
      </c>
      <c r="U1964" s="153" t="s">
        <v>1812</v>
      </c>
      <c r="V1964" s="155">
        <v>2.921E-2</v>
      </c>
      <c r="W1964" s="155">
        <v>3.3399999999999999E-2</v>
      </c>
      <c r="X1964" s="153" t="s">
        <v>412</v>
      </c>
      <c r="Y1964" s="153" t="s">
        <v>339</v>
      </c>
      <c r="Z1964" s="154">
        <v>496344.52</v>
      </c>
      <c r="AA1964" s="154">
        <v>1</v>
      </c>
      <c r="AB1964" s="154">
        <v>96.33</v>
      </c>
      <c r="AD1964" s="154">
        <v>478.12900000000002</v>
      </c>
      <c r="AG1964" s="157" t="s">
        <v>15</v>
      </c>
      <c r="AH1964" s="155">
        <v>1.8000000000000001E-4</v>
      </c>
      <c r="AI1964" s="155">
        <f t="shared" si="30"/>
        <v>1.4207345282702514E-3</v>
      </c>
      <c r="AJ1964" s="155">
        <v>1.5789487451426973E-4</v>
      </c>
    </row>
    <row r="1965" spans="1:36" s="160" customFormat="1">
      <c r="A1965" s="153" t="s">
        <v>1213</v>
      </c>
      <c r="B1965" s="160">
        <v>9719</v>
      </c>
      <c r="C1965" s="153" t="s">
        <v>2542</v>
      </c>
      <c r="D1965" s="153" t="s">
        <v>2543</v>
      </c>
      <c r="E1965" s="153" t="s">
        <v>309</v>
      </c>
      <c r="F1965" s="153" t="s">
        <v>2556</v>
      </c>
      <c r="G1965" s="153" t="s">
        <v>2557</v>
      </c>
      <c r="H1965" s="153" t="s">
        <v>321</v>
      </c>
      <c r="I1965" s="153" t="s">
        <v>754</v>
      </c>
      <c r="J1965" s="153" t="s">
        <v>204</v>
      </c>
      <c r="K1965" s="153" t="s">
        <v>204</v>
      </c>
      <c r="L1965" s="153" t="s">
        <v>325</v>
      </c>
      <c r="M1965" s="153" t="s">
        <v>340</v>
      </c>
      <c r="N1965" s="153" t="s">
        <v>464</v>
      </c>
      <c r="O1965" s="153" t="s">
        <v>339</v>
      </c>
      <c r="P1965" s="153" t="s">
        <v>2546</v>
      </c>
      <c r="Q1965" s="153" t="s">
        <v>413</v>
      </c>
      <c r="R1965" s="153" t="s">
        <v>407</v>
      </c>
      <c r="S1965" s="153" t="s">
        <v>1212</v>
      </c>
      <c r="T1965" s="154">
        <v>0.73</v>
      </c>
      <c r="U1965" s="153" t="s">
        <v>1777</v>
      </c>
      <c r="V1965" s="155">
        <v>2.4969999999999999E-2</v>
      </c>
      <c r="W1965" s="155">
        <v>3.5900000000000001E-2</v>
      </c>
      <c r="X1965" s="153" t="s">
        <v>412</v>
      </c>
      <c r="Y1965" s="153" t="s">
        <v>339</v>
      </c>
      <c r="Z1965" s="154">
        <v>303040.45</v>
      </c>
      <c r="AA1965" s="154">
        <v>1</v>
      </c>
      <c r="AB1965" s="154">
        <v>145.86000000000001</v>
      </c>
      <c r="AD1965" s="154">
        <v>442.01499999999999</v>
      </c>
      <c r="AG1965" s="157" t="s">
        <v>15</v>
      </c>
      <c r="AH1965" s="155">
        <v>8.3000000000000001E-4</v>
      </c>
      <c r="AI1965" s="155">
        <f t="shared" si="30"/>
        <v>1.3134237256334069E-3</v>
      </c>
      <c r="AJ1965" s="155">
        <v>1.4596877193900586E-4</v>
      </c>
    </row>
    <row r="1966" spans="1:36" s="160" customFormat="1">
      <c r="A1966" s="153" t="s">
        <v>1213</v>
      </c>
      <c r="B1966" s="160">
        <v>9719</v>
      </c>
      <c r="C1966" s="153" t="s">
        <v>1605</v>
      </c>
      <c r="D1966" s="153" t="s">
        <v>1606</v>
      </c>
      <c r="E1966" s="153" t="s">
        <v>311</v>
      </c>
      <c r="F1966" s="153" t="s">
        <v>3394</v>
      </c>
      <c r="G1966" s="153" t="s">
        <v>3395</v>
      </c>
      <c r="H1966" s="153" t="s">
        <v>321</v>
      </c>
      <c r="I1966" s="153" t="s">
        <v>951</v>
      </c>
      <c r="J1966" s="153" t="s">
        <v>204</v>
      </c>
      <c r="K1966" s="153" t="s">
        <v>224</v>
      </c>
      <c r="L1966" s="153" t="s">
        <v>325</v>
      </c>
      <c r="M1966" s="153" t="s">
        <v>340</v>
      </c>
      <c r="N1966" s="153" t="s">
        <v>465</v>
      </c>
      <c r="O1966" s="153" t="s">
        <v>339</v>
      </c>
      <c r="P1966" s="153" t="s">
        <v>1566</v>
      </c>
      <c r="Q1966" s="153" t="s">
        <v>413</v>
      </c>
      <c r="R1966" s="153" t="s">
        <v>407</v>
      </c>
      <c r="S1966" s="153" t="s">
        <v>1212</v>
      </c>
      <c r="T1966" s="154">
        <v>0.64</v>
      </c>
      <c r="U1966" s="153" t="s">
        <v>2369</v>
      </c>
      <c r="V1966" s="155">
        <v>3.0179999999999998E-2</v>
      </c>
      <c r="W1966" s="155">
        <v>0.06</v>
      </c>
      <c r="X1966" s="153" t="s">
        <v>412</v>
      </c>
      <c r="Y1966" s="153" t="s">
        <v>339</v>
      </c>
      <c r="Z1966" s="154">
        <v>369226.86</v>
      </c>
      <c r="AA1966" s="154">
        <v>1</v>
      </c>
      <c r="AB1966" s="154">
        <v>101.87</v>
      </c>
      <c r="AD1966" s="154">
        <v>376.13099999999997</v>
      </c>
      <c r="AG1966" s="157" t="s">
        <v>15</v>
      </c>
      <c r="AH1966" s="155">
        <v>2.1099999999999999E-3</v>
      </c>
      <c r="AI1966" s="155">
        <f t="shared" si="30"/>
        <v>1.1176529740986594E-3</v>
      </c>
      <c r="AJ1966" s="155">
        <v>1.2421157688809252E-4</v>
      </c>
    </row>
    <row r="1967" spans="1:36" s="160" customFormat="1">
      <c r="A1967" s="153" t="s">
        <v>1213</v>
      </c>
      <c r="B1967" s="160">
        <v>9719</v>
      </c>
      <c r="C1967" s="153" t="s">
        <v>2757</v>
      </c>
      <c r="D1967" s="153" t="s">
        <v>2758</v>
      </c>
      <c r="E1967" s="153" t="s">
        <v>309</v>
      </c>
      <c r="F1967" s="153" t="s">
        <v>2759</v>
      </c>
      <c r="G1967" s="153" t="s">
        <v>2760</v>
      </c>
      <c r="H1967" s="153" t="s">
        <v>321</v>
      </c>
      <c r="I1967" s="153" t="s">
        <v>755</v>
      </c>
      <c r="J1967" s="153" t="s">
        <v>204</v>
      </c>
      <c r="K1967" s="153" t="s">
        <v>204</v>
      </c>
      <c r="L1967" s="153" t="s">
        <v>325</v>
      </c>
      <c r="M1967" s="153" t="s">
        <v>340</v>
      </c>
      <c r="N1967" s="153" t="s">
        <v>440</v>
      </c>
      <c r="O1967" s="153" t="s">
        <v>339</v>
      </c>
      <c r="P1967" s="153" t="s">
        <v>1521</v>
      </c>
      <c r="Q1967" s="153" t="s">
        <v>413</v>
      </c>
      <c r="R1967" s="153" t="s">
        <v>407</v>
      </c>
      <c r="S1967" s="153" t="s">
        <v>1212</v>
      </c>
      <c r="T1967" s="154">
        <v>0.74</v>
      </c>
      <c r="U1967" s="153" t="s">
        <v>2761</v>
      </c>
      <c r="V1967" s="155">
        <v>4.1430000000000002E-2</v>
      </c>
      <c r="W1967" s="155">
        <v>7.5899999999999995E-2</v>
      </c>
      <c r="X1967" s="153" t="s">
        <v>412</v>
      </c>
      <c r="Y1967" s="153" t="s">
        <v>339</v>
      </c>
      <c r="Z1967" s="154">
        <v>298476.59999999998</v>
      </c>
      <c r="AA1967" s="154">
        <v>1</v>
      </c>
      <c r="AB1967" s="154">
        <v>100.15</v>
      </c>
      <c r="AD1967" s="154">
        <v>298.92399999999998</v>
      </c>
      <c r="AG1967" s="157" t="s">
        <v>15</v>
      </c>
      <c r="AH1967" s="155">
        <v>1.2199999999999999E-3</v>
      </c>
      <c r="AI1967" s="155">
        <f t="shared" si="30"/>
        <v>8.8823653894379263E-4</v>
      </c>
      <c r="AJ1967" s="155">
        <v>9.871513225364611E-5</v>
      </c>
    </row>
    <row r="1968" spans="1:36" s="160" customFormat="1">
      <c r="A1968" s="153" t="s">
        <v>1213</v>
      </c>
      <c r="B1968" s="160">
        <v>9719</v>
      </c>
      <c r="C1968" s="153" t="s">
        <v>1691</v>
      </c>
      <c r="D1968" s="153" t="s">
        <v>1692</v>
      </c>
      <c r="E1968" s="153" t="s">
        <v>309</v>
      </c>
      <c r="F1968" s="153" t="s">
        <v>2864</v>
      </c>
      <c r="G1968" s="153" t="s">
        <v>2865</v>
      </c>
      <c r="H1968" s="153" t="s">
        <v>321</v>
      </c>
      <c r="I1968" s="153" t="s">
        <v>754</v>
      </c>
      <c r="J1968" s="153" t="s">
        <v>204</v>
      </c>
      <c r="K1968" s="153" t="s">
        <v>204</v>
      </c>
      <c r="L1968" s="153" t="s">
        <v>325</v>
      </c>
      <c r="M1968" s="153" t="s">
        <v>340</v>
      </c>
      <c r="N1968" s="153" t="s">
        <v>464</v>
      </c>
      <c r="O1968" s="153" t="s">
        <v>339</v>
      </c>
      <c r="P1968" s="153" t="s">
        <v>1538</v>
      </c>
      <c r="Q1968" s="153" t="s">
        <v>413</v>
      </c>
      <c r="R1968" s="153" t="s">
        <v>407</v>
      </c>
      <c r="S1968" s="153" t="s">
        <v>1212</v>
      </c>
      <c r="T1968" s="154">
        <v>3.48</v>
      </c>
      <c r="U1968" s="153" t="s">
        <v>2257</v>
      </c>
      <c r="V1968" s="155">
        <v>6.5100000000000002E-3</v>
      </c>
      <c r="W1968" s="155">
        <v>2.8899999999999999E-2</v>
      </c>
      <c r="X1968" s="153" t="s">
        <v>412</v>
      </c>
      <c r="Y1968" s="153" t="s">
        <v>339</v>
      </c>
      <c r="Z1968" s="154">
        <v>241339.55</v>
      </c>
      <c r="AA1968" s="154">
        <v>1</v>
      </c>
      <c r="AB1968" s="154">
        <v>119.87</v>
      </c>
      <c r="AD1968" s="154">
        <v>289.29399999999998</v>
      </c>
      <c r="AG1968" s="157" t="s">
        <v>15</v>
      </c>
      <c r="AH1968" s="155">
        <v>2.7999999999999998E-4</v>
      </c>
      <c r="AI1968" s="155">
        <f t="shared" si="30"/>
        <v>8.5962151348572061E-4</v>
      </c>
      <c r="AJ1968" s="155">
        <v>9.5534970327529071E-5</v>
      </c>
    </row>
    <row r="1969" spans="1:36" s="160" customFormat="1">
      <c r="A1969" s="153" t="s">
        <v>1213</v>
      </c>
      <c r="B1969" s="160">
        <v>9719</v>
      </c>
      <c r="C1969" s="153" t="s">
        <v>2428</v>
      </c>
      <c r="D1969" s="153" t="s">
        <v>2429</v>
      </c>
      <c r="E1969" s="153" t="s">
        <v>309</v>
      </c>
      <c r="F1969" s="153" t="s">
        <v>2430</v>
      </c>
      <c r="G1969" s="153" t="s">
        <v>2431</v>
      </c>
      <c r="H1969" s="153" t="s">
        <v>321</v>
      </c>
      <c r="I1969" s="153" t="s">
        <v>755</v>
      </c>
      <c r="J1969" s="153" t="s">
        <v>204</v>
      </c>
      <c r="K1969" s="153" t="s">
        <v>204</v>
      </c>
      <c r="L1969" s="153" t="s">
        <v>325</v>
      </c>
      <c r="M1969" s="153" t="s">
        <v>340</v>
      </c>
      <c r="N1969" s="153" t="s">
        <v>454</v>
      </c>
      <c r="O1969" s="153" t="s">
        <v>339</v>
      </c>
      <c r="P1969" s="153" t="s">
        <v>1538</v>
      </c>
      <c r="Q1969" s="153" t="s">
        <v>413</v>
      </c>
      <c r="R1969" s="153" t="s">
        <v>407</v>
      </c>
      <c r="S1969" s="153" t="s">
        <v>1212</v>
      </c>
      <c r="T1969" s="154">
        <v>0.5</v>
      </c>
      <c r="U1969" s="153" t="s">
        <v>2432</v>
      </c>
      <c r="V1969" s="155">
        <v>3.2590000000000001E-2</v>
      </c>
      <c r="W1969" s="155">
        <v>8.8599999999999998E-2</v>
      </c>
      <c r="X1969" s="153" t="s">
        <v>412</v>
      </c>
      <c r="Y1969" s="153" t="s">
        <v>339</v>
      </c>
      <c r="Z1969" s="154">
        <v>247628.47</v>
      </c>
      <c r="AA1969" s="154">
        <v>1</v>
      </c>
      <c r="AB1969" s="154">
        <v>102.3</v>
      </c>
      <c r="AD1969" s="154">
        <v>253.32400000000001</v>
      </c>
      <c r="AG1969" s="157" t="s">
        <v>15</v>
      </c>
      <c r="AH1969" s="155">
        <v>4.8999999999999998E-4</v>
      </c>
      <c r="AI1969" s="155">
        <f t="shared" si="30"/>
        <v>7.5273859908002482E-4</v>
      </c>
      <c r="AJ1969" s="155">
        <v>8.3656421575459478E-5</v>
      </c>
    </row>
    <row r="1970" spans="1:36" s="160" customFormat="1">
      <c r="A1970" s="153" t="s">
        <v>1213</v>
      </c>
      <c r="B1970" s="160">
        <v>9719</v>
      </c>
      <c r="C1970" s="153" t="s">
        <v>1556</v>
      </c>
      <c r="D1970" s="153" t="s">
        <v>1557</v>
      </c>
      <c r="E1970" s="153" t="s">
        <v>311</v>
      </c>
      <c r="F1970" s="153" t="s">
        <v>2862</v>
      </c>
      <c r="G1970" s="153" t="s">
        <v>2863</v>
      </c>
      <c r="H1970" s="153" t="s">
        <v>321</v>
      </c>
      <c r="I1970" s="153" t="s">
        <v>951</v>
      </c>
      <c r="J1970" s="153" t="s">
        <v>204</v>
      </c>
      <c r="K1970" s="153" t="s">
        <v>224</v>
      </c>
      <c r="L1970" s="153" t="s">
        <v>325</v>
      </c>
      <c r="M1970" s="153" t="s">
        <v>340</v>
      </c>
      <c r="N1970" s="153" t="s">
        <v>465</v>
      </c>
      <c r="O1970" s="153" t="s">
        <v>339</v>
      </c>
      <c r="P1970" s="153" t="s">
        <v>1521</v>
      </c>
      <c r="Q1970" s="153" t="s">
        <v>413</v>
      </c>
      <c r="R1970" s="153" t="s">
        <v>407</v>
      </c>
      <c r="S1970" s="153" t="s">
        <v>1212</v>
      </c>
      <c r="T1970" s="154">
        <v>0.17</v>
      </c>
      <c r="U1970" s="153" t="s">
        <v>1503</v>
      </c>
      <c r="V1970" s="155">
        <v>5.6140000000000002E-2</v>
      </c>
      <c r="W1970" s="155">
        <v>5.8900000000000001E-2</v>
      </c>
      <c r="X1970" s="153" t="s">
        <v>412</v>
      </c>
      <c r="Y1970" s="153" t="s">
        <v>339</v>
      </c>
      <c r="Z1970" s="154">
        <v>205196.79999999999</v>
      </c>
      <c r="AA1970" s="154">
        <v>1</v>
      </c>
      <c r="AB1970" s="154">
        <v>100.98</v>
      </c>
      <c r="AD1970" s="154">
        <v>207.208</v>
      </c>
      <c r="AG1970" s="157" t="s">
        <v>15</v>
      </c>
      <c r="AH1970" s="155">
        <v>5.2999999999999998E-4</v>
      </c>
      <c r="AI1970" s="155">
        <f t="shared" si="30"/>
        <v>6.1570739305464065E-4</v>
      </c>
      <c r="AJ1970" s="155">
        <v>6.8427309697493359E-5</v>
      </c>
    </row>
    <row r="1971" spans="1:36" s="160" customFormat="1">
      <c r="A1971" s="153" t="s">
        <v>1213</v>
      </c>
      <c r="B1971" s="160">
        <v>9719</v>
      </c>
      <c r="C1971" s="153" t="s">
        <v>2993</v>
      </c>
      <c r="D1971" s="153" t="s">
        <v>2994</v>
      </c>
      <c r="E1971" s="153" t="s">
        <v>309</v>
      </c>
      <c r="F1971" s="153" t="s">
        <v>2995</v>
      </c>
      <c r="G1971" s="153" t="s">
        <v>2996</v>
      </c>
      <c r="H1971" s="153" t="s">
        <v>321</v>
      </c>
      <c r="I1971" s="153" t="s">
        <v>755</v>
      </c>
      <c r="J1971" s="153" t="s">
        <v>204</v>
      </c>
      <c r="K1971" s="153" t="s">
        <v>204</v>
      </c>
      <c r="L1971" s="153" t="s">
        <v>325</v>
      </c>
      <c r="M1971" s="153" t="s">
        <v>340</v>
      </c>
      <c r="N1971" s="153" t="s">
        <v>454</v>
      </c>
      <c r="O1971" s="153" t="s">
        <v>339</v>
      </c>
      <c r="P1971" s="153" t="s">
        <v>1982</v>
      </c>
      <c r="Q1971" s="153" t="s">
        <v>415</v>
      </c>
      <c r="R1971" s="153" t="s">
        <v>407</v>
      </c>
      <c r="S1971" s="153" t="s">
        <v>1212</v>
      </c>
      <c r="T1971" s="154">
        <v>2.74</v>
      </c>
      <c r="U1971" s="153" t="s">
        <v>2377</v>
      </c>
      <c r="V1971" s="155">
        <v>4.8169999999999998E-2</v>
      </c>
      <c r="W1971" s="155">
        <v>7.0000000000000007E-2</v>
      </c>
      <c r="X1971" s="153" t="s">
        <v>412</v>
      </c>
      <c r="Y1971" s="153" t="s">
        <v>339</v>
      </c>
      <c r="Z1971" s="154">
        <v>184296.48</v>
      </c>
      <c r="AA1971" s="154">
        <v>1</v>
      </c>
      <c r="AB1971" s="154">
        <v>101.15</v>
      </c>
      <c r="AD1971" s="154">
        <v>186.416</v>
      </c>
      <c r="AG1971" s="157" t="s">
        <v>15</v>
      </c>
      <c r="AH1971" s="155">
        <v>6.8999999999999997E-4</v>
      </c>
      <c r="AI1971" s="155">
        <f t="shared" si="30"/>
        <v>5.5392508679044195E-4</v>
      </c>
      <c r="AJ1971" s="155">
        <v>6.1561066004053516E-5</v>
      </c>
    </row>
    <row r="1972" spans="1:36" s="160" customFormat="1">
      <c r="A1972" s="153" t="s">
        <v>1213</v>
      </c>
      <c r="B1972" s="160">
        <v>9719</v>
      </c>
      <c r="C1972" s="153" t="s">
        <v>3396</v>
      </c>
      <c r="D1972" s="153" t="s">
        <v>3397</v>
      </c>
      <c r="E1972" s="153" t="s">
        <v>311</v>
      </c>
      <c r="F1972" s="153" t="s">
        <v>3398</v>
      </c>
      <c r="G1972" s="153" t="s">
        <v>3399</v>
      </c>
      <c r="H1972" s="153" t="s">
        <v>321</v>
      </c>
      <c r="I1972" s="153" t="s">
        <v>951</v>
      </c>
      <c r="J1972" s="153" t="s">
        <v>204</v>
      </c>
      <c r="K1972" s="153" t="s">
        <v>224</v>
      </c>
      <c r="L1972" s="153" t="s">
        <v>325</v>
      </c>
      <c r="M1972" s="153" t="s">
        <v>340</v>
      </c>
      <c r="N1972" s="153" t="s">
        <v>465</v>
      </c>
      <c r="O1972" s="153" t="s">
        <v>339</v>
      </c>
      <c r="P1972" s="153" t="s">
        <v>1935</v>
      </c>
      <c r="Q1972" s="153" t="s">
        <v>415</v>
      </c>
      <c r="R1972" s="153" t="s">
        <v>407</v>
      </c>
      <c r="S1972" s="153" t="s">
        <v>1212</v>
      </c>
      <c r="T1972" s="154">
        <v>0.25</v>
      </c>
      <c r="U1972" s="153" t="s">
        <v>2484</v>
      </c>
      <c r="V1972" s="155">
        <v>3.1710000000000002E-2</v>
      </c>
      <c r="W1972" s="155">
        <v>9.35E-2</v>
      </c>
      <c r="X1972" s="153" t="s">
        <v>412</v>
      </c>
      <c r="Y1972" s="153" t="s">
        <v>339</v>
      </c>
      <c r="Z1972" s="154">
        <v>151250</v>
      </c>
      <c r="AA1972" s="154">
        <v>1</v>
      </c>
      <c r="AB1972" s="154">
        <v>99.8</v>
      </c>
      <c r="AD1972" s="154">
        <v>150.94800000000001</v>
      </c>
      <c r="AG1972" s="157" t="s">
        <v>15</v>
      </c>
      <c r="AH1972" s="155">
        <v>4.4999999999999999E-4</v>
      </c>
      <c r="AI1972" s="155">
        <f t="shared" si="30"/>
        <v>4.4853383830166738E-4</v>
      </c>
      <c r="AJ1972" s="155">
        <v>4.9848295163397305E-5</v>
      </c>
    </row>
    <row r="1973" spans="1:36" s="160" customFormat="1">
      <c r="A1973" s="153" t="s">
        <v>1213</v>
      </c>
      <c r="B1973" s="160">
        <v>9719</v>
      </c>
      <c r="C1973" s="153" t="s">
        <v>2780</v>
      </c>
      <c r="D1973" s="153" t="s">
        <v>2781</v>
      </c>
      <c r="E1973" s="153" t="s">
        <v>309</v>
      </c>
      <c r="F1973" s="153" t="s">
        <v>2782</v>
      </c>
      <c r="G1973" s="153" t="s">
        <v>2783</v>
      </c>
      <c r="H1973" s="153" t="s">
        <v>321</v>
      </c>
      <c r="I1973" s="153" t="s">
        <v>754</v>
      </c>
      <c r="J1973" s="153" t="s">
        <v>204</v>
      </c>
      <c r="K1973" s="153" t="s">
        <v>204</v>
      </c>
      <c r="L1973" s="153" t="s">
        <v>325</v>
      </c>
      <c r="M1973" s="153" t="s">
        <v>340</v>
      </c>
      <c r="N1973" s="153" t="s">
        <v>464</v>
      </c>
      <c r="O1973" s="153" t="s">
        <v>339</v>
      </c>
      <c r="P1973" s="153" t="s">
        <v>1560</v>
      </c>
      <c r="Q1973" s="153" t="s">
        <v>413</v>
      </c>
      <c r="R1973" s="153" t="s">
        <v>407</v>
      </c>
      <c r="S1973" s="153" t="s">
        <v>1212</v>
      </c>
      <c r="T1973" s="154">
        <v>1.44</v>
      </c>
      <c r="U1973" s="153" t="s">
        <v>1741</v>
      </c>
      <c r="V1973" s="155">
        <v>-1.3990000000000001E-2</v>
      </c>
      <c r="W1973" s="155">
        <v>2.7900000000000001E-2</v>
      </c>
      <c r="X1973" s="153" t="s">
        <v>412</v>
      </c>
      <c r="Y1973" s="153" t="s">
        <v>339</v>
      </c>
      <c r="Z1973" s="154">
        <v>85403.6</v>
      </c>
      <c r="AA1973" s="154">
        <v>1</v>
      </c>
      <c r="AB1973" s="154">
        <v>118.52</v>
      </c>
      <c r="AD1973" s="154">
        <v>101.22</v>
      </c>
      <c r="AG1973" s="157" t="s">
        <v>15</v>
      </c>
      <c r="AH1973" s="155">
        <v>2.4000000000000001E-4</v>
      </c>
      <c r="AI1973" s="155">
        <f t="shared" si="30"/>
        <v>3.0076976914496895E-4</v>
      </c>
      <c r="AJ1973" s="155">
        <v>3.3426374886974818E-5</v>
      </c>
    </row>
    <row r="1974" spans="1:36" s="160" customFormat="1">
      <c r="A1974" s="153" t="s">
        <v>1213</v>
      </c>
      <c r="B1974" s="160">
        <v>9720</v>
      </c>
      <c r="C1974" s="153" t="s">
        <v>2789</v>
      </c>
      <c r="D1974" s="153" t="s">
        <v>2790</v>
      </c>
      <c r="E1974" s="153" t="s">
        <v>309</v>
      </c>
      <c r="F1974" s="153" t="s">
        <v>3367</v>
      </c>
      <c r="G1974" s="153" t="s">
        <v>3368</v>
      </c>
      <c r="H1974" s="153" t="s">
        <v>321</v>
      </c>
      <c r="I1974" s="153" t="s">
        <v>952</v>
      </c>
      <c r="J1974" s="153" t="s">
        <v>204</v>
      </c>
      <c r="K1974" s="153" t="s">
        <v>204</v>
      </c>
      <c r="L1974" s="153" t="s">
        <v>325</v>
      </c>
      <c r="M1974" s="153" t="s">
        <v>340</v>
      </c>
      <c r="N1974" s="153" t="s">
        <v>441</v>
      </c>
      <c r="O1974" s="153" t="s">
        <v>339</v>
      </c>
      <c r="P1974" s="153" t="s">
        <v>1614</v>
      </c>
      <c r="Q1974" s="153" t="s">
        <v>415</v>
      </c>
      <c r="R1974" s="153" t="s">
        <v>407</v>
      </c>
      <c r="S1974" s="153" t="s">
        <v>1212</v>
      </c>
      <c r="T1974" s="154">
        <v>2.82</v>
      </c>
      <c r="U1974" s="153" t="s">
        <v>3369</v>
      </c>
      <c r="V1974" s="155">
        <v>3.14E-3</v>
      </c>
      <c r="W1974" s="155">
        <v>6.0699999999999997E-2</v>
      </c>
      <c r="X1974" s="153" t="s">
        <v>412</v>
      </c>
      <c r="Y1974" s="153" t="s">
        <v>339</v>
      </c>
      <c r="Z1974" s="154">
        <v>1202000</v>
      </c>
      <c r="AA1974" s="154">
        <v>1</v>
      </c>
      <c r="AB1974" s="154">
        <v>85.3</v>
      </c>
      <c r="AD1974" s="154">
        <v>1025.306</v>
      </c>
      <c r="AG1974" s="157" t="s">
        <v>15</v>
      </c>
      <c r="AH1974" s="155">
        <v>2.1199999999999999E-3</v>
      </c>
      <c r="AI1974" s="155">
        <f t="shared" si="30"/>
        <v>1</v>
      </c>
      <c r="AJ1974" s="155">
        <v>1.0348896003884698E-3</v>
      </c>
    </row>
    <row r="1975" spans="1:36" s="160" customFormat="1">
      <c r="A1975" s="153" t="s">
        <v>1213</v>
      </c>
      <c r="B1975" s="160">
        <v>9721</v>
      </c>
      <c r="C1975" s="153" t="s">
        <v>1807</v>
      </c>
      <c r="D1975" s="153" t="s">
        <v>1808</v>
      </c>
      <c r="E1975" s="153" t="s">
        <v>309</v>
      </c>
      <c r="F1975" s="153" t="s">
        <v>2200</v>
      </c>
      <c r="G1975" s="153" t="s">
        <v>2201</v>
      </c>
      <c r="H1975" s="153" t="s">
        <v>321</v>
      </c>
      <c r="I1975" s="153" t="s">
        <v>754</v>
      </c>
      <c r="J1975" s="153" t="s">
        <v>204</v>
      </c>
      <c r="K1975" s="153" t="s">
        <v>204</v>
      </c>
      <c r="L1975" s="153" t="s">
        <v>325</v>
      </c>
      <c r="M1975" s="153" t="s">
        <v>340</v>
      </c>
      <c r="N1975" s="153" t="s">
        <v>464</v>
      </c>
      <c r="O1975" s="153" t="s">
        <v>339</v>
      </c>
      <c r="P1975" s="153" t="s">
        <v>1811</v>
      </c>
      <c r="Q1975" s="153" t="s">
        <v>413</v>
      </c>
      <c r="R1975" s="153" t="s">
        <v>407</v>
      </c>
      <c r="S1975" s="153" t="s">
        <v>1212</v>
      </c>
      <c r="T1975" s="154">
        <v>10.34</v>
      </c>
      <c r="U1975" s="153" t="s">
        <v>2202</v>
      </c>
      <c r="V1975" s="155">
        <v>3.0040000000000001E-2</v>
      </c>
      <c r="W1975" s="155">
        <v>3.6400000000000002E-2</v>
      </c>
      <c r="X1975" s="153" t="s">
        <v>412</v>
      </c>
      <c r="Y1975" s="153" t="s">
        <v>339</v>
      </c>
      <c r="Z1975" s="154">
        <v>1610000</v>
      </c>
      <c r="AA1975" s="154">
        <v>1</v>
      </c>
      <c r="AB1975" s="154">
        <v>93.61</v>
      </c>
      <c r="AD1975" s="154">
        <v>1507.1210000000001</v>
      </c>
      <c r="AG1975" s="157" t="s">
        <v>15</v>
      </c>
      <c r="AH1975" s="155">
        <v>3.6999999999999999E-4</v>
      </c>
      <c r="AI1975" s="155">
        <f t="shared" si="30"/>
        <v>7.9709002464539908E-2</v>
      </c>
      <c r="AJ1975" s="155">
        <v>7.7674815670955247E-3</v>
      </c>
    </row>
    <row r="1976" spans="1:36" s="160" customFormat="1">
      <c r="A1976" s="153" t="s">
        <v>1213</v>
      </c>
      <c r="B1976" s="160">
        <v>9721</v>
      </c>
      <c r="C1976" s="153" t="s">
        <v>2273</v>
      </c>
      <c r="D1976" s="153" t="s">
        <v>2274</v>
      </c>
      <c r="E1976" s="153" t="s">
        <v>309</v>
      </c>
      <c r="F1976" s="153" t="s">
        <v>2275</v>
      </c>
      <c r="G1976" s="153" t="s">
        <v>2276</v>
      </c>
      <c r="H1976" s="153" t="s">
        <v>321</v>
      </c>
      <c r="I1976" s="153" t="s">
        <v>754</v>
      </c>
      <c r="J1976" s="153" t="s">
        <v>204</v>
      </c>
      <c r="K1976" s="153" t="s">
        <v>204</v>
      </c>
      <c r="L1976" s="153" t="s">
        <v>325</v>
      </c>
      <c r="M1976" s="153" t="s">
        <v>340</v>
      </c>
      <c r="N1976" s="153" t="s">
        <v>477</v>
      </c>
      <c r="O1976" s="153" t="s">
        <v>339</v>
      </c>
      <c r="P1976" s="153" t="s">
        <v>1215</v>
      </c>
      <c r="Q1976" s="153" t="s">
        <v>413</v>
      </c>
      <c r="R1976" s="153" t="s">
        <v>407</v>
      </c>
      <c r="S1976" s="153" t="s">
        <v>1212</v>
      </c>
      <c r="T1976" s="154">
        <v>1.72</v>
      </c>
      <c r="U1976" s="153" t="s">
        <v>1528</v>
      </c>
      <c r="V1976" s="155">
        <v>-2.2300000000000002E-3</v>
      </c>
      <c r="W1976" s="155">
        <v>1.9699999999999999E-2</v>
      </c>
      <c r="X1976" s="153" t="s">
        <v>412</v>
      </c>
      <c r="Y1976" s="153" t="s">
        <v>339</v>
      </c>
      <c r="Z1976" s="154">
        <v>1214365.6000000001</v>
      </c>
      <c r="AA1976" s="154">
        <v>1</v>
      </c>
      <c r="AB1976" s="154">
        <v>110.07</v>
      </c>
      <c r="AD1976" s="154">
        <v>1336.652</v>
      </c>
      <c r="AG1976" s="157" t="s">
        <v>15</v>
      </c>
      <c r="AH1976" s="155">
        <v>1.42E-3</v>
      </c>
      <c r="AI1976" s="155">
        <f t="shared" si="30"/>
        <v>7.0693194217473054E-2</v>
      </c>
      <c r="AJ1976" s="155">
        <v>6.8889092326504427E-3</v>
      </c>
    </row>
    <row r="1977" spans="1:36" s="160" customFormat="1">
      <c r="A1977" s="153" t="s">
        <v>1213</v>
      </c>
      <c r="B1977" s="160">
        <v>9721</v>
      </c>
      <c r="C1977" s="153" t="s">
        <v>1973</v>
      </c>
      <c r="D1977" s="153" t="s">
        <v>1974</v>
      </c>
      <c r="E1977" s="153" t="s">
        <v>309</v>
      </c>
      <c r="F1977" s="153" t="s">
        <v>1984</v>
      </c>
      <c r="G1977" s="153" t="s">
        <v>1985</v>
      </c>
      <c r="H1977" s="153" t="s">
        <v>321</v>
      </c>
      <c r="I1977" s="153" t="s">
        <v>754</v>
      </c>
      <c r="J1977" s="153" t="s">
        <v>204</v>
      </c>
      <c r="K1977" s="153" t="s">
        <v>204</v>
      </c>
      <c r="L1977" s="153" t="s">
        <v>325</v>
      </c>
      <c r="M1977" s="153" t="s">
        <v>340</v>
      </c>
      <c r="N1977" s="153" t="s">
        <v>464</v>
      </c>
      <c r="O1977" s="153" t="s">
        <v>339</v>
      </c>
      <c r="P1977" s="153" t="s">
        <v>1538</v>
      </c>
      <c r="Q1977" s="153" t="s">
        <v>413</v>
      </c>
      <c r="R1977" s="153" t="s">
        <v>407</v>
      </c>
      <c r="S1977" s="153" t="s">
        <v>1212</v>
      </c>
      <c r="T1977" s="154">
        <v>1.89</v>
      </c>
      <c r="U1977" s="153" t="s">
        <v>1522</v>
      </c>
      <c r="V1977" s="155">
        <v>-1.2659999999999999E-2</v>
      </c>
      <c r="W1977" s="155">
        <v>2.4899999999999999E-2</v>
      </c>
      <c r="X1977" s="153" t="s">
        <v>412</v>
      </c>
      <c r="Y1977" s="153" t="s">
        <v>339</v>
      </c>
      <c r="Z1977" s="154">
        <v>983132.52</v>
      </c>
      <c r="AA1977" s="154">
        <v>1</v>
      </c>
      <c r="AB1977" s="154">
        <v>115.87</v>
      </c>
      <c r="AD1977" s="154">
        <v>1139.1559999999999</v>
      </c>
      <c r="AG1977" s="157" t="s">
        <v>15</v>
      </c>
      <c r="AH1977" s="155">
        <v>1.83E-3</v>
      </c>
      <c r="AI1977" s="155">
        <f t="shared" si="30"/>
        <v>6.0247975054090158E-2</v>
      </c>
      <c r="AJ1977" s="155">
        <v>5.8710436866358231E-3</v>
      </c>
    </row>
    <row r="1978" spans="1:36" s="160" customFormat="1">
      <c r="A1978" s="153" t="s">
        <v>1213</v>
      </c>
      <c r="B1978" s="160">
        <v>9721</v>
      </c>
      <c r="C1978" s="153" t="s">
        <v>1512</v>
      </c>
      <c r="D1978" s="153" t="s">
        <v>1513</v>
      </c>
      <c r="E1978" s="153" t="s">
        <v>309</v>
      </c>
      <c r="F1978" s="153" t="s">
        <v>2103</v>
      </c>
      <c r="G1978" s="153" t="s">
        <v>2104</v>
      </c>
      <c r="H1978" s="153" t="s">
        <v>321</v>
      </c>
      <c r="I1978" s="153" t="s">
        <v>754</v>
      </c>
      <c r="J1978" s="153" t="s">
        <v>204</v>
      </c>
      <c r="K1978" s="153" t="s">
        <v>204</v>
      </c>
      <c r="L1978" s="153" t="s">
        <v>325</v>
      </c>
      <c r="M1978" s="153" t="s">
        <v>340</v>
      </c>
      <c r="N1978" s="153" t="s">
        <v>448</v>
      </c>
      <c r="O1978" s="153" t="s">
        <v>339</v>
      </c>
      <c r="P1978" s="153" t="s">
        <v>1215</v>
      </c>
      <c r="Q1978" s="153" t="s">
        <v>413</v>
      </c>
      <c r="R1978" s="153" t="s">
        <v>407</v>
      </c>
      <c r="S1978" s="153" t="s">
        <v>1212</v>
      </c>
      <c r="T1978" s="154">
        <v>4.38</v>
      </c>
      <c r="U1978" s="153" t="s">
        <v>2105</v>
      </c>
      <c r="V1978" s="155">
        <v>1.7569999999999999E-2</v>
      </c>
      <c r="W1978" s="155">
        <v>2.5700000000000001E-2</v>
      </c>
      <c r="X1978" s="153" t="s">
        <v>412</v>
      </c>
      <c r="Y1978" s="153" t="s">
        <v>339</v>
      </c>
      <c r="Z1978" s="154">
        <v>1100000</v>
      </c>
      <c r="AA1978" s="154">
        <v>1</v>
      </c>
      <c r="AB1978" s="154">
        <v>102.5</v>
      </c>
      <c r="AD1978" s="154">
        <v>1127.5</v>
      </c>
      <c r="AG1978" s="157" t="s">
        <v>15</v>
      </c>
      <c r="AH1978" s="155">
        <v>4.0999999999999999E-4</v>
      </c>
      <c r="AI1978" s="155">
        <f t="shared" si="30"/>
        <v>5.9631509532923198E-2</v>
      </c>
      <c r="AJ1978" s="155">
        <v>5.8109703646224845E-3</v>
      </c>
    </row>
    <row r="1979" spans="1:36" s="160" customFormat="1">
      <c r="A1979" s="153" t="s">
        <v>1213</v>
      </c>
      <c r="B1979" s="160">
        <v>9721</v>
      </c>
      <c r="C1979" s="153" t="s">
        <v>2032</v>
      </c>
      <c r="D1979" s="153" t="s">
        <v>2033</v>
      </c>
      <c r="E1979" s="153" t="s">
        <v>309</v>
      </c>
      <c r="F1979" s="153" t="s">
        <v>2765</v>
      </c>
      <c r="G1979" s="153" t="s">
        <v>2766</v>
      </c>
      <c r="H1979" s="153" t="s">
        <v>321</v>
      </c>
      <c r="I1979" s="153" t="s">
        <v>754</v>
      </c>
      <c r="J1979" s="153" t="s">
        <v>204</v>
      </c>
      <c r="K1979" s="153" t="s">
        <v>204</v>
      </c>
      <c r="L1979" s="153" t="s">
        <v>325</v>
      </c>
      <c r="M1979" s="153" t="s">
        <v>340</v>
      </c>
      <c r="N1979" s="153" t="s">
        <v>445</v>
      </c>
      <c r="O1979" s="153" t="s">
        <v>339</v>
      </c>
      <c r="P1979" s="153" t="s">
        <v>1538</v>
      </c>
      <c r="Q1979" s="153" t="s">
        <v>413</v>
      </c>
      <c r="R1979" s="153" t="s">
        <v>407</v>
      </c>
      <c r="S1979" s="153" t="s">
        <v>1212</v>
      </c>
      <c r="T1979" s="154">
        <v>5.09</v>
      </c>
      <c r="U1979" s="153" t="s">
        <v>2210</v>
      </c>
      <c r="V1979" s="155">
        <v>2.0480000000000002E-2</v>
      </c>
      <c r="W1979" s="155">
        <v>2.8899999999999999E-2</v>
      </c>
      <c r="X1979" s="153" t="s">
        <v>412</v>
      </c>
      <c r="Y1979" s="153" t="s">
        <v>339</v>
      </c>
      <c r="Z1979" s="154">
        <v>1094000</v>
      </c>
      <c r="AA1979" s="154">
        <v>1</v>
      </c>
      <c r="AB1979" s="154">
        <v>100.89</v>
      </c>
      <c r="AD1979" s="154">
        <v>1103.7370000000001</v>
      </c>
      <c r="AG1979" s="157" t="s">
        <v>15</v>
      </c>
      <c r="AH1979" s="155">
        <v>3.65E-3</v>
      </c>
      <c r="AI1979" s="155">
        <f t="shared" si="30"/>
        <v>5.8374725886776106E-2</v>
      </c>
      <c r="AJ1979" s="155">
        <v>5.6884993324499587E-3</v>
      </c>
    </row>
    <row r="1980" spans="1:36" s="160" customFormat="1">
      <c r="A1980" s="153" t="s">
        <v>1213</v>
      </c>
      <c r="B1980" s="160">
        <v>9721</v>
      </c>
      <c r="C1980" s="153" t="s">
        <v>2032</v>
      </c>
      <c r="D1980" s="153" t="s">
        <v>2033</v>
      </c>
      <c r="E1980" s="153" t="s">
        <v>309</v>
      </c>
      <c r="F1980" s="153" t="s">
        <v>2193</v>
      </c>
      <c r="G1980" s="153" t="s">
        <v>2194</v>
      </c>
      <c r="H1980" s="153" t="s">
        <v>321</v>
      </c>
      <c r="I1980" s="153" t="s">
        <v>951</v>
      </c>
      <c r="J1980" s="153" t="s">
        <v>204</v>
      </c>
      <c r="K1980" s="153" t="s">
        <v>204</v>
      </c>
      <c r="L1980" s="153" t="s">
        <v>325</v>
      </c>
      <c r="M1980" s="153" t="s">
        <v>340</v>
      </c>
      <c r="N1980" s="153" t="s">
        <v>445</v>
      </c>
      <c r="O1980" s="153" t="s">
        <v>339</v>
      </c>
      <c r="P1980" s="153" t="s">
        <v>1538</v>
      </c>
      <c r="Q1980" s="153" t="s">
        <v>413</v>
      </c>
      <c r="R1980" s="153" t="s">
        <v>407</v>
      </c>
      <c r="S1980" s="153" t="s">
        <v>1212</v>
      </c>
      <c r="T1980" s="154">
        <v>5.05</v>
      </c>
      <c r="U1980" s="153" t="s">
        <v>1717</v>
      </c>
      <c r="V1980" s="155">
        <v>4.1590000000000002E-2</v>
      </c>
      <c r="W1980" s="155">
        <v>5.6500000000000002E-2</v>
      </c>
      <c r="X1980" s="153" t="s">
        <v>412</v>
      </c>
      <c r="Y1980" s="153" t="s">
        <v>339</v>
      </c>
      <c r="Z1980" s="154">
        <v>1100000</v>
      </c>
      <c r="AA1980" s="154">
        <v>1</v>
      </c>
      <c r="AB1980" s="154">
        <v>95.86</v>
      </c>
      <c r="AD1980" s="154">
        <v>1054.46</v>
      </c>
      <c r="AG1980" s="157" t="s">
        <v>15</v>
      </c>
      <c r="AH1980" s="155">
        <v>2.2000000000000001E-3</v>
      </c>
      <c r="AI1980" s="155">
        <f t="shared" si="30"/>
        <v>5.5768551256839202E-2</v>
      </c>
      <c r="AJ1980" s="155">
        <v>5.4345328697825504E-3</v>
      </c>
    </row>
    <row r="1981" spans="1:36" s="160" customFormat="1">
      <c r="A1981" s="153" t="s">
        <v>1213</v>
      </c>
      <c r="B1981" s="160">
        <v>9721</v>
      </c>
      <c r="C1981" s="153" t="s">
        <v>2428</v>
      </c>
      <c r="D1981" s="153" t="s">
        <v>2429</v>
      </c>
      <c r="E1981" s="153" t="s">
        <v>309</v>
      </c>
      <c r="F1981" s="153" t="s">
        <v>2739</v>
      </c>
      <c r="G1981" s="153" t="s">
        <v>2740</v>
      </c>
      <c r="H1981" s="153" t="s">
        <v>321</v>
      </c>
      <c r="I1981" s="153" t="s">
        <v>755</v>
      </c>
      <c r="J1981" s="153" t="s">
        <v>204</v>
      </c>
      <c r="K1981" s="153" t="s">
        <v>204</v>
      </c>
      <c r="L1981" s="153" t="s">
        <v>325</v>
      </c>
      <c r="M1981" s="153" t="s">
        <v>340</v>
      </c>
      <c r="N1981" s="153" t="s">
        <v>454</v>
      </c>
      <c r="O1981" s="153" t="s">
        <v>339</v>
      </c>
      <c r="P1981" s="153" t="s">
        <v>1538</v>
      </c>
      <c r="Q1981" s="153" t="s">
        <v>413</v>
      </c>
      <c r="R1981" s="153" t="s">
        <v>407</v>
      </c>
      <c r="S1981" s="153" t="s">
        <v>1212</v>
      </c>
      <c r="T1981" s="154">
        <v>3.14</v>
      </c>
      <c r="U1981" s="153" t="s">
        <v>2553</v>
      </c>
      <c r="V1981" s="155">
        <v>4.7019999999999999E-2</v>
      </c>
      <c r="W1981" s="155">
        <v>6.7000000000000004E-2</v>
      </c>
      <c r="X1981" s="153" t="s">
        <v>412</v>
      </c>
      <c r="Y1981" s="153" t="s">
        <v>339</v>
      </c>
      <c r="Z1981" s="154">
        <v>955696.2</v>
      </c>
      <c r="AA1981" s="154">
        <v>1</v>
      </c>
      <c r="AB1981" s="154">
        <v>101.93</v>
      </c>
      <c r="AD1981" s="154">
        <v>974.14099999999996</v>
      </c>
      <c r="AG1981" s="157" t="s">
        <v>15</v>
      </c>
      <c r="AH1981" s="155">
        <v>5.4599999999999996E-3</v>
      </c>
      <c r="AI1981" s="155">
        <f t="shared" si="30"/>
        <v>5.1520619359566595E-2</v>
      </c>
      <c r="AJ1981" s="155">
        <v>5.02058047180817E-3</v>
      </c>
    </row>
    <row r="1982" spans="1:36" s="160" customFormat="1">
      <c r="A1982" s="153" t="s">
        <v>1213</v>
      </c>
      <c r="B1982" s="160">
        <v>9721</v>
      </c>
      <c r="C1982" s="153" t="s">
        <v>1534</v>
      </c>
      <c r="D1982" s="153" t="s">
        <v>1535</v>
      </c>
      <c r="E1982" s="153" t="s">
        <v>309</v>
      </c>
      <c r="F1982" s="153" t="s">
        <v>2009</v>
      </c>
      <c r="G1982" s="153" t="s">
        <v>2010</v>
      </c>
      <c r="H1982" s="153" t="s">
        <v>321</v>
      </c>
      <c r="I1982" s="153" t="s">
        <v>754</v>
      </c>
      <c r="J1982" s="153" t="s">
        <v>204</v>
      </c>
      <c r="K1982" s="153" t="s">
        <v>204</v>
      </c>
      <c r="L1982" s="153" t="s">
        <v>325</v>
      </c>
      <c r="M1982" s="153" t="s">
        <v>340</v>
      </c>
      <c r="N1982" s="153" t="s">
        <v>464</v>
      </c>
      <c r="O1982" s="153" t="s">
        <v>339</v>
      </c>
      <c r="P1982" s="153" t="s">
        <v>2011</v>
      </c>
      <c r="Q1982" s="153" t="s">
        <v>415</v>
      </c>
      <c r="R1982" s="153" t="s">
        <v>407</v>
      </c>
      <c r="S1982" s="153" t="s">
        <v>1212</v>
      </c>
      <c r="T1982" s="154">
        <v>5.56</v>
      </c>
      <c r="U1982" s="153" t="s">
        <v>2012</v>
      </c>
      <c r="V1982" s="155">
        <v>2.741E-2</v>
      </c>
      <c r="W1982" s="155">
        <v>3.3099999999999997E-2</v>
      </c>
      <c r="X1982" s="153" t="s">
        <v>412</v>
      </c>
      <c r="Y1982" s="153" t="s">
        <v>339</v>
      </c>
      <c r="Z1982" s="154">
        <v>880000</v>
      </c>
      <c r="AA1982" s="154">
        <v>1</v>
      </c>
      <c r="AB1982" s="154">
        <v>102.12</v>
      </c>
      <c r="AD1982" s="154">
        <v>898.65599999999995</v>
      </c>
      <c r="AG1982" s="157" t="s">
        <v>15</v>
      </c>
      <c r="AH1982" s="155">
        <v>3.4000000000000002E-4</v>
      </c>
      <c r="AI1982" s="155">
        <f t="shared" si="30"/>
        <v>4.7528349295626278E-2</v>
      </c>
      <c r="AJ1982" s="155">
        <v>4.6315418039824243E-3</v>
      </c>
    </row>
    <row r="1983" spans="1:36" s="160" customFormat="1">
      <c r="A1983" s="153" t="s">
        <v>1213</v>
      </c>
      <c r="B1983" s="160">
        <v>9721</v>
      </c>
      <c r="C1983" s="153" t="s">
        <v>2263</v>
      </c>
      <c r="D1983" s="153" t="s">
        <v>2264</v>
      </c>
      <c r="E1983" s="153" t="s">
        <v>309</v>
      </c>
      <c r="F1983" s="153" t="s">
        <v>2855</v>
      </c>
      <c r="G1983" s="153" t="s">
        <v>2856</v>
      </c>
      <c r="H1983" s="153" t="s">
        <v>321</v>
      </c>
      <c r="I1983" s="153" t="s">
        <v>755</v>
      </c>
      <c r="J1983" s="153" t="s">
        <v>204</v>
      </c>
      <c r="K1983" s="153" t="s">
        <v>204</v>
      </c>
      <c r="L1983" s="153" t="s">
        <v>325</v>
      </c>
      <c r="M1983" s="153" t="s">
        <v>340</v>
      </c>
      <c r="N1983" s="153" t="s">
        <v>436</v>
      </c>
      <c r="O1983" s="153" t="s">
        <v>339</v>
      </c>
      <c r="P1983" s="153" t="s">
        <v>1215</v>
      </c>
      <c r="Q1983" s="153" t="s">
        <v>413</v>
      </c>
      <c r="R1983" s="153" t="s">
        <v>407</v>
      </c>
      <c r="S1983" s="153" t="s">
        <v>1212</v>
      </c>
      <c r="T1983" s="154">
        <v>1.46</v>
      </c>
      <c r="U1983" s="153" t="s">
        <v>2857</v>
      </c>
      <c r="V1983" s="155">
        <v>-1.32E-3</v>
      </c>
      <c r="W1983" s="155">
        <v>6.3500000000000001E-2</v>
      </c>
      <c r="X1983" s="153" t="s">
        <v>412</v>
      </c>
      <c r="Y1983" s="153" t="s">
        <v>339</v>
      </c>
      <c r="Z1983" s="154">
        <v>616579</v>
      </c>
      <c r="AA1983" s="154">
        <v>1</v>
      </c>
      <c r="AB1983" s="154">
        <v>108</v>
      </c>
      <c r="AD1983" s="154">
        <v>665.90499999999997</v>
      </c>
      <c r="AG1983" s="157" t="s">
        <v>15</v>
      </c>
      <c r="AH1983" s="155">
        <v>3.3E-4</v>
      </c>
      <c r="AI1983" s="155">
        <f t="shared" si="30"/>
        <v>3.5218554639043213E-2</v>
      </c>
      <c r="AJ1983" s="155">
        <v>3.4319771358349762E-3</v>
      </c>
    </row>
    <row r="1984" spans="1:36" s="160" customFormat="1">
      <c r="A1984" s="153" t="s">
        <v>1213</v>
      </c>
      <c r="B1984" s="160">
        <v>9721</v>
      </c>
      <c r="C1984" s="153" t="s">
        <v>2178</v>
      </c>
      <c r="D1984" s="153" t="s">
        <v>2179</v>
      </c>
      <c r="E1984" s="153" t="s">
        <v>309</v>
      </c>
      <c r="F1984" s="153" t="s">
        <v>2762</v>
      </c>
      <c r="G1984" s="153" t="s">
        <v>2763</v>
      </c>
      <c r="H1984" s="153" t="s">
        <v>321</v>
      </c>
      <c r="I1984" s="153" t="s">
        <v>951</v>
      </c>
      <c r="J1984" s="153" t="s">
        <v>204</v>
      </c>
      <c r="K1984" s="153" t="s">
        <v>204</v>
      </c>
      <c r="L1984" s="153" t="s">
        <v>325</v>
      </c>
      <c r="M1984" s="153" t="s">
        <v>340</v>
      </c>
      <c r="N1984" s="153" t="s">
        <v>464</v>
      </c>
      <c r="O1984" s="153" t="s">
        <v>339</v>
      </c>
      <c r="P1984" s="153" t="s">
        <v>1566</v>
      </c>
      <c r="Q1984" s="153" t="s">
        <v>413</v>
      </c>
      <c r="R1984" s="153" t="s">
        <v>407</v>
      </c>
      <c r="S1984" s="153" t="s">
        <v>1212</v>
      </c>
      <c r="T1984" s="154">
        <v>1.34</v>
      </c>
      <c r="U1984" s="153" t="s">
        <v>2764</v>
      </c>
      <c r="V1984" s="155">
        <v>-6.9100000000000003E-3</v>
      </c>
      <c r="W1984" s="155">
        <v>6.1800000000000001E-2</v>
      </c>
      <c r="X1984" s="153" t="s">
        <v>412</v>
      </c>
      <c r="Y1984" s="153" t="s">
        <v>339</v>
      </c>
      <c r="Z1984" s="154">
        <v>644525.25</v>
      </c>
      <c r="AA1984" s="154">
        <v>1</v>
      </c>
      <c r="AB1984" s="154">
        <v>101.51</v>
      </c>
      <c r="AD1984" s="154">
        <v>654.25800000000004</v>
      </c>
      <c r="AG1984" s="157" t="s">
        <v>15</v>
      </c>
      <c r="AH1984" s="155">
        <v>6.0999999999999997E-4</v>
      </c>
      <c r="AI1984" s="155">
        <f t="shared" si="30"/>
        <v>3.4602565112187379E-2</v>
      </c>
      <c r="AJ1984" s="155">
        <v>3.3719501985074746E-3</v>
      </c>
    </row>
    <row r="1985" spans="1:36" s="160" customFormat="1">
      <c r="A1985" s="153" t="s">
        <v>1213</v>
      </c>
      <c r="B1985" s="160">
        <v>9721</v>
      </c>
      <c r="C1985" s="153" t="s">
        <v>2361</v>
      </c>
      <c r="D1985" s="153" t="s">
        <v>2362</v>
      </c>
      <c r="E1985" s="153" t="s">
        <v>309</v>
      </c>
      <c r="F1985" s="153" t="s">
        <v>2522</v>
      </c>
      <c r="G1985" s="153" t="s">
        <v>2523</v>
      </c>
      <c r="H1985" s="153" t="s">
        <v>321</v>
      </c>
      <c r="I1985" s="153" t="s">
        <v>755</v>
      </c>
      <c r="J1985" s="153" t="s">
        <v>204</v>
      </c>
      <c r="K1985" s="153" t="s">
        <v>204</v>
      </c>
      <c r="L1985" s="153" t="s">
        <v>325</v>
      </c>
      <c r="M1985" s="153" t="s">
        <v>340</v>
      </c>
      <c r="N1985" s="153" t="s">
        <v>446</v>
      </c>
      <c r="O1985" s="153" t="s">
        <v>339</v>
      </c>
      <c r="P1985" s="153" t="s">
        <v>1538</v>
      </c>
      <c r="Q1985" s="153" t="s">
        <v>413</v>
      </c>
      <c r="R1985" s="153" t="s">
        <v>407</v>
      </c>
      <c r="S1985" s="153" t="s">
        <v>1212</v>
      </c>
      <c r="T1985" s="154">
        <v>2.58</v>
      </c>
      <c r="U1985" s="153" t="s">
        <v>1587</v>
      </c>
      <c r="V1985" s="155">
        <v>3.925E-2</v>
      </c>
      <c r="W1985" s="155">
        <v>5.79E-2</v>
      </c>
      <c r="X1985" s="153" t="s">
        <v>412</v>
      </c>
      <c r="Y1985" s="153" t="s">
        <v>339</v>
      </c>
      <c r="Z1985" s="154">
        <v>621670.82999999996</v>
      </c>
      <c r="AA1985" s="154">
        <v>1</v>
      </c>
      <c r="AB1985" s="154">
        <v>104.36</v>
      </c>
      <c r="AD1985" s="154">
        <v>648.77599999999995</v>
      </c>
      <c r="AG1985" s="157" t="s">
        <v>15</v>
      </c>
      <c r="AH1985" s="155">
        <v>4.9699999999999996E-3</v>
      </c>
      <c r="AI1985" s="155">
        <f t="shared" si="30"/>
        <v>3.4312631688453908E-2</v>
      </c>
      <c r="AJ1985" s="155">
        <v>3.3436967709785516E-3</v>
      </c>
    </row>
    <row r="1986" spans="1:36" s="160" customFormat="1">
      <c r="A1986" s="153" t="s">
        <v>1213</v>
      </c>
      <c r="B1986" s="160">
        <v>9721</v>
      </c>
      <c r="C1986" s="153" t="s">
        <v>1674</v>
      </c>
      <c r="D1986" s="153" t="s">
        <v>1675</v>
      </c>
      <c r="E1986" s="153" t="s">
        <v>309</v>
      </c>
      <c r="F1986" s="153" t="s">
        <v>2312</v>
      </c>
      <c r="G1986" s="153" t="s">
        <v>2313</v>
      </c>
      <c r="H1986" s="153" t="s">
        <v>321</v>
      </c>
      <c r="I1986" s="153" t="s">
        <v>754</v>
      </c>
      <c r="J1986" s="153" t="s">
        <v>204</v>
      </c>
      <c r="K1986" s="153" t="s">
        <v>204</v>
      </c>
      <c r="L1986" s="153" t="s">
        <v>325</v>
      </c>
      <c r="M1986" s="153" t="s">
        <v>340</v>
      </c>
      <c r="N1986" s="153" t="s">
        <v>464</v>
      </c>
      <c r="O1986" s="153" t="s">
        <v>339</v>
      </c>
      <c r="P1986" s="153" t="s">
        <v>1538</v>
      </c>
      <c r="Q1986" s="153" t="s">
        <v>413</v>
      </c>
      <c r="R1986" s="153" t="s">
        <v>407</v>
      </c>
      <c r="S1986" s="153" t="s">
        <v>1212</v>
      </c>
      <c r="T1986" s="154">
        <v>2.89</v>
      </c>
      <c r="U1986" s="153" t="s">
        <v>2314</v>
      </c>
      <c r="V1986" s="155">
        <v>1.84E-2</v>
      </c>
      <c r="W1986" s="155">
        <v>2.5499999999999998E-2</v>
      </c>
      <c r="X1986" s="153" t="s">
        <v>412</v>
      </c>
      <c r="Y1986" s="153" t="s">
        <v>339</v>
      </c>
      <c r="Z1986" s="154">
        <v>531591.31999999995</v>
      </c>
      <c r="AA1986" s="154">
        <v>1</v>
      </c>
      <c r="AB1986" s="154">
        <v>113.8</v>
      </c>
      <c r="AD1986" s="154">
        <v>604.95100000000002</v>
      </c>
      <c r="AG1986" s="157" t="s">
        <v>15</v>
      </c>
      <c r="AH1986" s="155">
        <v>1.06E-3</v>
      </c>
      <c r="AI1986" s="155">
        <f t="shared" si="30"/>
        <v>3.1994803834546719E-2</v>
      </c>
      <c r="AJ1986" s="155">
        <v>3.1178291202206094E-3</v>
      </c>
    </row>
    <row r="1987" spans="1:36" s="160" customFormat="1">
      <c r="A1987" s="153" t="s">
        <v>1213</v>
      </c>
      <c r="B1987" s="160">
        <v>9721</v>
      </c>
      <c r="C1987" s="153" t="s">
        <v>2404</v>
      </c>
      <c r="D1987" s="153" t="s">
        <v>2405</v>
      </c>
      <c r="E1987" s="153" t="s">
        <v>309</v>
      </c>
      <c r="F1987" s="153" t="s">
        <v>2406</v>
      </c>
      <c r="G1987" s="153" t="s">
        <v>2407</v>
      </c>
      <c r="H1987" s="153" t="s">
        <v>321</v>
      </c>
      <c r="I1987" s="153" t="s">
        <v>754</v>
      </c>
      <c r="J1987" s="153" t="s">
        <v>204</v>
      </c>
      <c r="K1987" s="153" t="s">
        <v>204</v>
      </c>
      <c r="L1987" s="153" t="s">
        <v>325</v>
      </c>
      <c r="M1987" s="153" t="s">
        <v>340</v>
      </c>
      <c r="N1987" s="153" t="s">
        <v>440</v>
      </c>
      <c r="O1987" s="153" t="s">
        <v>339</v>
      </c>
      <c r="P1987" s="153" t="s">
        <v>1554</v>
      </c>
      <c r="Q1987" s="153" t="s">
        <v>413</v>
      </c>
      <c r="R1987" s="153" t="s">
        <v>407</v>
      </c>
      <c r="S1987" s="153" t="s">
        <v>1212</v>
      </c>
      <c r="T1987" s="154">
        <v>3.02</v>
      </c>
      <c r="U1987" s="153" t="s">
        <v>1654</v>
      </c>
      <c r="V1987" s="155">
        <v>1.6199999999999999E-2</v>
      </c>
      <c r="W1987" s="155">
        <v>3.1E-2</v>
      </c>
      <c r="X1987" s="153" t="s">
        <v>412</v>
      </c>
      <c r="Y1987" s="153" t="s">
        <v>339</v>
      </c>
      <c r="Z1987" s="154">
        <v>501920.09</v>
      </c>
      <c r="AA1987" s="154">
        <v>1</v>
      </c>
      <c r="AB1987" s="154">
        <v>113.65</v>
      </c>
      <c r="AD1987" s="154">
        <v>570.43200000000002</v>
      </c>
      <c r="AG1987" s="157" t="s">
        <v>15</v>
      </c>
      <c r="AH1987" s="155">
        <v>6.3000000000000003E-4</v>
      </c>
      <c r="AI1987" s="155">
        <f t="shared" ref="AI1987:AI2050" si="31">AD1987/SUMIF(B:B,B1987,AD:AD)</f>
        <v>3.0169154098345408E-2</v>
      </c>
      <c r="AJ1987" s="155">
        <v>2.9399232346184775E-3</v>
      </c>
    </row>
    <row r="1988" spans="1:36" s="160" customFormat="1">
      <c r="A1988" s="153" t="s">
        <v>1213</v>
      </c>
      <c r="B1988" s="160">
        <v>9721</v>
      </c>
      <c r="C1988" s="153" t="s">
        <v>1687</v>
      </c>
      <c r="D1988" s="153" t="s">
        <v>1688</v>
      </c>
      <c r="E1988" s="153" t="s">
        <v>309</v>
      </c>
      <c r="F1988" s="153" t="s">
        <v>3347</v>
      </c>
      <c r="G1988" s="153" t="s">
        <v>3348</v>
      </c>
      <c r="H1988" s="153" t="s">
        <v>321</v>
      </c>
      <c r="I1988" s="153" t="s">
        <v>951</v>
      </c>
      <c r="J1988" s="153" t="s">
        <v>204</v>
      </c>
      <c r="K1988" s="153" t="s">
        <v>204</v>
      </c>
      <c r="L1988" s="153" t="s">
        <v>325</v>
      </c>
      <c r="M1988" s="153" t="s">
        <v>340</v>
      </c>
      <c r="N1988" s="153" t="s">
        <v>465</v>
      </c>
      <c r="O1988" s="153" t="s">
        <v>339</v>
      </c>
      <c r="P1988" s="153" t="s">
        <v>1614</v>
      </c>
      <c r="Q1988" s="153" t="s">
        <v>415</v>
      </c>
      <c r="R1988" s="153" t="s">
        <v>407</v>
      </c>
      <c r="S1988" s="153" t="s">
        <v>1212</v>
      </c>
      <c r="T1988" s="154">
        <v>2.87</v>
      </c>
      <c r="U1988" s="153" t="s">
        <v>3349</v>
      </c>
      <c r="V1988" s="155">
        <v>6.0080000000000001E-2</v>
      </c>
      <c r="W1988" s="155">
        <v>6.08E-2</v>
      </c>
      <c r="X1988" s="153" t="s">
        <v>412</v>
      </c>
      <c r="Y1988" s="153" t="s">
        <v>339</v>
      </c>
      <c r="Z1988" s="154">
        <v>488445</v>
      </c>
      <c r="AA1988" s="154">
        <v>1</v>
      </c>
      <c r="AB1988" s="154">
        <v>92.53</v>
      </c>
      <c r="AD1988" s="154">
        <v>451.95800000000003</v>
      </c>
      <c r="AG1988" s="157" t="s">
        <v>15</v>
      </c>
      <c r="AH1988" s="155">
        <v>1.67E-3</v>
      </c>
      <c r="AI1988" s="155">
        <f t="shared" si="31"/>
        <v>2.3903270763175968E-2</v>
      </c>
      <c r="AJ1988" s="155">
        <v>2.3293255379636798E-3</v>
      </c>
    </row>
    <row r="1989" spans="1:36" s="160" customFormat="1">
      <c r="A1989" s="153" t="s">
        <v>1213</v>
      </c>
      <c r="B1989" s="160">
        <v>9721</v>
      </c>
      <c r="C1989" s="153" t="s">
        <v>2428</v>
      </c>
      <c r="D1989" s="153" t="s">
        <v>2429</v>
      </c>
      <c r="E1989" s="153" t="s">
        <v>309</v>
      </c>
      <c r="F1989" s="153" t="s">
        <v>2430</v>
      </c>
      <c r="G1989" s="153" t="s">
        <v>2431</v>
      </c>
      <c r="H1989" s="153" t="s">
        <v>321</v>
      </c>
      <c r="I1989" s="153" t="s">
        <v>755</v>
      </c>
      <c r="J1989" s="153" t="s">
        <v>204</v>
      </c>
      <c r="K1989" s="153" t="s">
        <v>204</v>
      </c>
      <c r="L1989" s="153" t="s">
        <v>325</v>
      </c>
      <c r="M1989" s="153" t="s">
        <v>340</v>
      </c>
      <c r="N1989" s="153" t="s">
        <v>454</v>
      </c>
      <c r="O1989" s="153" t="s">
        <v>339</v>
      </c>
      <c r="P1989" s="153" t="s">
        <v>1538</v>
      </c>
      <c r="Q1989" s="153" t="s">
        <v>413</v>
      </c>
      <c r="R1989" s="153" t="s">
        <v>407</v>
      </c>
      <c r="S1989" s="153" t="s">
        <v>1212</v>
      </c>
      <c r="T1989" s="154">
        <v>0.5</v>
      </c>
      <c r="U1989" s="153" t="s">
        <v>2432</v>
      </c>
      <c r="V1989" s="155">
        <v>3.771E-2</v>
      </c>
      <c r="W1989" s="155">
        <v>8.8599999999999998E-2</v>
      </c>
      <c r="X1989" s="153" t="s">
        <v>412</v>
      </c>
      <c r="Y1989" s="153" t="s">
        <v>339</v>
      </c>
      <c r="Z1989" s="154">
        <v>438778.09</v>
      </c>
      <c r="AA1989" s="154">
        <v>1</v>
      </c>
      <c r="AB1989" s="154">
        <v>102.3</v>
      </c>
      <c r="AD1989" s="154">
        <v>448.87</v>
      </c>
      <c r="AG1989" s="157" t="s">
        <v>15</v>
      </c>
      <c r="AH1989" s="155">
        <v>8.7000000000000001E-4</v>
      </c>
      <c r="AI1989" s="155">
        <f t="shared" si="31"/>
        <v>2.3739951826202428E-2</v>
      </c>
      <c r="AJ1989" s="155">
        <v>2.3134104368674898E-3</v>
      </c>
    </row>
    <row r="1990" spans="1:36" s="160" customFormat="1">
      <c r="A1990" s="153" t="s">
        <v>1213</v>
      </c>
      <c r="B1990" s="160">
        <v>9721</v>
      </c>
      <c r="C1990" s="153" t="s">
        <v>2228</v>
      </c>
      <c r="D1990" s="153" t="s">
        <v>2229</v>
      </c>
      <c r="E1990" s="153" t="s">
        <v>309</v>
      </c>
      <c r="F1990" s="153" t="s">
        <v>2230</v>
      </c>
      <c r="G1990" s="153" t="s">
        <v>2231</v>
      </c>
      <c r="H1990" s="153" t="s">
        <v>321</v>
      </c>
      <c r="I1990" s="153" t="s">
        <v>951</v>
      </c>
      <c r="J1990" s="153" t="s">
        <v>204</v>
      </c>
      <c r="K1990" s="153" t="s">
        <v>204</v>
      </c>
      <c r="L1990" s="153" t="s">
        <v>325</v>
      </c>
      <c r="M1990" s="153" t="s">
        <v>340</v>
      </c>
      <c r="N1990" s="153" t="s">
        <v>441</v>
      </c>
      <c r="O1990" s="153" t="s">
        <v>339</v>
      </c>
      <c r="P1990" s="153" t="s">
        <v>1614</v>
      </c>
      <c r="Q1990" s="153" t="s">
        <v>415</v>
      </c>
      <c r="R1990" s="153" t="s">
        <v>407</v>
      </c>
      <c r="S1990" s="153" t="s">
        <v>1212</v>
      </c>
      <c r="T1990" s="154">
        <v>1.74</v>
      </c>
      <c r="U1990" s="153" t="s">
        <v>2232</v>
      </c>
      <c r="V1990" s="155">
        <v>1.332E-2</v>
      </c>
      <c r="W1990" s="155">
        <v>5.7200000000000001E-2</v>
      </c>
      <c r="X1990" s="153" t="s">
        <v>412</v>
      </c>
      <c r="Y1990" s="153" t="s">
        <v>339</v>
      </c>
      <c r="Z1990" s="154">
        <v>391534.56</v>
      </c>
      <c r="AA1990" s="154">
        <v>1</v>
      </c>
      <c r="AB1990" s="154">
        <v>96.61</v>
      </c>
      <c r="AD1990" s="154">
        <v>378.262</v>
      </c>
      <c r="AG1990" s="157" t="s">
        <v>15</v>
      </c>
      <c r="AH1990" s="155">
        <v>6.0999999999999997E-4</v>
      </c>
      <c r="AI1990" s="155">
        <f t="shared" si="31"/>
        <v>2.0005617790636449E-2</v>
      </c>
      <c r="AJ1990" s="155">
        <v>1.9495071149116011E-3</v>
      </c>
    </row>
    <row r="1991" spans="1:36" s="160" customFormat="1">
      <c r="A1991" s="153" t="s">
        <v>1213</v>
      </c>
      <c r="B1991" s="160">
        <v>9721</v>
      </c>
      <c r="C1991" s="153" t="s">
        <v>2211</v>
      </c>
      <c r="D1991" s="153" t="s">
        <v>2212</v>
      </c>
      <c r="E1991" s="153" t="s">
        <v>309</v>
      </c>
      <c r="F1991" s="153" t="s">
        <v>2389</v>
      </c>
      <c r="G1991" s="153" t="s">
        <v>2390</v>
      </c>
      <c r="H1991" s="153" t="s">
        <v>321</v>
      </c>
      <c r="I1991" s="153" t="s">
        <v>951</v>
      </c>
      <c r="J1991" s="153" t="s">
        <v>204</v>
      </c>
      <c r="K1991" s="153" t="s">
        <v>204</v>
      </c>
      <c r="L1991" s="153" t="s">
        <v>325</v>
      </c>
      <c r="M1991" s="153" t="s">
        <v>340</v>
      </c>
      <c r="N1991" s="153" t="s">
        <v>454</v>
      </c>
      <c r="O1991" s="153" t="s">
        <v>339</v>
      </c>
      <c r="P1991" s="153" t="s">
        <v>1527</v>
      </c>
      <c r="Q1991" s="153" t="s">
        <v>415</v>
      </c>
      <c r="R1991" s="153" t="s">
        <v>407</v>
      </c>
      <c r="S1991" s="153" t="s">
        <v>1212</v>
      </c>
      <c r="T1991" s="154">
        <v>2.72</v>
      </c>
      <c r="U1991" s="153" t="s">
        <v>1628</v>
      </c>
      <c r="V1991" s="155">
        <v>4.8250000000000001E-2</v>
      </c>
      <c r="W1991" s="155">
        <v>6.4399999999999999E-2</v>
      </c>
      <c r="X1991" s="153" t="s">
        <v>412</v>
      </c>
      <c r="Y1991" s="153" t="s">
        <v>339</v>
      </c>
      <c r="Z1991" s="154">
        <v>367124</v>
      </c>
      <c r="AA1991" s="154">
        <v>1</v>
      </c>
      <c r="AB1991" s="154">
        <v>102.2</v>
      </c>
      <c r="AD1991" s="154">
        <v>375.20100000000002</v>
      </c>
      <c r="AG1991" s="157" t="s">
        <v>15</v>
      </c>
      <c r="AH1991" s="155">
        <v>2.1000000000000001E-4</v>
      </c>
      <c r="AI1991" s="155">
        <f t="shared" si="31"/>
        <v>1.9843726836596291E-2</v>
      </c>
      <c r="AJ1991" s="155">
        <v>1.9337311678729234E-3</v>
      </c>
    </row>
    <row r="1992" spans="1:36" s="160" customFormat="1">
      <c r="A1992" s="153" t="s">
        <v>1213</v>
      </c>
      <c r="B1992" s="160">
        <v>9721</v>
      </c>
      <c r="C1992" s="153" t="s">
        <v>2128</v>
      </c>
      <c r="D1992" s="153" t="s">
        <v>2129</v>
      </c>
      <c r="E1992" s="153" t="s">
        <v>309</v>
      </c>
      <c r="F1992" s="153" t="s">
        <v>2485</v>
      </c>
      <c r="G1992" s="153" t="s">
        <v>2486</v>
      </c>
      <c r="H1992" s="153" t="s">
        <v>321</v>
      </c>
      <c r="I1992" s="153" t="s">
        <v>951</v>
      </c>
      <c r="J1992" s="153" t="s">
        <v>204</v>
      </c>
      <c r="K1992" s="153" t="s">
        <v>204</v>
      </c>
      <c r="L1992" s="153" t="s">
        <v>325</v>
      </c>
      <c r="M1992" s="153" t="s">
        <v>340</v>
      </c>
      <c r="N1992" s="153" t="s">
        <v>445</v>
      </c>
      <c r="O1992" s="153" t="s">
        <v>339</v>
      </c>
      <c r="P1992" s="153" t="s">
        <v>1538</v>
      </c>
      <c r="Q1992" s="153" t="s">
        <v>413</v>
      </c>
      <c r="R1992" s="153" t="s">
        <v>407</v>
      </c>
      <c r="S1992" s="153" t="s">
        <v>1212</v>
      </c>
      <c r="T1992" s="154">
        <v>2.15</v>
      </c>
      <c r="U1992" s="153" t="s">
        <v>1382</v>
      </c>
      <c r="V1992" s="155">
        <v>-5.0000000000000001E-4</v>
      </c>
      <c r="W1992" s="155">
        <v>5.3100000000000001E-2</v>
      </c>
      <c r="X1992" s="153" t="s">
        <v>412</v>
      </c>
      <c r="Y1992" s="153" t="s">
        <v>339</v>
      </c>
      <c r="Z1992" s="154">
        <v>357870.32</v>
      </c>
      <c r="AA1992" s="154">
        <v>1</v>
      </c>
      <c r="AB1992" s="154">
        <v>102.22</v>
      </c>
      <c r="AD1992" s="154">
        <v>365.815</v>
      </c>
      <c r="AG1992" s="157" t="s">
        <v>15</v>
      </c>
      <c r="AH1992" s="155">
        <v>8.9999999999999998E-4</v>
      </c>
      <c r="AI1992" s="155">
        <f t="shared" si="31"/>
        <v>1.934731765834705E-2</v>
      </c>
      <c r="AJ1992" s="155">
        <v>1.885357094398558E-3</v>
      </c>
    </row>
    <row r="1993" spans="1:36" s="160" customFormat="1">
      <c r="A1993" s="153" t="s">
        <v>1213</v>
      </c>
      <c r="B1993" s="160">
        <v>9721</v>
      </c>
      <c r="C1993" s="153" t="s">
        <v>2420</v>
      </c>
      <c r="D1993" s="153" t="s">
        <v>2421</v>
      </c>
      <c r="E1993" s="153" t="s">
        <v>309</v>
      </c>
      <c r="F1993" s="153" t="s">
        <v>2574</v>
      </c>
      <c r="G1993" s="153" t="s">
        <v>2575</v>
      </c>
      <c r="H1993" s="153" t="s">
        <v>321</v>
      </c>
      <c r="I1993" s="153" t="s">
        <v>951</v>
      </c>
      <c r="J1993" s="153" t="s">
        <v>204</v>
      </c>
      <c r="K1993" s="153" t="s">
        <v>204</v>
      </c>
      <c r="L1993" s="153" t="s">
        <v>325</v>
      </c>
      <c r="M1993" s="153" t="s">
        <v>340</v>
      </c>
      <c r="N1993" s="153" t="s">
        <v>445</v>
      </c>
      <c r="O1993" s="153" t="s">
        <v>339</v>
      </c>
      <c r="P1993" s="153" t="s">
        <v>1982</v>
      </c>
      <c r="Q1993" s="153" t="s">
        <v>415</v>
      </c>
      <c r="R1993" s="153" t="s">
        <v>407</v>
      </c>
      <c r="S1993" s="153" t="s">
        <v>1212</v>
      </c>
      <c r="T1993" s="154">
        <v>1.7</v>
      </c>
      <c r="U1993" s="153" t="s">
        <v>1833</v>
      </c>
      <c r="V1993" s="155">
        <v>2.6040000000000001E-2</v>
      </c>
      <c r="W1993" s="155">
        <v>5.3499999999999999E-2</v>
      </c>
      <c r="X1993" s="153" t="s">
        <v>412</v>
      </c>
      <c r="Y1993" s="153" t="s">
        <v>339</v>
      </c>
      <c r="Z1993" s="154">
        <v>373000</v>
      </c>
      <c r="AA1993" s="154">
        <v>1</v>
      </c>
      <c r="AB1993" s="154">
        <v>96.84</v>
      </c>
      <c r="AD1993" s="154">
        <v>361.21300000000002</v>
      </c>
      <c r="AG1993" s="157" t="s">
        <v>15</v>
      </c>
      <c r="AH1993" s="155">
        <v>6.2E-4</v>
      </c>
      <c r="AI1993" s="155">
        <f t="shared" si="31"/>
        <v>1.9103925900590499E-2</v>
      </c>
      <c r="AJ1993" s="155">
        <v>1.861639058373731E-3</v>
      </c>
    </row>
    <row r="1994" spans="1:36" s="160" customFormat="1">
      <c r="A1994" s="153" t="s">
        <v>1213</v>
      </c>
      <c r="B1994" s="160">
        <v>9721</v>
      </c>
      <c r="C1994" s="153" t="s">
        <v>2155</v>
      </c>
      <c r="D1994" s="153" t="s">
        <v>2156</v>
      </c>
      <c r="E1994" s="153" t="s">
        <v>309</v>
      </c>
      <c r="F1994" s="153" t="s">
        <v>2623</v>
      </c>
      <c r="G1994" s="153" t="s">
        <v>2624</v>
      </c>
      <c r="H1994" s="153" t="s">
        <v>321</v>
      </c>
      <c r="I1994" s="153" t="s">
        <v>951</v>
      </c>
      <c r="J1994" s="153" t="s">
        <v>204</v>
      </c>
      <c r="K1994" s="153" t="s">
        <v>204</v>
      </c>
      <c r="L1994" s="153" t="s">
        <v>325</v>
      </c>
      <c r="M1994" s="153" t="s">
        <v>340</v>
      </c>
      <c r="N1994" s="153" t="s">
        <v>451</v>
      </c>
      <c r="O1994" s="153" t="s">
        <v>339</v>
      </c>
      <c r="P1994" s="153" t="s">
        <v>1521</v>
      </c>
      <c r="Q1994" s="153" t="s">
        <v>413</v>
      </c>
      <c r="R1994" s="153" t="s">
        <v>407</v>
      </c>
      <c r="S1994" s="153" t="s">
        <v>1212</v>
      </c>
      <c r="T1994" s="154">
        <v>2.94</v>
      </c>
      <c r="U1994" s="153" t="s">
        <v>2625</v>
      </c>
      <c r="V1994" s="155">
        <v>3.3320000000000002E-2</v>
      </c>
      <c r="W1994" s="155">
        <v>5.7700000000000001E-2</v>
      </c>
      <c r="X1994" s="153" t="s">
        <v>412</v>
      </c>
      <c r="Y1994" s="153" t="s">
        <v>339</v>
      </c>
      <c r="Z1994" s="154">
        <v>374703.88</v>
      </c>
      <c r="AA1994" s="154">
        <v>1</v>
      </c>
      <c r="AB1994" s="154">
        <v>96.04</v>
      </c>
      <c r="AD1994" s="154">
        <v>359.86599999999999</v>
      </c>
      <c r="AG1994" s="157" t="s">
        <v>15</v>
      </c>
      <c r="AH1994" s="155">
        <v>5.5000000000000003E-4</v>
      </c>
      <c r="AI1994" s="155">
        <f t="shared" si="31"/>
        <v>1.9032685418691742E-2</v>
      </c>
      <c r="AJ1994" s="155">
        <v>1.8546968170600755E-3</v>
      </c>
    </row>
    <row r="1995" spans="1:36" s="160" customFormat="1">
      <c r="A1995" s="153" t="s">
        <v>1213</v>
      </c>
      <c r="B1995" s="160">
        <v>9721</v>
      </c>
      <c r="C1995" s="153" t="s">
        <v>1820</v>
      </c>
      <c r="D1995" s="153" t="s">
        <v>1821</v>
      </c>
      <c r="E1995" s="153" t="s">
        <v>309</v>
      </c>
      <c r="F1995" s="153" t="s">
        <v>1952</v>
      </c>
      <c r="G1995" s="153" t="s">
        <v>1953</v>
      </c>
      <c r="H1995" s="153" t="s">
        <v>321</v>
      </c>
      <c r="I1995" s="153" t="s">
        <v>754</v>
      </c>
      <c r="J1995" s="153" t="s">
        <v>204</v>
      </c>
      <c r="K1995" s="153" t="s">
        <v>204</v>
      </c>
      <c r="L1995" s="153" t="s">
        <v>325</v>
      </c>
      <c r="M1995" s="153" t="s">
        <v>340</v>
      </c>
      <c r="N1995" s="153" t="s">
        <v>464</v>
      </c>
      <c r="O1995" s="153" t="s">
        <v>339</v>
      </c>
      <c r="P1995" s="153" t="s">
        <v>1538</v>
      </c>
      <c r="Q1995" s="153" t="s">
        <v>413</v>
      </c>
      <c r="R1995" s="153" t="s">
        <v>407</v>
      </c>
      <c r="S1995" s="153" t="s">
        <v>1212</v>
      </c>
      <c r="T1995" s="154">
        <v>2.19</v>
      </c>
      <c r="U1995" s="153" t="s">
        <v>1308</v>
      </c>
      <c r="V1995" s="155">
        <v>4.4299999999999999E-3</v>
      </c>
      <c r="W1995" s="155">
        <v>2.6599999999999999E-2</v>
      </c>
      <c r="X1995" s="153" t="s">
        <v>412</v>
      </c>
      <c r="Y1995" s="153" t="s">
        <v>339</v>
      </c>
      <c r="Z1995" s="154">
        <v>308217.53999999998</v>
      </c>
      <c r="AA1995" s="154">
        <v>1</v>
      </c>
      <c r="AB1995" s="154">
        <v>115.87</v>
      </c>
      <c r="AD1995" s="154">
        <v>357.13200000000001</v>
      </c>
      <c r="AG1995" s="157" t="s">
        <v>15</v>
      </c>
      <c r="AH1995" s="155">
        <v>1.4999999999999999E-4</v>
      </c>
      <c r="AI1995" s="155">
        <f t="shared" si="31"/>
        <v>1.8888088924622553E-2</v>
      </c>
      <c r="AJ1995" s="155">
        <v>1.8406061802734876E-3</v>
      </c>
    </row>
    <row r="1996" spans="1:36" s="160" customFormat="1">
      <c r="A1996" s="153" t="s">
        <v>1213</v>
      </c>
      <c r="B1996" s="160">
        <v>9721</v>
      </c>
      <c r="C1996" s="153" t="s">
        <v>2306</v>
      </c>
      <c r="D1996" s="153" t="s">
        <v>2307</v>
      </c>
      <c r="E1996" s="153" t="s">
        <v>309</v>
      </c>
      <c r="F1996" s="153" t="s">
        <v>2508</v>
      </c>
      <c r="G1996" s="153" t="s">
        <v>2509</v>
      </c>
      <c r="H1996" s="153" t="s">
        <v>321</v>
      </c>
      <c r="I1996" s="153" t="s">
        <v>951</v>
      </c>
      <c r="J1996" s="153" t="s">
        <v>204</v>
      </c>
      <c r="K1996" s="153" t="s">
        <v>204</v>
      </c>
      <c r="L1996" s="153" t="s">
        <v>325</v>
      </c>
      <c r="M1996" s="153" t="s">
        <v>340</v>
      </c>
      <c r="N1996" s="153" t="s">
        <v>445</v>
      </c>
      <c r="O1996" s="153" t="s">
        <v>339</v>
      </c>
      <c r="P1996" s="153" t="s">
        <v>1544</v>
      </c>
      <c r="Q1996" s="153" t="s">
        <v>415</v>
      </c>
      <c r="R1996" s="153" t="s">
        <v>407</v>
      </c>
      <c r="S1996" s="153" t="s">
        <v>1212</v>
      </c>
      <c r="T1996" s="154">
        <v>2.13</v>
      </c>
      <c r="U1996" s="153" t="s">
        <v>1659</v>
      </c>
      <c r="V1996" s="155">
        <v>3.1210000000000002E-2</v>
      </c>
      <c r="W1996" s="155">
        <v>5.4199999999999998E-2</v>
      </c>
      <c r="X1996" s="153" t="s">
        <v>412</v>
      </c>
      <c r="Y1996" s="153" t="s">
        <v>339</v>
      </c>
      <c r="Z1996" s="154">
        <v>347155</v>
      </c>
      <c r="AA1996" s="154">
        <v>1</v>
      </c>
      <c r="AB1996" s="154">
        <v>100.34</v>
      </c>
      <c r="AD1996" s="154">
        <v>348.33499999999998</v>
      </c>
      <c r="AG1996" s="157" t="s">
        <v>15</v>
      </c>
      <c r="AH1996" s="155">
        <v>4.8999999999999998E-4</v>
      </c>
      <c r="AI1996" s="155">
        <f t="shared" si="31"/>
        <v>1.8422830929623771E-2</v>
      </c>
      <c r="AJ1996" s="155">
        <v>1.7952677267944774E-3</v>
      </c>
    </row>
    <row r="1997" spans="1:36" s="160" customFormat="1">
      <c r="A1997" s="153" t="s">
        <v>1213</v>
      </c>
      <c r="B1997" s="160">
        <v>9721</v>
      </c>
      <c r="C1997" s="153" t="s">
        <v>2780</v>
      </c>
      <c r="D1997" s="153" t="s">
        <v>2781</v>
      </c>
      <c r="E1997" s="153" t="s">
        <v>309</v>
      </c>
      <c r="F1997" s="153" t="s">
        <v>3017</v>
      </c>
      <c r="G1997" s="153" t="s">
        <v>3018</v>
      </c>
      <c r="H1997" s="153" t="s">
        <v>321</v>
      </c>
      <c r="I1997" s="153" t="s">
        <v>754</v>
      </c>
      <c r="J1997" s="153" t="s">
        <v>204</v>
      </c>
      <c r="K1997" s="153" t="s">
        <v>204</v>
      </c>
      <c r="L1997" s="153" t="s">
        <v>325</v>
      </c>
      <c r="M1997" s="153" t="s">
        <v>340</v>
      </c>
      <c r="N1997" s="153" t="s">
        <v>464</v>
      </c>
      <c r="O1997" s="153" t="s">
        <v>339</v>
      </c>
      <c r="P1997" s="153" t="s">
        <v>1521</v>
      </c>
      <c r="Q1997" s="153" t="s">
        <v>413</v>
      </c>
      <c r="R1997" s="153" t="s">
        <v>407</v>
      </c>
      <c r="S1997" s="153" t="s">
        <v>1212</v>
      </c>
      <c r="T1997" s="154">
        <v>3.43</v>
      </c>
      <c r="U1997" s="153" t="s">
        <v>1266</v>
      </c>
      <c r="V1997" s="155">
        <v>1.7080000000000001E-2</v>
      </c>
      <c r="W1997" s="155">
        <v>2.8899999999999999E-2</v>
      </c>
      <c r="X1997" s="153" t="s">
        <v>412</v>
      </c>
      <c r="Y1997" s="153" t="s">
        <v>339</v>
      </c>
      <c r="Z1997" s="154">
        <v>279750</v>
      </c>
      <c r="AA1997" s="154">
        <v>1</v>
      </c>
      <c r="AB1997" s="154">
        <v>112.07</v>
      </c>
      <c r="AD1997" s="154">
        <v>313.51600000000002</v>
      </c>
      <c r="AG1997" s="157" t="s">
        <v>15</v>
      </c>
      <c r="AH1997" s="155">
        <v>1.4300000000000001E-3</v>
      </c>
      <c r="AI1997" s="155">
        <f t="shared" si="31"/>
        <v>1.6581314716384878E-2</v>
      </c>
      <c r="AJ1997" s="155">
        <v>1.6158156849977678E-3</v>
      </c>
    </row>
    <row r="1998" spans="1:36" s="160" customFormat="1">
      <c r="A1998" s="153" t="s">
        <v>1213</v>
      </c>
      <c r="B1998" s="160">
        <v>9721</v>
      </c>
      <c r="C1998" s="153" t="s">
        <v>2595</v>
      </c>
      <c r="D1998" s="153" t="s">
        <v>2596</v>
      </c>
      <c r="E1998" s="153" t="s">
        <v>309</v>
      </c>
      <c r="F1998" s="153" t="s">
        <v>2597</v>
      </c>
      <c r="G1998" s="153" t="s">
        <v>2598</v>
      </c>
      <c r="H1998" s="153" t="s">
        <v>321</v>
      </c>
      <c r="I1998" s="153" t="s">
        <v>951</v>
      </c>
      <c r="J1998" s="153" t="s">
        <v>204</v>
      </c>
      <c r="K1998" s="153" t="s">
        <v>204</v>
      </c>
      <c r="L1998" s="153" t="s">
        <v>325</v>
      </c>
      <c r="M1998" s="153" t="s">
        <v>340</v>
      </c>
      <c r="N1998" s="153" t="s">
        <v>484</v>
      </c>
      <c r="O1998" s="153" t="s">
        <v>339</v>
      </c>
      <c r="P1998" s="153" t="s">
        <v>1566</v>
      </c>
      <c r="Q1998" s="153" t="s">
        <v>413</v>
      </c>
      <c r="R1998" s="153" t="s">
        <v>407</v>
      </c>
      <c r="S1998" s="153" t="s">
        <v>1212</v>
      </c>
      <c r="T1998" s="154">
        <v>2.08</v>
      </c>
      <c r="U1998" s="153" t="s">
        <v>2599</v>
      </c>
      <c r="V1998" s="155">
        <v>3.508E-2</v>
      </c>
      <c r="W1998" s="155">
        <v>5.2400000000000002E-2</v>
      </c>
      <c r="X1998" s="153" t="s">
        <v>412</v>
      </c>
      <c r="Y1998" s="153" t="s">
        <v>339</v>
      </c>
      <c r="Z1998" s="154">
        <v>269920</v>
      </c>
      <c r="AA1998" s="154">
        <v>1</v>
      </c>
      <c r="AB1998" s="154">
        <v>98.59</v>
      </c>
      <c r="AD1998" s="154">
        <v>266.11399999999998</v>
      </c>
      <c r="AG1998" s="157" t="s">
        <v>15</v>
      </c>
      <c r="AH1998" s="155">
        <v>4.4999999999999999E-4</v>
      </c>
      <c r="AI1998" s="155">
        <f t="shared" si="31"/>
        <v>1.407430556793288E-2</v>
      </c>
      <c r="AJ1998" s="155">
        <v>1.3715126985464725E-3</v>
      </c>
    </row>
    <row r="1999" spans="1:36" s="160" customFormat="1">
      <c r="A1999" s="153" t="s">
        <v>1213</v>
      </c>
      <c r="B1999" s="160">
        <v>9721</v>
      </c>
      <c r="C1999" s="153" t="s">
        <v>455</v>
      </c>
      <c r="D1999" s="153" t="s">
        <v>2106</v>
      </c>
      <c r="E1999" s="153" t="s">
        <v>309</v>
      </c>
      <c r="F1999" s="153" t="s">
        <v>2160</v>
      </c>
      <c r="G1999" s="153" t="s">
        <v>2161</v>
      </c>
      <c r="H1999" s="153" t="s">
        <v>321</v>
      </c>
      <c r="I1999" s="153" t="s">
        <v>754</v>
      </c>
      <c r="J1999" s="153" t="s">
        <v>204</v>
      </c>
      <c r="K1999" s="153" t="s">
        <v>204</v>
      </c>
      <c r="L1999" s="153" t="s">
        <v>325</v>
      </c>
      <c r="M1999" s="153" t="s">
        <v>340</v>
      </c>
      <c r="N1999" s="153" t="s">
        <v>440</v>
      </c>
      <c r="O1999" s="153" t="s">
        <v>339</v>
      </c>
      <c r="P1999" s="153" t="s">
        <v>1923</v>
      </c>
      <c r="Q1999" s="153" t="s">
        <v>415</v>
      </c>
      <c r="R1999" s="153" t="s">
        <v>407</v>
      </c>
      <c r="S1999" s="153" t="s">
        <v>1212</v>
      </c>
      <c r="T1999" s="154">
        <v>0.9</v>
      </c>
      <c r="U1999" s="153" t="s">
        <v>2162</v>
      </c>
      <c r="V1999" s="155">
        <v>5.2999999999999998E-4</v>
      </c>
      <c r="W1999" s="155">
        <v>2.6100000000000002E-2</v>
      </c>
      <c r="X1999" s="153" t="s">
        <v>412</v>
      </c>
      <c r="Y1999" s="153" t="s">
        <v>339</v>
      </c>
      <c r="Z1999" s="154">
        <v>218426</v>
      </c>
      <c r="AA1999" s="154">
        <v>1</v>
      </c>
      <c r="AB1999" s="154">
        <v>119.4</v>
      </c>
      <c r="AD1999" s="154">
        <v>260.80099999999999</v>
      </c>
      <c r="AG1999" s="157" t="s">
        <v>15</v>
      </c>
      <c r="AH1999" s="155">
        <v>6.9999999999999994E-5</v>
      </c>
      <c r="AI1999" s="155">
        <f t="shared" si="31"/>
        <v>1.3793310259597253E-2</v>
      </c>
      <c r="AJ1999" s="155">
        <v>1.3441302723404954E-3</v>
      </c>
    </row>
    <row r="2000" spans="1:36" s="160" customFormat="1">
      <c r="A2000" s="153" t="s">
        <v>1213</v>
      </c>
      <c r="B2000" s="160">
        <v>9721</v>
      </c>
      <c r="C2000" s="153" t="s">
        <v>2306</v>
      </c>
      <c r="D2000" s="153" t="s">
        <v>2307</v>
      </c>
      <c r="E2000" s="153" t="s">
        <v>309</v>
      </c>
      <c r="F2000" s="153" t="s">
        <v>2554</v>
      </c>
      <c r="G2000" s="153" t="s">
        <v>2555</v>
      </c>
      <c r="H2000" s="153" t="s">
        <v>321</v>
      </c>
      <c r="I2000" s="153" t="s">
        <v>951</v>
      </c>
      <c r="J2000" s="153" t="s">
        <v>204</v>
      </c>
      <c r="K2000" s="153" t="s">
        <v>204</v>
      </c>
      <c r="L2000" s="153" t="s">
        <v>325</v>
      </c>
      <c r="M2000" s="153" t="s">
        <v>340</v>
      </c>
      <c r="N2000" s="153" t="s">
        <v>445</v>
      </c>
      <c r="O2000" s="153" t="s">
        <v>339</v>
      </c>
      <c r="P2000" s="153" t="s">
        <v>1544</v>
      </c>
      <c r="Q2000" s="153" t="s">
        <v>415</v>
      </c>
      <c r="R2000" s="153" t="s">
        <v>407</v>
      </c>
      <c r="S2000" s="153" t="s">
        <v>1212</v>
      </c>
      <c r="T2000" s="154">
        <v>1.22</v>
      </c>
      <c r="U2000" s="153" t="s">
        <v>1777</v>
      </c>
      <c r="V2000" s="155">
        <v>2.359E-2</v>
      </c>
      <c r="W2000" s="155">
        <v>5.5399999999999998E-2</v>
      </c>
      <c r="X2000" s="153" t="s">
        <v>412</v>
      </c>
      <c r="Y2000" s="153" t="s">
        <v>339</v>
      </c>
      <c r="Z2000" s="154">
        <v>236838</v>
      </c>
      <c r="AA2000" s="154">
        <v>1</v>
      </c>
      <c r="AB2000" s="154">
        <v>98.54</v>
      </c>
      <c r="AD2000" s="154">
        <v>233.38</v>
      </c>
      <c r="AG2000" s="157" t="s">
        <v>15</v>
      </c>
      <c r="AH2000" s="155">
        <v>1.7000000000000001E-4</v>
      </c>
      <c r="AI2000" s="155">
        <f t="shared" si="31"/>
        <v>1.2343061370105202E-2</v>
      </c>
      <c r="AJ2000" s="155">
        <v>1.2028064423020802E-3</v>
      </c>
    </row>
    <row r="2001" spans="1:36" s="160" customFormat="1">
      <c r="A2001" s="153" t="s">
        <v>1213</v>
      </c>
      <c r="B2001" s="160">
        <v>9721</v>
      </c>
      <c r="C2001" s="153" t="s">
        <v>1759</v>
      </c>
      <c r="D2001" s="153" t="s">
        <v>1760</v>
      </c>
      <c r="E2001" s="153" t="s">
        <v>309</v>
      </c>
      <c r="F2001" s="153" t="s">
        <v>3400</v>
      </c>
      <c r="G2001" s="153" t="s">
        <v>3401</v>
      </c>
      <c r="H2001" s="153" t="s">
        <v>321</v>
      </c>
      <c r="I2001" s="153" t="s">
        <v>754</v>
      </c>
      <c r="J2001" s="153" t="s">
        <v>204</v>
      </c>
      <c r="K2001" s="153" t="s">
        <v>204</v>
      </c>
      <c r="L2001" s="153" t="s">
        <v>325</v>
      </c>
      <c r="M2001" s="153" t="s">
        <v>340</v>
      </c>
      <c r="N2001" s="153" t="s">
        <v>465</v>
      </c>
      <c r="O2001" s="153" t="s">
        <v>339</v>
      </c>
      <c r="P2001" s="153" t="s">
        <v>1614</v>
      </c>
      <c r="Q2001" s="153" t="s">
        <v>415</v>
      </c>
      <c r="R2001" s="153" t="s">
        <v>407</v>
      </c>
      <c r="S2001" s="153" t="s">
        <v>1212</v>
      </c>
      <c r="T2001" s="154">
        <v>1.87</v>
      </c>
      <c r="U2001" s="153" t="s">
        <v>2302</v>
      </c>
      <c r="V2001" s="155">
        <v>1.3169999999999999E-2</v>
      </c>
      <c r="W2001" s="155">
        <v>2.81E-2</v>
      </c>
      <c r="X2001" s="153" t="s">
        <v>412</v>
      </c>
      <c r="Y2001" s="153" t="s">
        <v>339</v>
      </c>
      <c r="Z2001" s="154">
        <v>192000</v>
      </c>
      <c r="AA2001" s="154">
        <v>1</v>
      </c>
      <c r="AB2001" s="154">
        <v>117.13</v>
      </c>
      <c r="AD2001" s="154">
        <v>224.89</v>
      </c>
      <c r="AG2001" s="157" t="s">
        <v>15</v>
      </c>
      <c r="AH2001" s="155">
        <v>4.6999999999999999E-4</v>
      </c>
      <c r="AI2001" s="155">
        <f t="shared" si="31"/>
        <v>1.1894040069941549E-2</v>
      </c>
      <c r="AJ2001" s="155">
        <v>1.1590502219955216E-3</v>
      </c>
    </row>
    <row r="2002" spans="1:36" s="160" customFormat="1">
      <c r="A2002" s="153" t="s">
        <v>1213</v>
      </c>
      <c r="B2002" s="160">
        <v>9721</v>
      </c>
      <c r="C2002" s="153" t="s">
        <v>2391</v>
      </c>
      <c r="D2002" s="153" t="s">
        <v>2392</v>
      </c>
      <c r="E2002" s="153" t="s">
        <v>309</v>
      </c>
      <c r="F2002" s="153" t="s">
        <v>2528</v>
      </c>
      <c r="G2002" s="153" t="s">
        <v>2529</v>
      </c>
      <c r="H2002" s="153" t="s">
        <v>321</v>
      </c>
      <c r="I2002" s="153" t="s">
        <v>754</v>
      </c>
      <c r="J2002" s="153" t="s">
        <v>204</v>
      </c>
      <c r="K2002" s="153" t="s">
        <v>204</v>
      </c>
      <c r="L2002" s="153" t="s">
        <v>325</v>
      </c>
      <c r="M2002" s="153" t="s">
        <v>340</v>
      </c>
      <c r="N2002" s="153" t="s">
        <v>464</v>
      </c>
      <c r="O2002" s="153" t="s">
        <v>339</v>
      </c>
      <c r="P2002" s="153" t="s">
        <v>1566</v>
      </c>
      <c r="Q2002" s="153" t="s">
        <v>413</v>
      </c>
      <c r="R2002" s="153" t="s">
        <v>407</v>
      </c>
      <c r="S2002" s="153" t="s">
        <v>1212</v>
      </c>
      <c r="T2002" s="154">
        <v>1.21</v>
      </c>
      <c r="U2002" s="153" t="s">
        <v>2530</v>
      </c>
      <c r="V2002" s="155">
        <v>1.9879999999999998E-2</v>
      </c>
      <c r="W2002" s="155">
        <v>2.6499999999999999E-2</v>
      </c>
      <c r="X2002" s="153" t="s">
        <v>412</v>
      </c>
      <c r="Y2002" s="153" t="s">
        <v>339</v>
      </c>
      <c r="Z2002" s="154">
        <v>188404.3</v>
      </c>
      <c r="AA2002" s="154">
        <v>1</v>
      </c>
      <c r="AB2002" s="154">
        <v>117.11</v>
      </c>
      <c r="AD2002" s="154">
        <v>220.64</v>
      </c>
      <c r="AG2002" s="157" t="s">
        <v>15</v>
      </c>
      <c r="AH2002" s="155">
        <v>1E-4</v>
      </c>
      <c r="AI2002" s="155">
        <f t="shared" si="31"/>
        <v>1.1669264978575764E-2</v>
      </c>
      <c r="AJ2002" s="155">
        <v>1.1371463425723326E-3</v>
      </c>
    </row>
    <row r="2003" spans="1:36" s="160" customFormat="1">
      <c r="A2003" s="153" t="s">
        <v>1213</v>
      </c>
      <c r="B2003" s="160">
        <v>9721</v>
      </c>
      <c r="C2003" s="153" t="s">
        <v>2373</v>
      </c>
      <c r="D2003" s="153" t="s">
        <v>2374</v>
      </c>
      <c r="E2003" s="153" t="s">
        <v>309</v>
      </c>
      <c r="F2003" s="153" t="s">
        <v>2621</v>
      </c>
      <c r="G2003" s="153" t="s">
        <v>2622</v>
      </c>
      <c r="H2003" s="153" t="s">
        <v>321</v>
      </c>
      <c r="I2003" s="153" t="s">
        <v>755</v>
      </c>
      <c r="J2003" s="153" t="s">
        <v>204</v>
      </c>
      <c r="K2003" s="153" t="s">
        <v>204</v>
      </c>
      <c r="L2003" s="153" t="s">
        <v>325</v>
      </c>
      <c r="M2003" s="153" t="s">
        <v>340</v>
      </c>
      <c r="N2003" s="153" t="s">
        <v>454</v>
      </c>
      <c r="O2003" s="153" t="s">
        <v>339</v>
      </c>
      <c r="P2003" s="153" t="s">
        <v>1544</v>
      </c>
      <c r="Q2003" s="153" t="s">
        <v>415</v>
      </c>
      <c r="R2003" s="153" t="s">
        <v>407</v>
      </c>
      <c r="S2003" s="153" t="s">
        <v>1212</v>
      </c>
      <c r="T2003" s="154">
        <v>3.13</v>
      </c>
      <c r="U2003" s="153" t="s">
        <v>2377</v>
      </c>
      <c r="V2003" s="155">
        <v>5.3019999999999998E-2</v>
      </c>
      <c r="W2003" s="155">
        <v>7.5300000000000006E-2</v>
      </c>
      <c r="X2003" s="153" t="s">
        <v>412</v>
      </c>
      <c r="Y2003" s="153" t="s">
        <v>339</v>
      </c>
      <c r="Z2003" s="154">
        <v>207705.38</v>
      </c>
      <c r="AA2003" s="154">
        <v>1</v>
      </c>
      <c r="AB2003" s="154">
        <v>99.56</v>
      </c>
      <c r="AD2003" s="154">
        <v>206.791</v>
      </c>
      <c r="AG2003" s="157" t="s">
        <v>15</v>
      </c>
      <c r="AH2003" s="155">
        <v>1.8000000000000001E-4</v>
      </c>
      <c r="AI2003" s="155">
        <f t="shared" si="31"/>
        <v>1.0936815510264054E-2</v>
      </c>
      <c r="AJ2003" s="155">
        <v>1.0657706187766282E-3</v>
      </c>
    </row>
    <row r="2004" spans="1:36" s="160" customFormat="1">
      <c r="A2004" s="153" t="s">
        <v>1213</v>
      </c>
      <c r="B2004" s="160">
        <v>9721</v>
      </c>
      <c r="C2004" s="153" t="s">
        <v>1861</v>
      </c>
      <c r="D2004" s="153" t="s">
        <v>1862</v>
      </c>
      <c r="E2004" s="153" t="s">
        <v>309</v>
      </c>
      <c r="F2004" s="153" t="s">
        <v>2564</v>
      </c>
      <c r="G2004" s="153" t="s">
        <v>2565</v>
      </c>
      <c r="H2004" s="153" t="s">
        <v>321</v>
      </c>
      <c r="I2004" s="153" t="s">
        <v>754</v>
      </c>
      <c r="J2004" s="153" t="s">
        <v>204</v>
      </c>
      <c r="K2004" s="153" t="s">
        <v>204</v>
      </c>
      <c r="L2004" s="153" t="s">
        <v>325</v>
      </c>
      <c r="M2004" s="153" t="s">
        <v>340</v>
      </c>
      <c r="N2004" s="153" t="s">
        <v>464</v>
      </c>
      <c r="O2004" s="153" t="s">
        <v>339</v>
      </c>
      <c r="P2004" s="153" t="s">
        <v>1538</v>
      </c>
      <c r="Q2004" s="153" t="s">
        <v>413</v>
      </c>
      <c r="R2004" s="153" t="s">
        <v>407</v>
      </c>
      <c r="S2004" s="153" t="s">
        <v>1212</v>
      </c>
      <c r="T2004" s="154">
        <v>0.76</v>
      </c>
      <c r="U2004" s="153" t="s">
        <v>2460</v>
      </c>
      <c r="V2004" s="155">
        <v>1.9859999999999999E-2</v>
      </c>
      <c r="W2004" s="155">
        <v>2.6800000000000001E-2</v>
      </c>
      <c r="X2004" s="153" t="s">
        <v>412</v>
      </c>
      <c r="Y2004" s="153" t="s">
        <v>339</v>
      </c>
      <c r="Z2004" s="154">
        <v>150342.07</v>
      </c>
      <c r="AA2004" s="154">
        <v>1</v>
      </c>
      <c r="AB2004" s="154">
        <v>117.49</v>
      </c>
      <c r="AD2004" s="154">
        <v>176.637</v>
      </c>
      <c r="AG2004" s="157" t="s">
        <v>15</v>
      </c>
      <c r="AH2004" s="155">
        <v>1.9000000000000001E-4</v>
      </c>
      <c r="AI2004" s="155">
        <f t="shared" si="31"/>
        <v>9.3420230149596061E-3</v>
      </c>
      <c r="AJ2004" s="155">
        <v>9.1036130580560701E-4</v>
      </c>
    </row>
    <row r="2005" spans="1:36" s="160" customFormat="1">
      <c r="A2005" s="153" t="s">
        <v>1213</v>
      </c>
      <c r="B2005" s="160">
        <v>9721</v>
      </c>
      <c r="C2005" s="153" t="s">
        <v>1917</v>
      </c>
      <c r="D2005" s="153" t="s">
        <v>1918</v>
      </c>
      <c r="E2005" s="153" t="s">
        <v>309</v>
      </c>
      <c r="F2005" s="153" t="s">
        <v>3379</v>
      </c>
      <c r="G2005" s="153" t="s">
        <v>3380</v>
      </c>
      <c r="H2005" s="153" t="s">
        <v>321</v>
      </c>
      <c r="I2005" s="153" t="s">
        <v>951</v>
      </c>
      <c r="J2005" s="153" t="s">
        <v>204</v>
      </c>
      <c r="K2005" s="153" t="s">
        <v>204</v>
      </c>
      <c r="L2005" s="153" t="s">
        <v>325</v>
      </c>
      <c r="M2005" s="153" t="s">
        <v>340</v>
      </c>
      <c r="N2005" s="153" t="s">
        <v>447</v>
      </c>
      <c r="O2005" s="153" t="s">
        <v>339</v>
      </c>
      <c r="P2005" s="153" t="s">
        <v>1560</v>
      </c>
      <c r="Q2005" s="153" t="s">
        <v>413</v>
      </c>
      <c r="R2005" s="153" t="s">
        <v>407</v>
      </c>
      <c r="S2005" s="153" t="s">
        <v>1212</v>
      </c>
      <c r="T2005" s="154">
        <v>2.13</v>
      </c>
      <c r="U2005" s="153" t="s">
        <v>3381</v>
      </c>
      <c r="V2005" s="155">
        <v>4.249E-2</v>
      </c>
      <c r="W2005" s="155">
        <v>6.1199999999999997E-2</v>
      </c>
      <c r="X2005" s="153" t="s">
        <v>412</v>
      </c>
      <c r="Y2005" s="153" t="s">
        <v>339</v>
      </c>
      <c r="Z2005" s="154">
        <v>180000</v>
      </c>
      <c r="AA2005" s="154">
        <v>1</v>
      </c>
      <c r="AB2005" s="154">
        <v>97.33</v>
      </c>
      <c r="AD2005" s="154">
        <v>175.19399999999999</v>
      </c>
      <c r="AG2005" s="157" t="s">
        <v>15</v>
      </c>
      <c r="AH2005" s="155">
        <v>2.0000000000000001E-4</v>
      </c>
      <c r="AI2005" s="155">
        <f t="shared" si="31"/>
        <v>9.2657052604088221E-3</v>
      </c>
      <c r="AJ2005" s="155">
        <v>9.0292429450968654E-4</v>
      </c>
    </row>
    <row r="2006" spans="1:36" s="160" customFormat="1">
      <c r="A2006" s="153" t="s">
        <v>1213</v>
      </c>
      <c r="B2006" s="160">
        <v>9721</v>
      </c>
      <c r="C2006" s="153" t="s">
        <v>2576</v>
      </c>
      <c r="D2006" s="153" t="s">
        <v>2577</v>
      </c>
      <c r="E2006" s="153" t="s">
        <v>309</v>
      </c>
      <c r="F2006" s="153" t="s">
        <v>2584</v>
      </c>
      <c r="G2006" s="153" t="s">
        <v>2585</v>
      </c>
      <c r="H2006" s="153" t="s">
        <v>321</v>
      </c>
      <c r="I2006" s="153" t="s">
        <v>951</v>
      </c>
      <c r="J2006" s="153" t="s">
        <v>204</v>
      </c>
      <c r="K2006" s="153" t="s">
        <v>204</v>
      </c>
      <c r="L2006" s="153" t="s">
        <v>325</v>
      </c>
      <c r="M2006" s="153" t="s">
        <v>340</v>
      </c>
      <c r="N2006" s="153" t="s">
        <v>451</v>
      </c>
      <c r="O2006" s="153" t="s">
        <v>339</v>
      </c>
      <c r="P2006" s="153" t="s">
        <v>1521</v>
      </c>
      <c r="Q2006" s="153" t="s">
        <v>413</v>
      </c>
      <c r="R2006" s="153" t="s">
        <v>407</v>
      </c>
      <c r="S2006" s="153" t="s">
        <v>1212</v>
      </c>
      <c r="T2006" s="154">
        <v>1.49</v>
      </c>
      <c r="U2006" s="153" t="s">
        <v>1522</v>
      </c>
      <c r="V2006" s="155">
        <v>2.8709999999999999E-2</v>
      </c>
      <c r="W2006" s="155">
        <v>5.4399999999999997E-2</v>
      </c>
      <c r="X2006" s="153" t="s">
        <v>412</v>
      </c>
      <c r="Y2006" s="153" t="s">
        <v>339</v>
      </c>
      <c r="Z2006" s="154">
        <v>178516.88</v>
      </c>
      <c r="AA2006" s="154">
        <v>1</v>
      </c>
      <c r="AB2006" s="154">
        <v>97.46</v>
      </c>
      <c r="AD2006" s="154">
        <v>173.983</v>
      </c>
      <c r="AG2006" s="157" t="s">
        <v>15</v>
      </c>
      <c r="AH2006" s="155">
        <v>8.5999999999999998E-4</v>
      </c>
      <c r="AI2006" s="155">
        <f t="shared" si="31"/>
        <v>9.2016575814337712E-3</v>
      </c>
      <c r="AJ2006" s="155">
        <v>8.9668297733757317E-4</v>
      </c>
    </row>
    <row r="2007" spans="1:36" s="160" customFormat="1">
      <c r="A2007" s="153" t="s">
        <v>1213</v>
      </c>
      <c r="B2007" s="160">
        <v>9721</v>
      </c>
      <c r="C2007" s="153" t="s">
        <v>1591</v>
      </c>
      <c r="D2007" s="153" t="s">
        <v>1592</v>
      </c>
      <c r="E2007" s="153" t="s">
        <v>309</v>
      </c>
      <c r="F2007" s="153" t="s">
        <v>2261</v>
      </c>
      <c r="G2007" s="153" t="s">
        <v>2262</v>
      </c>
      <c r="H2007" s="153" t="s">
        <v>321</v>
      </c>
      <c r="I2007" s="153" t="s">
        <v>754</v>
      </c>
      <c r="J2007" s="153" t="s">
        <v>204</v>
      </c>
      <c r="K2007" s="153" t="s">
        <v>204</v>
      </c>
      <c r="L2007" s="153" t="s">
        <v>325</v>
      </c>
      <c r="M2007" s="153" t="s">
        <v>340</v>
      </c>
      <c r="N2007" s="153" t="s">
        <v>464</v>
      </c>
      <c r="O2007" s="153" t="s">
        <v>339</v>
      </c>
      <c r="P2007" s="153" t="s">
        <v>1538</v>
      </c>
      <c r="Q2007" s="153" t="s">
        <v>413</v>
      </c>
      <c r="R2007" s="153" t="s">
        <v>407</v>
      </c>
      <c r="S2007" s="153" t="s">
        <v>1212</v>
      </c>
      <c r="T2007" s="154">
        <v>0.98</v>
      </c>
      <c r="U2007" s="153" t="s">
        <v>1768</v>
      </c>
      <c r="V2007" s="155">
        <v>-2.5600000000000002E-3</v>
      </c>
      <c r="W2007" s="155">
        <v>2.5600000000000001E-2</v>
      </c>
      <c r="X2007" s="153" t="s">
        <v>412</v>
      </c>
      <c r="Y2007" s="153" t="s">
        <v>339</v>
      </c>
      <c r="Z2007" s="154">
        <v>98815.75</v>
      </c>
      <c r="AA2007" s="154">
        <v>1</v>
      </c>
      <c r="AB2007" s="154">
        <v>142.99</v>
      </c>
      <c r="AD2007" s="154">
        <v>141.297</v>
      </c>
      <c r="AG2007" s="157" t="s">
        <v>15</v>
      </c>
      <c r="AH2007" s="155">
        <v>1E-4</v>
      </c>
      <c r="AI2007" s="155">
        <f t="shared" si="31"/>
        <v>7.4729520199321052E-3</v>
      </c>
      <c r="AJ2007" s="155">
        <v>7.2822410608431329E-4</v>
      </c>
    </row>
    <row r="2008" spans="1:36" s="160" customFormat="1">
      <c r="A2008" s="153" t="s">
        <v>1213</v>
      </c>
      <c r="B2008" s="160">
        <v>9721</v>
      </c>
      <c r="C2008" s="153" t="s">
        <v>1534</v>
      </c>
      <c r="D2008" s="153" t="s">
        <v>1535</v>
      </c>
      <c r="E2008" s="153" t="s">
        <v>309</v>
      </c>
      <c r="F2008" s="153" t="s">
        <v>2286</v>
      </c>
      <c r="G2008" s="153" t="s">
        <v>2287</v>
      </c>
      <c r="H2008" s="153" t="s">
        <v>321</v>
      </c>
      <c r="I2008" s="153" t="s">
        <v>754</v>
      </c>
      <c r="J2008" s="153" t="s">
        <v>204</v>
      </c>
      <c r="K2008" s="153" t="s">
        <v>204</v>
      </c>
      <c r="L2008" s="153" t="s">
        <v>325</v>
      </c>
      <c r="M2008" s="153" t="s">
        <v>340</v>
      </c>
      <c r="N2008" s="153" t="s">
        <v>464</v>
      </c>
      <c r="O2008" s="153" t="s">
        <v>339</v>
      </c>
      <c r="P2008" s="153" t="s">
        <v>2011</v>
      </c>
      <c r="Q2008" s="153" t="s">
        <v>415</v>
      </c>
      <c r="R2008" s="153" t="s">
        <v>407</v>
      </c>
      <c r="S2008" s="153" t="s">
        <v>1212</v>
      </c>
      <c r="T2008" s="154">
        <v>2.1800000000000002</v>
      </c>
      <c r="U2008" s="153" t="s">
        <v>2288</v>
      </c>
      <c r="V2008" s="155">
        <v>-6.4000000000000005E-4</v>
      </c>
      <c r="W2008" s="155">
        <v>2.6499999999999999E-2</v>
      </c>
      <c r="X2008" s="153" t="s">
        <v>412</v>
      </c>
      <c r="Y2008" s="153" t="s">
        <v>339</v>
      </c>
      <c r="Z2008" s="154">
        <v>113758.2</v>
      </c>
      <c r="AA2008" s="154">
        <v>1</v>
      </c>
      <c r="AB2008" s="154">
        <v>117.37</v>
      </c>
      <c r="AD2008" s="154">
        <v>133.518</v>
      </c>
      <c r="AG2008" s="157" t="s">
        <v>15</v>
      </c>
      <c r="AH2008" s="155">
        <v>1.1E-4</v>
      </c>
      <c r="AI2008" s="155">
        <f t="shared" si="31"/>
        <v>7.0615342703475295E-3</v>
      </c>
      <c r="AJ2008" s="155">
        <v>6.8813227595890464E-4</v>
      </c>
    </row>
    <row r="2009" spans="1:36" s="160" customFormat="1">
      <c r="A2009" s="153" t="s">
        <v>1213</v>
      </c>
      <c r="B2009" s="160">
        <v>9721</v>
      </c>
      <c r="C2009" s="153" t="s">
        <v>1893</v>
      </c>
      <c r="D2009" s="153" t="s">
        <v>1894</v>
      </c>
      <c r="E2009" s="153" t="s">
        <v>309</v>
      </c>
      <c r="F2009" s="153" t="s">
        <v>2208</v>
      </c>
      <c r="G2009" s="153" t="s">
        <v>2209</v>
      </c>
      <c r="H2009" s="153" t="s">
        <v>321</v>
      </c>
      <c r="I2009" s="153" t="s">
        <v>754</v>
      </c>
      <c r="J2009" s="153" t="s">
        <v>204</v>
      </c>
      <c r="K2009" s="153" t="s">
        <v>204</v>
      </c>
      <c r="L2009" s="153" t="s">
        <v>325</v>
      </c>
      <c r="M2009" s="153" t="s">
        <v>340</v>
      </c>
      <c r="N2009" s="153" t="s">
        <v>464</v>
      </c>
      <c r="O2009" s="153" t="s">
        <v>339</v>
      </c>
      <c r="P2009" s="153" t="s">
        <v>1521</v>
      </c>
      <c r="Q2009" s="153" t="s">
        <v>413</v>
      </c>
      <c r="R2009" s="153" t="s">
        <v>407</v>
      </c>
      <c r="S2009" s="153" t="s">
        <v>1212</v>
      </c>
      <c r="T2009" s="154">
        <v>4.32</v>
      </c>
      <c r="U2009" s="153" t="s">
        <v>2210</v>
      </c>
      <c r="V2009" s="155">
        <v>2.767E-2</v>
      </c>
      <c r="W2009" s="155">
        <v>3.27E-2</v>
      </c>
      <c r="X2009" s="153" t="s">
        <v>412</v>
      </c>
      <c r="Y2009" s="153" t="s">
        <v>339</v>
      </c>
      <c r="Z2009" s="154">
        <v>99000</v>
      </c>
      <c r="AA2009" s="154">
        <v>1</v>
      </c>
      <c r="AB2009" s="154">
        <v>103.92</v>
      </c>
      <c r="AD2009" s="154">
        <v>102.881</v>
      </c>
      <c r="AG2009" s="157" t="s">
        <v>15</v>
      </c>
      <c r="AH2009" s="155">
        <v>1.2E-4</v>
      </c>
      <c r="AI2009" s="155">
        <f t="shared" si="31"/>
        <v>5.4411967470125687E-3</v>
      </c>
      <c r="AJ2009" s="155">
        <v>5.3023365151461273E-4</v>
      </c>
    </row>
    <row r="2010" spans="1:36" s="160" customFormat="1">
      <c r="A2010" s="153" t="s">
        <v>1213</v>
      </c>
      <c r="B2010" s="160">
        <v>9721</v>
      </c>
      <c r="C2010" s="153" t="s">
        <v>455</v>
      </c>
      <c r="D2010" s="153" t="s">
        <v>2106</v>
      </c>
      <c r="E2010" s="153" t="s">
        <v>309</v>
      </c>
      <c r="F2010" s="153" t="s">
        <v>2107</v>
      </c>
      <c r="G2010" s="153" t="s">
        <v>2108</v>
      </c>
      <c r="H2010" s="153" t="s">
        <v>321</v>
      </c>
      <c r="I2010" s="153" t="s">
        <v>754</v>
      </c>
      <c r="J2010" s="153" t="s">
        <v>204</v>
      </c>
      <c r="K2010" s="153" t="s">
        <v>204</v>
      </c>
      <c r="L2010" s="153" t="s">
        <v>325</v>
      </c>
      <c r="M2010" s="153" t="s">
        <v>340</v>
      </c>
      <c r="N2010" s="153" t="s">
        <v>440</v>
      </c>
      <c r="O2010" s="153" t="s">
        <v>339</v>
      </c>
      <c r="P2010" s="153" t="s">
        <v>1923</v>
      </c>
      <c r="Q2010" s="153" t="s">
        <v>415</v>
      </c>
      <c r="R2010" s="153" t="s">
        <v>407</v>
      </c>
      <c r="S2010" s="153" t="s">
        <v>1212</v>
      </c>
      <c r="T2010" s="154">
        <v>10.4</v>
      </c>
      <c r="U2010" s="153" t="s">
        <v>2109</v>
      </c>
      <c r="V2010" s="155">
        <v>2.8459999999999999E-2</v>
      </c>
      <c r="W2010" s="155">
        <v>3.4799999999999998E-2</v>
      </c>
      <c r="X2010" s="153" t="s">
        <v>412</v>
      </c>
      <c r="Y2010" s="153" t="s">
        <v>339</v>
      </c>
      <c r="Z2010" s="154">
        <v>97503</v>
      </c>
      <c r="AA2010" s="154">
        <v>1</v>
      </c>
      <c r="AB2010" s="154">
        <v>102.97</v>
      </c>
      <c r="AD2010" s="154">
        <v>100.399</v>
      </c>
      <c r="AG2010" s="157" t="s">
        <v>15</v>
      </c>
      <c r="AH2010" s="155">
        <v>2.0000000000000002E-5</v>
      </c>
      <c r="AI2010" s="155">
        <f t="shared" si="31"/>
        <v>5.3099280936549503E-3</v>
      </c>
      <c r="AJ2010" s="155">
        <v>5.174417859314704E-4</v>
      </c>
    </row>
    <row r="2011" spans="1:36" s="160" customFormat="1">
      <c r="A2011" s="153" t="s">
        <v>1213</v>
      </c>
      <c r="B2011" s="160">
        <v>9721</v>
      </c>
      <c r="C2011" s="153" t="s">
        <v>2273</v>
      </c>
      <c r="D2011" s="153" t="s">
        <v>2274</v>
      </c>
      <c r="E2011" s="153" t="s">
        <v>309</v>
      </c>
      <c r="F2011" s="153" t="s">
        <v>2303</v>
      </c>
      <c r="G2011" s="153" t="s">
        <v>2304</v>
      </c>
      <c r="H2011" s="153" t="s">
        <v>321</v>
      </c>
      <c r="I2011" s="153" t="s">
        <v>754</v>
      </c>
      <c r="J2011" s="153" t="s">
        <v>204</v>
      </c>
      <c r="K2011" s="153" t="s">
        <v>204</v>
      </c>
      <c r="L2011" s="153" t="s">
        <v>325</v>
      </c>
      <c r="M2011" s="153" t="s">
        <v>340</v>
      </c>
      <c r="N2011" s="153" t="s">
        <v>477</v>
      </c>
      <c r="O2011" s="153" t="s">
        <v>339</v>
      </c>
      <c r="P2011" s="153" t="s">
        <v>1215</v>
      </c>
      <c r="Q2011" s="153" t="s">
        <v>413</v>
      </c>
      <c r="R2011" s="153" t="s">
        <v>407</v>
      </c>
      <c r="S2011" s="153" t="s">
        <v>1212</v>
      </c>
      <c r="T2011" s="154">
        <v>11.44</v>
      </c>
      <c r="U2011" s="153" t="s">
        <v>2305</v>
      </c>
      <c r="V2011" s="155">
        <v>2.743E-2</v>
      </c>
      <c r="W2011" s="155">
        <v>3.2899999999999999E-2</v>
      </c>
      <c r="X2011" s="153" t="s">
        <v>412</v>
      </c>
      <c r="Y2011" s="153" t="s">
        <v>339</v>
      </c>
      <c r="Z2011" s="154">
        <v>100000</v>
      </c>
      <c r="AA2011" s="154">
        <v>1</v>
      </c>
      <c r="AB2011" s="154">
        <v>99.37</v>
      </c>
      <c r="AD2011" s="154">
        <v>99.37</v>
      </c>
      <c r="AG2011" s="157" t="s">
        <v>15</v>
      </c>
      <c r="AH2011" s="155">
        <v>2.0000000000000002E-5</v>
      </c>
      <c r="AI2011" s="155">
        <f t="shared" si="31"/>
        <v>5.2555060774160346E-3</v>
      </c>
      <c r="AJ2011" s="155">
        <v>5.1213847018406766E-4</v>
      </c>
    </row>
    <row r="2012" spans="1:36" s="160" customFormat="1">
      <c r="A2012" s="153" t="s">
        <v>1213</v>
      </c>
      <c r="B2012" s="160">
        <v>9721</v>
      </c>
      <c r="C2012" s="153" t="s">
        <v>2336</v>
      </c>
      <c r="D2012" s="153" t="s">
        <v>2337</v>
      </c>
      <c r="E2012" s="153" t="s">
        <v>309</v>
      </c>
      <c r="F2012" s="153" t="s">
        <v>2629</v>
      </c>
      <c r="G2012" s="153" t="s">
        <v>2630</v>
      </c>
      <c r="H2012" s="153" t="s">
        <v>321</v>
      </c>
      <c r="I2012" s="153" t="s">
        <v>754</v>
      </c>
      <c r="J2012" s="153" t="s">
        <v>204</v>
      </c>
      <c r="K2012" s="153" t="s">
        <v>204</v>
      </c>
      <c r="L2012" s="153" t="s">
        <v>325</v>
      </c>
      <c r="M2012" s="153" t="s">
        <v>340</v>
      </c>
      <c r="N2012" s="153" t="s">
        <v>464</v>
      </c>
      <c r="O2012" s="153" t="s">
        <v>339</v>
      </c>
      <c r="P2012" s="153" t="s">
        <v>1982</v>
      </c>
      <c r="Q2012" s="153" t="s">
        <v>415</v>
      </c>
      <c r="R2012" s="153" t="s">
        <v>407</v>
      </c>
      <c r="S2012" s="153" t="s">
        <v>1212</v>
      </c>
      <c r="T2012" s="154">
        <v>0.28000000000000003</v>
      </c>
      <c r="U2012" s="153" t="s">
        <v>2631</v>
      </c>
      <c r="V2012" s="155">
        <v>-9.5600000000000008E-3</v>
      </c>
      <c r="W2012" s="155">
        <v>4.65E-2</v>
      </c>
      <c r="X2012" s="153" t="s">
        <v>412</v>
      </c>
      <c r="Y2012" s="153" t="s">
        <v>339</v>
      </c>
      <c r="Z2012" s="154">
        <v>75404.28</v>
      </c>
      <c r="AA2012" s="154">
        <v>1</v>
      </c>
      <c r="AB2012" s="154">
        <v>116.74</v>
      </c>
      <c r="AD2012" s="154">
        <v>88.027000000000001</v>
      </c>
      <c r="AG2012" s="157" t="s">
        <v>15</v>
      </c>
      <c r="AH2012" s="155">
        <v>5.5000000000000003E-4</v>
      </c>
      <c r="AI2012" s="155">
        <f t="shared" si="31"/>
        <v>4.655594580624949E-3</v>
      </c>
      <c r="AJ2012" s="155">
        <v>4.5367830446707184E-4</v>
      </c>
    </row>
    <row r="2013" spans="1:36" s="160" customFormat="1">
      <c r="A2013" s="153" t="s">
        <v>1213</v>
      </c>
      <c r="B2013" s="160">
        <v>9721</v>
      </c>
      <c r="C2013" s="153" t="s">
        <v>1605</v>
      </c>
      <c r="D2013" s="153" t="s">
        <v>1606</v>
      </c>
      <c r="E2013" s="153" t="s">
        <v>311</v>
      </c>
      <c r="F2013" s="153" t="s">
        <v>3394</v>
      </c>
      <c r="G2013" s="153" t="s">
        <v>3395</v>
      </c>
      <c r="H2013" s="153" t="s">
        <v>321</v>
      </c>
      <c r="I2013" s="153" t="s">
        <v>951</v>
      </c>
      <c r="J2013" s="153" t="s">
        <v>204</v>
      </c>
      <c r="K2013" s="153" t="s">
        <v>224</v>
      </c>
      <c r="L2013" s="153" t="s">
        <v>325</v>
      </c>
      <c r="M2013" s="153" t="s">
        <v>340</v>
      </c>
      <c r="N2013" s="153" t="s">
        <v>465</v>
      </c>
      <c r="O2013" s="153" t="s">
        <v>339</v>
      </c>
      <c r="P2013" s="153" t="s">
        <v>1566</v>
      </c>
      <c r="Q2013" s="153" t="s">
        <v>413</v>
      </c>
      <c r="R2013" s="153" t="s">
        <v>407</v>
      </c>
      <c r="S2013" s="153" t="s">
        <v>1212</v>
      </c>
      <c r="T2013" s="154">
        <v>0.64</v>
      </c>
      <c r="U2013" s="153" t="s">
        <v>2369</v>
      </c>
      <c r="V2013" s="155">
        <v>2.1770000000000001E-2</v>
      </c>
      <c r="W2013" s="155">
        <v>0.06</v>
      </c>
      <c r="X2013" s="153" t="s">
        <v>412</v>
      </c>
      <c r="Y2013" s="153" t="s">
        <v>339</v>
      </c>
      <c r="Z2013" s="154">
        <v>73061.679999999993</v>
      </c>
      <c r="AA2013" s="154">
        <v>1</v>
      </c>
      <c r="AB2013" s="154">
        <v>101.87</v>
      </c>
      <c r="AD2013" s="154">
        <v>74.427999999999997</v>
      </c>
      <c r="AG2013" s="157" t="s">
        <v>15</v>
      </c>
      <c r="AH2013" s="155">
        <v>4.2000000000000002E-4</v>
      </c>
      <c r="AI2013" s="155">
        <f t="shared" si="31"/>
        <v>3.9363671765112263E-3</v>
      </c>
      <c r="AJ2013" s="155">
        <v>3.8359104416684902E-4</v>
      </c>
    </row>
    <row r="2014" spans="1:36" s="160" customFormat="1">
      <c r="A2014" s="153" t="s">
        <v>1213</v>
      </c>
      <c r="B2014" s="160">
        <v>9721</v>
      </c>
      <c r="C2014" s="153" t="s">
        <v>2280</v>
      </c>
      <c r="D2014" s="153" t="s">
        <v>2281</v>
      </c>
      <c r="E2014" s="153" t="s">
        <v>311</v>
      </c>
      <c r="F2014" s="153" t="s">
        <v>3402</v>
      </c>
      <c r="G2014" s="153" t="s">
        <v>3403</v>
      </c>
      <c r="H2014" s="153" t="s">
        <v>321</v>
      </c>
      <c r="I2014" s="153" t="s">
        <v>951</v>
      </c>
      <c r="J2014" s="153" t="s">
        <v>204</v>
      </c>
      <c r="K2014" s="153" t="s">
        <v>224</v>
      </c>
      <c r="L2014" s="153" t="s">
        <v>325</v>
      </c>
      <c r="M2014" s="153" t="s">
        <v>340</v>
      </c>
      <c r="N2014" s="153" t="s">
        <v>465</v>
      </c>
      <c r="O2014" s="153" t="s">
        <v>339</v>
      </c>
      <c r="P2014" s="153" t="s">
        <v>1538</v>
      </c>
      <c r="Q2014" s="153" t="s">
        <v>413</v>
      </c>
      <c r="R2014" s="153" t="s">
        <v>407</v>
      </c>
      <c r="S2014" s="153" t="s">
        <v>1212</v>
      </c>
      <c r="T2014" s="154">
        <v>0.25</v>
      </c>
      <c r="U2014" s="153" t="s">
        <v>2484</v>
      </c>
      <c r="V2014" s="155">
        <v>2.8760000000000001E-2</v>
      </c>
      <c r="W2014" s="155">
        <v>5.9299999999999999E-2</v>
      </c>
      <c r="X2014" s="153" t="s">
        <v>412</v>
      </c>
      <c r="Y2014" s="153" t="s">
        <v>339</v>
      </c>
      <c r="Z2014" s="154">
        <v>68150.5</v>
      </c>
      <c r="AA2014" s="154">
        <v>1</v>
      </c>
      <c r="AB2014" s="154">
        <v>100.24</v>
      </c>
      <c r="AD2014" s="154">
        <v>68.313999999999993</v>
      </c>
      <c r="AG2014" s="157" t="s">
        <v>15</v>
      </c>
      <c r="AH2014" s="155">
        <v>3.3E-4</v>
      </c>
      <c r="AI2014" s="155">
        <f t="shared" si="31"/>
        <v>3.6130083744852462E-3</v>
      </c>
      <c r="AJ2014" s="155">
        <v>3.5208038092134845E-4</v>
      </c>
    </row>
    <row r="2015" spans="1:36" s="160" customFormat="1">
      <c r="A2015" s="153" t="s">
        <v>1213</v>
      </c>
      <c r="B2015" s="160">
        <v>9721</v>
      </c>
      <c r="C2015" s="153" t="s">
        <v>1861</v>
      </c>
      <c r="D2015" s="153" t="s">
        <v>1862</v>
      </c>
      <c r="E2015" s="153" t="s">
        <v>309</v>
      </c>
      <c r="F2015" s="153" t="s">
        <v>2482</v>
      </c>
      <c r="G2015" s="153" t="s">
        <v>2483</v>
      </c>
      <c r="H2015" s="153" t="s">
        <v>321</v>
      </c>
      <c r="I2015" s="153" t="s">
        <v>951</v>
      </c>
      <c r="J2015" s="153" t="s">
        <v>204</v>
      </c>
      <c r="K2015" s="153" t="s">
        <v>204</v>
      </c>
      <c r="L2015" s="153" t="s">
        <v>325</v>
      </c>
      <c r="M2015" s="153" t="s">
        <v>340</v>
      </c>
      <c r="N2015" s="153" t="s">
        <v>464</v>
      </c>
      <c r="O2015" s="153" t="s">
        <v>339</v>
      </c>
      <c r="P2015" s="153" t="s">
        <v>1538</v>
      </c>
      <c r="Q2015" s="153" t="s">
        <v>413</v>
      </c>
      <c r="R2015" s="153" t="s">
        <v>407</v>
      </c>
      <c r="S2015" s="153" t="s">
        <v>1212</v>
      </c>
      <c r="T2015" s="154">
        <v>0.25</v>
      </c>
      <c r="U2015" s="153" t="s">
        <v>2484</v>
      </c>
      <c r="V2015" s="155">
        <v>3.065E-2</v>
      </c>
      <c r="W2015" s="155">
        <v>4.7199999999999999E-2</v>
      </c>
      <c r="X2015" s="153" t="s">
        <v>412</v>
      </c>
      <c r="Y2015" s="153" t="s">
        <v>339</v>
      </c>
      <c r="Z2015" s="154">
        <v>66064.5</v>
      </c>
      <c r="AA2015" s="154">
        <v>1</v>
      </c>
      <c r="AB2015" s="154">
        <v>100.6</v>
      </c>
      <c r="AD2015" s="154">
        <v>66.460999999999999</v>
      </c>
      <c r="AG2015" s="157" t="s">
        <v>15</v>
      </c>
      <c r="AH2015" s="155">
        <v>1E-4</v>
      </c>
      <c r="AI2015" s="155">
        <f t="shared" si="31"/>
        <v>3.5150064346497639E-3</v>
      </c>
      <c r="AJ2015" s="155">
        <v>3.4253028949283808E-4</v>
      </c>
    </row>
    <row r="2016" spans="1:36" s="160" customFormat="1">
      <c r="A2016" s="153" t="s">
        <v>1213</v>
      </c>
      <c r="B2016" s="160">
        <v>9721</v>
      </c>
      <c r="C2016" s="153" t="s">
        <v>2771</v>
      </c>
      <c r="D2016" s="153" t="s">
        <v>2772</v>
      </c>
      <c r="E2016" s="153" t="s">
        <v>309</v>
      </c>
      <c r="F2016" s="153" t="s">
        <v>2849</v>
      </c>
      <c r="G2016" s="153" t="s">
        <v>2850</v>
      </c>
      <c r="H2016" s="153" t="s">
        <v>321</v>
      </c>
      <c r="I2016" s="153" t="s">
        <v>951</v>
      </c>
      <c r="J2016" s="153" t="s">
        <v>204</v>
      </c>
      <c r="K2016" s="153" t="s">
        <v>204</v>
      </c>
      <c r="L2016" s="153" t="s">
        <v>325</v>
      </c>
      <c r="M2016" s="153" t="s">
        <v>340</v>
      </c>
      <c r="N2016" s="153" t="s">
        <v>447</v>
      </c>
      <c r="O2016" s="153" t="s">
        <v>339</v>
      </c>
      <c r="P2016" s="153" t="s">
        <v>1614</v>
      </c>
      <c r="Q2016" s="153" t="s">
        <v>415</v>
      </c>
      <c r="R2016" s="153" t="s">
        <v>407</v>
      </c>
      <c r="S2016" s="153" t="s">
        <v>1212</v>
      </c>
      <c r="T2016" s="154">
        <v>0.74</v>
      </c>
      <c r="U2016" s="153" t="s">
        <v>1848</v>
      </c>
      <c r="V2016" s="155">
        <v>2.4320000000000001E-2</v>
      </c>
      <c r="W2016" s="155">
        <v>5.8000000000000003E-2</v>
      </c>
      <c r="X2016" s="153" t="s">
        <v>412</v>
      </c>
      <c r="Y2016" s="153" t="s">
        <v>339</v>
      </c>
      <c r="Z2016" s="154">
        <v>30524.11</v>
      </c>
      <c r="AA2016" s="154">
        <v>1</v>
      </c>
      <c r="AB2016" s="154">
        <v>98.95</v>
      </c>
      <c r="AD2016" s="154">
        <v>30.204000000000001</v>
      </c>
      <c r="AG2016" s="157" t="s">
        <v>15</v>
      </c>
      <c r="AH2016" s="155">
        <v>5.4000000000000001E-4</v>
      </c>
      <c r="AI2016" s="155">
        <f t="shared" si="31"/>
        <v>1.5974369081440463E-3</v>
      </c>
      <c r="AJ2016" s="155">
        <v>1.5566700567011755E-4</v>
      </c>
    </row>
    <row r="2017" spans="1:36" s="160" customFormat="1">
      <c r="A2017" s="153" t="s">
        <v>1213</v>
      </c>
      <c r="B2017" s="160">
        <v>9721</v>
      </c>
      <c r="C2017" s="153" t="s">
        <v>1986</v>
      </c>
      <c r="D2017" s="153" t="s">
        <v>1987</v>
      </c>
      <c r="E2017" s="153" t="s">
        <v>309</v>
      </c>
      <c r="F2017" s="153" t="s">
        <v>1988</v>
      </c>
      <c r="G2017" s="153" t="s">
        <v>1989</v>
      </c>
      <c r="H2017" s="153" t="s">
        <v>321</v>
      </c>
      <c r="I2017" s="153" t="s">
        <v>754</v>
      </c>
      <c r="J2017" s="153" t="s">
        <v>204</v>
      </c>
      <c r="K2017" s="153" t="s">
        <v>204</v>
      </c>
      <c r="L2017" s="153" t="s">
        <v>325</v>
      </c>
      <c r="M2017" s="153" t="s">
        <v>340</v>
      </c>
      <c r="N2017" s="153" t="s">
        <v>484</v>
      </c>
      <c r="O2017" s="153" t="s">
        <v>339</v>
      </c>
      <c r="P2017" s="153" t="s">
        <v>1538</v>
      </c>
      <c r="Q2017" s="153" t="s">
        <v>413</v>
      </c>
      <c r="R2017" s="153" t="s">
        <v>407</v>
      </c>
      <c r="S2017" s="153" t="s">
        <v>1212</v>
      </c>
      <c r="T2017" s="154">
        <v>8.3699999999999992</v>
      </c>
      <c r="U2017" s="153" t="s">
        <v>1990</v>
      </c>
      <c r="V2017" s="155">
        <v>2.579E-2</v>
      </c>
      <c r="W2017" s="155">
        <v>3.1600000000000003E-2</v>
      </c>
      <c r="X2017" s="153" t="s">
        <v>412</v>
      </c>
      <c r="Y2017" s="153" t="s">
        <v>339</v>
      </c>
      <c r="Z2017" s="154">
        <v>11114</v>
      </c>
      <c r="AA2017" s="154">
        <v>1</v>
      </c>
      <c r="AB2017" s="154">
        <v>91.2</v>
      </c>
      <c r="AD2017" s="154">
        <v>10.135999999999999</v>
      </c>
      <c r="AG2017" s="157" t="s">
        <v>15</v>
      </c>
      <c r="AH2017" s="155">
        <v>2.0000000000000002E-5</v>
      </c>
      <c r="AI2017" s="155">
        <f t="shared" si="31"/>
        <v>5.3607537084320131E-4</v>
      </c>
      <c r="AJ2017" s="155">
        <v>5.22394639608102E-5</v>
      </c>
    </row>
    <row r="2018" spans="1:36" s="160" customFormat="1">
      <c r="A2018" s="153" t="s">
        <v>1213</v>
      </c>
      <c r="B2018" s="160">
        <v>9721</v>
      </c>
      <c r="C2018" s="153" t="s">
        <v>1799</v>
      </c>
      <c r="D2018" s="153" t="s">
        <v>1800</v>
      </c>
      <c r="E2018" s="153" t="s">
        <v>309</v>
      </c>
      <c r="F2018" s="153" t="s">
        <v>3386</v>
      </c>
      <c r="G2018" s="153" t="s">
        <v>3387</v>
      </c>
      <c r="H2018" s="153" t="s">
        <v>321</v>
      </c>
      <c r="I2018" s="153" t="s">
        <v>951</v>
      </c>
      <c r="J2018" s="153" t="s">
        <v>204</v>
      </c>
      <c r="K2018" s="153" t="s">
        <v>204</v>
      </c>
      <c r="L2018" s="153" t="s">
        <v>325</v>
      </c>
      <c r="M2018" s="153" t="s">
        <v>340</v>
      </c>
      <c r="N2018" s="153" t="s">
        <v>464</v>
      </c>
      <c r="O2018" s="153" t="s">
        <v>339</v>
      </c>
      <c r="P2018" s="153" t="s">
        <v>1982</v>
      </c>
      <c r="Q2018" s="153" t="s">
        <v>415</v>
      </c>
      <c r="R2018" s="153" t="s">
        <v>407</v>
      </c>
      <c r="S2018" s="153" t="s">
        <v>1212</v>
      </c>
      <c r="T2018" s="154">
        <v>1.36</v>
      </c>
      <c r="U2018" s="153" t="s">
        <v>3388</v>
      </c>
      <c r="V2018" s="155">
        <v>1.238E-2</v>
      </c>
      <c r="W2018" s="155">
        <v>5.2299999999999999E-2</v>
      </c>
      <c r="X2018" s="153" t="s">
        <v>412</v>
      </c>
      <c r="Y2018" s="153" t="s">
        <v>339</v>
      </c>
      <c r="Z2018" s="154">
        <v>8216.25</v>
      </c>
      <c r="AA2018" s="154">
        <v>1</v>
      </c>
      <c r="AB2018" s="154">
        <v>100.28</v>
      </c>
      <c r="AD2018" s="154">
        <v>8.2390000000000008</v>
      </c>
      <c r="AG2018" s="157" t="s">
        <v>15</v>
      </c>
      <c r="AH2018" s="155">
        <v>3.0000000000000001E-5</v>
      </c>
      <c r="AI2018" s="155">
        <f t="shared" si="31"/>
        <v>4.3574634770887296E-4</v>
      </c>
      <c r="AJ2018" s="155">
        <v>4.2462602957095041E-5</v>
      </c>
    </row>
    <row r="2019" spans="1:36" s="160" customFormat="1">
      <c r="A2019" s="153" t="s">
        <v>1213</v>
      </c>
      <c r="B2019" s="160">
        <v>9721</v>
      </c>
      <c r="C2019" s="153" t="s">
        <v>2542</v>
      </c>
      <c r="D2019" s="153" t="s">
        <v>2543</v>
      </c>
      <c r="E2019" s="153" t="s">
        <v>309</v>
      </c>
      <c r="F2019" s="153" t="s">
        <v>2544</v>
      </c>
      <c r="G2019" s="153" t="s">
        <v>2545</v>
      </c>
      <c r="H2019" s="153" t="s">
        <v>321</v>
      </c>
      <c r="I2019" s="153" t="s">
        <v>951</v>
      </c>
      <c r="J2019" s="153" t="s">
        <v>204</v>
      </c>
      <c r="K2019" s="153" t="s">
        <v>204</v>
      </c>
      <c r="L2019" s="153" t="s">
        <v>325</v>
      </c>
      <c r="M2019" s="153" t="s">
        <v>340</v>
      </c>
      <c r="N2019" s="153" t="s">
        <v>464</v>
      </c>
      <c r="O2019" s="153" t="s">
        <v>339</v>
      </c>
      <c r="P2019" s="153" t="s">
        <v>2546</v>
      </c>
      <c r="Q2019" s="153" t="s">
        <v>413</v>
      </c>
      <c r="R2019" s="153" t="s">
        <v>407</v>
      </c>
      <c r="S2019" s="153" t="s">
        <v>1212</v>
      </c>
      <c r="T2019" s="154">
        <v>1.18</v>
      </c>
      <c r="U2019" s="153" t="s">
        <v>2547</v>
      </c>
      <c r="V2019" s="155">
        <v>8.8109999999999994E-2</v>
      </c>
      <c r="W2019" s="155">
        <v>7.5800000000000006E-2</v>
      </c>
      <c r="X2019" s="153" t="s">
        <v>412</v>
      </c>
      <c r="Y2019" s="153" t="s">
        <v>339</v>
      </c>
      <c r="Z2019" s="154">
        <v>175.1</v>
      </c>
      <c r="AA2019" s="154">
        <v>1</v>
      </c>
      <c r="AB2019" s="154">
        <v>98.5</v>
      </c>
      <c r="AD2019" s="154">
        <v>0.17199999999999999</v>
      </c>
      <c r="AG2019" s="157" t="s">
        <v>15</v>
      </c>
      <c r="AH2019" s="155">
        <v>0</v>
      </c>
      <c r="AI2019" s="155">
        <f t="shared" si="31"/>
        <v>9.0967801682153335E-6</v>
      </c>
      <c r="AJ2019" s="155">
        <v>8.8646288489141222E-7</v>
      </c>
    </row>
    <row r="2020" spans="1:36" s="160" customFormat="1">
      <c r="A2020" s="153" t="s">
        <v>1213</v>
      </c>
      <c r="B2020" s="160">
        <v>9888</v>
      </c>
      <c r="C2020" s="153" t="s">
        <v>1512</v>
      </c>
      <c r="D2020" s="153" t="s">
        <v>1513</v>
      </c>
      <c r="E2020" s="153" t="s">
        <v>309</v>
      </c>
      <c r="F2020" s="153" t="s">
        <v>2512</v>
      </c>
      <c r="G2020" s="153" t="s">
        <v>2513</v>
      </c>
      <c r="H2020" s="153" t="s">
        <v>321</v>
      </c>
      <c r="I2020" s="153" t="s">
        <v>951</v>
      </c>
      <c r="J2020" s="153" t="s">
        <v>204</v>
      </c>
      <c r="K2020" s="153" t="s">
        <v>204</v>
      </c>
      <c r="L2020" s="153" t="s">
        <v>325</v>
      </c>
      <c r="M2020" s="153" t="s">
        <v>340</v>
      </c>
      <c r="N2020" s="153" t="s">
        <v>448</v>
      </c>
      <c r="O2020" s="153" t="s">
        <v>339</v>
      </c>
      <c r="P2020" s="153" t="s">
        <v>1215</v>
      </c>
      <c r="Q2020" s="153" t="s">
        <v>413</v>
      </c>
      <c r="R2020" s="153" t="s">
        <v>407</v>
      </c>
      <c r="S2020" s="153" t="s">
        <v>1212</v>
      </c>
      <c r="T2020" s="154">
        <v>3.23</v>
      </c>
      <c r="U2020" s="153" t="s">
        <v>1900</v>
      </c>
      <c r="V2020" s="155">
        <v>4.1169999999999998E-2</v>
      </c>
      <c r="W2020" s="155">
        <v>5.1400000000000001E-2</v>
      </c>
      <c r="X2020" s="153" t="s">
        <v>412</v>
      </c>
      <c r="Y2020" s="153" t="s">
        <v>339</v>
      </c>
      <c r="Z2020" s="154">
        <v>1950000</v>
      </c>
      <c r="AA2020" s="154">
        <v>1</v>
      </c>
      <c r="AB2020" s="154">
        <v>93.89</v>
      </c>
      <c r="AD2020" s="154">
        <v>1830.855</v>
      </c>
      <c r="AG2020" s="157" t="s">
        <v>15</v>
      </c>
      <c r="AH2020" s="155">
        <v>1.2999999999999999E-3</v>
      </c>
      <c r="AI2020" s="155">
        <f t="shared" si="31"/>
        <v>6.1155303483262438E-2</v>
      </c>
      <c r="AJ2020" s="155">
        <v>6.721464070088023E-3</v>
      </c>
    </row>
    <row r="2021" spans="1:36" s="160" customFormat="1">
      <c r="A2021" s="153" t="s">
        <v>1213</v>
      </c>
      <c r="B2021" s="160">
        <v>9888</v>
      </c>
      <c r="C2021" s="153" t="s">
        <v>1573</v>
      </c>
      <c r="D2021" s="153" t="s">
        <v>1574</v>
      </c>
      <c r="E2021" s="153" t="s">
        <v>309</v>
      </c>
      <c r="F2021" s="153" t="s">
        <v>2501</v>
      </c>
      <c r="G2021" s="153" t="s">
        <v>2502</v>
      </c>
      <c r="H2021" s="153" t="s">
        <v>321</v>
      </c>
      <c r="I2021" s="153" t="s">
        <v>951</v>
      </c>
      <c r="J2021" s="153" t="s">
        <v>204</v>
      </c>
      <c r="K2021" s="153" t="s">
        <v>204</v>
      </c>
      <c r="L2021" s="153" t="s">
        <v>325</v>
      </c>
      <c r="M2021" s="153" t="s">
        <v>340</v>
      </c>
      <c r="N2021" s="153" t="s">
        <v>448</v>
      </c>
      <c r="O2021" s="153" t="s">
        <v>339</v>
      </c>
      <c r="P2021" s="153" t="s">
        <v>1215</v>
      </c>
      <c r="Q2021" s="153" t="s">
        <v>413</v>
      </c>
      <c r="R2021" s="153" t="s">
        <v>407</v>
      </c>
      <c r="S2021" s="153" t="s">
        <v>1212</v>
      </c>
      <c r="T2021" s="154">
        <v>3.11</v>
      </c>
      <c r="U2021" s="153" t="s">
        <v>2503</v>
      </c>
      <c r="V2021" s="155">
        <v>4.6949999999999999E-2</v>
      </c>
      <c r="W2021" s="155">
        <v>5.0999999999999997E-2</v>
      </c>
      <c r="X2021" s="153" t="s">
        <v>412</v>
      </c>
      <c r="Y2021" s="153" t="s">
        <v>339</v>
      </c>
      <c r="Z2021" s="154">
        <v>1929423</v>
      </c>
      <c r="AA2021" s="154">
        <v>1</v>
      </c>
      <c r="AB2021" s="154">
        <v>94.29</v>
      </c>
      <c r="AD2021" s="154">
        <v>1819.2529999999999</v>
      </c>
      <c r="AG2021" s="157" t="s">
        <v>15</v>
      </c>
      <c r="AH2021" s="155">
        <v>1.4400000000000001E-3</v>
      </c>
      <c r="AI2021" s="155">
        <f t="shared" si="31"/>
        <v>6.076776660513019E-2</v>
      </c>
      <c r="AJ2021" s="155">
        <v>6.6788706226871301E-3</v>
      </c>
    </row>
    <row r="2022" spans="1:36" s="160" customFormat="1">
      <c r="A2022" s="153" t="s">
        <v>1213</v>
      </c>
      <c r="B2022" s="160">
        <v>9888</v>
      </c>
      <c r="C2022" s="153" t="s">
        <v>1904</v>
      </c>
      <c r="D2022" s="153" t="s">
        <v>1905</v>
      </c>
      <c r="E2022" s="153" t="s">
        <v>309</v>
      </c>
      <c r="F2022" s="153" t="s">
        <v>2268</v>
      </c>
      <c r="G2022" s="153" t="s">
        <v>2269</v>
      </c>
      <c r="H2022" s="153" t="s">
        <v>321</v>
      </c>
      <c r="I2022" s="153" t="s">
        <v>951</v>
      </c>
      <c r="J2022" s="153" t="s">
        <v>204</v>
      </c>
      <c r="K2022" s="153" t="s">
        <v>204</v>
      </c>
      <c r="L2022" s="153" t="s">
        <v>325</v>
      </c>
      <c r="M2022" s="153" t="s">
        <v>340</v>
      </c>
      <c r="N2022" s="153" t="s">
        <v>448</v>
      </c>
      <c r="O2022" s="153" t="s">
        <v>339</v>
      </c>
      <c r="P2022" s="153" t="s">
        <v>1215</v>
      </c>
      <c r="Q2022" s="153" t="s">
        <v>413</v>
      </c>
      <c r="R2022" s="153" t="s">
        <v>407</v>
      </c>
      <c r="S2022" s="153" t="s">
        <v>1212</v>
      </c>
      <c r="T2022" s="154">
        <v>2.89</v>
      </c>
      <c r="U2022" s="153" t="s">
        <v>2270</v>
      </c>
      <c r="V2022" s="155">
        <v>4.9730000000000003E-2</v>
      </c>
      <c r="W2022" s="155">
        <v>5.11E-2</v>
      </c>
      <c r="X2022" s="153" t="s">
        <v>412</v>
      </c>
      <c r="Y2022" s="153" t="s">
        <v>339</v>
      </c>
      <c r="Z2022" s="154">
        <v>1900000</v>
      </c>
      <c r="AA2022" s="154">
        <v>1</v>
      </c>
      <c r="AB2022" s="154">
        <v>95.42</v>
      </c>
      <c r="AD2022" s="154">
        <v>1812.98</v>
      </c>
      <c r="AG2022" s="157" t="s">
        <v>15</v>
      </c>
      <c r="AH2022" s="155">
        <v>8.3000000000000001E-4</v>
      </c>
      <c r="AI2022" s="155">
        <f t="shared" si="31"/>
        <v>6.0558232142406222E-2</v>
      </c>
      <c r="AJ2022" s="155">
        <v>6.6558410850603598E-3</v>
      </c>
    </row>
    <row r="2023" spans="1:36" s="160" customFormat="1">
      <c r="A2023" s="153" t="s">
        <v>1213</v>
      </c>
      <c r="B2023" s="160">
        <v>9888</v>
      </c>
      <c r="C2023" s="153" t="s">
        <v>1573</v>
      </c>
      <c r="D2023" s="153" t="s">
        <v>1574</v>
      </c>
      <c r="E2023" s="153" t="s">
        <v>309</v>
      </c>
      <c r="F2023" s="153" t="s">
        <v>2277</v>
      </c>
      <c r="G2023" s="153" t="s">
        <v>2278</v>
      </c>
      <c r="H2023" s="153" t="s">
        <v>321</v>
      </c>
      <c r="I2023" s="153" t="s">
        <v>754</v>
      </c>
      <c r="J2023" s="153" t="s">
        <v>204</v>
      </c>
      <c r="K2023" s="153" t="s">
        <v>204</v>
      </c>
      <c r="L2023" s="153" t="s">
        <v>325</v>
      </c>
      <c r="M2023" s="153" t="s">
        <v>340</v>
      </c>
      <c r="N2023" s="153" t="s">
        <v>448</v>
      </c>
      <c r="O2023" s="153" t="s">
        <v>339</v>
      </c>
      <c r="P2023" s="153" t="s">
        <v>1215</v>
      </c>
      <c r="Q2023" s="153" t="s">
        <v>413</v>
      </c>
      <c r="R2023" s="153" t="s">
        <v>407</v>
      </c>
      <c r="S2023" s="153" t="s">
        <v>1212</v>
      </c>
      <c r="T2023" s="154">
        <v>3.14</v>
      </c>
      <c r="U2023" s="153" t="s">
        <v>2279</v>
      </c>
      <c r="V2023" s="155">
        <v>1.49E-2</v>
      </c>
      <c r="W2023" s="155">
        <v>2.3099999999999999E-2</v>
      </c>
      <c r="X2023" s="153" t="s">
        <v>412</v>
      </c>
      <c r="Y2023" s="153" t="s">
        <v>339</v>
      </c>
      <c r="Z2023" s="154">
        <v>864082</v>
      </c>
      <c r="AA2023" s="154">
        <v>1</v>
      </c>
      <c r="AB2023" s="154">
        <v>105.15</v>
      </c>
      <c r="AD2023" s="154">
        <v>908.58199999999999</v>
      </c>
      <c r="AG2023" s="157" t="s">
        <v>15</v>
      </c>
      <c r="AH2023" s="155">
        <v>2.7999999999999998E-4</v>
      </c>
      <c r="AI2023" s="155">
        <f t="shared" si="31"/>
        <v>3.0348994294703596E-2</v>
      </c>
      <c r="AJ2023" s="155">
        <v>3.3356007262883825E-3</v>
      </c>
    </row>
    <row r="2024" spans="1:36" s="160" customFormat="1">
      <c r="A2024" s="153" t="s">
        <v>1213</v>
      </c>
      <c r="B2024" s="160">
        <v>9888</v>
      </c>
      <c r="C2024" s="153" t="s">
        <v>455</v>
      </c>
      <c r="D2024" s="153" t="s">
        <v>2106</v>
      </c>
      <c r="E2024" s="153" t="s">
        <v>309</v>
      </c>
      <c r="F2024" s="153" t="s">
        <v>2289</v>
      </c>
      <c r="G2024" s="153" t="s">
        <v>2290</v>
      </c>
      <c r="H2024" s="153" t="s">
        <v>321</v>
      </c>
      <c r="I2024" s="153" t="s">
        <v>754</v>
      </c>
      <c r="J2024" s="153" t="s">
        <v>204</v>
      </c>
      <c r="K2024" s="153" t="s">
        <v>204</v>
      </c>
      <c r="L2024" s="153" t="s">
        <v>325</v>
      </c>
      <c r="M2024" s="153" t="s">
        <v>340</v>
      </c>
      <c r="N2024" s="153" t="s">
        <v>440</v>
      </c>
      <c r="O2024" s="153" t="s">
        <v>339</v>
      </c>
      <c r="P2024" s="153" t="s">
        <v>1923</v>
      </c>
      <c r="Q2024" s="153" t="s">
        <v>415</v>
      </c>
      <c r="R2024" s="153" t="s">
        <v>407</v>
      </c>
      <c r="S2024" s="153" t="s">
        <v>1212</v>
      </c>
      <c r="T2024" s="154">
        <v>3.44</v>
      </c>
      <c r="U2024" s="153" t="s">
        <v>2291</v>
      </c>
      <c r="V2024" s="155">
        <v>1.6410000000000001E-2</v>
      </c>
      <c r="W2024" s="155">
        <v>2.5700000000000001E-2</v>
      </c>
      <c r="X2024" s="153" t="s">
        <v>412</v>
      </c>
      <c r="Y2024" s="153" t="s">
        <v>339</v>
      </c>
      <c r="Z2024" s="154">
        <v>681397.42</v>
      </c>
      <c r="AA2024" s="154">
        <v>1</v>
      </c>
      <c r="AB2024" s="154">
        <v>121.2</v>
      </c>
      <c r="AC2024" s="154">
        <v>15.233000000000001</v>
      </c>
      <c r="AD2024" s="154">
        <v>841.08699999999999</v>
      </c>
      <c r="AG2024" s="157" t="s">
        <v>15</v>
      </c>
      <c r="AH2024" s="155">
        <v>2.7E-4</v>
      </c>
      <c r="AI2024" s="155">
        <f t="shared" si="31"/>
        <v>2.8094486314223004E-2</v>
      </c>
      <c r="AJ2024" s="155">
        <v>3.0878120060398692E-3</v>
      </c>
    </row>
    <row r="2025" spans="1:36" s="160" customFormat="1">
      <c r="A2025" s="153" t="s">
        <v>1213</v>
      </c>
      <c r="B2025" s="160">
        <v>9888</v>
      </c>
      <c r="C2025" s="153" t="s">
        <v>1600</v>
      </c>
      <c r="D2025" s="153" t="s">
        <v>1601</v>
      </c>
      <c r="E2025" s="153" t="s">
        <v>309</v>
      </c>
      <c r="F2025" s="153" t="s">
        <v>2701</v>
      </c>
      <c r="G2025" s="153" t="s">
        <v>2702</v>
      </c>
      <c r="H2025" s="153" t="s">
        <v>321</v>
      </c>
      <c r="I2025" s="153" t="s">
        <v>754</v>
      </c>
      <c r="J2025" s="153" t="s">
        <v>204</v>
      </c>
      <c r="K2025" s="153" t="s">
        <v>204</v>
      </c>
      <c r="L2025" s="153" t="s">
        <v>325</v>
      </c>
      <c r="M2025" s="153" t="s">
        <v>340</v>
      </c>
      <c r="N2025" s="153" t="s">
        <v>448</v>
      </c>
      <c r="O2025" s="153" t="s">
        <v>339</v>
      </c>
      <c r="P2025" s="153" t="s">
        <v>1566</v>
      </c>
      <c r="Q2025" s="153" t="s">
        <v>413</v>
      </c>
      <c r="R2025" s="153" t="s">
        <v>407</v>
      </c>
      <c r="S2025" s="153" t="s">
        <v>1212</v>
      </c>
      <c r="T2025" s="154">
        <v>4.68</v>
      </c>
      <c r="U2025" s="153" t="s">
        <v>2703</v>
      </c>
      <c r="V2025" s="155">
        <v>3.7100000000000001E-2</v>
      </c>
      <c r="W2025" s="155">
        <v>3.1600000000000003E-2</v>
      </c>
      <c r="X2025" s="153" t="s">
        <v>411</v>
      </c>
      <c r="Y2025" s="153" t="s">
        <v>339</v>
      </c>
      <c r="Z2025" s="154">
        <v>750000</v>
      </c>
      <c r="AA2025" s="154">
        <v>1</v>
      </c>
      <c r="AB2025" s="154">
        <v>108.99</v>
      </c>
      <c r="AD2025" s="154">
        <v>817.42499999999995</v>
      </c>
      <c r="AG2025" s="157" t="s">
        <v>15</v>
      </c>
      <c r="AH2025" s="155">
        <v>1.9499999999999999E-3</v>
      </c>
      <c r="AI2025" s="155">
        <f t="shared" si="31"/>
        <v>2.7304114170595594E-2</v>
      </c>
      <c r="AJ2025" s="155">
        <v>3.0009436943349978E-3</v>
      </c>
    </row>
    <row r="2026" spans="1:36" s="160" customFormat="1">
      <c r="A2026" s="153" t="s">
        <v>1213</v>
      </c>
      <c r="B2026" s="160">
        <v>9888</v>
      </c>
      <c r="C2026" s="153" t="s">
        <v>455</v>
      </c>
      <c r="D2026" s="153" t="s">
        <v>2106</v>
      </c>
      <c r="E2026" s="153" t="s">
        <v>309</v>
      </c>
      <c r="F2026" s="153" t="s">
        <v>2160</v>
      </c>
      <c r="G2026" s="153" t="s">
        <v>2161</v>
      </c>
      <c r="H2026" s="153" t="s">
        <v>321</v>
      </c>
      <c r="I2026" s="153" t="s">
        <v>754</v>
      </c>
      <c r="J2026" s="153" t="s">
        <v>204</v>
      </c>
      <c r="K2026" s="153" t="s">
        <v>204</v>
      </c>
      <c r="L2026" s="153" t="s">
        <v>325</v>
      </c>
      <c r="M2026" s="153" t="s">
        <v>340</v>
      </c>
      <c r="N2026" s="153" t="s">
        <v>440</v>
      </c>
      <c r="O2026" s="153" t="s">
        <v>339</v>
      </c>
      <c r="P2026" s="153" t="s">
        <v>1923</v>
      </c>
      <c r="Q2026" s="153" t="s">
        <v>415</v>
      </c>
      <c r="R2026" s="153" t="s">
        <v>407</v>
      </c>
      <c r="S2026" s="153" t="s">
        <v>1212</v>
      </c>
      <c r="T2026" s="154">
        <v>0.9</v>
      </c>
      <c r="U2026" s="153" t="s">
        <v>2162</v>
      </c>
      <c r="V2026" s="155">
        <v>1.7940000000000001E-2</v>
      </c>
      <c r="W2026" s="155">
        <v>2.6100000000000002E-2</v>
      </c>
      <c r="X2026" s="153" t="s">
        <v>412</v>
      </c>
      <c r="Y2026" s="153" t="s">
        <v>339</v>
      </c>
      <c r="Z2026" s="154">
        <v>645885</v>
      </c>
      <c r="AA2026" s="154">
        <v>1</v>
      </c>
      <c r="AB2026" s="154">
        <v>119.4</v>
      </c>
      <c r="AD2026" s="154">
        <v>771.18700000000001</v>
      </c>
      <c r="AG2026" s="157" t="s">
        <v>15</v>
      </c>
      <c r="AH2026" s="155">
        <v>2.2000000000000001E-4</v>
      </c>
      <c r="AI2026" s="155">
        <f t="shared" si="31"/>
        <v>2.5759645098790845E-2</v>
      </c>
      <c r="AJ2026" s="155">
        <v>2.8311940114421801E-3</v>
      </c>
    </row>
    <row r="2027" spans="1:36" s="160" customFormat="1">
      <c r="A2027" s="153" t="s">
        <v>1213</v>
      </c>
      <c r="B2027" s="160">
        <v>9888</v>
      </c>
      <c r="C2027" s="153" t="s">
        <v>1718</v>
      </c>
      <c r="D2027" s="153" t="s">
        <v>1719</v>
      </c>
      <c r="E2027" s="153" t="s">
        <v>309</v>
      </c>
      <c r="F2027" s="153" t="s">
        <v>1720</v>
      </c>
      <c r="G2027" s="153" t="s">
        <v>1721</v>
      </c>
      <c r="H2027" s="153" t="s">
        <v>321</v>
      </c>
      <c r="I2027" s="153" t="s">
        <v>951</v>
      </c>
      <c r="J2027" s="153" t="s">
        <v>204</v>
      </c>
      <c r="K2027" s="153" t="s">
        <v>204</v>
      </c>
      <c r="L2027" s="153" t="s">
        <v>325</v>
      </c>
      <c r="M2027" s="153" t="s">
        <v>340</v>
      </c>
      <c r="N2027" s="153" t="s">
        <v>440</v>
      </c>
      <c r="O2027" s="153" t="s">
        <v>339</v>
      </c>
      <c r="P2027" s="153" t="s">
        <v>1527</v>
      </c>
      <c r="Q2027" s="153" t="s">
        <v>415</v>
      </c>
      <c r="R2027" s="153" t="s">
        <v>407</v>
      </c>
      <c r="S2027" s="153" t="s">
        <v>1212</v>
      </c>
      <c r="T2027" s="154">
        <v>3</v>
      </c>
      <c r="U2027" s="153" t="s">
        <v>1722</v>
      </c>
      <c r="V2027" s="155">
        <v>7.2499999999999995E-2</v>
      </c>
      <c r="W2027" s="155">
        <v>6.4000000000000001E-2</v>
      </c>
      <c r="X2027" s="153" t="s">
        <v>412</v>
      </c>
      <c r="Y2027" s="153" t="s">
        <v>339</v>
      </c>
      <c r="Z2027" s="154">
        <v>594000</v>
      </c>
      <c r="AA2027" s="154">
        <v>1</v>
      </c>
      <c r="AB2027" s="154">
        <v>105.92</v>
      </c>
      <c r="AD2027" s="154">
        <v>629.16499999999996</v>
      </c>
      <c r="AG2027" s="157" t="s">
        <v>15</v>
      </c>
      <c r="AH2027" s="155">
        <v>8.1999999999999998E-4</v>
      </c>
      <c r="AI2027" s="155">
        <f t="shared" si="31"/>
        <v>2.101574210740163E-2</v>
      </c>
      <c r="AJ2027" s="155">
        <v>2.3098005804156698E-3</v>
      </c>
    </row>
    <row r="2028" spans="1:36" s="160" customFormat="1">
      <c r="A2028" s="153" t="s">
        <v>1213</v>
      </c>
      <c r="B2028" s="160">
        <v>9888</v>
      </c>
      <c r="C2028" s="153" t="s">
        <v>1600</v>
      </c>
      <c r="D2028" s="153" t="s">
        <v>1601</v>
      </c>
      <c r="E2028" s="153" t="s">
        <v>309</v>
      </c>
      <c r="F2028" s="153" t="s">
        <v>2333</v>
      </c>
      <c r="G2028" s="153" t="s">
        <v>2334</v>
      </c>
      <c r="H2028" s="153" t="s">
        <v>321</v>
      </c>
      <c r="I2028" s="153" t="s">
        <v>754</v>
      </c>
      <c r="J2028" s="153" t="s">
        <v>204</v>
      </c>
      <c r="K2028" s="153" t="s">
        <v>204</v>
      </c>
      <c r="L2028" s="153" t="s">
        <v>325</v>
      </c>
      <c r="M2028" s="153" t="s">
        <v>340</v>
      </c>
      <c r="N2028" s="153" t="s">
        <v>448</v>
      </c>
      <c r="O2028" s="153" t="s">
        <v>339</v>
      </c>
      <c r="P2028" s="153" t="s">
        <v>1215</v>
      </c>
      <c r="Q2028" s="153" t="s">
        <v>413</v>
      </c>
      <c r="R2028" s="153" t="s">
        <v>407</v>
      </c>
      <c r="S2028" s="153" t="s">
        <v>1212</v>
      </c>
      <c r="T2028" s="154">
        <v>3.56</v>
      </c>
      <c r="U2028" s="153" t="s">
        <v>2335</v>
      </c>
      <c r="V2028" s="155">
        <v>-5.3200000000000001E-3</v>
      </c>
      <c r="W2028" s="155">
        <v>2.4E-2</v>
      </c>
      <c r="X2028" s="153" t="s">
        <v>412</v>
      </c>
      <c r="Y2028" s="153" t="s">
        <v>339</v>
      </c>
      <c r="Z2028" s="154">
        <v>603200</v>
      </c>
      <c r="AA2028" s="154">
        <v>1</v>
      </c>
      <c r="AB2028" s="154">
        <v>103.73</v>
      </c>
      <c r="AD2028" s="154">
        <v>625.69899999999996</v>
      </c>
      <c r="AG2028" s="157" t="s">
        <v>15</v>
      </c>
      <c r="AH2028" s="155">
        <v>5.4000000000000001E-4</v>
      </c>
      <c r="AI2028" s="155">
        <f t="shared" si="31"/>
        <v>2.0899968721812389E-2</v>
      </c>
      <c r="AJ2028" s="155">
        <v>2.2970761459482078E-3</v>
      </c>
    </row>
    <row r="2029" spans="1:36" s="160" customFormat="1">
      <c r="A2029" s="153" t="s">
        <v>1213</v>
      </c>
      <c r="B2029" s="160">
        <v>9888</v>
      </c>
      <c r="C2029" s="153" t="s">
        <v>2748</v>
      </c>
      <c r="D2029" s="153" t="s">
        <v>2749</v>
      </c>
      <c r="E2029" s="153" t="s">
        <v>309</v>
      </c>
      <c r="F2029" s="153" t="s">
        <v>2750</v>
      </c>
      <c r="G2029" s="153" t="s">
        <v>2751</v>
      </c>
      <c r="H2029" s="153" t="s">
        <v>321</v>
      </c>
      <c r="I2029" s="153" t="s">
        <v>754</v>
      </c>
      <c r="J2029" s="153" t="s">
        <v>204</v>
      </c>
      <c r="K2029" s="153" t="s">
        <v>204</v>
      </c>
      <c r="L2029" s="153" t="s">
        <v>325</v>
      </c>
      <c r="M2029" s="153" t="s">
        <v>340</v>
      </c>
      <c r="N2029" s="153" t="s">
        <v>464</v>
      </c>
      <c r="O2029" s="153" t="s">
        <v>339</v>
      </c>
      <c r="P2029" s="153" t="s">
        <v>1560</v>
      </c>
      <c r="Q2029" s="153" t="s">
        <v>413</v>
      </c>
      <c r="R2029" s="153" t="s">
        <v>407</v>
      </c>
      <c r="S2029" s="153" t="s">
        <v>1212</v>
      </c>
      <c r="T2029" s="154">
        <v>4.3600000000000003</v>
      </c>
      <c r="U2029" s="153" t="s">
        <v>2752</v>
      </c>
      <c r="V2029" s="155">
        <v>3.9379999999999998E-2</v>
      </c>
      <c r="W2029" s="155">
        <v>3.5099999999999999E-2</v>
      </c>
      <c r="X2029" s="153" t="s">
        <v>412</v>
      </c>
      <c r="Y2029" s="153" t="s">
        <v>339</v>
      </c>
      <c r="Z2029" s="154">
        <v>563862.5</v>
      </c>
      <c r="AA2029" s="154">
        <v>1</v>
      </c>
      <c r="AB2029" s="154">
        <v>108.78</v>
      </c>
      <c r="AD2029" s="154">
        <v>613.37</v>
      </c>
      <c r="AG2029" s="157" t="s">
        <v>15</v>
      </c>
      <c r="AH2029" s="155">
        <v>1.3699999999999999E-3</v>
      </c>
      <c r="AI2029" s="155">
        <f t="shared" si="31"/>
        <v>2.0488148158935952E-2</v>
      </c>
      <c r="AJ2029" s="155">
        <v>2.2518137245548615E-3</v>
      </c>
    </row>
    <row r="2030" spans="1:36" s="160" customFormat="1">
      <c r="A2030" s="153" t="s">
        <v>1213</v>
      </c>
      <c r="B2030" s="160">
        <v>9888</v>
      </c>
      <c r="C2030" s="153" t="s">
        <v>1759</v>
      </c>
      <c r="D2030" s="153" t="s">
        <v>1760</v>
      </c>
      <c r="E2030" s="153" t="s">
        <v>309</v>
      </c>
      <c r="F2030" s="153" t="s">
        <v>1914</v>
      </c>
      <c r="G2030" s="153" t="s">
        <v>1915</v>
      </c>
      <c r="H2030" s="153" t="s">
        <v>321</v>
      </c>
      <c r="I2030" s="153" t="s">
        <v>754</v>
      </c>
      <c r="J2030" s="153" t="s">
        <v>204</v>
      </c>
      <c r="K2030" s="153" t="s">
        <v>204</v>
      </c>
      <c r="L2030" s="153" t="s">
        <v>325</v>
      </c>
      <c r="M2030" s="153" t="s">
        <v>340</v>
      </c>
      <c r="N2030" s="153" t="s">
        <v>465</v>
      </c>
      <c r="O2030" s="153" t="s">
        <v>339</v>
      </c>
      <c r="P2030" s="153" t="s">
        <v>1614</v>
      </c>
      <c r="Q2030" s="153" t="s">
        <v>415</v>
      </c>
      <c r="R2030" s="153" t="s">
        <v>407</v>
      </c>
      <c r="S2030" s="153" t="s">
        <v>1212</v>
      </c>
      <c r="T2030" s="154">
        <v>4.05</v>
      </c>
      <c r="U2030" s="153" t="s">
        <v>1916</v>
      </c>
      <c r="V2030" s="155">
        <v>4.8500000000000001E-3</v>
      </c>
      <c r="W2030" s="155">
        <v>4.02E-2</v>
      </c>
      <c r="X2030" s="153" t="s">
        <v>412</v>
      </c>
      <c r="Y2030" s="153" t="s">
        <v>339</v>
      </c>
      <c r="Z2030" s="154">
        <v>611000</v>
      </c>
      <c r="AA2030" s="154">
        <v>1</v>
      </c>
      <c r="AB2030" s="154">
        <v>97.5</v>
      </c>
      <c r="AD2030" s="154">
        <v>595.72500000000002</v>
      </c>
      <c r="AG2030" s="157" t="s">
        <v>15</v>
      </c>
      <c r="AH2030" s="155">
        <v>9.7999999999999997E-4</v>
      </c>
      <c r="AI2030" s="155">
        <f t="shared" si="31"/>
        <v>1.9898759414353685E-2</v>
      </c>
      <c r="AJ2030" s="155">
        <v>2.1870351191946866E-3</v>
      </c>
    </row>
    <row r="2031" spans="1:36" s="160" customFormat="1">
      <c r="A2031" s="153" t="s">
        <v>1213</v>
      </c>
      <c r="B2031" s="160">
        <v>9888</v>
      </c>
      <c r="C2031" s="153" t="s">
        <v>455</v>
      </c>
      <c r="D2031" s="153" t="s">
        <v>2106</v>
      </c>
      <c r="E2031" s="153" t="s">
        <v>309</v>
      </c>
      <c r="F2031" s="153" t="s">
        <v>2255</v>
      </c>
      <c r="G2031" s="153" t="s">
        <v>2256</v>
      </c>
      <c r="H2031" s="153" t="s">
        <v>321</v>
      </c>
      <c r="I2031" s="153" t="s">
        <v>754</v>
      </c>
      <c r="J2031" s="153" t="s">
        <v>204</v>
      </c>
      <c r="K2031" s="153" t="s">
        <v>204</v>
      </c>
      <c r="L2031" s="153" t="s">
        <v>325</v>
      </c>
      <c r="M2031" s="153" t="s">
        <v>340</v>
      </c>
      <c r="N2031" s="153" t="s">
        <v>440</v>
      </c>
      <c r="O2031" s="153" t="s">
        <v>339</v>
      </c>
      <c r="P2031" s="153" t="s">
        <v>1923</v>
      </c>
      <c r="Q2031" s="153" t="s">
        <v>415</v>
      </c>
      <c r="R2031" s="153" t="s">
        <v>407</v>
      </c>
      <c r="S2031" s="153" t="s">
        <v>1212</v>
      </c>
      <c r="T2031" s="154">
        <v>5.8</v>
      </c>
      <c r="U2031" s="153" t="s">
        <v>2257</v>
      </c>
      <c r="V2031" s="155">
        <v>6.8100000000000001E-3</v>
      </c>
      <c r="W2031" s="155">
        <v>2.92E-2</v>
      </c>
      <c r="X2031" s="153" t="s">
        <v>412</v>
      </c>
      <c r="Y2031" s="153" t="s">
        <v>339</v>
      </c>
      <c r="Z2031" s="154">
        <v>521000</v>
      </c>
      <c r="AA2031" s="154">
        <v>1</v>
      </c>
      <c r="AB2031" s="154">
        <v>111.74</v>
      </c>
      <c r="AD2031" s="154">
        <v>582.16499999999996</v>
      </c>
      <c r="AG2031" s="157" t="s">
        <v>15</v>
      </c>
      <c r="AH2031" s="155">
        <v>1.2999999999999999E-4</v>
      </c>
      <c r="AI2031" s="155">
        <f t="shared" si="31"/>
        <v>1.9445820260115342E-2</v>
      </c>
      <c r="AJ2031" s="155">
        <v>2.1372534309723021E-3</v>
      </c>
    </row>
    <row r="2032" spans="1:36" s="160" customFormat="1">
      <c r="A2032" s="153" t="s">
        <v>1213</v>
      </c>
      <c r="B2032" s="160">
        <v>9888</v>
      </c>
      <c r="C2032" s="153" t="s">
        <v>1904</v>
      </c>
      <c r="D2032" s="153" t="s">
        <v>1905</v>
      </c>
      <c r="E2032" s="153" t="s">
        <v>309</v>
      </c>
      <c r="F2032" s="153" t="s">
        <v>1906</v>
      </c>
      <c r="G2032" s="153" t="s">
        <v>1907</v>
      </c>
      <c r="H2032" s="153" t="s">
        <v>321</v>
      </c>
      <c r="I2032" s="153" t="s">
        <v>754</v>
      </c>
      <c r="J2032" s="153" t="s">
        <v>204</v>
      </c>
      <c r="K2032" s="153" t="s">
        <v>204</v>
      </c>
      <c r="L2032" s="153" t="s">
        <v>325</v>
      </c>
      <c r="M2032" s="153" t="s">
        <v>340</v>
      </c>
      <c r="N2032" s="153" t="s">
        <v>448</v>
      </c>
      <c r="O2032" s="153" t="s">
        <v>339</v>
      </c>
      <c r="P2032" s="153" t="s">
        <v>1215</v>
      </c>
      <c r="Q2032" s="153" t="s">
        <v>413</v>
      </c>
      <c r="R2032" s="153" t="s">
        <v>407</v>
      </c>
      <c r="S2032" s="153" t="s">
        <v>1212</v>
      </c>
      <c r="T2032" s="154">
        <v>3.98</v>
      </c>
      <c r="U2032" s="153" t="s">
        <v>1908</v>
      </c>
      <c r="V2032" s="155">
        <v>2.7040000000000002E-2</v>
      </c>
      <c r="W2032" s="155">
        <v>2.52E-2</v>
      </c>
      <c r="X2032" s="153" t="s">
        <v>412</v>
      </c>
      <c r="Y2032" s="153" t="s">
        <v>339</v>
      </c>
      <c r="Z2032" s="154">
        <v>545465.78</v>
      </c>
      <c r="AA2032" s="154">
        <v>1</v>
      </c>
      <c r="AB2032" s="154">
        <v>102.6</v>
      </c>
      <c r="AD2032" s="154">
        <v>559.64800000000002</v>
      </c>
      <c r="AG2032" s="157" t="s">
        <v>15</v>
      </c>
      <c r="AH2032" s="155">
        <v>1.4999999999999999E-4</v>
      </c>
      <c r="AI2032" s="155">
        <f t="shared" si="31"/>
        <v>1.869369408489523E-2</v>
      </c>
      <c r="AJ2032" s="155">
        <v>2.0545886615251467E-3</v>
      </c>
    </row>
    <row r="2033" spans="1:36" s="160" customFormat="1">
      <c r="A2033" s="153" t="s">
        <v>1213</v>
      </c>
      <c r="B2033" s="160">
        <v>9888</v>
      </c>
      <c r="C2033" s="153" t="s">
        <v>2741</v>
      </c>
      <c r="D2033" s="153" t="s">
        <v>2742</v>
      </c>
      <c r="E2033" s="153" t="s">
        <v>309</v>
      </c>
      <c r="F2033" s="153" t="s">
        <v>2743</v>
      </c>
      <c r="G2033" s="153" t="s">
        <v>2744</v>
      </c>
      <c r="H2033" s="153" t="s">
        <v>321</v>
      </c>
      <c r="I2033" s="153" t="s">
        <v>754</v>
      </c>
      <c r="J2033" s="153" t="s">
        <v>204</v>
      </c>
      <c r="K2033" s="153" t="s">
        <v>204</v>
      </c>
      <c r="L2033" s="153" t="s">
        <v>325</v>
      </c>
      <c r="M2033" s="153" t="s">
        <v>340</v>
      </c>
      <c r="N2033" s="153" t="s">
        <v>464</v>
      </c>
      <c r="O2033" s="153" t="s">
        <v>339</v>
      </c>
      <c r="P2033" s="153" t="s">
        <v>1544</v>
      </c>
      <c r="Q2033" s="153" t="s">
        <v>415</v>
      </c>
      <c r="R2033" s="153" t="s">
        <v>407</v>
      </c>
      <c r="S2033" s="153" t="s">
        <v>1212</v>
      </c>
      <c r="T2033" s="154">
        <v>6.4</v>
      </c>
      <c r="U2033" s="153" t="s">
        <v>2745</v>
      </c>
      <c r="V2033" s="155">
        <v>1.0999999999999999E-2</v>
      </c>
      <c r="W2033" s="155">
        <v>3.6600000000000001E-2</v>
      </c>
      <c r="X2033" s="153" t="s">
        <v>412</v>
      </c>
      <c r="Y2033" s="153" t="s">
        <v>339</v>
      </c>
      <c r="Z2033" s="154">
        <v>600727.6</v>
      </c>
      <c r="AA2033" s="154">
        <v>1</v>
      </c>
      <c r="AB2033" s="154">
        <v>91</v>
      </c>
      <c r="AD2033" s="154">
        <v>546.66200000000003</v>
      </c>
      <c r="AG2033" s="157" t="s">
        <v>15</v>
      </c>
      <c r="AH2033" s="155">
        <v>2.7299999999999998E-3</v>
      </c>
      <c r="AI2033" s="155">
        <f t="shared" si="31"/>
        <v>1.8259928018749282E-2</v>
      </c>
      <c r="AJ2033" s="155">
        <v>2.0069142512555388E-3</v>
      </c>
    </row>
    <row r="2034" spans="1:36" s="160" customFormat="1">
      <c r="A2034" s="153" t="s">
        <v>1213</v>
      </c>
      <c r="B2034" s="160">
        <v>9888</v>
      </c>
      <c r="C2034" s="153" t="s">
        <v>1512</v>
      </c>
      <c r="D2034" s="153" t="s">
        <v>1513</v>
      </c>
      <c r="E2034" s="153" t="s">
        <v>309</v>
      </c>
      <c r="F2034" s="153" t="s">
        <v>1898</v>
      </c>
      <c r="G2034" s="153" t="s">
        <v>1899</v>
      </c>
      <c r="H2034" s="153" t="s">
        <v>321</v>
      </c>
      <c r="I2034" s="153" t="s">
        <v>754</v>
      </c>
      <c r="J2034" s="153" t="s">
        <v>204</v>
      </c>
      <c r="K2034" s="153" t="s">
        <v>204</v>
      </c>
      <c r="L2034" s="153" t="s">
        <v>325</v>
      </c>
      <c r="M2034" s="153" t="s">
        <v>340</v>
      </c>
      <c r="N2034" s="153" t="s">
        <v>448</v>
      </c>
      <c r="O2034" s="153" t="s">
        <v>339</v>
      </c>
      <c r="P2034" s="153" t="s">
        <v>1215</v>
      </c>
      <c r="Q2034" s="153" t="s">
        <v>413</v>
      </c>
      <c r="R2034" s="153" t="s">
        <v>407</v>
      </c>
      <c r="S2034" s="153" t="s">
        <v>1212</v>
      </c>
      <c r="T2034" s="154">
        <v>3.43</v>
      </c>
      <c r="U2034" s="153" t="s">
        <v>1900</v>
      </c>
      <c r="V2034" s="155">
        <v>-3.5899999999999999E-3</v>
      </c>
      <c r="W2034" s="155">
        <v>2.4799999999999999E-2</v>
      </c>
      <c r="X2034" s="153" t="s">
        <v>412</v>
      </c>
      <c r="Y2034" s="153" t="s">
        <v>339</v>
      </c>
      <c r="Z2034" s="154">
        <v>518014.8</v>
      </c>
      <c r="AA2034" s="154">
        <v>1</v>
      </c>
      <c r="AB2034" s="154">
        <v>102.63</v>
      </c>
      <c r="AD2034" s="154">
        <v>531.63900000000001</v>
      </c>
      <c r="AG2034" s="157" t="s">
        <v>15</v>
      </c>
      <c r="AH2034" s="155">
        <v>2.0000000000000001E-4</v>
      </c>
      <c r="AI2034" s="155">
        <f t="shared" si="31"/>
        <v>1.775812087169009E-2</v>
      </c>
      <c r="AJ2034" s="155">
        <v>1.9517615741047362E-3</v>
      </c>
    </row>
    <row r="2035" spans="1:36" s="160" customFormat="1">
      <c r="A2035" s="153" t="s">
        <v>1213</v>
      </c>
      <c r="B2035" s="160">
        <v>9888</v>
      </c>
      <c r="C2035" s="153" t="s">
        <v>2250</v>
      </c>
      <c r="D2035" s="153" t="s">
        <v>2251</v>
      </c>
      <c r="E2035" s="153" t="s">
        <v>309</v>
      </c>
      <c r="F2035" s="153" t="s">
        <v>2704</v>
      </c>
      <c r="G2035" s="153" t="s">
        <v>2705</v>
      </c>
      <c r="H2035" s="153" t="s">
        <v>321</v>
      </c>
      <c r="I2035" s="153" t="s">
        <v>754</v>
      </c>
      <c r="J2035" s="153" t="s">
        <v>204</v>
      </c>
      <c r="K2035" s="153" t="s">
        <v>204</v>
      </c>
      <c r="L2035" s="153" t="s">
        <v>325</v>
      </c>
      <c r="M2035" s="153" t="s">
        <v>340</v>
      </c>
      <c r="N2035" s="153" t="s">
        <v>448</v>
      </c>
      <c r="O2035" s="153" t="s">
        <v>339</v>
      </c>
      <c r="P2035" s="153" t="s">
        <v>1566</v>
      </c>
      <c r="Q2035" s="153" t="s">
        <v>413</v>
      </c>
      <c r="R2035" s="153" t="s">
        <v>407</v>
      </c>
      <c r="S2035" s="153" t="s">
        <v>1212</v>
      </c>
      <c r="T2035" s="154">
        <v>3.43</v>
      </c>
      <c r="U2035" s="153" t="s">
        <v>1851</v>
      </c>
      <c r="V2035" s="155">
        <v>2.707E-2</v>
      </c>
      <c r="W2035" s="155">
        <v>2.98E-2</v>
      </c>
      <c r="X2035" s="153" t="s">
        <v>411</v>
      </c>
      <c r="Y2035" s="153" t="s">
        <v>339</v>
      </c>
      <c r="Z2035" s="154">
        <v>462758</v>
      </c>
      <c r="AA2035" s="154">
        <v>1</v>
      </c>
      <c r="AB2035" s="154">
        <v>105.03</v>
      </c>
      <c r="AD2035" s="154">
        <v>486.03500000000003</v>
      </c>
      <c r="AG2035" s="157" t="s">
        <v>15</v>
      </c>
      <c r="AH2035" s="155">
        <v>5.1000000000000004E-4</v>
      </c>
      <c r="AI2035" s="155">
        <f t="shared" si="31"/>
        <v>1.6234829043527455E-2</v>
      </c>
      <c r="AJ2035" s="155">
        <v>1.7843394421214311E-3</v>
      </c>
    </row>
    <row r="2036" spans="1:36" s="160" customFormat="1">
      <c r="A2036" s="153" t="s">
        <v>1213</v>
      </c>
      <c r="B2036" s="160">
        <v>9888</v>
      </c>
      <c r="C2036" s="153" t="s">
        <v>1600</v>
      </c>
      <c r="D2036" s="153" t="s">
        <v>1601</v>
      </c>
      <c r="E2036" s="153" t="s">
        <v>309</v>
      </c>
      <c r="F2036" s="153" t="s">
        <v>2706</v>
      </c>
      <c r="G2036" s="153" t="s">
        <v>2707</v>
      </c>
      <c r="H2036" s="153" t="s">
        <v>321</v>
      </c>
      <c r="I2036" s="153" t="s">
        <v>754</v>
      </c>
      <c r="J2036" s="153" t="s">
        <v>204</v>
      </c>
      <c r="K2036" s="153" t="s">
        <v>204</v>
      </c>
      <c r="L2036" s="153" t="s">
        <v>325</v>
      </c>
      <c r="M2036" s="153" t="s">
        <v>340</v>
      </c>
      <c r="N2036" s="153" t="s">
        <v>448</v>
      </c>
      <c r="O2036" s="153" t="s">
        <v>339</v>
      </c>
      <c r="P2036" s="153" t="s">
        <v>1566</v>
      </c>
      <c r="Q2036" s="153" t="s">
        <v>413</v>
      </c>
      <c r="R2036" s="153" t="s">
        <v>407</v>
      </c>
      <c r="S2036" s="153" t="s">
        <v>1212</v>
      </c>
      <c r="T2036" s="154">
        <v>1.6</v>
      </c>
      <c r="U2036" s="153" t="s">
        <v>2708</v>
      </c>
      <c r="V2036" s="155">
        <v>2.6519999999999998E-2</v>
      </c>
      <c r="W2036" s="155">
        <v>2.3800000000000002E-2</v>
      </c>
      <c r="X2036" s="153" t="s">
        <v>411</v>
      </c>
      <c r="Y2036" s="153" t="s">
        <v>339</v>
      </c>
      <c r="Z2036" s="154">
        <v>412863</v>
      </c>
      <c r="AA2036" s="154">
        <v>1</v>
      </c>
      <c r="AB2036" s="154">
        <v>116.6</v>
      </c>
      <c r="AD2036" s="154">
        <v>481.39800000000002</v>
      </c>
      <c r="AG2036" s="157" t="s">
        <v>15</v>
      </c>
      <c r="AH2036" s="155">
        <v>3.8999999999999999E-4</v>
      </c>
      <c r="AI2036" s="155">
        <f t="shared" si="31"/>
        <v>1.607994122212604E-2</v>
      </c>
      <c r="AJ2036" s="155">
        <v>1.7673160137816673E-3</v>
      </c>
    </row>
    <row r="2037" spans="1:36" s="160" customFormat="1">
      <c r="A2037" s="153" t="s">
        <v>1213</v>
      </c>
      <c r="B2037" s="160">
        <v>9888</v>
      </c>
      <c r="C2037" s="153" t="s">
        <v>1904</v>
      </c>
      <c r="D2037" s="153" t="s">
        <v>1905</v>
      </c>
      <c r="E2037" s="153" t="s">
        <v>309</v>
      </c>
      <c r="F2037" s="153" t="s">
        <v>2709</v>
      </c>
      <c r="G2037" s="153" t="s">
        <v>2710</v>
      </c>
      <c r="H2037" s="153" t="s">
        <v>321</v>
      </c>
      <c r="I2037" s="153" t="s">
        <v>754</v>
      </c>
      <c r="J2037" s="153" t="s">
        <v>204</v>
      </c>
      <c r="K2037" s="153" t="s">
        <v>204</v>
      </c>
      <c r="L2037" s="153" t="s">
        <v>325</v>
      </c>
      <c r="M2037" s="153" t="s">
        <v>340</v>
      </c>
      <c r="N2037" s="153" t="s">
        <v>448</v>
      </c>
      <c r="O2037" s="153" t="s">
        <v>339</v>
      </c>
      <c r="P2037" s="153" t="s">
        <v>1566</v>
      </c>
      <c r="Q2037" s="153" t="s">
        <v>413</v>
      </c>
      <c r="R2037" s="153" t="s">
        <v>407</v>
      </c>
      <c r="S2037" s="153" t="s">
        <v>1212</v>
      </c>
      <c r="T2037" s="154">
        <v>1.06</v>
      </c>
      <c r="U2037" s="153" t="s">
        <v>2711</v>
      </c>
      <c r="V2037" s="155">
        <v>2.6120000000000001E-2</v>
      </c>
      <c r="W2037" s="155">
        <v>2.9600000000000001E-2</v>
      </c>
      <c r="X2037" s="153" t="s">
        <v>411</v>
      </c>
      <c r="Y2037" s="153" t="s">
        <v>339</v>
      </c>
      <c r="Z2037" s="154">
        <v>400491</v>
      </c>
      <c r="AA2037" s="154">
        <v>1</v>
      </c>
      <c r="AB2037" s="154">
        <v>114.39</v>
      </c>
      <c r="AD2037" s="154">
        <v>458.12200000000001</v>
      </c>
      <c r="AG2037" s="157" t="s">
        <v>15</v>
      </c>
      <c r="AH2037" s="155">
        <v>2.9999999999999997E-4</v>
      </c>
      <c r="AI2037" s="155">
        <f t="shared" si="31"/>
        <v>1.5302462479201879E-2</v>
      </c>
      <c r="AJ2037" s="155">
        <v>1.6818647914317985E-3</v>
      </c>
    </row>
    <row r="2038" spans="1:36" s="160" customFormat="1">
      <c r="A2038" s="153" t="s">
        <v>1213</v>
      </c>
      <c r="B2038" s="160">
        <v>9888</v>
      </c>
      <c r="C2038" s="153" t="s">
        <v>2298</v>
      </c>
      <c r="D2038" s="153" t="s">
        <v>2299</v>
      </c>
      <c r="E2038" s="153" t="s">
        <v>309</v>
      </c>
      <c r="F2038" s="153" t="s">
        <v>2712</v>
      </c>
      <c r="G2038" s="153" t="s">
        <v>2713</v>
      </c>
      <c r="H2038" s="153" t="s">
        <v>321</v>
      </c>
      <c r="I2038" s="153" t="s">
        <v>951</v>
      </c>
      <c r="J2038" s="153" t="s">
        <v>204</v>
      </c>
      <c r="K2038" s="153" t="s">
        <v>204</v>
      </c>
      <c r="L2038" s="153" t="s">
        <v>325</v>
      </c>
      <c r="M2038" s="153" t="s">
        <v>340</v>
      </c>
      <c r="N2038" s="153" t="s">
        <v>462</v>
      </c>
      <c r="O2038" s="153" t="s">
        <v>339</v>
      </c>
      <c r="P2038" s="153" t="s">
        <v>1566</v>
      </c>
      <c r="Q2038" s="153" t="s">
        <v>413</v>
      </c>
      <c r="R2038" s="153" t="s">
        <v>407</v>
      </c>
      <c r="S2038" s="153" t="s">
        <v>1212</v>
      </c>
      <c r="T2038" s="154">
        <v>3.09</v>
      </c>
      <c r="U2038" s="153" t="s">
        <v>2714</v>
      </c>
      <c r="V2038" s="155">
        <v>4.897E-2</v>
      </c>
      <c r="W2038" s="155">
        <v>5.8900000000000001E-2</v>
      </c>
      <c r="X2038" s="153" t="s">
        <v>412</v>
      </c>
      <c r="Y2038" s="153" t="s">
        <v>339</v>
      </c>
      <c r="Z2038" s="154">
        <v>452699</v>
      </c>
      <c r="AA2038" s="154">
        <v>1</v>
      </c>
      <c r="AB2038" s="154">
        <v>99.02</v>
      </c>
      <c r="AD2038" s="154">
        <v>448.26299999999998</v>
      </c>
      <c r="AG2038" s="157" t="s">
        <v>15</v>
      </c>
      <c r="AH2038" s="155">
        <v>1.89E-3</v>
      </c>
      <c r="AI2038" s="155">
        <f t="shared" si="31"/>
        <v>1.4973146319789207E-2</v>
      </c>
      <c r="AJ2038" s="155">
        <v>1.6456702734240927E-3</v>
      </c>
    </row>
    <row r="2039" spans="1:36" s="160" customFormat="1">
      <c r="A2039" s="153" t="s">
        <v>1213</v>
      </c>
      <c r="B2039" s="160">
        <v>9888</v>
      </c>
      <c r="C2039" s="153" t="s">
        <v>1600</v>
      </c>
      <c r="D2039" s="153" t="s">
        <v>1601</v>
      </c>
      <c r="E2039" s="153" t="s">
        <v>309</v>
      </c>
      <c r="F2039" s="153" t="s">
        <v>2380</v>
      </c>
      <c r="G2039" s="153" t="s">
        <v>2381</v>
      </c>
      <c r="H2039" s="153" t="s">
        <v>321</v>
      </c>
      <c r="I2039" s="153" t="s">
        <v>951</v>
      </c>
      <c r="J2039" s="153" t="s">
        <v>204</v>
      </c>
      <c r="K2039" s="153" t="s">
        <v>204</v>
      </c>
      <c r="L2039" s="153" t="s">
        <v>325</v>
      </c>
      <c r="M2039" s="153" t="s">
        <v>340</v>
      </c>
      <c r="N2039" s="153" t="s">
        <v>448</v>
      </c>
      <c r="O2039" s="153" t="s">
        <v>339</v>
      </c>
      <c r="P2039" s="153" t="s">
        <v>1215</v>
      </c>
      <c r="Q2039" s="153" t="s">
        <v>413</v>
      </c>
      <c r="R2039" s="153" t="s">
        <v>407</v>
      </c>
      <c r="S2039" s="153" t="s">
        <v>1212</v>
      </c>
      <c r="T2039" s="154">
        <v>0.65</v>
      </c>
      <c r="U2039" s="153" t="s">
        <v>2382</v>
      </c>
      <c r="V2039" s="155">
        <v>3.9210000000000002E-2</v>
      </c>
      <c r="W2039" s="155">
        <v>4.4499999999999998E-2</v>
      </c>
      <c r="X2039" s="153" t="s">
        <v>412</v>
      </c>
      <c r="Y2039" s="153" t="s">
        <v>339</v>
      </c>
      <c r="Z2039" s="154">
        <v>434000</v>
      </c>
      <c r="AA2039" s="154">
        <v>1</v>
      </c>
      <c r="AB2039" s="154">
        <v>100.87</v>
      </c>
      <c r="AD2039" s="154">
        <v>437.77600000000001</v>
      </c>
      <c r="AG2039" s="157" t="s">
        <v>15</v>
      </c>
      <c r="AH2039" s="155">
        <v>3.6000000000000002E-4</v>
      </c>
      <c r="AI2039" s="155">
        <f t="shared" si="31"/>
        <v>1.4622853332289394E-2</v>
      </c>
      <c r="AJ2039" s="155">
        <v>1.6071702318025483E-3</v>
      </c>
    </row>
    <row r="2040" spans="1:36" s="160" customFormat="1">
      <c r="A2040" s="153" t="s">
        <v>1213</v>
      </c>
      <c r="B2040" s="160">
        <v>9888</v>
      </c>
      <c r="C2040" s="153" t="s">
        <v>2753</v>
      </c>
      <c r="D2040" s="153" t="s">
        <v>2754</v>
      </c>
      <c r="E2040" s="153" t="s">
        <v>309</v>
      </c>
      <c r="F2040" s="153" t="s">
        <v>2755</v>
      </c>
      <c r="G2040" s="153" t="s">
        <v>2756</v>
      </c>
      <c r="H2040" s="153" t="s">
        <v>321</v>
      </c>
      <c r="I2040" s="153" t="s">
        <v>951</v>
      </c>
      <c r="J2040" s="153" t="s">
        <v>204</v>
      </c>
      <c r="K2040" s="153" t="s">
        <v>204</v>
      </c>
      <c r="L2040" s="153" t="s">
        <v>325</v>
      </c>
      <c r="M2040" s="153" t="s">
        <v>340</v>
      </c>
      <c r="N2040" s="153" t="s">
        <v>447</v>
      </c>
      <c r="O2040" s="153" t="s">
        <v>339</v>
      </c>
      <c r="P2040" s="153" t="s">
        <v>1586</v>
      </c>
      <c r="Q2040" s="153" t="s">
        <v>415</v>
      </c>
      <c r="R2040" s="153" t="s">
        <v>407</v>
      </c>
      <c r="S2040" s="153" t="s">
        <v>1212</v>
      </c>
      <c r="T2040" s="154">
        <v>1.89</v>
      </c>
      <c r="U2040" s="153" t="s">
        <v>1528</v>
      </c>
      <c r="V2040" s="155">
        <v>5.7119999999999997E-2</v>
      </c>
      <c r="W2040" s="155">
        <v>6.6299999999999998E-2</v>
      </c>
      <c r="X2040" s="153" t="s">
        <v>412</v>
      </c>
      <c r="Y2040" s="153" t="s">
        <v>339</v>
      </c>
      <c r="Z2040" s="154">
        <v>425000</v>
      </c>
      <c r="AA2040" s="154">
        <v>1</v>
      </c>
      <c r="AB2040" s="154">
        <v>102.16</v>
      </c>
      <c r="AD2040" s="154">
        <v>434.18</v>
      </c>
      <c r="AG2040" s="157" t="s">
        <v>15</v>
      </c>
      <c r="AH2040" s="155">
        <v>2.66E-3</v>
      </c>
      <c r="AI2040" s="155">
        <f t="shared" si="31"/>
        <v>1.4502737609675746E-2</v>
      </c>
      <c r="AJ2040" s="155">
        <v>1.5939685392621578E-3</v>
      </c>
    </row>
    <row r="2041" spans="1:36" s="160" customFormat="1">
      <c r="A2041" s="153" t="s">
        <v>1213</v>
      </c>
      <c r="B2041" s="160">
        <v>9888</v>
      </c>
      <c r="C2041" s="153" t="s">
        <v>2110</v>
      </c>
      <c r="D2041" s="153" t="s">
        <v>2111</v>
      </c>
      <c r="E2041" s="153" t="s">
        <v>309</v>
      </c>
      <c r="F2041" s="153" t="s">
        <v>2115</v>
      </c>
      <c r="G2041" s="153" t="s">
        <v>2116</v>
      </c>
      <c r="H2041" s="153" t="s">
        <v>321</v>
      </c>
      <c r="I2041" s="153" t="s">
        <v>754</v>
      </c>
      <c r="J2041" s="153" t="s">
        <v>204</v>
      </c>
      <c r="K2041" s="153" t="s">
        <v>204</v>
      </c>
      <c r="L2041" s="153" t="s">
        <v>325</v>
      </c>
      <c r="M2041" s="153" t="s">
        <v>340</v>
      </c>
      <c r="N2041" s="153" t="s">
        <v>465</v>
      </c>
      <c r="O2041" s="153" t="s">
        <v>339</v>
      </c>
      <c r="P2041" s="153" t="s">
        <v>1538</v>
      </c>
      <c r="Q2041" s="153" t="s">
        <v>413</v>
      </c>
      <c r="R2041" s="153" t="s">
        <v>407</v>
      </c>
      <c r="S2041" s="153" t="s">
        <v>1212</v>
      </c>
      <c r="T2041" s="154">
        <v>2.95</v>
      </c>
      <c r="U2041" s="153" t="s">
        <v>1951</v>
      </c>
      <c r="V2041" s="155">
        <v>8.9999999999999998E-4</v>
      </c>
      <c r="W2041" s="155">
        <v>2.63E-2</v>
      </c>
      <c r="X2041" s="153" t="s">
        <v>412</v>
      </c>
      <c r="Y2041" s="153" t="s">
        <v>339</v>
      </c>
      <c r="Z2041" s="154">
        <v>386100</v>
      </c>
      <c r="AA2041" s="154">
        <v>1</v>
      </c>
      <c r="AB2041" s="154">
        <v>105.76</v>
      </c>
      <c r="AC2041" s="154">
        <v>5.4850000000000003</v>
      </c>
      <c r="AD2041" s="154">
        <v>413.82499999999999</v>
      </c>
      <c r="AG2041" s="157" t="s">
        <v>15</v>
      </c>
      <c r="AH2041" s="155">
        <v>5.6999999999999998E-4</v>
      </c>
      <c r="AI2041" s="155">
        <f t="shared" si="31"/>
        <v>1.38228278394308E-2</v>
      </c>
      <c r="AJ2041" s="155">
        <v>1.5192409386893971E-3</v>
      </c>
    </row>
    <row r="2042" spans="1:36" s="160" customFormat="1">
      <c r="A2042" s="153" t="s">
        <v>1213</v>
      </c>
      <c r="B2042" s="160">
        <v>9888</v>
      </c>
      <c r="C2042" s="153" t="s">
        <v>2428</v>
      </c>
      <c r="D2042" s="153" t="s">
        <v>2429</v>
      </c>
      <c r="E2042" s="153" t="s">
        <v>309</v>
      </c>
      <c r="F2042" s="153" t="s">
        <v>2430</v>
      </c>
      <c r="G2042" s="153" t="s">
        <v>2431</v>
      </c>
      <c r="H2042" s="153" t="s">
        <v>321</v>
      </c>
      <c r="I2042" s="153" t="s">
        <v>755</v>
      </c>
      <c r="J2042" s="153" t="s">
        <v>204</v>
      </c>
      <c r="K2042" s="153" t="s">
        <v>204</v>
      </c>
      <c r="L2042" s="153" t="s">
        <v>325</v>
      </c>
      <c r="M2042" s="153" t="s">
        <v>340</v>
      </c>
      <c r="N2042" s="153" t="s">
        <v>454</v>
      </c>
      <c r="O2042" s="153" t="s">
        <v>339</v>
      </c>
      <c r="P2042" s="153" t="s">
        <v>1538</v>
      </c>
      <c r="Q2042" s="153" t="s">
        <v>413</v>
      </c>
      <c r="R2042" s="153" t="s">
        <v>407</v>
      </c>
      <c r="S2042" s="153" t="s">
        <v>1212</v>
      </c>
      <c r="T2042" s="154">
        <v>0.5</v>
      </c>
      <c r="U2042" s="153" t="s">
        <v>2432</v>
      </c>
      <c r="V2042" s="155">
        <v>4.913E-2</v>
      </c>
      <c r="W2042" s="155">
        <v>8.8599999999999998E-2</v>
      </c>
      <c r="X2042" s="153" t="s">
        <v>412</v>
      </c>
      <c r="Y2042" s="153" t="s">
        <v>339</v>
      </c>
      <c r="Z2042" s="154">
        <v>400921.66</v>
      </c>
      <c r="AA2042" s="154">
        <v>1</v>
      </c>
      <c r="AB2042" s="154">
        <v>102.3</v>
      </c>
      <c r="AD2042" s="154">
        <v>410.14299999999997</v>
      </c>
      <c r="AG2042" s="157" t="s">
        <v>15</v>
      </c>
      <c r="AH2042" s="155">
        <v>8.0000000000000004E-4</v>
      </c>
      <c r="AI2042" s="155">
        <f t="shared" si="31"/>
        <v>1.3699839493862543E-2</v>
      </c>
      <c r="AJ2042" s="155">
        <v>1.5057235215776847E-3</v>
      </c>
    </row>
    <row r="2043" spans="1:36" s="160" customFormat="1">
      <c r="A2043" s="153" t="s">
        <v>1213</v>
      </c>
      <c r="B2043" s="160">
        <v>9888</v>
      </c>
      <c r="C2043" s="153" t="s">
        <v>2802</v>
      </c>
      <c r="D2043" s="153" t="s">
        <v>2803</v>
      </c>
      <c r="E2043" s="153" t="s">
        <v>309</v>
      </c>
      <c r="F2043" s="153" t="s">
        <v>2804</v>
      </c>
      <c r="G2043" s="153" t="s">
        <v>2805</v>
      </c>
      <c r="H2043" s="153" t="s">
        <v>321</v>
      </c>
      <c r="I2043" s="153" t="s">
        <v>951</v>
      </c>
      <c r="J2043" s="153" t="s">
        <v>204</v>
      </c>
      <c r="K2043" s="153" t="s">
        <v>204</v>
      </c>
      <c r="L2043" s="153" t="s">
        <v>325</v>
      </c>
      <c r="M2043" s="153" t="s">
        <v>340</v>
      </c>
      <c r="N2043" s="153" t="s">
        <v>447</v>
      </c>
      <c r="O2043" s="153" t="s">
        <v>339</v>
      </c>
      <c r="P2043" s="153" t="s">
        <v>1527</v>
      </c>
      <c r="Q2043" s="153" t="s">
        <v>415</v>
      </c>
      <c r="R2043" s="153" t="s">
        <v>407</v>
      </c>
      <c r="S2043" s="153" t="s">
        <v>1212</v>
      </c>
      <c r="T2043" s="154">
        <v>2.2400000000000002</v>
      </c>
      <c r="U2043" s="153" t="s">
        <v>1528</v>
      </c>
      <c r="V2043" s="155">
        <v>4.7039999999999998E-2</v>
      </c>
      <c r="W2043" s="155">
        <v>6.3299999999999995E-2</v>
      </c>
      <c r="X2043" s="153" t="s">
        <v>412</v>
      </c>
      <c r="Y2043" s="153" t="s">
        <v>339</v>
      </c>
      <c r="Z2043" s="154">
        <v>415838</v>
      </c>
      <c r="AA2043" s="154">
        <v>1</v>
      </c>
      <c r="AB2043" s="154">
        <v>97.43</v>
      </c>
      <c r="AD2043" s="154">
        <v>405.15100000000001</v>
      </c>
      <c r="AG2043" s="157" t="s">
        <v>15</v>
      </c>
      <c r="AH2043" s="155">
        <v>5.9000000000000003E-4</v>
      </c>
      <c r="AI2043" s="155">
        <f t="shared" si="31"/>
        <v>1.3533093752125242E-2</v>
      </c>
      <c r="AJ2043" s="155">
        <v>1.4873968115772318E-3</v>
      </c>
    </row>
    <row r="2044" spans="1:36" s="160" customFormat="1">
      <c r="A2044" s="153" t="s">
        <v>1213</v>
      </c>
      <c r="B2044" s="160">
        <v>9888</v>
      </c>
      <c r="C2044" s="153" t="s">
        <v>1600</v>
      </c>
      <c r="D2044" s="153" t="s">
        <v>1601</v>
      </c>
      <c r="E2044" s="153" t="s">
        <v>309</v>
      </c>
      <c r="F2044" s="153" t="s">
        <v>1957</v>
      </c>
      <c r="G2044" s="153" t="s">
        <v>1958</v>
      </c>
      <c r="H2044" s="153" t="s">
        <v>321</v>
      </c>
      <c r="I2044" s="153" t="s">
        <v>754</v>
      </c>
      <c r="J2044" s="153" t="s">
        <v>204</v>
      </c>
      <c r="K2044" s="153" t="s">
        <v>204</v>
      </c>
      <c r="L2044" s="153" t="s">
        <v>325</v>
      </c>
      <c r="M2044" s="153" t="s">
        <v>340</v>
      </c>
      <c r="N2044" s="153" t="s">
        <v>448</v>
      </c>
      <c r="O2044" s="153" t="s">
        <v>339</v>
      </c>
      <c r="P2044" s="153" t="s">
        <v>1215</v>
      </c>
      <c r="Q2044" s="153" t="s">
        <v>413</v>
      </c>
      <c r="R2044" s="153" t="s">
        <v>407</v>
      </c>
      <c r="S2044" s="153" t="s">
        <v>1212</v>
      </c>
      <c r="T2044" s="154">
        <v>3.91</v>
      </c>
      <c r="U2044" s="153" t="s">
        <v>1959</v>
      </c>
      <c r="V2044" s="155">
        <v>1.242E-2</v>
      </c>
      <c r="W2044" s="155">
        <v>2.4799999999999999E-2</v>
      </c>
      <c r="X2044" s="153" t="s">
        <v>412</v>
      </c>
      <c r="Y2044" s="153" t="s">
        <v>339</v>
      </c>
      <c r="Z2044" s="154">
        <v>389700</v>
      </c>
      <c r="AA2044" s="154">
        <v>1</v>
      </c>
      <c r="AB2044" s="154">
        <v>103.84</v>
      </c>
      <c r="AD2044" s="154">
        <v>404.66399999999999</v>
      </c>
      <c r="AG2044" s="157" t="s">
        <v>15</v>
      </c>
      <c r="AH2044" s="155">
        <v>2.2000000000000001E-4</v>
      </c>
      <c r="AI2044" s="155">
        <f t="shared" si="31"/>
        <v>1.3516826689579957E-2</v>
      </c>
      <c r="AJ2044" s="155">
        <v>1.4856089294117227E-3</v>
      </c>
    </row>
    <row r="2045" spans="1:36" s="160" customFormat="1">
      <c r="A2045" s="153" t="s">
        <v>1213</v>
      </c>
      <c r="B2045" s="160">
        <v>9888</v>
      </c>
      <c r="C2045" s="153" t="s">
        <v>2373</v>
      </c>
      <c r="D2045" s="153" t="s">
        <v>2374</v>
      </c>
      <c r="E2045" s="153" t="s">
        <v>309</v>
      </c>
      <c r="F2045" s="153" t="s">
        <v>2375</v>
      </c>
      <c r="G2045" s="153" t="s">
        <v>2376</v>
      </c>
      <c r="H2045" s="153" t="s">
        <v>321</v>
      </c>
      <c r="I2045" s="153" t="s">
        <v>755</v>
      </c>
      <c r="J2045" s="153" t="s">
        <v>204</v>
      </c>
      <c r="K2045" s="153" t="s">
        <v>204</v>
      </c>
      <c r="L2045" s="153" t="s">
        <v>325</v>
      </c>
      <c r="M2045" s="153" t="s">
        <v>340</v>
      </c>
      <c r="N2045" s="153" t="s">
        <v>454</v>
      </c>
      <c r="O2045" s="153" t="s">
        <v>339</v>
      </c>
      <c r="P2045" s="153" t="s">
        <v>1544</v>
      </c>
      <c r="Q2045" s="153" t="s">
        <v>415</v>
      </c>
      <c r="R2045" s="153" t="s">
        <v>407</v>
      </c>
      <c r="S2045" s="153" t="s">
        <v>1212</v>
      </c>
      <c r="T2045" s="154">
        <v>2.97</v>
      </c>
      <c r="U2045" s="153" t="s">
        <v>2377</v>
      </c>
      <c r="V2045" s="155">
        <v>4.3029999999999999E-2</v>
      </c>
      <c r="W2045" s="155">
        <v>7.6100000000000001E-2</v>
      </c>
      <c r="X2045" s="153" t="s">
        <v>412</v>
      </c>
      <c r="Y2045" s="153" t="s">
        <v>339</v>
      </c>
      <c r="Z2045" s="154">
        <v>412579.58</v>
      </c>
      <c r="AA2045" s="154">
        <v>1</v>
      </c>
      <c r="AB2045" s="154">
        <v>97.95</v>
      </c>
      <c r="AD2045" s="154">
        <v>404.12200000000001</v>
      </c>
      <c r="AG2045" s="157" t="s">
        <v>15</v>
      </c>
      <c r="AH2045" s="155">
        <v>3.1E-4</v>
      </c>
      <c r="AI2045" s="155">
        <f t="shared" si="31"/>
        <v>1.3498722484447421E-2</v>
      </c>
      <c r="AJ2045" s="155">
        <v>1.4836191303692057E-3</v>
      </c>
    </row>
    <row r="2046" spans="1:36" s="160" customFormat="1">
      <c r="A2046" s="153" t="s">
        <v>1213</v>
      </c>
      <c r="B2046" s="160">
        <v>9888</v>
      </c>
      <c r="C2046" s="153" t="s">
        <v>1591</v>
      </c>
      <c r="D2046" s="153" t="s">
        <v>1592</v>
      </c>
      <c r="E2046" s="153" t="s">
        <v>309</v>
      </c>
      <c r="F2046" s="153" t="s">
        <v>2175</v>
      </c>
      <c r="G2046" s="153" t="s">
        <v>2176</v>
      </c>
      <c r="H2046" s="153" t="s">
        <v>321</v>
      </c>
      <c r="I2046" s="153" t="s">
        <v>754</v>
      </c>
      <c r="J2046" s="153" t="s">
        <v>204</v>
      </c>
      <c r="K2046" s="153" t="s">
        <v>204</v>
      </c>
      <c r="L2046" s="153" t="s">
        <v>325</v>
      </c>
      <c r="M2046" s="153" t="s">
        <v>340</v>
      </c>
      <c r="N2046" s="153" t="s">
        <v>464</v>
      </c>
      <c r="O2046" s="153" t="s">
        <v>339</v>
      </c>
      <c r="P2046" s="153" t="s">
        <v>1538</v>
      </c>
      <c r="Q2046" s="153" t="s">
        <v>413</v>
      </c>
      <c r="R2046" s="153" t="s">
        <v>407</v>
      </c>
      <c r="S2046" s="153" t="s">
        <v>1212</v>
      </c>
      <c r="T2046" s="154">
        <v>3.97</v>
      </c>
      <c r="U2046" s="153" t="s">
        <v>2177</v>
      </c>
      <c r="V2046" s="155">
        <v>3.5290000000000002E-2</v>
      </c>
      <c r="W2046" s="155">
        <v>3.1899999999999998E-2</v>
      </c>
      <c r="X2046" s="153" t="s">
        <v>412</v>
      </c>
      <c r="Y2046" s="153" t="s">
        <v>339</v>
      </c>
      <c r="Z2046" s="154">
        <v>388650.71</v>
      </c>
      <c r="AA2046" s="154">
        <v>1</v>
      </c>
      <c r="AB2046" s="154">
        <v>103.53</v>
      </c>
      <c r="AD2046" s="154">
        <v>402.37</v>
      </c>
      <c r="AG2046" s="157" t="s">
        <v>15</v>
      </c>
      <c r="AH2046" s="155">
        <v>2.4000000000000001E-4</v>
      </c>
      <c r="AI2046" s="155">
        <f t="shared" si="31"/>
        <v>1.3440201142395388E-2</v>
      </c>
      <c r="AJ2046" s="155">
        <v>1.4771871600325083E-3</v>
      </c>
    </row>
    <row r="2047" spans="1:36" s="160" customFormat="1">
      <c r="A2047" s="153" t="s">
        <v>1213</v>
      </c>
      <c r="B2047" s="160">
        <v>9888</v>
      </c>
      <c r="C2047" s="153" t="s">
        <v>2178</v>
      </c>
      <c r="D2047" s="153" t="s">
        <v>2179</v>
      </c>
      <c r="E2047" s="153" t="s">
        <v>309</v>
      </c>
      <c r="F2047" s="153" t="s">
        <v>2189</v>
      </c>
      <c r="G2047" s="153" t="s">
        <v>2190</v>
      </c>
      <c r="H2047" s="153" t="s">
        <v>321</v>
      </c>
      <c r="I2047" s="153" t="s">
        <v>951</v>
      </c>
      <c r="J2047" s="153" t="s">
        <v>204</v>
      </c>
      <c r="K2047" s="153" t="s">
        <v>204</v>
      </c>
      <c r="L2047" s="153" t="s">
        <v>325</v>
      </c>
      <c r="M2047" s="153" t="s">
        <v>340</v>
      </c>
      <c r="N2047" s="153" t="s">
        <v>464</v>
      </c>
      <c r="O2047" s="153" t="s">
        <v>339</v>
      </c>
      <c r="P2047" s="153" t="s">
        <v>1566</v>
      </c>
      <c r="Q2047" s="153" t="s">
        <v>413</v>
      </c>
      <c r="R2047" s="153" t="s">
        <v>407</v>
      </c>
      <c r="S2047" s="153" t="s">
        <v>1212</v>
      </c>
      <c r="T2047" s="154">
        <v>6.24</v>
      </c>
      <c r="U2047" s="153" t="s">
        <v>2182</v>
      </c>
      <c r="V2047" s="155">
        <v>4.4639999999999999E-2</v>
      </c>
      <c r="W2047" s="155">
        <v>6.6799999999999998E-2</v>
      </c>
      <c r="X2047" s="153" t="s">
        <v>412</v>
      </c>
      <c r="Y2047" s="153" t="s">
        <v>339</v>
      </c>
      <c r="Z2047" s="154">
        <v>430000</v>
      </c>
      <c r="AA2047" s="154">
        <v>1</v>
      </c>
      <c r="AB2047" s="154">
        <v>92.67</v>
      </c>
      <c r="AD2047" s="154">
        <v>398.48099999999999</v>
      </c>
      <c r="AG2047" s="157" t="s">
        <v>15</v>
      </c>
      <c r="AH2047" s="155">
        <v>4.8000000000000001E-4</v>
      </c>
      <c r="AI2047" s="155">
        <f t="shared" si="31"/>
        <v>1.3310298460180571E-2</v>
      </c>
      <c r="AJ2047" s="155">
        <v>1.4629098012200559E-3</v>
      </c>
    </row>
    <row r="2048" spans="1:36" s="160" customFormat="1">
      <c r="A2048" s="153" t="s">
        <v>1213</v>
      </c>
      <c r="B2048" s="160">
        <v>9888</v>
      </c>
      <c r="C2048" s="153" t="s">
        <v>2356</v>
      </c>
      <c r="D2048" s="153" t="s">
        <v>2357</v>
      </c>
      <c r="E2048" s="153" t="s">
        <v>309</v>
      </c>
      <c r="F2048" s="153" t="s">
        <v>2358</v>
      </c>
      <c r="G2048" s="153" t="s">
        <v>2359</v>
      </c>
      <c r="H2048" s="153" t="s">
        <v>321</v>
      </c>
      <c r="I2048" s="153" t="s">
        <v>754</v>
      </c>
      <c r="J2048" s="153" t="s">
        <v>204</v>
      </c>
      <c r="K2048" s="153" t="s">
        <v>204</v>
      </c>
      <c r="L2048" s="153" t="s">
        <v>325</v>
      </c>
      <c r="M2048" s="153" t="s">
        <v>340</v>
      </c>
      <c r="N2048" s="153" t="s">
        <v>447</v>
      </c>
      <c r="O2048" s="153" t="s">
        <v>339</v>
      </c>
      <c r="P2048" s="153" t="s">
        <v>1560</v>
      </c>
      <c r="Q2048" s="153" t="s">
        <v>413</v>
      </c>
      <c r="R2048" s="153" t="s">
        <v>407</v>
      </c>
      <c r="S2048" s="153" t="s">
        <v>1212</v>
      </c>
      <c r="T2048" s="154">
        <v>2.79</v>
      </c>
      <c r="U2048" s="153" t="s">
        <v>2360</v>
      </c>
      <c r="V2048" s="155">
        <v>3.3160000000000002E-2</v>
      </c>
      <c r="W2048" s="155">
        <v>3.95E-2</v>
      </c>
      <c r="X2048" s="153" t="s">
        <v>412</v>
      </c>
      <c r="Y2048" s="153" t="s">
        <v>339</v>
      </c>
      <c r="Z2048" s="154">
        <v>336200.64</v>
      </c>
      <c r="AA2048" s="154">
        <v>1</v>
      </c>
      <c r="AB2048" s="154">
        <v>117.74</v>
      </c>
      <c r="AD2048" s="154">
        <v>395.84300000000002</v>
      </c>
      <c r="AG2048" s="157" t="s">
        <v>15</v>
      </c>
      <c r="AH2048" s="155">
        <v>2.4000000000000001E-4</v>
      </c>
      <c r="AI2048" s="155">
        <f t="shared" si="31"/>
        <v>1.3222182421177568E-2</v>
      </c>
      <c r="AJ2048" s="155">
        <v>1.4532251335555538E-3</v>
      </c>
    </row>
    <row r="2049" spans="1:36" s="160" customFormat="1">
      <c r="A2049" s="153" t="s">
        <v>1213</v>
      </c>
      <c r="B2049" s="160">
        <v>9888</v>
      </c>
      <c r="C2049" s="153" t="s">
        <v>1769</v>
      </c>
      <c r="D2049" s="153" t="s">
        <v>1770</v>
      </c>
      <c r="E2049" s="153" t="s">
        <v>309</v>
      </c>
      <c r="F2049" s="153" t="s">
        <v>1771</v>
      </c>
      <c r="G2049" s="153" t="s">
        <v>1772</v>
      </c>
      <c r="H2049" s="153" t="s">
        <v>321</v>
      </c>
      <c r="I2049" s="153" t="s">
        <v>754</v>
      </c>
      <c r="J2049" s="153" t="s">
        <v>204</v>
      </c>
      <c r="K2049" s="153" t="s">
        <v>204</v>
      </c>
      <c r="L2049" s="153" t="s">
        <v>325</v>
      </c>
      <c r="M2049" s="153" t="s">
        <v>340</v>
      </c>
      <c r="N2049" s="153" t="s">
        <v>464</v>
      </c>
      <c r="O2049" s="153" t="s">
        <v>339</v>
      </c>
      <c r="P2049" s="153" t="s">
        <v>1560</v>
      </c>
      <c r="Q2049" s="153" t="s">
        <v>413</v>
      </c>
      <c r="R2049" s="153" t="s">
        <v>407</v>
      </c>
      <c r="S2049" s="153" t="s">
        <v>1212</v>
      </c>
      <c r="T2049" s="154">
        <v>4.05</v>
      </c>
      <c r="U2049" s="153" t="s">
        <v>1587</v>
      </c>
      <c r="V2049" s="155">
        <v>3.5409999999999997E-2</v>
      </c>
      <c r="W2049" s="155">
        <v>3.9E-2</v>
      </c>
      <c r="X2049" s="153" t="s">
        <v>412</v>
      </c>
      <c r="Y2049" s="153" t="s">
        <v>339</v>
      </c>
      <c r="Z2049" s="154">
        <v>362900</v>
      </c>
      <c r="AA2049" s="154">
        <v>1</v>
      </c>
      <c r="AB2049" s="154">
        <v>106.27</v>
      </c>
      <c r="AD2049" s="154">
        <v>385.654</v>
      </c>
      <c r="AG2049" s="157" t="s">
        <v>15</v>
      </c>
      <c r="AH2049" s="155">
        <v>2.1000000000000001E-4</v>
      </c>
      <c r="AI2049" s="155">
        <f t="shared" si="31"/>
        <v>1.2881843406241397E-2</v>
      </c>
      <c r="AJ2049" s="155">
        <v>1.4158191142857989E-3</v>
      </c>
    </row>
    <row r="2050" spans="1:36" s="160" customFormat="1">
      <c r="A2050" s="153" t="s">
        <v>1213</v>
      </c>
      <c r="B2050" s="160">
        <v>9888</v>
      </c>
      <c r="C2050" s="153" t="s">
        <v>1529</v>
      </c>
      <c r="D2050" s="153" t="s">
        <v>1530</v>
      </c>
      <c r="E2050" s="153" t="s">
        <v>309</v>
      </c>
      <c r="F2050" s="153" t="s">
        <v>1960</v>
      </c>
      <c r="G2050" s="153" t="s">
        <v>1961</v>
      </c>
      <c r="H2050" s="153" t="s">
        <v>321</v>
      </c>
      <c r="I2050" s="153" t="s">
        <v>754</v>
      </c>
      <c r="J2050" s="153" t="s">
        <v>204</v>
      </c>
      <c r="K2050" s="153" t="s">
        <v>204</v>
      </c>
      <c r="L2050" s="153" t="s">
        <v>325</v>
      </c>
      <c r="M2050" s="153" t="s">
        <v>340</v>
      </c>
      <c r="N2050" s="153" t="s">
        <v>440</v>
      </c>
      <c r="O2050" s="153" t="s">
        <v>339</v>
      </c>
      <c r="P2050" s="153" t="s">
        <v>1527</v>
      </c>
      <c r="Q2050" s="153" t="s">
        <v>415</v>
      </c>
      <c r="R2050" s="153" t="s">
        <v>407</v>
      </c>
      <c r="S2050" s="153" t="s">
        <v>1212</v>
      </c>
      <c r="T2050" s="154">
        <v>3.67</v>
      </c>
      <c r="U2050" s="153" t="s">
        <v>1962</v>
      </c>
      <c r="V2050" s="155">
        <v>1.7999999999999999E-2</v>
      </c>
      <c r="W2050" s="155">
        <v>3.6600000000000001E-2</v>
      </c>
      <c r="X2050" s="153" t="s">
        <v>412</v>
      </c>
      <c r="Y2050" s="153" t="s">
        <v>339</v>
      </c>
      <c r="Z2050" s="154">
        <v>357000</v>
      </c>
      <c r="AA2050" s="154">
        <v>1</v>
      </c>
      <c r="AB2050" s="154">
        <v>107.89</v>
      </c>
      <c r="AD2050" s="154">
        <v>385.16699999999997</v>
      </c>
      <c r="AG2050" s="157" t="s">
        <v>15</v>
      </c>
      <c r="AH2050" s="155">
        <v>3.8000000000000002E-4</v>
      </c>
      <c r="AI2050" s="155">
        <f t="shared" si="31"/>
        <v>1.286557634369611E-2</v>
      </c>
      <c r="AJ2050" s="155">
        <v>1.4140312321202898E-3</v>
      </c>
    </row>
    <row r="2051" spans="1:36" s="160" customFormat="1">
      <c r="A2051" s="153" t="s">
        <v>1213</v>
      </c>
      <c r="B2051" s="160">
        <v>9888</v>
      </c>
      <c r="C2051" s="153" t="s">
        <v>3337</v>
      </c>
      <c r="D2051" s="153" t="s">
        <v>3338</v>
      </c>
      <c r="E2051" s="153" t="s">
        <v>309</v>
      </c>
      <c r="F2051" s="153" t="s">
        <v>3339</v>
      </c>
      <c r="G2051" s="153" t="s">
        <v>3340</v>
      </c>
      <c r="H2051" s="153" t="s">
        <v>321</v>
      </c>
      <c r="I2051" s="153" t="s">
        <v>754</v>
      </c>
      <c r="J2051" s="153" t="s">
        <v>204</v>
      </c>
      <c r="K2051" s="153" t="s">
        <v>204</v>
      </c>
      <c r="L2051" s="153" t="s">
        <v>325</v>
      </c>
      <c r="M2051" s="153" t="s">
        <v>340</v>
      </c>
      <c r="N2051" s="153" t="s">
        <v>465</v>
      </c>
      <c r="O2051" s="153" t="s">
        <v>339</v>
      </c>
      <c r="P2051" s="153" t="s">
        <v>1554</v>
      </c>
      <c r="Q2051" s="153" t="s">
        <v>413</v>
      </c>
      <c r="R2051" s="153" t="s">
        <v>407</v>
      </c>
      <c r="S2051" s="153" t="s">
        <v>1212</v>
      </c>
      <c r="T2051" s="154">
        <v>3.9</v>
      </c>
      <c r="U2051" s="153" t="s">
        <v>3341</v>
      </c>
      <c r="V2051" s="155">
        <v>9.9600000000000001E-3</v>
      </c>
      <c r="W2051" s="155">
        <v>4.8800000000000003E-2</v>
      </c>
      <c r="X2051" s="153" t="s">
        <v>412</v>
      </c>
      <c r="Y2051" s="153" t="s">
        <v>339</v>
      </c>
      <c r="Z2051" s="154">
        <v>373350</v>
      </c>
      <c r="AA2051" s="154">
        <v>1</v>
      </c>
      <c r="AB2051" s="154">
        <v>99.51</v>
      </c>
      <c r="AD2051" s="154">
        <v>371.52100000000002</v>
      </c>
      <c r="AG2051" s="157" t="s">
        <v>15</v>
      </c>
      <c r="AH2051" s="155">
        <v>1.31E-3</v>
      </c>
      <c r="AI2051" s="155">
        <f t="shared" ref="AI2051:AI2109" si="32">AD2051/SUMIF(B:B,B2051,AD:AD)</f>
        <v>1.2409764566503161E-2</v>
      </c>
      <c r="AJ2051" s="155">
        <v>1.3639338193265837E-3</v>
      </c>
    </row>
    <row r="2052" spans="1:36" s="160" customFormat="1">
      <c r="A2052" s="153" t="s">
        <v>1213</v>
      </c>
      <c r="B2052" s="160">
        <v>9888</v>
      </c>
      <c r="C2052" s="153" t="s">
        <v>1674</v>
      </c>
      <c r="D2052" s="153" t="s">
        <v>1675</v>
      </c>
      <c r="E2052" s="153" t="s">
        <v>309</v>
      </c>
      <c r="F2052" s="153" t="s">
        <v>2746</v>
      </c>
      <c r="G2052" s="153" t="s">
        <v>2747</v>
      </c>
      <c r="H2052" s="153" t="s">
        <v>321</v>
      </c>
      <c r="I2052" s="153" t="s">
        <v>754</v>
      </c>
      <c r="J2052" s="153" t="s">
        <v>204</v>
      </c>
      <c r="K2052" s="153" t="s">
        <v>204</v>
      </c>
      <c r="L2052" s="153" t="s">
        <v>325</v>
      </c>
      <c r="M2052" s="153" t="s">
        <v>340</v>
      </c>
      <c r="N2052" s="153" t="s">
        <v>464</v>
      </c>
      <c r="O2052" s="153" t="s">
        <v>339</v>
      </c>
      <c r="P2052" s="153" t="s">
        <v>1566</v>
      </c>
      <c r="Q2052" s="153" t="s">
        <v>413</v>
      </c>
      <c r="R2052" s="153" t="s">
        <v>407</v>
      </c>
      <c r="S2052" s="153" t="s">
        <v>1212</v>
      </c>
      <c r="T2052" s="154">
        <v>5.31</v>
      </c>
      <c r="U2052" s="153" t="s">
        <v>1897</v>
      </c>
      <c r="V2052" s="155">
        <v>1.8769999999999998E-2</v>
      </c>
      <c r="W2052" s="155">
        <v>3.3700000000000001E-2</v>
      </c>
      <c r="X2052" s="153" t="s">
        <v>412</v>
      </c>
      <c r="Y2052" s="153" t="s">
        <v>339</v>
      </c>
      <c r="Z2052" s="154">
        <v>356400</v>
      </c>
      <c r="AA2052" s="154">
        <v>1</v>
      </c>
      <c r="AB2052" s="154">
        <v>103.16</v>
      </c>
      <c r="AD2052" s="154">
        <v>367.66199999999998</v>
      </c>
      <c r="AG2052" s="157" t="s">
        <v>15</v>
      </c>
      <c r="AH2052" s="155">
        <v>6.8000000000000005E-4</v>
      </c>
      <c r="AI2052" s="155">
        <f t="shared" si="32"/>
        <v>1.2280863962063208E-2</v>
      </c>
      <c r="AJ2052" s="155">
        <v>1.3497665969924996E-3</v>
      </c>
    </row>
    <row r="2053" spans="1:36" s="160" customFormat="1">
      <c r="A2053" s="153" t="s">
        <v>1213</v>
      </c>
      <c r="B2053" s="160">
        <v>9888</v>
      </c>
      <c r="C2053" s="153" t="s">
        <v>1687</v>
      </c>
      <c r="D2053" s="153" t="s">
        <v>1688</v>
      </c>
      <c r="E2053" s="153" t="s">
        <v>309</v>
      </c>
      <c r="F2053" s="153" t="s">
        <v>2956</v>
      </c>
      <c r="G2053" s="153" t="s">
        <v>2957</v>
      </c>
      <c r="H2053" s="153" t="s">
        <v>321</v>
      </c>
      <c r="I2053" s="153" t="s">
        <v>951</v>
      </c>
      <c r="J2053" s="153" t="s">
        <v>204</v>
      </c>
      <c r="K2053" s="153" t="s">
        <v>204</v>
      </c>
      <c r="L2053" s="153" t="s">
        <v>325</v>
      </c>
      <c r="M2053" s="153" t="s">
        <v>340</v>
      </c>
      <c r="N2053" s="153" t="s">
        <v>465</v>
      </c>
      <c r="O2053" s="153" t="s">
        <v>339</v>
      </c>
      <c r="P2053" s="153" t="s">
        <v>1614</v>
      </c>
      <c r="Q2053" s="153" t="s">
        <v>415</v>
      </c>
      <c r="R2053" s="153" t="s">
        <v>407</v>
      </c>
      <c r="S2053" s="153" t="s">
        <v>1212</v>
      </c>
      <c r="T2053" s="154">
        <v>2.65</v>
      </c>
      <c r="U2053" s="153" t="s">
        <v>2613</v>
      </c>
      <c r="V2053" s="155">
        <v>2.0389999999999998E-2</v>
      </c>
      <c r="W2053" s="155">
        <v>5.6399999999999999E-2</v>
      </c>
      <c r="X2053" s="153" t="s">
        <v>412</v>
      </c>
      <c r="Y2053" s="153" t="s">
        <v>339</v>
      </c>
      <c r="Z2053" s="154">
        <v>385875</v>
      </c>
      <c r="AA2053" s="154">
        <v>1</v>
      </c>
      <c r="AB2053" s="154">
        <v>91.94</v>
      </c>
      <c r="AD2053" s="154">
        <v>354.77300000000002</v>
      </c>
      <c r="AG2053" s="157" t="s">
        <v>15</v>
      </c>
      <c r="AH2053" s="155">
        <v>5.1999999999999995E-4</v>
      </c>
      <c r="AI2053" s="155">
        <f t="shared" si="32"/>
        <v>1.1850337947389317E-2</v>
      </c>
      <c r="AJ2053" s="155">
        <v>1.3024482946696152E-3</v>
      </c>
    </row>
    <row r="2054" spans="1:36" s="160" customFormat="1">
      <c r="A2054" s="153" t="s">
        <v>1213</v>
      </c>
      <c r="B2054" s="160">
        <v>9888</v>
      </c>
      <c r="C2054" s="153" t="s">
        <v>1825</v>
      </c>
      <c r="D2054" s="153" t="s">
        <v>1826</v>
      </c>
      <c r="E2054" s="153" t="s">
        <v>309</v>
      </c>
      <c r="F2054" s="153" t="s">
        <v>2787</v>
      </c>
      <c r="G2054" s="153" t="s">
        <v>2788</v>
      </c>
      <c r="H2054" s="153" t="s">
        <v>321</v>
      </c>
      <c r="I2054" s="153" t="s">
        <v>951</v>
      </c>
      <c r="J2054" s="153" t="s">
        <v>204</v>
      </c>
      <c r="K2054" s="153" t="s">
        <v>204</v>
      </c>
      <c r="L2054" s="153" t="s">
        <v>325</v>
      </c>
      <c r="M2054" s="153" t="s">
        <v>340</v>
      </c>
      <c r="N2054" s="153" t="s">
        <v>441</v>
      </c>
      <c r="O2054" s="153" t="s">
        <v>339</v>
      </c>
      <c r="Q2054" s="153" t="s">
        <v>410</v>
      </c>
      <c r="R2054" s="153" t="s">
        <v>410</v>
      </c>
      <c r="S2054" s="153" t="s">
        <v>1212</v>
      </c>
      <c r="T2054" s="154">
        <v>2.76</v>
      </c>
      <c r="U2054" s="153" t="s">
        <v>1669</v>
      </c>
      <c r="V2054" s="155">
        <v>5.101E-2</v>
      </c>
      <c r="W2054" s="155">
        <v>5.9299999999999999E-2</v>
      </c>
      <c r="X2054" s="153" t="s">
        <v>412</v>
      </c>
      <c r="Y2054" s="153" t="s">
        <v>339</v>
      </c>
      <c r="Z2054" s="154">
        <v>347000</v>
      </c>
      <c r="AA2054" s="154">
        <v>1</v>
      </c>
      <c r="AB2054" s="154">
        <v>100.56</v>
      </c>
      <c r="AD2054" s="154">
        <v>348.94299999999998</v>
      </c>
      <c r="AG2054" s="157" t="s">
        <v>15</v>
      </c>
      <c r="AH2054" s="155">
        <v>1.58E-3</v>
      </c>
      <c r="AI2054" s="155">
        <f t="shared" si="32"/>
        <v>1.1655600833140824E-2</v>
      </c>
      <c r="AJ2054" s="155">
        <v>1.2810451057067463E-3</v>
      </c>
    </row>
    <row r="2055" spans="1:36" s="160" customFormat="1">
      <c r="A2055" s="153" t="s">
        <v>1213</v>
      </c>
      <c r="B2055" s="160">
        <v>9888</v>
      </c>
      <c r="C2055" s="153" t="s">
        <v>2445</v>
      </c>
      <c r="D2055" s="153" t="s">
        <v>2446</v>
      </c>
      <c r="E2055" s="153" t="s">
        <v>309</v>
      </c>
      <c r="F2055" s="153" t="s">
        <v>2447</v>
      </c>
      <c r="G2055" s="153" t="s">
        <v>2448</v>
      </c>
      <c r="H2055" s="153" t="s">
        <v>321</v>
      </c>
      <c r="I2055" s="153" t="s">
        <v>951</v>
      </c>
      <c r="J2055" s="153" t="s">
        <v>204</v>
      </c>
      <c r="K2055" s="153" t="s">
        <v>204</v>
      </c>
      <c r="L2055" s="153" t="s">
        <v>325</v>
      </c>
      <c r="M2055" s="153" t="s">
        <v>340</v>
      </c>
      <c r="N2055" s="153" t="s">
        <v>440</v>
      </c>
      <c r="O2055" s="153" t="s">
        <v>339</v>
      </c>
      <c r="P2055" s="153" t="s">
        <v>1614</v>
      </c>
      <c r="Q2055" s="153" t="s">
        <v>415</v>
      </c>
      <c r="R2055" s="153" t="s">
        <v>407</v>
      </c>
      <c r="S2055" s="153" t="s">
        <v>1212</v>
      </c>
      <c r="T2055" s="154">
        <v>1.92</v>
      </c>
      <c r="U2055" s="153" t="s">
        <v>1370</v>
      </c>
      <c r="V2055" s="155">
        <v>4.8590000000000001E-2</v>
      </c>
      <c r="W2055" s="155">
        <v>5.7599999999999998E-2</v>
      </c>
      <c r="X2055" s="153" t="s">
        <v>412</v>
      </c>
      <c r="Y2055" s="153" t="s">
        <v>339</v>
      </c>
      <c r="Z2055" s="154">
        <v>361923.49</v>
      </c>
      <c r="AA2055" s="154">
        <v>1</v>
      </c>
      <c r="AB2055" s="154">
        <v>95.6</v>
      </c>
      <c r="AD2055" s="154">
        <v>345.99900000000002</v>
      </c>
      <c r="AG2055" s="157" t="s">
        <v>15</v>
      </c>
      <c r="AH2055" s="155">
        <v>5.1000000000000004E-4</v>
      </c>
      <c r="AI2055" s="155">
        <f t="shared" si="32"/>
        <v>1.1557263600834212E-2</v>
      </c>
      <c r="AJ2055" s="155">
        <v>1.2702370459628895E-3</v>
      </c>
    </row>
    <row r="2056" spans="1:36" s="160" customFormat="1">
      <c r="A2056" s="153" t="s">
        <v>1213</v>
      </c>
      <c r="B2056" s="160">
        <v>9888</v>
      </c>
      <c r="C2056" s="153" t="s">
        <v>1591</v>
      </c>
      <c r="D2056" s="153" t="s">
        <v>1592</v>
      </c>
      <c r="E2056" s="153" t="s">
        <v>309</v>
      </c>
      <c r="F2056" s="153" t="s">
        <v>1858</v>
      </c>
      <c r="G2056" s="153" t="s">
        <v>1859</v>
      </c>
      <c r="H2056" s="153" t="s">
        <v>321</v>
      </c>
      <c r="I2056" s="153" t="s">
        <v>754</v>
      </c>
      <c r="J2056" s="153" t="s">
        <v>204</v>
      </c>
      <c r="K2056" s="153" t="s">
        <v>204</v>
      </c>
      <c r="L2056" s="153" t="s">
        <v>325</v>
      </c>
      <c r="M2056" s="153" t="s">
        <v>340</v>
      </c>
      <c r="N2056" s="153" t="s">
        <v>464</v>
      </c>
      <c r="O2056" s="153" t="s">
        <v>339</v>
      </c>
      <c r="P2056" s="153" t="s">
        <v>1538</v>
      </c>
      <c r="Q2056" s="153" t="s">
        <v>413</v>
      </c>
      <c r="R2056" s="153" t="s">
        <v>407</v>
      </c>
      <c r="S2056" s="153" t="s">
        <v>1212</v>
      </c>
      <c r="T2056" s="154">
        <v>5.14</v>
      </c>
      <c r="U2056" s="153" t="s">
        <v>1860</v>
      </c>
      <c r="V2056" s="155">
        <v>9.2300000000000004E-3</v>
      </c>
      <c r="W2056" s="155">
        <v>3.32E-2</v>
      </c>
      <c r="X2056" s="153" t="s">
        <v>412</v>
      </c>
      <c r="Y2056" s="153" t="s">
        <v>339</v>
      </c>
      <c r="Z2056" s="154">
        <v>342163</v>
      </c>
      <c r="AA2056" s="154">
        <v>1</v>
      </c>
      <c r="AB2056" s="154">
        <v>97.54</v>
      </c>
      <c r="AD2056" s="154">
        <v>333.74599999999998</v>
      </c>
      <c r="AG2056" s="157" t="s">
        <v>15</v>
      </c>
      <c r="AH2056" s="155">
        <v>2.4000000000000001E-4</v>
      </c>
      <c r="AI2056" s="155">
        <f t="shared" si="32"/>
        <v>1.1147981634987427E-2</v>
      </c>
      <c r="AJ2056" s="155">
        <v>1.2252536369814087E-3</v>
      </c>
    </row>
    <row r="2057" spans="1:36" s="160" customFormat="1">
      <c r="A2057" s="153" t="s">
        <v>1213</v>
      </c>
      <c r="B2057" s="160">
        <v>9888</v>
      </c>
      <c r="C2057" s="153" t="s">
        <v>2356</v>
      </c>
      <c r="D2057" s="153" t="s">
        <v>2357</v>
      </c>
      <c r="E2057" s="153" t="s">
        <v>309</v>
      </c>
      <c r="F2057" s="153" t="s">
        <v>2808</v>
      </c>
      <c r="G2057" s="153" t="s">
        <v>2809</v>
      </c>
      <c r="H2057" s="153" t="s">
        <v>321</v>
      </c>
      <c r="I2057" s="153" t="s">
        <v>754</v>
      </c>
      <c r="J2057" s="153" t="s">
        <v>204</v>
      </c>
      <c r="K2057" s="153" t="s">
        <v>204</v>
      </c>
      <c r="L2057" s="153" t="s">
        <v>325</v>
      </c>
      <c r="M2057" s="153" t="s">
        <v>340</v>
      </c>
      <c r="N2057" s="153" t="s">
        <v>447</v>
      </c>
      <c r="O2057" s="153" t="s">
        <v>339</v>
      </c>
      <c r="P2057" s="153" t="s">
        <v>1560</v>
      </c>
      <c r="Q2057" s="153" t="s">
        <v>413</v>
      </c>
      <c r="R2057" s="153" t="s">
        <v>407</v>
      </c>
      <c r="S2057" s="153" t="s">
        <v>1212</v>
      </c>
      <c r="T2057" s="154">
        <v>4.1100000000000003</v>
      </c>
      <c r="U2057" s="153" t="s">
        <v>1916</v>
      </c>
      <c r="V2057" s="155">
        <v>1.158E-2</v>
      </c>
      <c r="W2057" s="155">
        <v>4.1700000000000001E-2</v>
      </c>
      <c r="X2057" s="153" t="s">
        <v>412</v>
      </c>
      <c r="Y2057" s="153" t="s">
        <v>339</v>
      </c>
      <c r="Z2057" s="154">
        <v>299212.76</v>
      </c>
      <c r="AA2057" s="154">
        <v>1</v>
      </c>
      <c r="AB2057" s="154">
        <v>111.41</v>
      </c>
      <c r="AD2057" s="154">
        <v>333.35300000000001</v>
      </c>
      <c r="AG2057" s="157" t="s">
        <v>15</v>
      </c>
      <c r="AH2057" s="155">
        <v>8.0999999999999996E-4</v>
      </c>
      <c r="AI2057" s="155">
        <f t="shared" si="32"/>
        <v>1.1134854416136715E-2</v>
      </c>
      <c r="AJ2057" s="155">
        <v>1.2238108491147868E-3</v>
      </c>
    </row>
    <row r="2058" spans="1:36" s="160" customFormat="1">
      <c r="A2058" s="153" t="s">
        <v>1213</v>
      </c>
      <c r="B2058" s="160">
        <v>9888</v>
      </c>
      <c r="C2058" s="153" t="s">
        <v>1820</v>
      </c>
      <c r="D2058" s="153" t="s">
        <v>1821</v>
      </c>
      <c r="E2058" s="153" t="s">
        <v>309</v>
      </c>
      <c r="F2058" s="153" t="s">
        <v>1822</v>
      </c>
      <c r="G2058" s="153" t="s">
        <v>1823</v>
      </c>
      <c r="H2058" s="153" t="s">
        <v>321</v>
      </c>
      <c r="I2058" s="153" t="s">
        <v>754</v>
      </c>
      <c r="J2058" s="153" t="s">
        <v>204</v>
      </c>
      <c r="K2058" s="153" t="s">
        <v>204</v>
      </c>
      <c r="L2058" s="153" t="s">
        <v>325</v>
      </c>
      <c r="M2058" s="153" t="s">
        <v>340</v>
      </c>
      <c r="N2058" s="153" t="s">
        <v>464</v>
      </c>
      <c r="O2058" s="153" t="s">
        <v>339</v>
      </c>
      <c r="P2058" s="153" t="s">
        <v>1538</v>
      </c>
      <c r="Q2058" s="153" t="s">
        <v>413</v>
      </c>
      <c r="R2058" s="153" t="s">
        <v>407</v>
      </c>
      <c r="S2058" s="153" t="s">
        <v>1212</v>
      </c>
      <c r="T2058" s="154">
        <v>5.36</v>
      </c>
      <c r="U2058" s="153" t="s">
        <v>1824</v>
      </c>
      <c r="V2058" s="155">
        <v>2.6030000000000001E-2</v>
      </c>
      <c r="W2058" s="155">
        <v>3.3099999999999997E-2</v>
      </c>
      <c r="X2058" s="153" t="s">
        <v>412</v>
      </c>
      <c r="Y2058" s="153" t="s">
        <v>339</v>
      </c>
      <c r="Z2058" s="154">
        <v>312598.38</v>
      </c>
      <c r="AA2058" s="154">
        <v>1</v>
      </c>
      <c r="AB2058" s="154">
        <v>99.45</v>
      </c>
      <c r="AD2058" s="154">
        <v>310.87900000000002</v>
      </c>
      <c r="AG2058" s="157" t="s">
        <v>15</v>
      </c>
      <c r="AH2058" s="155">
        <v>1.3999999999999999E-4</v>
      </c>
      <c r="AI2058" s="155">
        <f t="shared" si="32"/>
        <v>1.0384164552393906E-2</v>
      </c>
      <c r="AJ2058" s="155">
        <v>1.1413039419532923E-3</v>
      </c>
    </row>
    <row r="2059" spans="1:36" s="160" customFormat="1">
      <c r="A2059" s="153" t="s">
        <v>1213</v>
      </c>
      <c r="B2059" s="160">
        <v>9888</v>
      </c>
      <c r="C2059" s="153" t="s">
        <v>2424</v>
      </c>
      <c r="D2059" s="153" t="s">
        <v>2425</v>
      </c>
      <c r="E2059" s="153" t="s">
        <v>309</v>
      </c>
      <c r="F2059" s="153" t="s">
        <v>2426</v>
      </c>
      <c r="G2059" s="153" t="s">
        <v>2427</v>
      </c>
      <c r="H2059" s="153" t="s">
        <v>321</v>
      </c>
      <c r="I2059" s="153" t="s">
        <v>754</v>
      </c>
      <c r="J2059" s="153" t="s">
        <v>204</v>
      </c>
      <c r="K2059" s="153" t="s">
        <v>204</v>
      </c>
      <c r="L2059" s="153" t="s">
        <v>325</v>
      </c>
      <c r="M2059" s="153" t="s">
        <v>340</v>
      </c>
      <c r="N2059" s="153" t="s">
        <v>477</v>
      </c>
      <c r="O2059" s="153" t="s">
        <v>339</v>
      </c>
      <c r="P2059" s="153" t="s">
        <v>1923</v>
      </c>
      <c r="Q2059" s="153" t="s">
        <v>415</v>
      </c>
      <c r="R2059" s="153" t="s">
        <v>407</v>
      </c>
      <c r="S2059" s="153" t="s">
        <v>1212</v>
      </c>
      <c r="T2059" s="154">
        <v>5.47</v>
      </c>
      <c r="U2059" s="153" t="s">
        <v>2177</v>
      </c>
      <c r="V2059" s="155">
        <v>1.273E-2</v>
      </c>
      <c r="W2059" s="155">
        <v>2.7400000000000001E-2</v>
      </c>
      <c r="X2059" s="153" t="s">
        <v>412</v>
      </c>
      <c r="Y2059" s="153" t="s">
        <v>339</v>
      </c>
      <c r="Z2059" s="154">
        <v>262379.55</v>
      </c>
      <c r="AA2059" s="154">
        <v>1</v>
      </c>
      <c r="AB2059" s="154">
        <v>116.33</v>
      </c>
      <c r="AD2059" s="154">
        <v>305.226</v>
      </c>
      <c r="AG2059" s="157" t="s">
        <v>15</v>
      </c>
      <c r="AH2059" s="155">
        <v>1.8000000000000001E-4</v>
      </c>
      <c r="AI2059" s="155">
        <f t="shared" si="32"/>
        <v>1.019533969701711E-2</v>
      </c>
      <c r="AJ2059" s="155">
        <v>1.1205505582127951E-3</v>
      </c>
    </row>
    <row r="2060" spans="1:36" s="160" customFormat="1">
      <c r="A2060" s="153" t="s">
        <v>1213</v>
      </c>
      <c r="B2060" s="160">
        <v>9888</v>
      </c>
      <c r="C2060" s="153" t="s">
        <v>2638</v>
      </c>
      <c r="D2060" s="153" t="s">
        <v>2639</v>
      </c>
      <c r="E2060" s="153" t="s">
        <v>311</v>
      </c>
      <c r="F2060" s="153" t="s">
        <v>2640</v>
      </c>
      <c r="G2060" s="153" t="s">
        <v>2641</v>
      </c>
      <c r="H2060" s="153" t="s">
        <v>321</v>
      </c>
      <c r="I2060" s="153" t="s">
        <v>755</v>
      </c>
      <c r="J2060" s="153" t="s">
        <v>204</v>
      </c>
      <c r="K2060" s="153" t="s">
        <v>204</v>
      </c>
      <c r="L2060" s="153" t="s">
        <v>325</v>
      </c>
      <c r="M2060" s="153" t="s">
        <v>340</v>
      </c>
      <c r="N2060" s="153" t="s">
        <v>465</v>
      </c>
      <c r="O2060" s="153" t="s">
        <v>339</v>
      </c>
      <c r="P2060" s="153" t="s">
        <v>1982</v>
      </c>
      <c r="Q2060" s="153" t="s">
        <v>415</v>
      </c>
      <c r="R2060" s="153" t="s">
        <v>407</v>
      </c>
      <c r="S2060" s="153" t="s">
        <v>1212</v>
      </c>
      <c r="T2060" s="154">
        <v>2.91</v>
      </c>
      <c r="U2060" s="153" t="s">
        <v>1664</v>
      </c>
      <c r="V2060" s="155">
        <v>7.0559999999999998E-2</v>
      </c>
      <c r="W2060" s="155">
        <v>0.10150000000000001</v>
      </c>
      <c r="X2060" s="153" t="s">
        <v>412</v>
      </c>
      <c r="Y2060" s="153" t="s">
        <v>339</v>
      </c>
      <c r="Z2060" s="154">
        <v>295558.55</v>
      </c>
      <c r="AA2060" s="154">
        <v>1</v>
      </c>
      <c r="AB2060" s="154">
        <v>89.69</v>
      </c>
      <c r="AD2060" s="154">
        <v>265.08600000000001</v>
      </c>
      <c r="AG2060" s="157" t="s">
        <v>15</v>
      </c>
      <c r="AH2060" s="155">
        <v>2.7E-4</v>
      </c>
      <c r="AI2060" s="155">
        <f t="shared" si="32"/>
        <v>8.8545596342496299E-3</v>
      </c>
      <c r="AJ2060" s="155">
        <v>9.7318795015626782E-4</v>
      </c>
    </row>
    <row r="2061" spans="1:36" s="160" customFormat="1">
      <c r="A2061" s="153" t="s">
        <v>1213</v>
      </c>
      <c r="B2061" s="160">
        <v>9888</v>
      </c>
      <c r="C2061" s="153" t="s">
        <v>1861</v>
      </c>
      <c r="D2061" s="153" t="s">
        <v>1862</v>
      </c>
      <c r="E2061" s="153" t="s">
        <v>309</v>
      </c>
      <c r="F2061" s="153" t="s">
        <v>1863</v>
      </c>
      <c r="G2061" s="153" t="s">
        <v>1864</v>
      </c>
      <c r="H2061" s="153" t="s">
        <v>321</v>
      </c>
      <c r="I2061" s="153" t="s">
        <v>754</v>
      </c>
      <c r="J2061" s="153" t="s">
        <v>204</v>
      </c>
      <c r="K2061" s="153" t="s">
        <v>204</v>
      </c>
      <c r="L2061" s="153" t="s">
        <v>325</v>
      </c>
      <c r="M2061" s="153" t="s">
        <v>340</v>
      </c>
      <c r="N2061" s="153" t="s">
        <v>464</v>
      </c>
      <c r="O2061" s="153" t="s">
        <v>339</v>
      </c>
      <c r="P2061" s="153" t="s">
        <v>1538</v>
      </c>
      <c r="Q2061" s="153" t="s">
        <v>413</v>
      </c>
      <c r="R2061" s="153" t="s">
        <v>407</v>
      </c>
      <c r="S2061" s="153" t="s">
        <v>1212</v>
      </c>
      <c r="T2061" s="154">
        <v>5.3</v>
      </c>
      <c r="U2061" s="153" t="s">
        <v>1865</v>
      </c>
      <c r="V2061" s="155">
        <v>3.1099999999999999E-3</v>
      </c>
      <c r="W2061" s="155">
        <v>3.0300000000000001E-2</v>
      </c>
      <c r="X2061" s="153" t="s">
        <v>412</v>
      </c>
      <c r="Y2061" s="153" t="s">
        <v>339</v>
      </c>
      <c r="Z2061" s="154">
        <v>264880</v>
      </c>
      <c r="AA2061" s="154">
        <v>1</v>
      </c>
      <c r="AB2061" s="154">
        <v>97.92</v>
      </c>
      <c r="AD2061" s="154">
        <v>259.37</v>
      </c>
      <c r="AG2061" s="157" t="s">
        <v>15</v>
      </c>
      <c r="AH2061" s="155">
        <v>2.1000000000000001E-4</v>
      </c>
      <c r="AI2061" s="155">
        <f t="shared" si="32"/>
        <v>8.6636304155456225E-3</v>
      </c>
      <c r="AJ2061" s="155">
        <v>9.5220327981119786E-4</v>
      </c>
    </row>
    <row r="2062" spans="1:36" s="160" customFormat="1">
      <c r="A2062" s="153" t="s">
        <v>1213</v>
      </c>
      <c r="B2062" s="160">
        <v>9888</v>
      </c>
      <c r="C2062" s="153" t="s">
        <v>2436</v>
      </c>
      <c r="D2062" s="153" t="s">
        <v>2437</v>
      </c>
      <c r="E2062" s="153" t="s">
        <v>309</v>
      </c>
      <c r="F2062" s="153" t="s">
        <v>2438</v>
      </c>
      <c r="G2062" s="153" t="s">
        <v>2439</v>
      </c>
      <c r="H2062" s="153" t="s">
        <v>321</v>
      </c>
      <c r="I2062" s="153" t="s">
        <v>754</v>
      </c>
      <c r="J2062" s="153" t="s">
        <v>204</v>
      </c>
      <c r="K2062" s="153" t="s">
        <v>204</v>
      </c>
      <c r="L2062" s="153" t="s">
        <v>325</v>
      </c>
      <c r="M2062" s="153" t="s">
        <v>340</v>
      </c>
      <c r="N2062" s="153" t="s">
        <v>475</v>
      </c>
      <c r="O2062" s="153" t="s">
        <v>339</v>
      </c>
      <c r="P2062" s="153" t="s">
        <v>1538</v>
      </c>
      <c r="Q2062" s="153" t="s">
        <v>413</v>
      </c>
      <c r="R2062" s="153" t="s">
        <v>407</v>
      </c>
      <c r="S2062" s="153" t="s">
        <v>1212</v>
      </c>
      <c r="T2062" s="154">
        <v>2.44</v>
      </c>
      <c r="U2062" s="153" t="s">
        <v>2440</v>
      </c>
      <c r="V2062" s="155">
        <v>5.8399999999999997E-3</v>
      </c>
      <c r="W2062" s="155">
        <v>2.3E-2</v>
      </c>
      <c r="X2062" s="153" t="s">
        <v>412</v>
      </c>
      <c r="Y2062" s="153" t="s">
        <v>339</v>
      </c>
      <c r="Z2062" s="154">
        <v>164809.35</v>
      </c>
      <c r="AA2062" s="154">
        <v>1</v>
      </c>
      <c r="AB2062" s="154">
        <v>120.79</v>
      </c>
      <c r="AC2062" s="154">
        <v>57.731000000000002</v>
      </c>
      <c r="AD2062" s="154">
        <v>256.80399999999997</v>
      </c>
      <c r="AG2062" s="157" t="s">
        <v>15</v>
      </c>
      <c r="AH2062" s="155">
        <v>4.0000000000000002E-4</v>
      </c>
      <c r="AI2062" s="155">
        <f t="shared" si="32"/>
        <v>8.5779193632022892E-3</v>
      </c>
      <c r="AJ2062" s="155">
        <v>9.4278293969477899E-4</v>
      </c>
    </row>
    <row r="2063" spans="1:36" s="160" customFormat="1">
      <c r="A2063" s="153" t="s">
        <v>1213</v>
      </c>
      <c r="B2063" s="160">
        <v>9888</v>
      </c>
      <c r="C2063" s="153" t="s">
        <v>1893</v>
      </c>
      <c r="D2063" s="153" t="s">
        <v>1894</v>
      </c>
      <c r="E2063" s="153" t="s">
        <v>309</v>
      </c>
      <c r="F2063" s="153" t="s">
        <v>3335</v>
      </c>
      <c r="G2063" s="153" t="s">
        <v>3336</v>
      </c>
      <c r="H2063" s="153" t="s">
        <v>321</v>
      </c>
      <c r="I2063" s="153" t="s">
        <v>754</v>
      </c>
      <c r="J2063" s="153" t="s">
        <v>204</v>
      </c>
      <c r="K2063" s="153" t="s">
        <v>204</v>
      </c>
      <c r="L2063" s="153" t="s">
        <v>325</v>
      </c>
      <c r="M2063" s="153" t="s">
        <v>340</v>
      </c>
      <c r="N2063" s="153" t="s">
        <v>464</v>
      </c>
      <c r="O2063" s="153" t="s">
        <v>339</v>
      </c>
      <c r="P2063" s="153" t="s">
        <v>1521</v>
      </c>
      <c r="Q2063" s="153" t="s">
        <v>413</v>
      </c>
      <c r="R2063" s="153" t="s">
        <v>407</v>
      </c>
      <c r="S2063" s="153" t="s">
        <v>1212</v>
      </c>
      <c r="T2063" s="154">
        <v>5.7</v>
      </c>
      <c r="U2063" s="153" t="s">
        <v>2294</v>
      </c>
      <c r="V2063" s="155">
        <v>5.4599999999999996E-3</v>
      </c>
      <c r="W2063" s="155">
        <v>3.5499999999999997E-2</v>
      </c>
      <c r="X2063" s="153" t="s">
        <v>412</v>
      </c>
      <c r="Y2063" s="153" t="s">
        <v>339</v>
      </c>
      <c r="Z2063" s="154">
        <v>263500</v>
      </c>
      <c r="AA2063" s="154">
        <v>1</v>
      </c>
      <c r="AB2063" s="154">
        <v>95.68</v>
      </c>
      <c r="AD2063" s="154">
        <v>252.11699999999999</v>
      </c>
      <c r="AG2063" s="157" t="s">
        <v>15</v>
      </c>
      <c r="AH2063" s="155">
        <v>2.3800000000000002E-3</v>
      </c>
      <c r="AI2063" s="155">
        <f t="shared" si="32"/>
        <v>8.421361412176101E-3</v>
      </c>
      <c r="AJ2063" s="155">
        <v>9.2557595055773505E-4</v>
      </c>
    </row>
    <row r="2064" spans="1:36" s="160" customFormat="1">
      <c r="A2064" s="153" t="s">
        <v>1213</v>
      </c>
      <c r="B2064" s="160">
        <v>9888</v>
      </c>
      <c r="C2064" s="153" t="s">
        <v>2391</v>
      </c>
      <c r="D2064" s="153" t="s">
        <v>2392</v>
      </c>
      <c r="E2064" s="153" t="s">
        <v>309</v>
      </c>
      <c r="F2064" s="153" t="s">
        <v>2528</v>
      </c>
      <c r="G2064" s="153" t="s">
        <v>2529</v>
      </c>
      <c r="H2064" s="153" t="s">
        <v>321</v>
      </c>
      <c r="I2064" s="153" t="s">
        <v>754</v>
      </c>
      <c r="J2064" s="153" t="s">
        <v>204</v>
      </c>
      <c r="K2064" s="153" t="s">
        <v>204</v>
      </c>
      <c r="L2064" s="153" t="s">
        <v>325</v>
      </c>
      <c r="M2064" s="153" t="s">
        <v>340</v>
      </c>
      <c r="N2064" s="153" t="s">
        <v>464</v>
      </c>
      <c r="O2064" s="153" t="s">
        <v>339</v>
      </c>
      <c r="P2064" s="153" t="s">
        <v>1566</v>
      </c>
      <c r="Q2064" s="153" t="s">
        <v>413</v>
      </c>
      <c r="R2064" s="153" t="s">
        <v>407</v>
      </c>
      <c r="S2064" s="153" t="s">
        <v>1212</v>
      </c>
      <c r="T2064" s="154">
        <v>1.21</v>
      </c>
      <c r="U2064" s="153" t="s">
        <v>2530</v>
      </c>
      <c r="V2064" s="155">
        <v>1.1780000000000001E-2</v>
      </c>
      <c r="W2064" s="155">
        <v>2.6499999999999999E-2</v>
      </c>
      <c r="X2064" s="153" t="s">
        <v>412</v>
      </c>
      <c r="Y2064" s="153" t="s">
        <v>339</v>
      </c>
      <c r="Z2064" s="154">
        <v>210308.7</v>
      </c>
      <c r="AA2064" s="154">
        <v>1</v>
      </c>
      <c r="AB2064" s="154">
        <v>117.11</v>
      </c>
      <c r="AD2064" s="154">
        <v>246.29300000000001</v>
      </c>
      <c r="AG2064" s="157" t="s">
        <v>15</v>
      </c>
      <c r="AH2064" s="155">
        <v>1.1E-4</v>
      </c>
      <c r="AI2064" s="155">
        <f t="shared" si="32"/>
        <v>8.2268247134825844E-3</v>
      </c>
      <c r="AJ2064" s="155">
        <v>9.0419478889054001E-4</v>
      </c>
    </row>
    <row r="2065" spans="1:36" s="160" customFormat="1">
      <c r="A2065" s="153" t="s">
        <v>1213</v>
      </c>
      <c r="B2065" s="160">
        <v>9888</v>
      </c>
      <c r="C2065" s="153" t="s">
        <v>1998</v>
      </c>
      <c r="D2065" s="153" t="s">
        <v>1999</v>
      </c>
      <c r="E2065" s="153" t="s">
        <v>309</v>
      </c>
      <c r="F2065" s="153" t="s">
        <v>2806</v>
      </c>
      <c r="G2065" s="153" t="s">
        <v>2807</v>
      </c>
      <c r="H2065" s="153" t="s">
        <v>321</v>
      </c>
      <c r="I2065" s="153" t="s">
        <v>754</v>
      </c>
      <c r="J2065" s="153" t="s">
        <v>204</v>
      </c>
      <c r="K2065" s="153" t="s">
        <v>204</v>
      </c>
      <c r="L2065" s="153" t="s">
        <v>325</v>
      </c>
      <c r="M2065" s="153" t="s">
        <v>340</v>
      </c>
      <c r="N2065" s="153" t="s">
        <v>464</v>
      </c>
      <c r="O2065" s="153" t="s">
        <v>339</v>
      </c>
      <c r="P2065" s="153" t="s">
        <v>1554</v>
      </c>
      <c r="Q2065" s="153" t="s">
        <v>413</v>
      </c>
      <c r="R2065" s="153" t="s">
        <v>407</v>
      </c>
      <c r="S2065" s="153" t="s">
        <v>1212</v>
      </c>
      <c r="T2065" s="154">
        <v>2.0099999999999998</v>
      </c>
      <c r="U2065" s="153" t="s">
        <v>1638</v>
      </c>
      <c r="V2065" s="155">
        <v>9.6100000000000005E-3</v>
      </c>
      <c r="W2065" s="155">
        <v>3.4099999999999998E-2</v>
      </c>
      <c r="X2065" s="153" t="s">
        <v>412</v>
      </c>
      <c r="Y2065" s="153" t="s">
        <v>339</v>
      </c>
      <c r="Z2065" s="154">
        <v>197600</v>
      </c>
      <c r="AA2065" s="154">
        <v>1</v>
      </c>
      <c r="AB2065" s="154">
        <v>115.86</v>
      </c>
      <c r="AD2065" s="154">
        <v>228.93899999999999</v>
      </c>
      <c r="AG2065" s="157" t="s">
        <v>15</v>
      </c>
      <c r="AH2065" s="155">
        <v>3.3E-4</v>
      </c>
      <c r="AI2065" s="155">
        <f t="shared" si="32"/>
        <v>7.6471561233164937E-3</v>
      </c>
      <c r="AJ2065" s="155">
        <v>8.4048450737053552E-4</v>
      </c>
    </row>
    <row r="2066" spans="1:36" s="160" customFormat="1">
      <c r="A2066" s="153" t="s">
        <v>1213</v>
      </c>
      <c r="B2066" s="160">
        <v>9888</v>
      </c>
      <c r="C2066" s="153" t="s">
        <v>1917</v>
      </c>
      <c r="D2066" s="153" t="s">
        <v>1918</v>
      </c>
      <c r="E2066" s="153" t="s">
        <v>309</v>
      </c>
      <c r="F2066" s="153" t="s">
        <v>1919</v>
      </c>
      <c r="G2066" s="153" t="s">
        <v>1920</v>
      </c>
      <c r="H2066" s="153" t="s">
        <v>321</v>
      </c>
      <c r="I2066" s="153" t="s">
        <v>754</v>
      </c>
      <c r="J2066" s="153" t="s">
        <v>204</v>
      </c>
      <c r="K2066" s="153" t="s">
        <v>204</v>
      </c>
      <c r="L2066" s="153" t="s">
        <v>325</v>
      </c>
      <c r="M2066" s="153" t="s">
        <v>340</v>
      </c>
      <c r="N2066" s="153" t="s">
        <v>447</v>
      </c>
      <c r="O2066" s="153" t="s">
        <v>339</v>
      </c>
      <c r="P2066" s="153" t="s">
        <v>1560</v>
      </c>
      <c r="Q2066" s="153" t="s">
        <v>413</v>
      </c>
      <c r="R2066" s="153" t="s">
        <v>407</v>
      </c>
      <c r="S2066" s="153" t="s">
        <v>1212</v>
      </c>
      <c r="T2066" s="154">
        <v>3.26</v>
      </c>
      <c r="U2066" s="153" t="s">
        <v>1913</v>
      </c>
      <c r="V2066" s="155">
        <v>2.66E-3</v>
      </c>
      <c r="W2066" s="155">
        <v>3.5099999999999999E-2</v>
      </c>
      <c r="X2066" s="153" t="s">
        <v>412</v>
      </c>
      <c r="Y2066" s="153" t="s">
        <v>339</v>
      </c>
      <c r="Z2066" s="154">
        <v>219000</v>
      </c>
      <c r="AA2066" s="154">
        <v>1</v>
      </c>
      <c r="AB2066" s="154">
        <v>103.23</v>
      </c>
      <c r="AD2066" s="154">
        <v>226.07400000000001</v>
      </c>
      <c r="AG2066" s="157" t="s">
        <v>15</v>
      </c>
      <c r="AH2066" s="155">
        <v>1.3999999999999999E-4</v>
      </c>
      <c r="AI2066" s="155">
        <f t="shared" si="32"/>
        <v>7.5514576958170222E-3</v>
      </c>
      <c r="AJ2066" s="155">
        <v>8.2996647368638137E-4</v>
      </c>
    </row>
    <row r="2067" spans="1:36" s="160" customFormat="1">
      <c r="A2067" s="153" t="s">
        <v>1213</v>
      </c>
      <c r="B2067" s="160">
        <v>9888</v>
      </c>
      <c r="C2067" s="153" t="s">
        <v>1674</v>
      </c>
      <c r="D2067" s="153" t="s">
        <v>1675</v>
      </c>
      <c r="E2067" s="153" t="s">
        <v>309</v>
      </c>
      <c r="F2067" s="153" t="s">
        <v>2319</v>
      </c>
      <c r="G2067" s="153" t="s">
        <v>2320</v>
      </c>
      <c r="H2067" s="153" t="s">
        <v>321</v>
      </c>
      <c r="I2067" s="153" t="s">
        <v>754</v>
      </c>
      <c r="J2067" s="153" t="s">
        <v>204</v>
      </c>
      <c r="K2067" s="153" t="s">
        <v>204</v>
      </c>
      <c r="L2067" s="153" t="s">
        <v>325</v>
      </c>
      <c r="M2067" s="153" t="s">
        <v>340</v>
      </c>
      <c r="N2067" s="153" t="s">
        <v>464</v>
      </c>
      <c r="O2067" s="153" t="s">
        <v>339</v>
      </c>
      <c r="P2067" s="153" t="s">
        <v>1982</v>
      </c>
      <c r="Q2067" s="153" t="s">
        <v>415</v>
      </c>
      <c r="R2067" s="153" t="s">
        <v>407</v>
      </c>
      <c r="S2067" s="153" t="s">
        <v>1212</v>
      </c>
      <c r="T2067" s="154">
        <v>4.25</v>
      </c>
      <c r="U2067" s="153" t="s">
        <v>1819</v>
      </c>
      <c r="V2067" s="155">
        <v>1.7799999999999999E-3</v>
      </c>
      <c r="W2067" s="155">
        <v>3.15E-2</v>
      </c>
      <c r="X2067" s="153" t="s">
        <v>412</v>
      </c>
      <c r="Y2067" s="153" t="s">
        <v>339</v>
      </c>
      <c r="Z2067" s="154">
        <v>207100</v>
      </c>
      <c r="AA2067" s="154">
        <v>1</v>
      </c>
      <c r="AB2067" s="154">
        <v>106.76</v>
      </c>
      <c r="AD2067" s="154">
        <v>221.1</v>
      </c>
      <c r="AG2067" s="157" t="s">
        <v>15</v>
      </c>
      <c r="AH2067" s="155">
        <v>1.7000000000000001E-4</v>
      </c>
      <c r="AI2067" s="155">
        <f t="shared" si="32"/>
        <v>7.385313200744638E-3</v>
      </c>
      <c r="AJ2067" s="155">
        <v>8.1170584557294914E-4</v>
      </c>
    </row>
    <row r="2068" spans="1:36" s="160" customFormat="1">
      <c r="A2068" s="153" t="s">
        <v>1213</v>
      </c>
      <c r="B2068" s="160">
        <v>9888</v>
      </c>
      <c r="C2068" s="153" t="s">
        <v>1512</v>
      </c>
      <c r="D2068" s="153" t="s">
        <v>1513</v>
      </c>
      <c r="E2068" s="153" t="s">
        <v>309</v>
      </c>
      <c r="F2068" s="153" t="s">
        <v>2186</v>
      </c>
      <c r="G2068" s="153" t="s">
        <v>2187</v>
      </c>
      <c r="H2068" s="153" t="s">
        <v>321</v>
      </c>
      <c r="I2068" s="153" t="s">
        <v>754</v>
      </c>
      <c r="J2068" s="153" t="s">
        <v>204</v>
      </c>
      <c r="K2068" s="153" t="s">
        <v>204</v>
      </c>
      <c r="L2068" s="153" t="s">
        <v>325</v>
      </c>
      <c r="M2068" s="153" t="s">
        <v>340</v>
      </c>
      <c r="N2068" s="153" t="s">
        <v>448</v>
      </c>
      <c r="O2068" s="153" t="s">
        <v>339</v>
      </c>
      <c r="P2068" s="153" t="s">
        <v>1215</v>
      </c>
      <c r="Q2068" s="153" t="s">
        <v>413</v>
      </c>
      <c r="R2068" s="153" t="s">
        <v>407</v>
      </c>
      <c r="S2068" s="153" t="s">
        <v>1212</v>
      </c>
      <c r="T2068" s="154">
        <v>1.72</v>
      </c>
      <c r="U2068" s="153" t="s">
        <v>2188</v>
      </c>
      <c r="V2068" s="155">
        <v>5.0000000000000002E-5</v>
      </c>
      <c r="W2068" s="155">
        <v>2.1399999999999999E-2</v>
      </c>
      <c r="X2068" s="153" t="s">
        <v>412</v>
      </c>
      <c r="Y2068" s="153" t="s">
        <v>339</v>
      </c>
      <c r="Z2068" s="154">
        <v>199074</v>
      </c>
      <c r="AA2068" s="154">
        <v>1</v>
      </c>
      <c r="AB2068" s="154">
        <v>110.39</v>
      </c>
      <c r="AD2068" s="154">
        <v>219.75800000000001</v>
      </c>
      <c r="AG2068" s="157" t="s">
        <v>15</v>
      </c>
      <c r="AH2068" s="155">
        <v>6.9999999999999994E-5</v>
      </c>
      <c r="AI2068" s="155">
        <f t="shared" si="32"/>
        <v>7.3404869216157414E-3</v>
      </c>
      <c r="AJ2068" s="155">
        <v>8.0677907377394928E-4</v>
      </c>
    </row>
    <row r="2069" spans="1:36" s="160" customFormat="1">
      <c r="A2069" s="153" t="s">
        <v>1213</v>
      </c>
      <c r="B2069" s="160">
        <v>9888</v>
      </c>
      <c r="C2069" s="153" t="s">
        <v>1573</v>
      </c>
      <c r="D2069" s="153" t="s">
        <v>1574</v>
      </c>
      <c r="E2069" s="153" t="s">
        <v>309</v>
      </c>
      <c r="F2069" s="153" t="s">
        <v>2310</v>
      </c>
      <c r="G2069" s="153" t="s">
        <v>2311</v>
      </c>
      <c r="H2069" s="153" t="s">
        <v>321</v>
      </c>
      <c r="I2069" s="153" t="s">
        <v>754</v>
      </c>
      <c r="J2069" s="153" t="s">
        <v>204</v>
      </c>
      <c r="K2069" s="153" t="s">
        <v>204</v>
      </c>
      <c r="L2069" s="153" t="s">
        <v>325</v>
      </c>
      <c r="M2069" s="153" t="s">
        <v>340</v>
      </c>
      <c r="N2069" s="153" t="s">
        <v>448</v>
      </c>
      <c r="O2069" s="153" t="s">
        <v>339</v>
      </c>
      <c r="P2069" s="153" t="s">
        <v>1215</v>
      </c>
      <c r="Q2069" s="153" t="s">
        <v>413</v>
      </c>
      <c r="R2069" s="153" t="s">
        <v>407</v>
      </c>
      <c r="S2069" s="153" t="s">
        <v>1212</v>
      </c>
      <c r="T2069" s="154">
        <v>1.74</v>
      </c>
      <c r="U2069" s="153" t="s">
        <v>1833</v>
      </c>
      <c r="V2069" s="155">
        <v>1.6250000000000001E-2</v>
      </c>
      <c r="W2069" s="155">
        <v>2.0400000000000001E-2</v>
      </c>
      <c r="X2069" s="153" t="s">
        <v>412</v>
      </c>
      <c r="Y2069" s="153" t="s">
        <v>339</v>
      </c>
      <c r="Z2069" s="154">
        <v>185331</v>
      </c>
      <c r="AA2069" s="154">
        <v>1</v>
      </c>
      <c r="AB2069" s="154">
        <v>113.2</v>
      </c>
      <c r="AD2069" s="154">
        <v>209.79499999999999</v>
      </c>
      <c r="AG2069" s="157" t="s">
        <v>15</v>
      </c>
      <c r="AH2069" s="155">
        <v>1.2E-4</v>
      </c>
      <c r="AI2069" s="155">
        <f t="shared" si="32"/>
        <v>7.0076968925835434E-3</v>
      </c>
      <c r="AJ2069" s="155">
        <v>7.7020274930790077E-4</v>
      </c>
    </row>
    <row r="2070" spans="1:36" s="160" customFormat="1">
      <c r="A2070" s="153" t="s">
        <v>1213</v>
      </c>
      <c r="B2070" s="160">
        <v>9888</v>
      </c>
      <c r="C2070" s="153" t="s">
        <v>1917</v>
      </c>
      <c r="D2070" s="153" t="s">
        <v>1918</v>
      </c>
      <c r="E2070" s="153" t="s">
        <v>309</v>
      </c>
      <c r="F2070" s="153" t="s">
        <v>2720</v>
      </c>
      <c r="G2070" s="153" t="s">
        <v>2721</v>
      </c>
      <c r="H2070" s="153" t="s">
        <v>321</v>
      </c>
      <c r="I2070" s="153" t="s">
        <v>754</v>
      </c>
      <c r="J2070" s="153" t="s">
        <v>204</v>
      </c>
      <c r="K2070" s="153" t="s">
        <v>204</v>
      </c>
      <c r="L2070" s="153" t="s">
        <v>325</v>
      </c>
      <c r="M2070" s="153" t="s">
        <v>340</v>
      </c>
      <c r="N2070" s="153" t="s">
        <v>447</v>
      </c>
      <c r="O2070" s="153" t="s">
        <v>339</v>
      </c>
      <c r="P2070" s="153" t="s">
        <v>1560</v>
      </c>
      <c r="Q2070" s="153" t="s">
        <v>413</v>
      </c>
      <c r="R2070" s="153" t="s">
        <v>407</v>
      </c>
      <c r="S2070" s="153" t="s">
        <v>1212</v>
      </c>
      <c r="T2070" s="154">
        <v>5.47</v>
      </c>
      <c r="U2070" s="153" t="s">
        <v>1732</v>
      </c>
      <c r="V2070" s="155">
        <v>4.0390000000000002E-2</v>
      </c>
      <c r="W2070" s="155">
        <v>3.9800000000000002E-2</v>
      </c>
      <c r="X2070" s="153" t="s">
        <v>412</v>
      </c>
      <c r="Y2070" s="153" t="s">
        <v>339</v>
      </c>
      <c r="Z2070" s="154">
        <v>197000</v>
      </c>
      <c r="AA2070" s="154">
        <v>1</v>
      </c>
      <c r="AB2070" s="154">
        <v>105.93</v>
      </c>
      <c r="AD2070" s="154">
        <v>208.68199999999999</v>
      </c>
      <c r="AG2070" s="157" t="s">
        <v>15</v>
      </c>
      <c r="AH2070" s="155">
        <v>5.5999999999999995E-4</v>
      </c>
      <c r="AI2070" s="155">
        <f t="shared" si="32"/>
        <v>6.9705198071361042E-3</v>
      </c>
      <c r="AJ2070" s="155">
        <v>7.66116685960444E-4</v>
      </c>
    </row>
    <row r="2071" spans="1:36" s="160" customFormat="1">
      <c r="A2071" s="153" t="s">
        <v>1213</v>
      </c>
      <c r="B2071" s="160">
        <v>9888</v>
      </c>
      <c r="C2071" s="153" t="s">
        <v>2771</v>
      </c>
      <c r="D2071" s="153" t="s">
        <v>2772</v>
      </c>
      <c r="E2071" s="153" t="s">
        <v>309</v>
      </c>
      <c r="F2071" s="153" t="s">
        <v>2773</v>
      </c>
      <c r="G2071" s="153" t="s">
        <v>2774</v>
      </c>
      <c r="H2071" s="153" t="s">
        <v>321</v>
      </c>
      <c r="I2071" s="153" t="s">
        <v>754</v>
      </c>
      <c r="J2071" s="153" t="s">
        <v>204</v>
      </c>
      <c r="K2071" s="153" t="s">
        <v>204</v>
      </c>
      <c r="L2071" s="153" t="s">
        <v>325</v>
      </c>
      <c r="M2071" s="153" t="s">
        <v>340</v>
      </c>
      <c r="N2071" s="153" t="s">
        <v>447</v>
      </c>
      <c r="O2071" s="153" t="s">
        <v>339</v>
      </c>
      <c r="P2071" s="153" t="s">
        <v>1544</v>
      </c>
      <c r="Q2071" s="153" t="s">
        <v>415</v>
      </c>
      <c r="R2071" s="153" t="s">
        <v>407</v>
      </c>
      <c r="S2071" s="153" t="s">
        <v>1212</v>
      </c>
      <c r="T2071" s="154">
        <v>4.1100000000000003</v>
      </c>
      <c r="U2071" s="153" t="s">
        <v>1587</v>
      </c>
      <c r="V2071" s="155">
        <v>1.4630000000000001E-2</v>
      </c>
      <c r="W2071" s="155">
        <v>2.98E-2</v>
      </c>
      <c r="X2071" s="153" t="s">
        <v>412</v>
      </c>
      <c r="Y2071" s="153" t="s">
        <v>339</v>
      </c>
      <c r="Z2071" s="154">
        <v>202764.95</v>
      </c>
      <c r="AA2071" s="154">
        <v>1</v>
      </c>
      <c r="AB2071" s="154">
        <v>101.61</v>
      </c>
      <c r="AD2071" s="154">
        <v>206.029</v>
      </c>
      <c r="AG2071" s="157" t="s">
        <v>15</v>
      </c>
      <c r="AH2071" s="155">
        <v>1.24E-3</v>
      </c>
      <c r="AI2071" s="155">
        <f t="shared" si="32"/>
        <v>6.8819027292456678E-3</v>
      </c>
      <c r="AJ2071" s="155">
        <v>7.5637695005675778E-4</v>
      </c>
    </row>
    <row r="2072" spans="1:36" s="160" customFormat="1">
      <c r="A2072" s="153" t="s">
        <v>1213</v>
      </c>
      <c r="B2072" s="160">
        <v>9888</v>
      </c>
      <c r="C2072" s="153" t="s">
        <v>1807</v>
      </c>
      <c r="D2072" s="153" t="s">
        <v>1808</v>
      </c>
      <c r="E2072" s="153" t="s">
        <v>309</v>
      </c>
      <c r="F2072" s="153" t="s">
        <v>2295</v>
      </c>
      <c r="G2072" s="153" t="s">
        <v>2296</v>
      </c>
      <c r="H2072" s="153" t="s">
        <v>321</v>
      </c>
      <c r="I2072" s="153" t="s">
        <v>754</v>
      </c>
      <c r="J2072" s="153" t="s">
        <v>204</v>
      </c>
      <c r="K2072" s="153" t="s">
        <v>204</v>
      </c>
      <c r="L2072" s="153" t="s">
        <v>325</v>
      </c>
      <c r="M2072" s="153" t="s">
        <v>340</v>
      </c>
      <c r="N2072" s="153" t="s">
        <v>464</v>
      </c>
      <c r="O2072" s="153" t="s">
        <v>339</v>
      </c>
      <c r="P2072" s="153" t="s">
        <v>1923</v>
      </c>
      <c r="Q2072" s="153" t="s">
        <v>415</v>
      </c>
      <c r="R2072" s="153" t="s">
        <v>407</v>
      </c>
      <c r="S2072" s="153" t="s">
        <v>1212</v>
      </c>
      <c r="T2072" s="154">
        <v>2.89</v>
      </c>
      <c r="U2072" s="153" t="s">
        <v>2297</v>
      </c>
      <c r="V2072" s="155">
        <v>1.8600000000000001E-3</v>
      </c>
      <c r="W2072" s="155">
        <v>2.8199999999999999E-2</v>
      </c>
      <c r="X2072" s="153" t="s">
        <v>412</v>
      </c>
      <c r="Y2072" s="153" t="s">
        <v>339</v>
      </c>
      <c r="Z2072" s="154">
        <v>175654.2</v>
      </c>
      <c r="AA2072" s="154">
        <v>1</v>
      </c>
      <c r="AB2072" s="154">
        <v>112.38</v>
      </c>
      <c r="AD2072" s="154">
        <v>197.4</v>
      </c>
      <c r="AG2072" s="157" t="s">
        <v>15</v>
      </c>
      <c r="AH2072" s="155">
        <v>6.9999999999999994E-5</v>
      </c>
      <c r="AI2072" s="155">
        <f t="shared" si="32"/>
        <v>6.5936717586024046E-3</v>
      </c>
      <c r="AJ2072" s="155">
        <v>7.2469802766214468E-4</v>
      </c>
    </row>
    <row r="2073" spans="1:36" s="160" customFormat="1">
      <c r="A2073" s="153" t="s">
        <v>1213</v>
      </c>
      <c r="B2073" s="160">
        <v>9888</v>
      </c>
      <c r="C2073" s="153" t="s">
        <v>2385</v>
      </c>
      <c r="D2073" s="153" t="s">
        <v>2386</v>
      </c>
      <c r="E2073" s="153" t="s">
        <v>309</v>
      </c>
      <c r="F2073" s="153" t="s">
        <v>2387</v>
      </c>
      <c r="G2073" s="153" t="s">
        <v>2388</v>
      </c>
      <c r="H2073" s="153" t="s">
        <v>321</v>
      </c>
      <c r="I2073" s="153" t="s">
        <v>754</v>
      </c>
      <c r="J2073" s="153" t="s">
        <v>204</v>
      </c>
      <c r="K2073" s="153" t="s">
        <v>204</v>
      </c>
      <c r="L2073" s="153" t="s">
        <v>325</v>
      </c>
      <c r="M2073" s="153" t="s">
        <v>340</v>
      </c>
      <c r="N2073" s="153" t="s">
        <v>464</v>
      </c>
      <c r="O2073" s="153" t="s">
        <v>339</v>
      </c>
      <c r="P2073" s="153" t="s">
        <v>1211</v>
      </c>
      <c r="Q2073" s="153" t="s">
        <v>415</v>
      </c>
      <c r="R2073" s="153" t="s">
        <v>407</v>
      </c>
      <c r="S2073" s="153" t="s">
        <v>1212</v>
      </c>
      <c r="T2073" s="154">
        <v>1.46</v>
      </c>
      <c r="U2073" s="153" t="s">
        <v>1659</v>
      </c>
      <c r="V2073" s="155">
        <v>-1.23E-3</v>
      </c>
      <c r="W2073" s="155">
        <v>2.1899999999999999E-2</v>
      </c>
      <c r="X2073" s="153" t="s">
        <v>412</v>
      </c>
      <c r="Y2073" s="153" t="s">
        <v>339</v>
      </c>
      <c r="Z2073" s="154">
        <v>167957.23</v>
      </c>
      <c r="AA2073" s="154">
        <v>1</v>
      </c>
      <c r="AB2073" s="154">
        <v>114.36</v>
      </c>
      <c r="AD2073" s="154">
        <v>192.07599999999999</v>
      </c>
      <c r="AG2073" s="157" t="s">
        <v>15</v>
      </c>
      <c r="AH2073" s="155">
        <v>1.3999999999999999E-4</v>
      </c>
      <c r="AI2073" s="155">
        <f t="shared" si="32"/>
        <v>6.4158363561566132E-3</v>
      </c>
      <c r="AJ2073" s="155">
        <v>7.0515247396775124E-4</v>
      </c>
    </row>
    <row r="2074" spans="1:36" s="160" customFormat="1">
      <c r="A2074" s="153" t="s">
        <v>1213</v>
      </c>
      <c r="B2074" s="160">
        <v>9888</v>
      </c>
      <c r="C2074" s="153" t="s">
        <v>2228</v>
      </c>
      <c r="D2074" s="153" t="s">
        <v>2229</v>
      </c>
      <c r="E2074" s="153" t="s">
        <v>309</v>
      </c>
      <c r="F2074" s="153" t="s">
        <v>2715</v>
      </c>
      <c r="G2074" s="153" t="s">
        <v>2716</v>
      </c>
      <c r="H2074" s="153" t="s">
        <v>321</v>
      </c>
      <c r="I2074" s="153" t="s">
        <v>951</v>
      </c>
      <c r="J2074" s="153" t="s">
        <v>204</v>
      </c>
      <c r="K2074" s="153" t="s">
        <v>204</v>
      </c>
      <c r="L2074" s="153" t="s">
        <v>325</v>
      </c>
      <c r="M2074" s="153" t="s">
        <v>340</v>
      </c>
      <c r="N2074" s="153" t="s">
        <v>441</v>
      </c>
      <c r="O2074" s="153" t="s">
        <v>339</v>
      </c>
      <c r="P2074" s="153" t="s">
        <v>1614</v>
      </c>
      <c r="Q2074" s="153" t="s">
        <v>415</v>
      </c>
      <c r="R2074" s="153" t="s">
        <v>407</v>
      </c>
      <c r="S2074" s="153" t="s">
        <v>1212</v>
      </c>
      <c r="T2074" s="154">
        <v>3.76</v>
      </c>
      <c r="U2074" s="153" t="s">
        <v>2717</v>
      </c>
      <c r="V2074" s="155">
        <v>2.9420000000000002E-2</v>
      </c>
      <c r="W2074" s="155">
        <v>5.9900000000000002E-2</v>
      </c>
      <c r="X2074" s="153" t="s">
        <v>412</v>
      </c>
      <c r="Y2074" s="153" t="s">
        <v>339</v>
      </c>
      <c r="Z2074" s="154">
        <v>217000</v>
      </c>
      <c r="AA2074" s="154">
        <v>1</v>
      </c>
      <c r="AB2074" s="154">
        <v>85.02</v>
      </c>
      <c r="AD2074" s="154">
        <v>184.49299999999999</v>
      </c>
      <c r="AG2074" s="157" t="s">
        <v>15</v>
      </c>
      <c r="AH2074" s="155">
        <v>5.5999999999999995E-4</v>
      </c>
      <c r="AI2074" s="155">
        <f t="shared" si="32"/>
        <v>6.1625444972635939E-3</v>
      </c>
      <c r="AJ2074" s="155">
        <v>6.7731364345223932E-4</v>
      </c>
    </row>
    <row r="2075" spans="1:36" s="160" customFormat="1">
      <c r="A2075" s="153" t="s">
        <v>1213</v>
      </c>
      <c r="B2075" s="160">
        <v>9888</v>
      </c>
      <c r="C2075" s="153" t="s">
        <v>2203</v>
      </c>
      <c r="D2075" s="153" t="s">
        <v>2204</v>
      </c>
      <c r="E2075" s="153" t="s">
        <v>309</v>
      </c>
      <c r="F2075" s="153" t="s">
        <v>2733</v>
      </c>
      <c r="G2075" s="153" t="s">
        <v>2734</v>
      </c>
      <c r="H2075" s="153" t="s">
        <v>321</v>
      </c>
      <c r="I2075" s="153" t="s">
        <v>951</v>
      </c>
      <c r="J2075" s="153" t="s">
        <v>204</v>
      </c>
      <c r="K2075" s="153" t="s">
        <v>204</v>
      </c>
      <c r="L2075" s="153" t="s">
        <v>325</v>
      </c>
      <c r="M2075" s="153" t="s">
        <v>340</v>
      </c>
      <c r="N2075" s="153" t="s">
        <v>459</v>
      </c>
      <c r="O2075" s="153" t="s">
        <v>339</v>
      </c>
      <c r="P2075" s="153" t="s">
        <v>1811</v>
      </c>
      <c r="Q2075" s="153" t="s">
        <v>413</v>
      </c>
      <c r="R2075" s="153" t="s">
        <v>407</v>
      </c>
      <c r="S2075" s="153" t="s">
        <v>1212</v>
      </c>
      <c r="T2075" s="154">
        <v>1.69</v>
      </c>
      <c r="U2075" s="153" t="s">
        <v>1572</v>
      </c>
      <c r="V2075" s="155">
        <v>2.478E-2</v>
      </c>
      <c r="W2075" s="155">
        <v>4.6899999999999997E-2</v>
      </c>
      <c r="X2075" s="153" t="s">
        <v>412</v>
      </c>
      <c r="Y2075" s="153" t="s">
        <v>339</v>
      </c>
      <c r="Z2075" s="154">
        <v>176956</v>
      </c>
      <c r="AA2075" s="154">
        <v>1</v>
      </c>
      <c r="AB2075" s="154">
        <v>97.33</v>
      </c>
      <c r="AD2075" s="154">
        <v>172.23099999999999</v>
      </c>
      <c r="AG2075" s="157" t="s">
        <v>15</v>
      </c>
      <c r="AH2075" s="155">
        <v>4.8999999999999998E-4</v>
      </c>
      <c r="AI2075" s="155">
        <f t="shared" si="32"/>
        <v>5.7529619080843499E-3</v>
      </c>
      <c r="AJ2075" s="155">
        <v>6.3229719352724835E-4</v>
      </c>
    </row>
    <row r="2076" spans="1:36" s="160" customFormat="1">
      <c r="A2076" s="153" t="s">
        <v>1213</v>
      </c>
      <c r="B2076" s="160">
        <v>9888</v>
      </c>
      <c r="C2076" s="153" t="s">
        <v>2404</v>
      </c>
      <c r="D2076" s="153" t="s">
        <v>2405</v>
      </c>
      <c r="E2076" s="153" t="s">
        <v>309</v>
      </c>
      <c r="F2076" s="153" t="s">
        <v>2571</v>
      </c>
      <c r="G2076" s="153" t="s">
        <v>2572</v>
      </c>
      <c r="H2076" s="153" t="s">
        <v>321</v>
      </c>
      <c r="I2076" s="153" t="s">
        <v>951</v>
      </c>
      <c r="J2076" s="153" t="s">
        <v>204</v>
      </c>
      <c r="K2076" s="153" t="s">
        <v>204</v>
      </c>
      <c r="L2076" s="153" t="s">
        <v>325</v>
      </c>
      <c r="M2076" s="153" t="s">
        <v>340</v>
      </c>
      <c r="N2076" s="153" t="s">
        <v>440</v>
      </c>
      <c r="O2076" s="153" t="s">
        <v>339</v>
      </c>
      <c r="P2076" s="153" t="s">
        <v>1554</v>
      </c>
      <c r="Q2076" s="153" t="s">
        <v>413</v>
      </c>
      <c r="R2076" s="153" t="s">
        <v>407</v>
      </c>
      <c r="S2076" s="153" t="s">
        <v>1212</v>
      </c>
      <c r="T2076" s="154">
        <v>3.25</v>
      </c>
      <c r="U2076" s="153" t="s">
        <v>2573</v>
      </c>
      <c r="V2076" s="155">
        <v>1.949E-2</v>
      </c>
      <c r="W2076" s="155">
        <v>6.1100000000000002E-2</v>
      </c>
      <c r="X2076" s="153" t="s">
        <v>412</v>
      </c>
      <c r="Y2076" s="153" t="s">
        <v>339</v>
      </c>
      <c r="Z2076" s="154">
        <v>189084.6</v>
      </c>
      <c r="AA2076" s="154">
        <v>1</v>
      </c>
      <c r="AB2076" s="154">
        <v>89.41</v>
      </c>
      <c r="AD2076" s="154">
        <v>169.06100000000001</v>
      </c>
      <c r="AG2076" s="157" t="s">
        <v>15</v>
      </c>
      <c r="AH2076" s="155">
        <v>2.5000000000000001E-4</v>
      </c>
      <c r="AI2076" s="155">
        <f t="shared" si="32"/>
        <v>5.6470756898737645E-3</v>
      </c>
      <c r="AJ2076" s="155">
        <v>6.2065943897968504E-4</v>
      </c>
    </row>
    <row r="2077" spans="1:36" s="160" customFormat="1">
      <c r="A2077" s="153" t="s">
        <v>1213</v>
      </c>
      <c r="B2077" s="160">
        <v>9888</v>
      </c>
      <c r="C2077" s="153" t="s">
        <v>1546</v>
      </c>
      <c r="D2077" s="153" t="s">
        <v>1547</v>
      </c>
      <c r="E2077" s="153" t="s">
        <v>309</v>
      </c>
      <c r="F2077" s="153" t="s">
        <v>2487</v>
      </c>
      <c r="G2077" s="153" t="s">
        <v>2488</v>
      </c>
      <c r="H2077" s="153" t="s">
        <v>321</v>
      </c>
      <c r="I2077" s="153" t="s">
        <v>754</v>
      </c>
      <c r="J2077" s="153" t="s">
        <v>204</v>
      </c>
      <c r="K2077" s="153" t="s">
        <v>204</v>
      </c>
      <c r="L2077" s="153" t="s">
        <v>325</v>
      </c>
      <c r="M2077" s="153" t="s">
        <v>340</v>
      </c>
      <c r="N2077" s="153" t="s">
        <v>443</v>
      </c>
      <c r="O2077" s="153" t="s">
        <v>339</v>
      </c>
      <c r="P2077" s="153" t="s">
        <v>1544</v>
      </c>
      <c r="Q2077" s="153" t="s">
        <v>415</v>
      </c>
      <c r="R2077" s="153" t="s">
        <v>407</v>
      </c>
      <c r="S2077" s="153" t="s">
        <v>1212</v>
      </c>
      <c r="T2077" s="154">
        <v>0.79</v>
      </c>
      <c r="U2077" s="153" t="s">
        <v>1777</v>
      </c>
      <c r="V2077" s="155">
        <v>5.1799999999999997E-3</v>
      </c>
      <c r="W2077" s="155">
        <v>2.7199999999999998E-2</v>
      </c>
      <c r="X2077" s="153" t="s">
        <v>412</v>
      </c>
      <c r="Y2077" s="153" t="s">
        <v>339</v>
      </c>
      <c r="Z2077" s="154">
        <v>139365.6</v>
      </c>
      <c r="AA2077" s="154">
        <v>1</v>
      </c>
      <c r="AB2077" s="154">
        <v>115.1</v>
      </c>
      <c r="AD2077" s="154">
        <v>160.41</v>
      </c>
      <c r="AG2077" s="157" t="s">
        <v>15</v>
      </c>
      <c r="AH2077" s="155">
        <v>3.8000000000000002E-4</v>
      </c>
      <c r="AI2077" s="155">
        <f t="shared" si="32"/>
        <v>5.3581098621956012E-3</v>
      </c>
      <c r="AJ2077" s="155">
        <v>5.8889974983426861E-4</v>
      </c>
    </row>
    <row r="2078" spans="1:36" s="160" customFormat="1">
      <c r="A2078" s="153" t="s">
        <v>1213</v>
      </c>
      <c r="B2078" s="160">
        <v>9888</v>
      </c>
      <c r="C2078" s="153" t="s">
        <v>2136</v>
      </c>
      <c r="D2078" s="153" t="s">
        <v>2137</v>
      </c>
      <c r="E2078" s="153" t="s">
        <v>309</v>
      </c>
      <c r="F2078" s="153" t="s">
        <v>2698</v>
      </c>
      <c r="G2078" s="153" t="s">
        <v>2699</v>
      </c>
      <c r="H2078" s="153" t="s">
        <v>321</v>
      </c>
      <c r="I2078" s="153" t="s">
        <v>754</v>
      </c>
      <c r="J2078" s="153" t="s">
        <v>204</v>
      </c>
      <c r="K2078" s="153" t="s">
        <v>204</v>
      </c>
      <c r="L2078" s="153" t="s">
        <v>325</v>
      </c>
      <c r="M2078" s="153" t="s">
        <v>340</v>
      </c>
      <c r="N2078" s="153" t="s">
        <v>440</v>
      </c>
      <c r="O2078" s="153" t="s">
        <v>339</v>
      </c>
      <c r="P2078" s="153" t="s">
        <v>1566</v>
      </c>
      <c r="Q2078" s="153" t="s">
        <v>413</v>
      </c>
      <c r="R2078" s="153" t="s">
        <v>407</v>
      </c>
      <c r="S2078" s="153" t="s">
        <v>1212</v>
      </c>
      <c r="T2078" s="154">
        <v>3.07</v>
      </c>
      <c r="U2078" s="153" t="s">
        <v>2700</v>
      </c>
      <c r="V2078" s="155">
        <v>6.2599999999999999E-3</v>
      </c>
      <c r="W2078" s="155">
        <v>2.5999999999999999E-2</v>
      </c>
      <c r="X2078" s="153" t="s">
        <v>412</v>
      </c>
      <c r="Y2078" s="153" t="s">
        <v>339</v>
      </c>
      <c r="Z2078" s="154">
        <v>141198.07999999999</v>
      </c>
      <c r="AA2078" s="154">
        <v>1</v>
      </c>
      <c r="AB2078" s="154">
        <v>111.75</v>
      </c>
      <c r="AD2078" s="154">
        <v>157.78899999999999</v>
      </c>
      <c r="AG2078" s="157" t="s">
        <v>15</v>
      </c>
      <c r="AH2078" s="155">
        <v>1.2999999999999999E-4</v>
      </c>
      <c r="AI2078" s="155">
        <f t="shared" si="32"/>
        <v>5.2705616672650193E-3</v>
      </c>
      <c r="AJ2078" s="155">
        <v>5.792774928408416E-4</v>
      </c>
    </row>
    <row r="2079" spans="1:36" s="160" customFormat="1">
      <c r="A2079" s="153" t="s">
        <v>1213</v>
      </c>
      <c r="B2079" s="160">
        <v>9888</v>
      </c>
      <c r="C2079" s="153" t="s">
        <v>1769</v>
      </c>
      <c r="D2079" s="153" t="s">
        <v>1770</v>
      </c>
      <c r="E2079" s="153" t="s">
        <v>309</v>
      </c>
      <c r="F2079" s="153" t="s">
        <v>2037</v>
      </c>
      <c r="G2079" s="153" t="s">
        <v>2038</v>
      </c>
      <c r="H2079" s="153" t="s">
        <v>321</v>
      </c>
      <c r="I2079" s="153" t="s">
        <v>951</v>
      </c>
      <c r="J2079" s="153" t="s">
        <v>204</v>
      </c>
      <c r="K2079" s="153" t="s">
        <v>204</v>
      </c>
      <c r="L2079" s="153" t="s">
        <v>325</v>
      </c>
      <c r="M2079" s="153" t="s">
        <v>340</v>
      </c>
      <c r="N2079" s="153" t="s">
        <v>464</v>
      </c>
      <c r="O2079" s="153" t="s">
        <v>339</v>
      </c>
      <c r="P2079" s="153" t="s">
        <v>1560</v>
      </c>
      <c r="Q2079" s="153" t="s">
        <v>413</v>
      </c>
      <c r="R2079" s="153" t="s">
        <v>407</v>
      </c>
      <c r="S2079" s="153" t="s">
        <v>1212</v>
      </c>
      <c r="T2079" s="154">
        <v>2.9</v>
      </c>
      <c r="U2079" s="153" t="s">
        <v>1587</v>
      </c>
      <c r="V2079" s="155">
        <v>5.2940000000000001E-2</v>
      </c>
      <c r="W2079" s="155">
        <v>7.1999999999999995E-2</v>
      </c>
      <c r="X2079" s="153" t="s">
        <v>412</v>
      </c>
      <c r="Y2079" s="153" t="s">
        <v>339</v>
      </c>
      <c r="Z2079" s="154">
        <v>161509.74</v>
      </c>
      <c r="AA2079" s="154">
        <v>1</v>
      </c>
      <c r="AB2079" s="154">
        <v>92.4</v>
      </c>
      <c r="AD2079" s="154">
        <v>149.23500000000001</v>
      </c>
      <c r="AG2079" s="157" t="s">
        <v>15</v>
      </c>
      <c r="AH2079" s="155">
        <v>1.2999999999999999E-4</v>
      </c>
      <c r="AI2079" s="155">
        <f t="shared" si="32"/>
        <v>4.9848358910589158E-3</v>
      </c>
      <c r="AJ2079" s="155">
        <v>5.4787391164214875E-4</v>
      </c>
    </row>
    <row r="2080" spans="1:36" s="160" customFormat="1">
      <c r="A2080" s="153" t="s">
        <v>1213</v>
      </c>
      <c r="B2080" s="160">
        <v>9888</v>
      </c>
      <c r="C2080" s="153" t="s">
        <v>2356</v>
      </c>
      <c r="D2080" s="153" t="s">
        <v>2357</v>
      </c>
      <c r="E2080" s="153" t="s">
        <v>309</v>
      </c>
      <c r="F2080" s="153" t="s">
        <v>2724</v>
      </c>
      <c r="G2080" s="153" t="s">
        <v>2725</v>
      </c>
      <c r="H2080" s="153" t="s">
        <v>321</v>
      </c>
      <c r="I2080" s="153" t="s">
        <v>754</v>
      </c>
      <c r="J2080" s="153" t="s">
        <v>204</v>
      </c>
      <c r="K2080" s="153" t="s">
        <v>204</v>
      </c>
      <c r="L2080" s="153" t="s">
        <v>325</v>
      </c>
      <c r="M2080" s="153" t="s">
        <v>340</v>
      </c>
      <c r="N2080" s="153" t="s">
        <v>447</v>
      </c>
      <c r="O2080" s="153" t="s">
        <v>339</v>
      </c>
      <c r="P2080" s="153" t="s">
        <v>1560</v>
      </c>
      <c r="Q2080" s="153" t="s">
        <v>413</v>
      </c>
      <c r="R2080" s="153" t="s">
        <v>407</v>
      </c>
      <c r="S2080" s="153" t="s">
        <v>1212</v>
      </c>
      <c r="T2080" s="154">
        <v>0.5</v>
      </c>
      <c r="U2080" s="153" t="s">
        <v>1965</v>
      </c>
      <c r="V2080" s="155">
        <v>6.4070000000000002E-2</v>
      </c>
      <c r="W2080" s="155">
        <v>3.4700000000000002E-2</v>
      </c>
      <c r="X2080" s="153" t="s">
        <v>412</v>
      </c>
      <c r="Y2080" s="153" t="s">
        <v>339</v>
      </c>
      <c r="Z2080" s="154">
        <v>121794.33</v>
      </c>
      <c r="AA2080" s="154">
        <v>1</v>
      </c>
      <c r="AB2080" s="154">
        <v>115.84</v>
      </c>
      <c r="AC2080" s="154">
        <v>3.048</v>
      </c>
      <c r="AD2080" s="154">
        <v>144.13399999999999</v>
      </c>
      <c r="AG2080" s="157" t="s">
        <v>15</v>
      </c>
      <c r="AH2080" s="155">
        <v>2.7999999999999998E-4</v>
      </c>
      <c r="AI2080" s="155">
        <f t="shared" si="32"/>
        <v>4.8144492667396097E-3</v>
      </c>
      <c r="AJ2080" s="155">
        <v>5.2914703910362485E-4</v>
      </c>
    </row>
    <row r="2081" spans="1:36" s="160" customFormat="1">
      <c r="A2081" s="153" t="s">
        <v>1213</v>
      </c>
      <c r="B2081" s="160">
        <v>9888</v>
      </c>
      <c r="C2081" s="153" t="s">
        <v>2178</v>
      </c>
      <c r="D2081" s="153" t="s">
        <v>2179</v>
      </c>
      <c r="E2081" s="153" t="s">
        <v>309</v>
      </c>
      <c r="F2081" s="153" t="s">
        <v>2762</v>
      </c>
      <c r="G2081" s="153" t="s">
        <v>2763</v>
      </c>
      <c r="H2081" s="153" t="s">
        <v>321</v>
      </c>
      <c r="I2081" s="153" t="s">
        <v>951</v>
      </c>
      <c r="J2081" s="153" t="s">
        <v>204</v>
      </c>
      <c r="K2081" s="153" t="s">
        <v>204</v>
      </c>
      <c r="L2081" s="153" t="s">
        <v>325</v>
      </c>
      <c r="M2081" s="153" t="s">
        <v>340</v>
      </c>
      <c r="N2081" s="153" t="s">
        <v>464</v>
      </c>
      <c r="O2081" s="153" t="s">
        <v>339</v>
      </c>
      <c r="P2081" s="153" t="s">
        <v>1566</v>
      </c>
      <c r="Q2081" s="153" t="s">
        <v>413</v>
      </c>
      <c r="R2081" s="153" t="s">
        <v>407</v>
      </c>
      <c r="S2081" s="153" t="s">
        <v>1212</v>
      </c>
      <c r="T2081" s="154">
        <v>1.34</v>
      </c>
      <c r="U2081" s="153" t="s">
        <v>2764</v>
      </c>
      <c r="V2081" s="155">
        <v>-9.0799999999999995E-3</v>
      </c>
      <c r="W2081" s="155">
        <v>6.1800000000000001E-2</v>
      </c>
      <c r="X2081" s="153" t="s">
        <v>412</v>
      </c>
      <c r="Y2081" s="153" t="s">
        <v>339</v>
      </c>
      <c r="Z2081" s="154">
        <v>122543.25</v>
      </c>
      <c r="AA2081" s="154">
        <v>1</v>
      </c>
      <c r="AB2081" s="154">
        <v>101.51</v>
      </c>
      <c r="AD2081" s="154">
        <v>124.39400000000001</v>
      </c>
      <c r="AG2081" s="157" t="s">
        <v>15</v>
      </c>
      <c r="AH2081" s="155">
        <v>1.2E-4</v>
      </c>
      <c r="AI2081" s="155">
        <f t="shared" si="32"/>
        <v>4.1550820908793692E-3</v>
      </c>
      <c r="AJ2081" s="155">
        <v>4.5667723633741042E-4</v>
      </c>
    </row>
    <row r="2082" spans="1:36" s="160" customFormat="1">
      <c r="A2082" s="153" t="s">
        <v>1213</v>
      </c>
      <c r="B2082" s="160">
        <v>9888</v>
      </c>
      <c r="C2082" s="153" t="s">
        <v>2238</v>
      </c>
      <c r="D2082" s="153" t="s">
        <v>2239</v>
      </c>
      <c r="E2082" s="153" t="s">
        <v>309</v>
      </c>
      <c r="F2082" s="153" t="s">
        <v>2810</v>
      </c>
      <c r="G2082" s="153" t="s">
        <v>2811</v>
      </c>
      <c r="H2082" s="153" t="s">
        <v>321</v>
      </c>
      <c r="I2082" s="153" t="s">
        <v>951</v>
      </c>
      <c r="J2082" s="153" t="s">
        <v>204</v>
      </c>
      <c r="K2082" s="153" t="s">
        <v>204</v>
      </c>
      <c r="L2082" s="153" t="s">
        <v>325</v>
      </c>
      <c r="M2082" s="153" t="s">
        <v>340</v>
      </c>
      <c r="N2082" s="153" t="s">
        <v>447</v>
      </c>
      <c r="O2082" s="153" t="s">
        <v>339</v>
      </c>
      <c r="P2082" s="153" t="s">
        <v>1544</v>
      </c>
      <c r="Q2082" s="153" t="s">
        <v>415</v>
      </c>
      <c r="R2082" s="153" t="s">
        <v>407</v>
      </c>
      <c r="S2082" s="153" t="s">
        <v>1212</v>
      </c>
      <c r="T2082" s="154">
        <v>2.08</v>
      </c>
      <c r="U2082" s="153" t="s">
        <v>1528</v>
      </c>
      <c r="V2082" s="155">
        <v>2.572E-2</v>
      </c>
      <c r="W2082" s="155">
        <v>5.5199999999999999E-2</v>
      </c>
      <c r="X2082" s="153" t="s">
        <v>412</v>
      </c>
      <c r="Y2082" s="153" t="s">
        <v>339</v>
      </c>
      <c r="Z2082" s="154">
        <v>129725.18</v>
      </c>
      <c r="AA2082" s="154">
        <v>1</v>
      </c>
      <c r="AB2082" s="154">
        <v>94.9</v>
      </c>
      <c r="AD2082" s="154">
        <v>123.10899999999999</v>
      </c>
      <c r="AG2082" s="157" t="s">
        <v>15</v>
      </c>
      <c r="AH2082" s="155">
        <v>4.8000000000000001E-4</v>
      </c>
      <c r="AI2082" s="155">
        <f t="shared" si="32"/>
        <v>4.1121597595227119E-3</v>
      </c>
      <c r="AJ2082" s="155">
        <v>4.5195972384730982E-4</v>
      </c>
    </row>
    <row r="2083" spans="1:36" s="160" customFormat="1">
      <c r="A2083" s="153" t="s">
        <v>1213</v>
      </c>
      <c r="B2083" s="160">
        <v>9888</v>
      </c>
      <c r="C2083" s="153" t="s">
        <v>1820</v>
      </c>
      <c r="D2083" s="153" t="s">
        <v>1821</v>
      </c>
      <c r="E2083" s="153" t="s">
        <v>309</v>
      </c>
      <c r="F2083" s="153" t="s">
        <v>1952</v>
      </c>
      <c r="G2083" s="153" t="s">
        <v>1953</v>
      </c>
      <c r="H2083" s="153" t="s">
        <v>321</v>
      </c>
      <c r="I2083" s="153" t="s">
        <v>754</v>
      </c>
      <c r="J2083" s="153" t="s">
        <v>204</v>
      </c>
      <c r="K2083" s="153" t="s">
        <v>204</v>
      </c>
      <c r="L2083" s="153" t="s">
        <v>325</v>
      </c>
      <c r="M2083" s="153" t="s">
        <v>340</v>
      </c>
      <c r="N2083" s="153" t="s">
        <v>464</v>
      </c>
      <c r="O2083" s="153" t="s">
        <v>339</v>
      </c>
      <c r="P2083" s="153" t="s">
        <v>1538</v>
      </c>
      <c r="Q2083" s="153" t="s">
        <v>413</v>
      </c>
      <c r="R2083" s="153" t="s">
        <v>407</v>
      </c>
      <c r="S2083" s="153" t="s">
        <v>1212</v>
      </c>
      <c r="T2083" s="154">
        <v>2.19</v>
      </c>
      <c r="U2083" s="153" t="s">
        <v>1308</v>
      </c>
      <c r="V2083" s="155">
        <v>4.4900000000000001E-3</v>
      </c>
      <c r="W2083" s="155">
        <v>2.6599999999999999E-2</v>
      </c>
      <c r="X2083" s="153" t="s">
        <v>412</v>
      </c>
      <c r="Y2083" s="153" t="s">
        <v>339</v>
      </c>
      <c r="Z2083" s="154">
        <v>104635.63</v>
      </c>
      <c r="AA2083" s="154">
        <v>1</v>
      </c>
      <c r="AB2083" s="154">
        <v>115.87</v>
      </c>
      <c r="AD2083" s="154">
        <v>121.241</v>
      </c>
      <c r="AG2083" s="157" t="s">
        <v>15</v>
      </c>
      <c r="AH2083" s="155">
        <v>5.0000000000000002E-5</v>
      </c>
      <c r="AI2083" s="155">
        <f t="shared" si="32"/>
        <v>4.0497637167412059E-3</v>
      </c>
      <c r="AJ2083" s="155">
        <v>4.4510189246092238E-4</v>
      </c>
    </row>
    <row r="2084" spans="1:36" s="160" customFormat="1">
      <c r="A2084" s="153" t="s">
        <v>1213</v>
      </c>
      <c r="B2084" s="160">
        <v>9888</v>
      </c>
      <c r="C2084" s="153" t="s">
        <v>2812</v>
      </c>
      <c r="D2084" s="153" t="s">
        <v>2813</v>
      </c>
      <c r="E2084" s="153" t="s">
        <v>309</v>
      </c>
      <c r="F2084" s="153" t="s">
        <v>2814</v>
      </c>
      <c r="G2084" s="153" t="s">
        <v>2815</v>
      </c>
      <c r="H2084" s="153" t="s">
        <v>321</v>
      </c>
      <c r="I2084" s="153" t="s">
        <v>951</v>
      </c>
      <c r="J2084" s="153" t="s">
        <v>204</v>
      </c>
      <c r="K2084" s="153" t="s">
        <v>204</v>
      </c>
      <c r="L2084" s="153" t="s">
        <v>325</v>
      </c>
      <c r="M2084" s="153" t="s">
        <v>340</v>
      </c>
      <c r="N2084" s="153" t="s">
        <v>447</v>
      </c>
      <c r="O2084" s="153" t="s">
        <v>339</v>
      </c>
      <c r="P2084" s="153" t="s">
        <v>1614</v>
      </c>
      <c r="Q2084" s="153" t="s">
        <v>415</v>
      </c>
      <c r="R2084" s="153" t="s">
        <v>407</v>
      </c>
      <c r="S2084" s="153" t="s">
        <v>1212</v>
      </c>
      <c r="T2084" s="154">
        <v>1.71</v>
      </c>
      <c r="U2084" s="153" t="s">
        <v>1343</v>
      </c>
      <c r="V2084" s="155">
        <v>5.3400000000000003E-2</v>
      </c>
      <c r="W2084" s="155">
        <v>5.6000000000000001E-2</v>
      </c>
      <c r="X2084" s="153" t="s">
        <v>412</v>
      </c>
      <c r="Y2084" s="153" t="s">
        <v>339</v>
      </c>
      <c r="Z2084" s="154">
        <v>122717.92</v>
      </c>
      <c r="AA2084" s="154">
        <v>1</v>
      </c>
      <c r="AB2084" s="154">
        <v>94.88</v>
      </c>
      <c r="AD2084" s="154">
        <v>116.435</v>
      </c>
      <c r="AG2084" s="157" t="s">
        <v>15</v>
      </c>
      <c r="AH2084" s="155">
        <v>4.8000000000000001E-4</v>
      </c>
      <c r="AI2084" s="155">
        <f t="shared" si="32"/>
        <v>3.8892308572080598E-3</v>
      </c>
      <c r="AJ2084" s="155">
        <v>4.2745802862635164E-4</v>
      </c>
    </row>
    <row r="2085" spans="1:36" s="160" customFormat="1">
      <c r="A2085" s="153" t="s">
        <v>1213</v>
      </c>
      <c r="B2085" s="160">
        <v>9888</v>
      </c>
      <c r="C2085" s="153" t="s">
        <v>2032</v>
      </c>
      <c r="D2085" s="153" t="s">
        <v>2033</v>
      </c>
      <c r="E2085" s="153" t="s">
        <v>309</v>
      </c>
      <c r="F2085" s="153" t="s">
        <v>2765</v>
      </c>
      <c r="G2085" s="153" t="s">
        <v>2766</v>
      </c>
      <c r="H2085" s="153" t="s">
        <v>321</v>
      </c>
      <c r="I2085" s="153" t="s">
        <v>754</v>
      </c>
      <c r="J2085" s="153" t="s">
        <v>204</v>
      </c>
      <c r="K2085" s="153" t="s">
        <v>204</v>
      </c>
      <c r="L2085" s="153" t="s">
        <v>325</v>
      </c>
      <c r="M2085" s="153" t="s">
        <v>340</v>
      </c>
      <c r="N2085" s="153" t="s">
        <v>445</v>
      </c>
      <c r="O2085" s="153" t="s">
        <v>339</v>
      </c>
      <c r="P2085" s="153" t="s">
        <v>1538</v>
      </c>
      <c r="Q2085" s="153" t="s">
        <v>413</v>
      </c>
      <c r="R2085" s="153" t="s">
        <v>407</v>
      </c>
      <c r="S2085" s="153" t="s">
        <v>1212</v>
      </c>
      <c r="T2085" s="154">
        <v>5.09</v>
      </c>
      <c r="U2085" s="153" t="s">
        <v>2210</v>
      </c>
      <c r="V2085" s="155">
        <v>2.2360000000000001E-2</v>
      </c>
      <c r="W2085" s="155">
        <v>2.8899999999999999E-2</v>
      </c>
      <c r="X2085" s="153" t="s">
        <v>412</v>
      </c>
      <c r="Y2085" s="153" t="s">
        <v>339</v>
      </c>
      <c r="Z2085" s="154">
        <v>102308</v>
      </c>
      <c r="AA2085" s="154">
        <v>1</v>
      </c>
      <c r="AB2085" s="154">
        <v>100.89</v>
      </c>
      <c r="AD2085" s="154">
        <v>103.21899999999999</v>
      </c>
      <c r="AG2085" s="157" t="s">
        <v>15</v>
      </c>
      <c r="AH2085" s="155">
        <v>3.4000000000000002E-4</v>
      </c>
      <c r="AI2085" s="155">
        <f t="shared" si="32"/>
        <v>3.4477821947881539E-3</v>
      </c>
      <c r="AJ2085" s="155">
        <v>3.7893923868925484E-4</v>
      </c>
    </row>
    <row r="2086" spans="1:36" s="160" customFormat="1">
      <c r="A2086" s="153" t="s">
        <v>1213</v>
      </c>
      <c r="B2086" s="160">
        <v>9888</v>
      </c>
      <c r="C2086" s="153" t="s">
        <v>1600</v>
      </c>
      <c r="D2086" s="153" t="s">
        <v>1601</v>
      </c>
      <c r="E2086" s="153" t="s">
        <v>309</v>
      </c>
      <c r="F2086" s="153" t="s">
        <v>1954</v>
      </c>
      <c r="G2086" s="153" t="s">
        <v>1955</v>
      </c>
      <c r="H2086" s="153" t="s">
        <v>321</v>
      </c>
      <c r="I2086" s="153" t="s">
        <v>754</v>
      </c>
      <c r="J2086" s="153" t="s">
        <v>204</v>
      </c>
      <c r="K2086" s="153" t="s">
        <v>204</v>
      </c>
      <c r="L2086" s="153" t="s">
        <v>325</v>
      </c>
      <c r="M2086" s="153" t="s">
        <v>340</v>
      </c>
      <c r="N2086" s="153" t="s">
        <v>448</v>
      </c>
      <c r="O2086" s="153" t="s">
        <v>339</v>
      </c>
      <c r="P2086" s="153" t="s">
        <v>1215</v>
      </c>
      <c r="Q2086" s="153" t="s">
        <v>413</v>
      </c>
      <c r="R2086" s="153" t="s">
        <v>407</v>
      </c>
      <c r="S2086" s="153" t="s">
        <v>1212</v>
      </c>
      <c r="T2086" s="154">
        <v>3.02</v>
      </c>
      <c r="U2086" s="153" t="s">
        <v>1956</v>
      </c>
      <c r="V2086" s="155">
        <v>1.7500000000000002E-2</v>
      </c>
      <c r="W2086" s="155">
        <v>2.35E-2</v>
      </c>
      <c r="X2086" s="153" t="s">
        <v>412</v>
      </c>
      <c r="Y2086" s="153" t="s">
        <v>339</v>
      </c>
      <c r="Z2086" s="154">
        <v>89388.73</v>
      </c>
      <c r="AA2086" s="154">
        <v>1</v>
      </c>
      <c r="AB2086" s="154">
        <v>114.28</v>
      </c>
      <c r="AD2086" s="154">
        <v>102.15300000000001</v>
      </c>
      <c r="AG2086" s="157" t="s">
        <v>15</v>
      </c>
      <c r="AH2086" s="155">
        <v>3.0000000000000001E-5</v>
      </c>
      <c r="AI2086" s="155">
        <f t="shared" si="32"/>
        <v>3.4121750311880013E-3</v>
      </c>
      <c r="AJ2086" s="155">
        <v>3.7502572249124144E-4</v>
      </c>
    </row>
    <row r="2087" spans="1:36" s="160" customFormat="1">
      <c r="A2087" s="153" t="s">
        <v>1213</v>
      </c>
      <c r="B2087" s="160">
        <v>9888</v>
      </c>
      <c r="C2087" s="153" t="s">
        <v>2576</v>
      </c>
      <c r="D2087" s="153" t="s">
        <v>2577</v>
      </c>
      <c r="E2087" s="153" t="s">
        <v>309</v>
      </c>
      <c r="F2087" s="153" t="s">
        <v>2816</v>
      </c>
      <c r="G2087" s="153" t="s">
        <v>2817</v>
      </c>
      <c r="H2087" s="153" t="s">
        <v>321</v>
      </c>
      <c r="I2087" s="153" t="s">
        <v>951</v>
      </c>
      <c r="J2087" s="153" t="s">
        <v>204</v>
      </c>
      <c r="K2087" s="153" t="s">
        <v>204</v>
      </c>
      <c r="L2087" s="153" t="s">
        <v>325</v>
      </c>
      <c r="M2087" s="153" t="s">
        <v>340</v>
      </c>
      <c r="N2087" s="153" t="s">
        <v>451</v>
      </c>
      <c r="O2087" s="153" t="s">
        <v>339</v>
      </c>
      <c r="P2087" s="153" t="s">
        <v>1521</v>
      </c>
      <c r="Q2087" s="153" t="s">
        <v>413</v>
      </c>
      <c r="R2087" s="153" t="s">
        <v>407</v>
      </c>
      <c r="S2087" s="153" t="s">
        <v>1212</v>
      </c>
      <c r="T2087" s="154">
        <v>3.62</v>
      </c>
      <c r="U2087" s="153" t="s">
        <v>2818</v>
      </c>
      <c r="V2087" s="155">
        <v>4.7530000000000003E-2</v>
      </c>
      <c r="W2087" s="155">
        <v>5.79E-2</v>
      </c>
      <c r="X2087" s="153" t="s">
        <v>412</v>
      </c>
      <c r="Y2087" s="153" t="s">
        <v>339</v>
      </c>
      <c r="Z2087" s="154">
        <v>112283</v>
      </c>
      <c r="AA2087" s="154">
        <v>1</v>
      </c>
      <c r="AB2087" s="154">
        <v>90.3</v>
      </c>
      <c r="AD2087" s="154">
        <v>101.392</v>
      </c>
      <c r="AG2087" s="157" t="s">
        <v>15</v>
      </c>
      <c r="AH2087" s="155">
        <v>1.4999999999999999E-4</v>
      </c>
      <c r="AI2087" s="155">
        <f t="shared" si="32"/>
        <v>3.3867556582989613E-3</v>
      </c>
      <c r="AJ2087" s="155">
        <v>3.722319271566371E-4</v>
      </c>
    </row>
    <row r="2088" spans="1:36" s="160" customFormat="1">
      <c r="A2088" s="153" t="s">
        <v>1213</v>
      </c>
      <c r="B2088" s="160">
        <v>9888</v>
      </c>
      <c r="C2088" s="153" t="s">
        <v>2273</v>
      </c>
      <c r="D2088" s="153" t="s">
        <v>2274</v>
      </c>
      <c r="E2088" s="153" t="s">
        <v>309</v>
      </c>
      <c r="F2088" s="153" t="s">
        <v>2303</v>
      </c>
      <c r="G2088" s="153" t="s">
        <v>2304</v>
      </c>
      <c r="H2088" s="153" t="s">
        <v>321</v>
      </c>
      <c r="I2088" s="153" t="s">
        <v>754</v>
      </c>
      <c r="J2088" s="153" t="s">
        <v>204</v>
      </c>
      <c r="K2088" s="153" t="s">
        <v>204</v>
      </c>
      <c r="L2088" s="153" t="s">
        <v>325</v>
      </c>
      <c r="M2088" s="153" t="s">
        <v>340</v>
      </c>
      <c r="N2088" s="153" t="s">
        <v>477</v>
      </c>
      <c r="O2088" s="153" t="s">
        <v>339</v>
      </c>
      <c r="P2088" s="153" t="s">
        <v>1215</v>
      </c>
      <c r="Q2088" s="153" t="s">
        <v>413</v>
      </c>
      <c r="R2088" s="153" t="s">
        <v>407</v>
      </c>
      <c r="S2088" s="153" t="s">
        <v>1212</v>
      </c>
      <c r="T2088" s="154">
        <v>11.44</v>
      </c>
      <c r="U2088" s="153" t="s">
        <v>2305</v>
      </c>
      <c r="V2088" s="155">
        <v>6.0099999999999997E-3</v>
      </c>
      <c r="W2088" s="155">
        <v>3.2899999999999999E-2</v>
      </c>
      <c r="X2088" s="153" t="s">
        <v>412</v>
      </c>
      <c r="Y2088" s="153" t="s">
        <v>339</v>
      </c>
      <c r="Z2088" s="154">
        <v>96187</v>
      </c>
      <c r="AA2088" s="154">
        <v>1</v>
      </c>
      <c r="AB2088" s="154">
        <v>99.37</v>
      </c>
      <c r="AD2088" s="154">
        <v>95.581000000000003</v>
      </c>
      <c r="AG2088" s="157" t="s">
        <v>15</v>
      </c>
      <c r="AH2088" s="155">
        <v>2.0000000000000002E-5</v>
      </c>
      <c r="AI2088" s="155">
        <f t="shared" si="32"/>
        <v>3.1926531933078846E-3</v>
      </c>
      <c r="AJ2088" s="155">
        <v>3.5089849129673478E-4</v>
      </c>
    </row>
    <row r="2089" spans="1:36" s="160" customFormat="1">
      <c r="A2089" s="153" t="s">
        <v>1213</v>
      </c>
      <c r="B2089" s="160">
        <v>9888</v>
      </c>
      <c r="C2089" s="153" t="s">
        <v>2385</v>
      </c>
      <c r="D2089" s="153" t="s">
        <v>2386</v>
      </c>
      <c r="E2089" s="153" t="s">
        <v>309</v>
      </c>
      <c r="F2089" s="153" t="s">
        <v>2539</v>
      </c>
      <c r="G2089" s="153" t="s">
        <v>2540</v>
      </c>
      <c r="H2089" s="153" t="s">
        <v>321</v>
      </c>
      <c r="I2089" s="153" t="s">
        <v>951</v>
      </c>
      <c r="J2089" s="153" t="s">
        <v>204</v>
      </c>
      <c r="K2089" s="153" t="s">
        <v>204</v>
      </c>
      <c r="L2089" s="153" t="s">
        <v>325</v>
      </c>
      <c r="M2089" s="153" t="s">
        <v>340</v>
      </c>
      <c r="N2089" s="153" t="s">
        <v>464</v>
      </c>
      <c r="O2089" s="153" t="s">
        <v>339</v>
      </c>
      <c r="P2089" s="153" t="s">
        <v>1211</v>
      </c>
      <c r="Q2089" s="153" t="s">
        <v>415</v>
      </c>
      <c r="R2089" s="153" t="s">
        <v>407</v>
      </c>
      <c r="S2089" s="153" t="s">
        <v>1212</v>
      </c>
      <c r="T2089" s="154">
        <v>0.25</v>
      </c>
      <c r="U2089" s="153" t="s">
        <v>2541</v>
      </c>
      <c r="V2089" s="155">
        <v>9.7999999999999997E-4</v>
      </c>
      <c r="W2089" s="155">
        <v>4.5199999999999997E-2</v>
      </c>
      <c r="X2089" s="153" t="s">
        <v>412</v>
      </c>
      <c r="Y2089" s="153" t="s">
        <v>339</v>
      </c>
      <c r="Z2089" s="154">
        <v>60810.25</v>
      </c>
      <c r="AA2089" s="154">
        <v>1</v>
      </c>
      <c r="AB2089" s="154">
        <v>99.71</v>
      </c>
      <c r="AD2089" s="154">
        <v>60.634</v>
      </c>
      <c r="AG2089" s="157" t="s">
        <v>15</v>
      </c>
      <c r="AH2089" s="155">
        <v>5.8E-4</v>
      </c>
      <c r="AI2089" s="155">
        <f t="shared" si="32"/>
        <v>2.0253327933692916E-3</v>
      </c>
      <c r="AJ2089" s="155">
        <v>2.2260050764572682E-4</v>
      </c>
    </row>
    <row r="2090" spans="1:36" s="160" customFormat="1">
      <c r="A2090" s="153" t="s">
        <v>1213</v>
      </c>
      <c r="B2090" s="160">
        <v>9888</v>
      </c>
      <c r="C2090" s="153" t="s">
        <v>2361</v>
      </c>
      <c r="D2090" s="153" t="s">
        <v>2362</v>
      </c>
      <c r="E2090" s="153" t="s">
        <v>309</v>
      </c>
      <c r="F2090" s="153" t="s">
        <v>2363</v>
      </c>
      <c r="G2090" s="153" t="s">
        <v>2364</v>
      </c>
      <c r="H2090" s="153" t="s">
        <v>321</v>
      </c>
      <c r="I2090" s="153" t="s">
        <v>951</v>
      </c>
      <c r="J2090" s="153" t="s">
        <v>204</v>
      </c>
      <c r="K2090" s="153" t="s">
        <v>204</v>
      </c>
      <c r="L2090" s="153" t="s">
        <v>325</v>
      </c>
      <c r="M2090" s="153" t="s">
        <v>340</v>
      </c>
      <c r="N2090" s="153" t="s">
        <v>446</v>
      </c>
      <c r="O2090" s="153" t="s">
        <v>339</v>
      </c>
      <c r="P2090" s="153" t="s">
        <v>1538</v>
      </c>
      <c r="Q2090" s="153" t="s">
        <v>413</v>
      </c>
      <c r="R2090" s="153" t="s">
        <v>407</v>
      </c>
      <c r="S2090" s="153" t="s">
        <v>1212</v>
      </c>
      <c r="T2090" s="154">
        <v>2.62</v>
      </c>
      <c r="U2090" s="153" t="s">
        <v>1587</v>
      </c>
      <c r="V2090" s="155">
        <v>4.8869999999999997E-2</v>
      </c>
      <c r="W2090" s="155">
        <v>5.2200000000000003E-2</v>
      </c>
      <c r="X2090" s="153" t="s">
        <v>412</v>
      </c>
      <c r="Y2090" s="153" t="s">
        <v>339</v>
      </c>
      <c r="Z2090" s="154">
        <v>61321.43</v>
      </c>
      <c r="AA2090" s="154">
        <v>1</v>
      </c>
      <c r="AB2090" s="154">
        <v>90.15</v>
      </c>
      <c r="AD2090" s="154">
        <v>55.280999999999999</v>
      </c>
      <c r="AG2090" s="157" t="s">
        <v>15</v>
      </c>
      <c r="AH2090" s="155">
        <v>6.9999999999999994E-5</v>
      </c>
      <c r="AI2090" s="155">
        <f t="shared" si="32"/>
        <v>1.8465287157411322E-3</v>
      </c>
      <c r="AJ2090" s="155">
        <v>2.0294848868891092E-4</v>
      </c>
    </row>
    <row r="2091" spans="1:36" s="160" customFormat="1">
      <c r="A2091" s="153" t="s">
        <v>1213</v>
      </c>
      <c r="B2091" s="160">
        <v>9888</v>
      </c>
      <c r="C2091" s="153" t="s">
        <v>2757</v>
      </c>
      <c r="D2091" s="153" t="s">
        <v>2758</v>
      </c>
      <c r="E2091" s="153" t="s">
        <v>309</v>
      </c>
      <c r="F2091" s="153" t="s">
        <v>2784</v>
      </c>
      <c r="G2091" s="153" t="s">
        <v>2785</v>
      </c>
      <c r="H2091" s="153" t="s">
        <v>321</v>
      </c>
      <c r="I2091" s="153" t="s">
        <v>951</v>
      </c>
      <c r="J2091" s="153" t="s">
        <v>204</v>
      </c>
      <c r="K2091" s="153" t="s">
        <v>204</v>
      </c>
      <c r="L2091" s="153" t="s">
        <v>325</v>
      </c>
      <c r="M2091" s="153" t="s">
        <v>340</v>
      </c>
      <c r="N2091" s="153" t="s">
        <v>440</v>
      </c>
      <c r="O2091" s="153" t="s">
        <v>339</v>
      </c>
      <c r="P2091" s="153" t="s">
        <v>1521</v>
      </c>
      <c r="Q2091" s="153" t="s">
        <v>413</v>
      </c>
      <c r="R2091" s="153" t="s">
        <v>407</v>
      </c>
      <c r="S2091" s="153" t="s">
        <v>1212</v>
      </c>
      <c r="T2091" s="154">
        <v>2.31</v>
      </c>
      <c r="U2091" s="153" t="s">
        <v>2786</v>
      </c>
      <c r="V2091" s="155">
        <v>5.7149999999999999E-2</v>
      </c>
      <c r="W2091" s="155">
        <v>5.8999999999999997E-2</v>
      </c>
      <c r="X2091" s="153" t="s">
        <v>412</v>
      </c>
      <c r="Y2091" s="153" t="s">
        <v>339</v>
      </c>
      <c r="Z2091" s="154">
        <v>54226.75</v>
      </c>
      <c r="AA2091" s="154">
        <v>1</v>
      </c>
      <c r="AB2091" s="154">
        <v>93.07</v>
      </c>
      <c r="AD2091" s="154">
        <v>50.469000000000001</v>
      </c>
      <c r="AG2091" s="157" t="s">
        <v>15</v>
      </c>
      <c r="AH2091" s="155">
        <v>8.0000000000000007E-5</v>
      </c>
      <c r="AI2091" s="155">
        <f t="shared" si="32"/>
        <v>1.6857954406530129E-3</v>
      </c>
      <c r="AJ2091" s="155">
        <v>1.8528259755866655E-4</v>
      </c>
    </row>
    <row r="2092" spans="1:36" s="160" customFormat="1">
      <c r="A2092" s="153" t="s">
        <v>1213</v>
      </c>
      <c r="B2092" s="160">
        <v>9888</v>
      </c>
      <c r="C2092" s="153" t="s">
        <v>1759</v>
      </c>
      <c r="D2092" s="153" t="s">
        <v>1760</v>
      </c>
      <c r="E2092" s="153" t="s">
        <v>309</v>
      </c>
      <c r="F2092" s="153" t="s">
        <v>2819</v>
      </c>
      <c r="G2092" s="153" t="s">
        <v>2820</v>
      </c>
      <c r="H2092" s="153" t="s">
        <v>321</v>
      </c>
      <c r="I2092" s="153" t="s">
        <v>754</v>
      </c>
      <c r="J2092" s="153" t="s">
        <v>204</v>
      </c>
      <c r="K2092" s="153" t="s">
        <v>204</v>
      </c>
      <c r="L2092" s="153" t="s">
        <v>325</v>
      </c>
      <c r="M2092" s="153" t="s">
        <v>340</v>
      </c>
      <c r="N2092" s="153" t="s">
        <v>465</v>
      </c>
      <c r="O2092" s="153" t="s">
        <v>339</v>
      </c>
      <c r="P2092" s="153" t="s">
        <v>1614</v>
      </c>
      <c r="Q2092" s="153" t="s">
        <v>415</v>
      </c>
      <c r="R2092" s="153" t="s">
        <v>407</v>
      </c>
      <c r="S2092" s="153" t="s">
        <v>1212</v>
      </c>
      <c r="T2092" s="154">
        <v>0.74</v>
      </c>
      <c r="U2092" s="153" t="s">
        <v>2821</v>
      </c>
      <c r="V2092" s="155">
        <v>3.3579999999999999E-2</v>
      </c>
      <c r="W2092" s="155">
        <v>2.7099999999999999E-2</v>
      </c>
      <c r="X2092" s="153" t="s">
        <v>412</v>
      </c>
      <c r="Y2092" s="153" t="s">
        <v>339</v>
      </c>
      <c r="Z2092" s="154">
        <v>42087.4</v>
      </c>
      <c r="AA2092" s="154">
        <v>1</v>
      </c>
      <c r="AB2092" s="154">
        <v>118.92</v>
      </c>
      <c r="AD2092" s="154">
        <v>50.05</v>
      </c>
      <c r="AG2092" s="157" t="s">
        <v>15</v>
      </c>
      <c r="AH2092" s="155">
        <v>2.9E-4</v>
      </c>
      <c r="AI2092" s="155">
        <f t="shared" si="32"/>
        <v>1.6717997543974181E-3</v>
      </c>
      <c r="AJ2092" s="155">
        <v>1.8374435807745864E-4</v>
      </c>
    </row>
    <row r="2093" spans="1:36" s="160" customFormat="1">
      <c r="A2093" s="153" t="s">
        <v>1213</v>
      </c>
      <c r="B2093" s="160">
        <v>9888</v>
      </c>
      <c r="C2093" s="153" t="s">
        <v>2789</v>
      </c>
      <c r="D2093" s="153" t="s">
        <v>2790</v>
      </c>
      <c r="E2093" s="153" t="s">
        <v>309</v>
      </c>
      <c r="F2093" s="153" t="s">
        <v>2791</v>
      </c>
      <c r="G2093" s="153" t="s">
        <v>2792</v>
      </c>
      <c r="H2093" s="153" t="s">
        <v>321</v>
      </c>
      <c r="I2093" s="153" t="s">
        <v>951</v>
      </c>
      <c r="J2093" s="153" t="s">
        <v>204</v>
      </c>
      <c r="K2093" s="153" t="s">
        <v>204</v>
      </c>
      <c r="L2093" s="153" t="s">
        <v>325</v>
      </c>
      <c r="M2093" s="153" t="s">
        <v>340</v>
      </c>
      <c r="N2093" s="153" t="s">
        <v>441</v>
      </c>
      <c r="O2093" s="153" t="s">
        <v>339</v>
      </c>
      <c r="P2093" s="153" t="s">
        <v>1614</v>
      </c>
      <c r="Q2093" s="153" t="s">
        <v>415</v>
      </c>
      <c r="R2093" s="153" t="s">
        <v>407</v>
      </c>
      <c r="S2093" s="153" t="s">
        <v>1212</v>
      </c>
      <c r="T2093" s="154">
        <v>2.86</v>
      </c>
      <c r="U2093" s="153" t="s">
        <v>2793</v>
      </c>
      <c r="V2093" s="155">
        <v>1.6740000000000001E-2</v>
      </c>
      <c r="W2093" s="155">
        <v>5.9200000000000003E-2</v>
      </c>
      <c r="X2093" s="153" t="s">
        <v>412</v>
      </c>
      <c r="Y2093" s="153" t="s">
        <v>339</v>
      </c>
      <c r="Z2093" s="154">
        <v>49774.02</v>
      </c>
      <c r="AA2093" s="154">
        <v>1</v>
      </c>
      <c r="AB2093" s="154">
        <v>90.04</v>
      </c>
      <c r="AD2093" s="154">
        <v>44.817</v>
      </c>
      <c r="AG2093" s="157" t="s">
        <v>15</v>
      </c>
      <c r="AH2093" s="155">
        <v>1.1E-4</v>
      </c>
      <c r="AI2093" s="155">
        <f t="shared" si="32"/>
        <v>1.4970039878687131E-3</v>
      </c>
      <c r="AJ2093" s="155">
        <v>1.6453288503411517E-4</v>
      </c>
    </row>
    <row r="2094" spans="1:36" s="160" customFormat="1">
      <c r="A2094" s="153" t="s">
        <v>1213</v>
      </c>
      <c r="B2094" s="160">
        <v>9888</v>
      </c>
      <c r="C2094" s="153" t="s">
        <v>2408</v>
      </c>
      <c r="D2094" s="153" t="s">
        <v>2409</v>
      </c>
      <c r="E2094" s="153" t="s">
        <v>309</v>
      </c>
      <c r="F2094" s="153" t="s">
        <v>2410</v>
      </c>
      <c r="G2094" s="153" t="s">
        <v>2411</v>
      </c>
      <c r="H2094" s="153" t="s">
        <v>321</v>
      </c>
      <c r="I2094" s="153" t="s">
        <v>951</v>
      </c>
      <c r="J2094" s="153" t="s">
        <v>204</v>
      </c>
      <c r="K2094" s="153" t="s">
        <v>204</v>
      </c>
      <c r="L2094" s="153" t="s">
        <v>325</v>
      </c>
      <c r="M2094" s="153" t="s">
        <v>340</v>
      </c>
      <c r="N2094" s="153" t="s">
        <v>451</v>
      </c>
      <c r="O2094" s="153" t="s">
        <v>339</v>
      </c>
      <c r="P2094" s="153" t="s">
        <v>1521</v>
      </c>
      <c r="Q2094" s="153" t="s">
        <v>413</v>
      </c>
      <c r="R2094" s="153" t="s">
        <v>407</v>
      </c>
      <c r="S2094" s="153" t="s">
        <v>1212</v>
      </c>
      <c r="T2094" s="154">
        <v>1.46</v>
      </c>
      <c r="U2094" s="153" t="s">
        <v>1522</v>
      </c>
      <c r="V2094" s="155">
        <v>2.1659999999999999E-2</v>
      </c>
      <c r="W2094" s="155">
        <v>5.8700000000000002E-2</v>
      </c>
      <c r="X2094" s="153" t="s">
        <v>412</v>
      </c>
      <c r="Y2094" s="153" t="s">
        <v>339</v>
      </c>
      <c r="Z2094" s="154">
        <v>44704.800000000003</v>
      </c>
      <c r="AA2094" s="154">
        <v>1</v>
      </c>
      <c r="AB2094" s="154">
        <v>97.35</v>
      </c>
      <c r="AD2094" s="154">
        <v>43.52</v>
      </c>
      <c r="AG2094" s="157" t="s">
        <v>15</v>
      </c>
      <c r="AH2094" s="155">
        <v>8.0000000000000007E-5</v>
      </c>
      <c r="AI2094" s="155">
        <f t="shared" si="32"/>
        <v>1.4536808254021108E-3</v>
      </c>
      <c r="AJ2094" s="155">
        <v>1.5977131795266735E-4</v>
      </c>
    </row>
    <row r="2095" spans="1:36" s="160" customFormat="1">
      <c r="A2095" s="153" t="s">
        <v>1213</v>
      </c>
      <c r="B2095" s="160">
        <v>9888</v>
      </c>
      <c r="C2095" s="153" t="s">
        <v>1577</v>
      </c>
      <c r="D2095" s="153" t="s">
        <v>1578</v>
      </c>
      <c r="E2095" s="153" t="s">
        <v>309</v>
      </c>
      <c r="F2095" s="153" t="s">
        <v>1579</v>
      </c>
      <c r="G2095" s="153" t="s">
        <v>1580</v>
      </c>
      <c r="H2095" s="153" t="s">
        <v>321</v>
      </c>
      <c r="I2095" s="153" t="s">
        <v>754</v>
      </c>
      <c r="J2095" s="153" t="s">
        <v>204</v>
      </c>
      <c r="K2095" s="153" t="s">
        <v>204</v>
      </c>
      <c r="L2095" s="153" t="s">
        <v>325</v>
      </c>
      <c r="M2095" s="153" t="s">
        <v>340</v>
      </c>
      <c r="N2095" s="153" t="s">
        <v>456</v>
      </c>
      <c r="O2095" s="153" t="s">
        <v>339</v>
      </c>
      <c r="P2095" s="153" t="s">
        <v>1566</v>
      </c>
      <c r="Q2095" s="153" t="s">
        <v>413</v>
      </c>
      <c r="R2095" s="153" t="s">
        <v>407</v>
      </c>
      <c r="S2095" s="153" t="s">
        <v>1212</v>
      </c>
      <c r="T2095" s="154">
        <v>5.0199999999999996</v>
      </c>
      <c r="U2095" s="153" t="s">
        <v>1581</v>
      </c>
      <c r="V2095" s="155">
        <v>2.0549999999999999E-2</v>
      </c>
      <c r="W2095" s="155">
        <v>5.1499999999999997E-2</v>
      </c>
      <c r="X2095" s="153" t="s">
        <v>412</v>
      </c>
      <c r="Y2095" s="153" t="s">
        <v>339</v>
      </c>
      <c r="Z2095" s="154">
        <v>28296.400000000001</v>
      </c>
      <c r="AA2095" s="154">
        <v>1</v>
      </c>
      <c r="AB2095" s="154">
        <v>141.9</v>
      </c>
      <c r="AD2095" s="154">
        <v>40.152999999999999</v>
      </c>
      <c r="AG2095" s="157" t="s">
        <v>15</v>
      </c>
      <c r="AH2095" s="155">
        <v>1.0000000000000001E-5</v>
      </c>
      <c r="AI2095" s="155">
        <f t="shared" si="32"/>
        <v>1.3412142964699207E-3</v>
      </c>
      <c r="AJ2095" s="155">
        <v>1.4741033386382011E-4</v>
      </c>
    </row>
    <row r="2096" spans="1:36" s="160" customFormat="1">
      <c r="A2096" s="153" t="s">
        <v>1213</v>
      </c>
      <c r="B2096" s="160">
        <v>9888</v>
      </c>
      <c r="C2096" s="153" t="s">
        <v>2824</v>
      </c>
      <c r="D2096" s="153" t="s">
        <v>2825</v>
      </c>
      <c r="E2096" s="153" t="s">
        <v>309</v>
      </c>
      <c r="F2096" s="153" t="s">
        <v>2826</v>
      </c>
      <c r="G2096" s="153" t="s">
        <v>2827</v>
      </c>
      <c r="H2096" s="153" t="s">
        <v>321</v>
      </c>
      <c r="I2096" s="153" t="s">
        <v>951</v>
      </c>
      <c r="J2096" s="153" t="s">
        <v>204</v>
      </c>
      <c r="K2096" s="153" t="s">
        <v>204</v>
      </c>
      <c r="L2096" s="153" t="s">
        <v>325</v>
      </c>
      <c r="M2096" s="153" t="s">
        <v>340</v>
      </c>
      <c r="N2096" s="153" t="s">
        <v>463</v>
      </c>
      <c r="O2096" s="153" t="s">
        <v>339</v>
      </c>
      <c r="P2096" s="153" t="s">
        <v>1521</v>
      </c>
      <c r="Q2096" s="153" t="s">
        <v>413</v>
      </c>
      <c r="R2096" s="153" t="s">
        <v>407</v>
      </c>
      <c r="S2096" s="153" t="s">
        <v>1212</v>
      </c>
      <c r="T2096" s="154">
        <v>5.46</v>
      </c>
      <c r="U2096" s="153" t="s">
        <v>2828</v>
      </c>
      <c r="V2096" s="155">
        <v>2.24E-2</v>
      </c>
      <c r="W2096" s="155">
        <v>6.0199999999999997E-2</v>
      </c>
      <c r="X2096" s="153" t="s">
        <v>412</v>
      </c>
      <c r="Y2096" s="153" t="s">
        <v>339</v>
      </c>
      <c r="Z2096" s="154">
        <v>34681.5</v>
      </c>
      <c r="AA2096" s="154">
        <v>1</v>
      </c>
      <c r="AB2096" s="154">
        <v>82.39</v>
      </c>
      <c r="AD2096" s="154">
        <v>28.574000000000002</v>
      </c>
      <c r="AG2096" s="157" t="s">
        <v>15</v>
      </c>
      <c r="AH2096" s="155">
        <v>4.0000000000000003E-5</v>
      </c>
      <c r="AI2096" s="155">
        <f t="shared" si="32"/>
        <v>9.5444567796507151E-4</v>
      </c>
      <c r="AJ2096" s="155">
        <v>1.0490132442967641E-4</v>
      </c>
    </row>
    <row r="2097" spans="1:36" s="160" customFormat="1">
      <c r="A2097" s="153" t="s">
        <v>1213</v>
      </c>
      <c r="B2097" s="160">
        <v>9888</v>
      </c>
      <c r="C2097" s="153" t="s">
        <v>2780</v>
      </c>
      <c r="D2097" s="153" t="s">
        <v>2781</v>
      </c>
      <c r="E2097" s="153" t="s">
        <v>309</v>
      </c>
      <c r="F2097" s="153" t="s">
        <v>2782</v>
      </c>
      <c r="G2097" s="153" t="s">
        <v>2783</v>
      </c>
      <c r="H2097" s="153" t="s">
        <v>321</v>
      </c>
      <c r="I2097" s="153" t="s">
        <v>754</v>
      </c>
      <c r="J2097" s="153" t="s">
        <v>204</v>
      </c>
      <c r="K2097" s="153" t="s">
        <v>204</v>
      </c>
      <c r="L2097" s="153" t="s">
        <v>325</v>
      </c>
      <c r="M2097" s="153" t="s">
        <v>340</v>
      </c>
      <c r="N2097" s="153" t="s">
        <v>464</v>
      </c>
      <c r="O2097" s="153" t="s">
        <v>339</v>
      </c>
      <c r="P2097" s="153" t="s">
        <v>1560</v>
      </c>
      <c r="Q2097" s="153" t="s">
        <v>413</v>
      </c>
      <c r="R2097" s="153" t="s">
        <v>407</v>
      </c>
      <c r="S2097" s="153" t="s">
        <v>1212</v>
      </c>
      <c r="T2097" s="154">
        <v>1.44</v>
      </c>
      <c r="U2097" s="153" t="s">
        <v>1741</v>
      </c>
      <c r="V2097" s="155">
        <v>2.3650000000000001E-2</v>
      </c>
      <c r="W2097" s="155">
        <v>2.7900000000000001E-2</v>
      </c>
      <c r="X2097" s="153" t="s">
        <v>412</v>
      </c>
      <c r="Y2097" s="153" t="s">
        <v>339</v>
      </c>
      <c r="Z2097" s="154">
        <v>22983.66</v>
      </c>
      <c r="AA2097" s="154">
        <v>1</v>
      </c>
      <c r="AB2097" s="154">
        <v>118.52</v>
      </c>
      <c r="AD2097" s="154">
        <v>27.24</v>
      </c>
      <c r="AG2097" s="157" t="s">
        <v>15</v>
      </c>
      <c r="AH2097" s="155">
        <v>6.9999999999999994E-5</v>
      </c>
      <c r="AI2097" s="155">
        <f t="shared" si="32"/>
        <v>9.0988661957613719E-4</v>
      </c>
      <c r="AJ2097" s="155">
        <v>1.0000392235824123E-4</v>
      </c>
    </row>
    <row r="2098" spans="1:36" s="160" customFormat="1">
      <c r="A2098" s="153" t="s">
        <v>1213</v>
      </c>
      <c r="B2098" s="160">
        <v>9888</v>
      </c>
      <c r="C2098" s="153" t="s">
        <v>2336</v>
      </c>
      <c r="D2098" s="153" t="s">
        <v>2337</v>
      </c>
      <c r="E2098" s="153" t="s">
        <v>309</v>
      </c>
      <c r="F2098" s="153" t="s">
        <v>2796</v>
      </c>
      <c r="G2098" s="153" t="s">
        <v>2797</v>
      </c>
      <c r="H2098" s="153" t="s">
        <v>321</v>
      </c>
      <c r="I2098" s="153" t="s">
        <v>754</v>
      </c>
      <c r="J2098" s="153" t="s">
        <v>204</v>
      </c>
      <c r="K2098" s="153" t="s">
        <v>204</v>
      </c>
      <c r="L2098" s="153" t="s">
        <v>325</v>
      </c>
      <c r="M2098" s="153" t="s">
        <v>340</v>
      </c>
      <c r="N2098" s="153" t="s">
        <v>464</v>
      </c>
      <c r="O2098" s="153" t="s">
        <v>339</v>
      </c>
      <c r="P2098" s="153" t="s">
        <v>1982</v>
      </c>
      <c r="Q2098" s="153" t="s">
        <v>415</v>
      </c>
      <c r="R2098" s="153" t="s">
        <v>407</v>
      </c>
      <c r="S2098" s="153" t="s">
        <v>1212</v>
      </c>
      <c r="T2098" s="154">
        <v>2.91</v>
      </c>
      <c r="U2098" s="153" t="s">
        <v>2798</v>
      </c>
      <c r="V2098" s="155">
        <v>6.3099999999999996E-3</v>
      </c>
      <c r="W2098" s="155">
        <v>2.76E-2</v>
      </c>
      <c r="X2098" s="153" t="s">
        <v>412</v>
      </c>
      <c r="Y2098" s="153" t="s">
        <v>339</v>
      </c>
      <c r="Z2098" s="154">
        <v>15291</v>
      </c>
      <c r="AA2098" s="154">
        <v>1</v>
      </c>
      <c r="AB2098" s="154">
        <v>114.46</v>
      </c>
      <c r="AD2098" s="154">
        <v>17.501999999999999</v>
      </c>
      <c r="AG2098" s="157" t="s">
        <v>15</v>
      </c>
      <c r="AH2098" s="155">
        <v>1.0000000000000001E-5</v>
      </c>
      <c r="AI2098" s="155">
        <f t="shared" si="32"/>
        <v>5.846121738554168E-4</v>
      </c>
      <c r="AJ2098" s="155">
        <v>6.4253621479953664E-5</v>
      </c>
    </row>
    <row r="2099" spans="1:36" s="160" customFormat="1">
      <c r="A2099" s="153" t="s">
        <v>1213</v>
      </c>
      <c r="B2099" s="160">
        <v>9888</v>
      </c>
      <c r="C2099" s="153" t="s">
        <v>2238</v>
      </c>
      <c r="D2099" s="153" t="s">
        <v>2239</v>
      </c>
      <c r="E2099" s="153" t="s">
        <v>309</v>
      </c>
      <c r="F2099" s="153" t="s">
        <v>2794</v>
      </c>
      <c r="G2099" s="153" t="s">
        <v>2795</v>
      </c>
      <c r="H2099" s="153" t="s">
        <v>321</v>
      </c>
      <c r="I2099" s="153" t="s">
        <v>951</v>
      </c>
      <c r="J2099" s="153" t="s">
        <v>204</v>
      </c>
      <c r="K2099" s="153" t="s">
        <v>204</v>
      </c>
      <c r="L2099" s="153" t="s">
        <v>325</v>
      </c>
      <c r="M2099" s="153" t="s">
        <v>340</v>
      </c>
      <c r="N2099" s="153" t="s">
        <v>447</v>
      </c>
      <c r="O2099" s="153" t="s">
        <v>339</v>
      </c>
      <c r="P2099" s="153" t="s">
        <v>1544</v>
      </c>
      <c r="Q2099" s="153" t="s">
        <v>415</v>
      </c>
      <c r="R2099" s="153" t="s">
        <v>407</v>
      </c>
      <c r="S2099" s="153" t="s">
        <v>1212</v>
      </c>
      <c r="T2099" s="154">
        <v>0.74</v>
      </c>
      <c r="U2099" s="153" t="s">
        <v>1848</v>
      </c>
      <c r="V2099" s="155">
        <v>5.2380000000000003E-2</v>
      </c>
      <c r="W2099" s="155">
        <v>5.4600000000000003E-2</v>
      </c>
      <c r="X2099" s="153" t="s">
        <v>412</v>
      </c>
      <c r="Y2099" s="153" t="s">
        <v>339</v>
      </c>
      <c r="Z2099" s="154">
        <v>16968</v>
      </c>
      <c r="AA2099" s="154">
        <v>1</v>
      </c>
      <c r="AB2099" s="154">
        <v>100.18</v>
      </c>
      <c r="AD2099" s="154">
        <v>16.998999999999999</v>
      </c>
      <c r="AG2099" s="157" t="s">
        <v>15</v>
      </c>
      <c r="AH2099" s="155">
        <v>1.6000000000000001E-4</v>
      </c>
      <c r="AI2099" s="155">
        <f t="shared" si="32"/>
        <v>5.6781066983020397E-4</v>
      </c>
      <c r="AJ2099" s="155">
        <v>6.2406999859315079E-5</v>
      </c>
    </row>
    <row r="2100" spans="1:36" s="160" customFormat="1">
      <c r="A2100" s="153" t="s">
        <v>1213</v>
      </c>
      <c r="B2100" s="160">
        <v>9888</v>
      </c>
      <c r="C2100" s="153" t="s">
        <v>2883</v>
      </c>
      <c r="D2100" s="153">
        <v>53368</v>
      </c>
      <c r="E2100" s="153" t="s">
        <v>311</v>
      </c>
      <c r="F2100" s="153" t="s">
        <v>2885</v>
      </c>
      <c r="G2100" s="153" t="s">
        <v>2886</v>
      </c>
      <c r="H2100" s="153" t="s">
        <v>321</v>
      </c>
      <c r="I2100" s="153" t="s">
        <v>755</v>
      </c>
      <c r="J2100" s="153" t="s">
        <v>204</v>
      </c>
      <c r="K2100" s="153" t="s">
        <v>204</v>
      </c>
      <c r="L2100" s="153" t="s">
        <v>325</v>
      </c>
      <c r="M2100" s="153" t="s">
        <v>340</v>
      </c>
      <c r="N2100" s="153" t="s">
        <v>480</v>
      </c>
      <c r="O2100" s="153" t="s">
        <v>339</v>
      </c>
      <c r="P2100" s="153" t="s">
        <v>1566</v>
      </c>
      <c r="Q2100" s="153" t="s">
        <v>413</v>
      </c>
      <c r="R2100" s="153" t="s">
        <v>407</v>
      </c>
      <c r="S2100" s="153" t="s">
        <v>1212</v>
      </c>
      <c r="T2100" s="154">
        <v>0.73</v>
      </c>
      <c r="U2100" s="153" t="s">
        <v>1749</v>
      </c>
      <c r="V2100" s="155">
        <v>3.2149999999999998E-2</v>
      </c>
      <c r="W2100" s="155">
        <v>7.2599999999999998E-2</v>
      </c>
      <c r="X2100" s="153" t="s">
        <v>412</v>
      </c>
      <c r="Y2100" s="153" t="s">
        <v>339</v>
      </c>
      <c r="Z2100" s="154">
        <v>15500</v>
      </c>
      <c r="AA2100" s="154">
        <v>1</v>
      </c>
      <c r="AB2100" s="154">
        <v>103.4</v>
      </c>
      <c r="AD2100" s="154">
        <v>16.027000000000001</v>
      </c>
      <c r="AG2100" s="157" t="s">
        <v>15</v>
      </c>
      <c r="AH2100" s="155">
        <v>1.1E-4</v>
      </c>
      <c r="AI2100" s="155">
        <f t="shared" si="32"/>
        <v>5.3534334992462386E-4</v>
      </c>
      <c r="AJ2100" s="155">
        <v>5.8838577960188411E-5</v>
      </c>
    </row>
    <row r="2101" spans="1:36" s="160" customFormat="1">
      <c r="A2101" s="153" t="s">
        <v>1213</v>
      </c>
      <c r="B2101" s="160">
        <v>9888</v>
      </c>
      <c r="C2101" s="153" t="s">
        <v>2753</v>
      </c>
      <c r="D2101" s="153" t="s">
        <v>2754</v>
      </c>
      <c r="E2101" s="153" t="s">
        <v>309</v>
      </c>
      <c r="F2101" s="153" t="s">
        <v>2843</v>
      </c>
      <c r="G2101" s="153" t="s">
        <v>2844</v>
      </c>
      <c r="H2101" s="153" t="s">
        <v>321</v>
      </c>
      <c r="I2101" s="153" t="s">
        <v>951</v>
      </c>
      <c r="J2101" s="153" t="s">
        <v>204</v>
      </c>
      <c r="K2101" s="153" t="s">
        <v>204</v>
      </c>
      <c r="L2101" s="153" t="s">
        <v>325</v>
      </c>
      <c r="M2101" s="153" t="s">
        <v>340</v>
      </c>
      <c r="N2101" s="153" t="s">
        <v>447</v>
      </c>
      <c r="O2101" s="153" t="s">
        <v>339</v>
      </c>
      <c r="P2101" s="153" t="s">
        <v>1586</v>
      </c>
      <c r="Q2101" s="153" t="s">
        <v>415</v>
      </c>
      <c r="R2101" s="153" t="s">
        <v>407</v>
      </c>
      <c r="S2101" s="153" t="s">
        <v>1212</v>
      </c>
      <c r="T2101" s="154">
        <v>0.73</v>
      </c>
      <c r="U2101" s="153" t="s">
        <v>1848</v>
      </c>
      <c r="V2101" s="155">
        <v>3.5839999999999997E-2</v>
      </c>
      <c r="W2101" s="155">
        <v>6.1499999999999999E-2</v>
      </c>
      <c r="X2101" s="153" t="s">
        <v>412</v>
      </c>
      <c r="Y2101" s="153" t="s">
        <v>339</v>
      </c>
      <c r="Z2101" s="154">
        <v>15366</v>
      </c>
      <c r="AA2101" s="154">
        <v>1</v>
      </c>
      <c r="AB2101" s="154">
        <v>99.92</v>
      </c>
      <c r="AD2101" s="154">
        <v>15.353999999999999</v>
      </c>
      <c r="AG2101" s="157" t="s">
        <v>15</v>
      </c>
      <c r="AH2101" s="155">
        <v>2.3000000000000001E-4</v>
      </c>
      <c r="AI2101" s="155">
        <f t="shared" si="32"/>
        <v>5.12863405175184E-4</v>
      </c>
      <c r="AJ2101" s="155">
        <v>5.6367849628797206E-5</v>
      </c>
    </row>
    <row r="2102" spans="1:36" s="160" customFormat="1">
      <c r="A2102" s="153" t="s">
        <v>1213</v>
      </c>
      <c r="B2102" s="160">
        <v>9888</v>
      </c>
      <c r="C2102" s="153" t="s">
        <v>2771</v>
      </c>
      <c r="D2102" s="153" t="s">
        <v>2772</v>
      </c>
      <c r="E2102" s="153" t="s">
        <v>309</v>
      </c>
      <c r="F2102" s="153" t="s">
        <v>2822</v>
      </c>
      <c r="G2102" s="153" t="s">
        <v>2823</v>
      </c>
      <c r="H2102" s="153" t="s">
        <v>321</v>
      </c>
      <c r="I2102" s="153" t="s">
        <v>951</v>
      </c>
      <c r="J2102" s="153" t="s">
        <v>204</v>
      </c>
      <c r="K2102" s="153" t="s">
        <v>204</v>
      </c>
      <c r="L2102" s="153" t="s">
        <v>325</v>
      </c>
      <c r="M2102" s="153" t="s">
        <v>340</v>
      </c>
      <c r="N2102" s="153" t="s">
        <v>447</v>
      </c>
      <c r="O2102" s="153" t="s">
        <v>339</v>
      </c>
      <c r="P2102" s="153" t="s">
        <v>1614</v>
      </c>
      <c r="Q2102" s="153" t="s">
        <v>415</v>
      </c>
      <c r="R2102" s="153" t="s">
        <v>407</v>
      </c>
      <c r="S2102" s="153" t="s">
        <v>1212</v>
      </c>
      <c r="T2102" s="154">
        <v>1.36</v>
      </c>
      <c r="U2102" s="153" t="s">
        <v>1659</v>
      </c>
      <c r="V2102" s="155">
        <v>2.818E-2</v>
      </c>
      <c r="W2102" s="155">
        <v>5.9299999999999999E-2</v>
      </c>
      <c r="X2102" s="153" t="s">
        <v>412</v>
      </c>
      <c r="Y2102" s="153" t="s">
        <v>339</v>
      </c>
      <c r="Z2102" s="154">
        <v>9296.24</v>
      </c>
      <c r="AA2102" s="154">
        <v>1</v>
      </c>
      <c r="AB2102" s="154">
        <v>96.89</v>
      </c>
      <c r="AD2102" s="154">
        <v>9.0069999999999997</v>
      </c>
      <c r="AG2102" s="157" t="s">
        <v>15</v>
      </c>
      <c r="AH2102" s="155">
        <v>3.0000000000000001E-5</v>
      </c>
      <c r="AI2102" s="155">
        <f t="shared" si="32"/>
        <v>3.0085715060654435E-4</v>
      </c>
      <c r="AJ2102" s="155">
        <v>3.3066642022051352E-5</v>
      </c>
    </row>
    <row r="2103" spans="1:36" s="160" customFormat="1">
      <c r="A2103" s="153" t="s">
        <v>1213</v>
      </c>
      <c r="B2103" s="160">
        <v>9888</v>
      </c>
      <c r="C2103" s="153" t="s">
        <v>2576</v>
      </c>
      <c r="D2103" s="153" t="s">
        <v>2577</v>
      </c>
      <c r="E2103" s="153" t="s">
        <v>309</v>
      </c>
      <c r="F2103" s="153" t="s">
        <v>2578</v>
      </c>
      <c r="G2103" s="153" t="s">
        <v>2579</v>
      </c>
      <c r="H2103" s="153" t="s">
        <v>321</v>
      </c>
      <c r="I2103" s="153" t="s">
        <v>755</v>
      </c>
      <c r="J2103" s="153" t="s">
        <v>204</v>
      </c>
      <c r="K2103" s="153" t="s">
        <v>204</v>
      </c>
      <c r="L2103" s="153" t="s">
        <v>325</v>
      </c>
      <c r="M2103" s="153" t="s">
        <v>340</v>
      </c>
      <c r="N2103" s="153" t="s">
        <v>451</v>
      </c>
      <c r="O2103" s="153" t="s">
        <v>339</v>
      </c>
      <c r="P2103" s="153" t="s">
        <v>1521</v>
      </c>
      <c r="Q2103" s="153" t="s">
        <v>413</v>
      </c>
      <c r="R2103" s="153" t="s">
        <v>407</v>
      </c>
      <c r="S2103" s="153" t="s">
        <v>1212</v>
      </c>
      <c r="T2103" s="154">
        <v>1.48</v>
      </c>
      <c r="U2103" s="153" t="s">
        <v>1522</v>
      </c>
      <c r="V2103" s="155">
        <v>5.4469999999999998E-2</v>
      </c>
      <c r="W2103" s="155">
        <v>7.0099999999999996E-2</v>
      </c>
      <c r="X2103" s="153" t="s">
        <v>412</v>
      </c>
      <c r="Y2103" s="153" t="s">
        <v>339</v>
      </c>
      <c r="Z2103" s="154">
        <v>7834.5</v>
      </c>
      <c r="AA2103" s="154">
        <v>1</v>
      </c>
      <c r="AB2103" s="154">
        <v>105.21</v>
      </c>
      <c r="AD2103" s="154">
        <v>8.2430000000000003</v>
      </c>
      <c r="AG2103" s="157" t="s">
        <v>15</v>
      </c>
      <c r="AH2103" s="155">
        <v>6.9999999999999994E-5</v>
      </c>
      <c r="AI2103" s="155">
        <f t="shared" si="32"/>
        <v>2.7533756994001837E-4</v>
      </c>
      <c r="AJ2103" s="155">
        <v>3.0261833039610224E-5</v>
      </c>
    </row>
    <row r="2104" spans="1:36" s="160" customFormat="1">
      <c r="A2104" s="153" t="s">
        <v>1213</v>
      </c>
      <c r="B2104" s="160">
        <v>9888</v>
      </c>
      <c r="C2104" s="153" t="s">
        <v>2757</v>
      </c>
      <c r="D2104" s="153" t="s">
        <v>2758</v>
      </c>
      <c r="E2104" s="153" t="s">
        <v>309</v>
      </c>
      <c r="F2104" s="153" t="s">
        <v>2759</v>
      </c>
      <c r="G2104" s="153" t="s">
        <v>2760</v>
      </c>
      <c r="H2104" s="153" t="s">
        <v>321</v>
      </c>
      <c r="I2104" s="153" t="s">
        <v>755</v>
      </c>
      <c r="J2104" s="153" t="s">
        <v>204</v>
      </c>
      <c r="K2104" s="153" t="s">
        <v>204</v>
      </c>
      <c r="L2104" s="153" t="s">
        <v>325</v>
      </c>
      <c r="M2104" s="153" t="s">
        <v>340</v>
      </c>
      <c r="N2104" s="153" t="s">
        <v>440</v>
      </c>
      <c r="O2104" s="153" t="s">
        <v>339</v>
      </c>
      <c r="P2104" s="153" t="s">
        <v>1521</v>
      </c>
      <c r="Q2104" s="153" t="s">
        <v>413</v>
      </c>
      <c r="R2104" s="153" t="s">
        <v>407</v>
      </c>
      <c r="S2104" s="153" t="s">
        <v>1212</v>
      </c>
      <c r="T2104" s="154">
        <v>0.74</v>
      </c>
      <c r="U2104" s="153" t="s">
        <v>2761</v>
      </c>
      <c r="V2104" s="155">
        <v>4.249E-2</v>
      </c>
      <c r="W2104" s="155">
        <v>7.5899999999999995E-2</v>
      </c>
      <c r="X2104" s="153" t="s">
        <v>412</v>
      </c>
      <c r="Y2104" s="153" t="s">
        <v>339</v>
      </c>
      <c r="Z2104" s="154">
        <v>6900</v>
      </c>
      <c r="AA2104" s="154">
        <v>1</v>
      </c>
      <c r="AB2104" s="154">
        <v>100.15</v>
      </c>
      <c r="AD2104" s="154">
        <v>6.91</v>
      </c>
      <c r="AG2104" s="157" t="s">
        <v>15</v>
      </c>
      <c r="AH2104" s="155">
        <v>3.0000000000000001E-5</v>
      </c>
      <c r="AI2104" s="155">
        <f t="shared" si="32"/>
        <v>2.3081191414357961E-4</v>
      </c>
      <c r="AJ2104" s="155">
        <v>2.5368102184120667E-5</v>
      </c>
    </row>
    <row r="2105" spans="1:36" s="160" customFormat="1">
      <c r="A2105" s="153" t="s">
        <v>1213</v>
      </c>
      <c r="B2105" s="160">
        <v>9888</v>
      </c>
      <c r="C2105" s="153" t="s">
        <v>1973</v>
      </c>
      <c r="D2105" s="153" t="s">
        <v>1974</v>
      </c>
      <c r="E2105" s="153" t="s">
        <v>309</v>
      </c>
      <c r="F2105" s="153" t="s">
        <v>2004</v>
      </c>
      <c r="G2105" s="153" t="s">
        <v>2005</v>
      </c>
      <c r="H2105" s="153" t="s">
        <v>321</v>
      </c>
      <c r="I2105" s="153" t="s">
        <v>754</v>
      </c>
      <c r="J2105" s="153" t="s">
        <v>204</v>
      </c>
      <c r="K2105" s="153" t="s">
        <v>204</v>
      </c>
      <c r="L2105" s="153" t="s">
        <v>325</v>
      </c>
      <c r="M2105" s="153" t="s">
        <v>340</v>
      </c>
      <c r="N2105" s="153" t="s">
        <v>464</v>
      </c>
      <c r="O2105" s="153" t="s">
        <v>339</v>
      </c>
      <c r="P2105" s="153" t="s">
        <v>1538</v>
      </c>
      <c r="Q2105" s="153" t="s">
        <v>413</v>
      </c>
      <c r="R2105" s="153" t="s">
        <v>407</v>
      </c>
      <c r="S2105" s="153" t="s">
        <v>1212</v>
      </c>
      <c r="T2105" s="154">
        <v>3.44</v>
      </c>
      <c r="U2105" s="153" t="s">
        <v>1913</v>
      </c>
      <c r="V2105" s="155">
        <v>4.4319999999999998E-2</v>
      </c>
      <c r="W2105" s="155">
        <v>2.93E-2</v>
      </c>
      <c r="X2105" s="153" t="s">
        <v>412</v>
      </c>
      <c r="Y2105" s="153" t="s">
        <v>339</v>
      </c>
      <c r="Z2105" s="154">
        <v>1697.25</v>
      </c>
      <c r="AA2105" s="154">
        <v>1</v>
      </c>
      <c r="AB2105" s="154">
        <v>117.13</v>
      </c>
      <c r="AD2105" s="154">
        <v>1.988</v>
      </c>
      <c r="AG2105" s="157" t="s">
        <v>15</v>
      </c>
      <c r="AH2105" s="155">
        <v>0</v>
      </c>
      <c r="AI2105" s="155">
        <f t="shared" si="32"/>
        <v>6.640435388096038E-5</v>
      </c>
      <c r="AJ2105" s="155">
        <v>7.2983772998598962E-6</v>
      </c>
    </row>
    <row r="2106" spans="1:36" s="160" customFormat="1">
      <c r="A2106" s="153" t="s">
        <v>1213</v>
      </c>
      <c r="B2106" s="160">
        <v>9888</v>
      </c>
      <c r="C2106" s="153" t="s">
        <v>1917</v>
      </c>
      <c r="D2106" s="153" t="s">
        <v>1918</v>
      </c>
      <c r="E2106" s="153" t="s">
        <v>309</v>
      </c>
      <c r="F2106" s="153" t="s">
        <v>2799</v>
      </c>
      <c r="G2106" s="153" t="s">
        <v>2800</v>
      </c>
      <c r="H2106" s="153" t="s">
        <v>321</v>
      </c>
      <c r="I2106" s="153" t="s">
        <v>951</v>
      </c>
      <c r="J2106" s="153" t="s">
        <v>204</v>
      </c>
      <c r="K2106" s="153" t="s">
        <v>204</v>
      </c>
      <c r="L2106" s="153" t="s">
        <v>325</v>
      </c>
      <c r="M2106" s="153" t="s">
        <v>340</v>
      </c>
      <c r="N2106" s="153" t="s">
        <v>447</v>
      </c>
      <c r="O2106" s="153" t="s">
        <v>339</v>
      </c>
      <c r="P2106" s="153" t="s">
        <v>1560</v>
      </c>
      <c r="Q2106" s="153" t="s">
        <v>413</v>
      </c>
      <c r="R2106" s="153" t="s">
        <v>407</v>
      </c>
      <c r="S2106" s="153" t="s">
        <v>1212</v>
      </c>
      <c r="T2106" s="154">
        <v>0.6</v>
      </c>
      <c r="U2106" s="153" t="s">
        <v>2801</v>
      </c>
      <c r="V2106" s="155">
        <v>5.9389999999999998E-2</v>
      </c>
      <c r="W2106" s="155">
        <v>6.13E-2</v>
      </c>
      <c r="X2106" s="153" t="s">
        <v>412</v>
      </c>
      <c r="Y2106" s="153" t="s">
        <v>339</v>
      </c>
      <c r="Z2106" s="154">
        <v>1591.33</v>
      </c>
      <c r="AA2106" s="154">
        <v>1</v>
      </c>
      <c r="AB2106" s="154">
        <v>100.56</v>
      </c>
      <c r="AD2106" s="154">
        <v>1.6</v>
      </c>
      <c r="AG2106" s="157" t="s">
        <v>15</v>
      </c>
      <c r="AH2106" s="155">
        <v>1.0000000000000001E-5</v>
      </c>
      <c r="AI2106" s="155">
        <f t="shared" si="32"/>
        <v>5.3444147992724661E-5</v>
      </c>
      <c r="AJ2106" s="155">
        <v>5.8739455129657113E-6</v>
      </c>
    </row>
    <row r="2107" spans="1:36" s="160" customFormat="1">
      <c r="A2107" s="153" t="s">
        <v>1213</v>
      </c>
      <c r="B2107" s="160">
        <v>9888</v>
      </c>
      <c r="C2107" s="153" t="s">
        <v>1986</v>
      </c>
      <c r="D2107" s="153" t="s">
        <v>1987</v>
      </c>
      <c r="E2107" s="153" t="s">
        <v>309</v>
      </c>
      <c r="F2107" s="153" t="s">
        <v>2504</v>
      </c>
      <c r="G2107" s="153" t="s">
        <v>2505</v>
      </c>
      <c r="H2107" s="153" t="s">
        <v>321</v>
      </c>
      <c r="I2107" s="153" t="s">
        <v>951</v>
      </c>
      <c r="J2107" s="153" t="s">
        <v>204</v>
      </c>
      <c r="K2107" s="153" t="s">
        <v>204</v>
      </c>
      <c r="L2107" s="153" t="s">
        <v>325</v>
      </c>
      <c r="M2107" s="153" t="s">
        <v>340</v>
      </c>
      <c r="N2107" s="153" t="s">
        <v>484</v>
      </c>
      <c r="O2107" s="153" t="s">
        <v>339</v>
      </c>
      <c r="P2107" s="153" t="s">
        <v>1538</v>
      </c>
      <c r="Q2107" s="153" t="s">
        <v>413</v>
      </c>
      <c r="R2107" s="153" t="s">
        <v>407</v>
      </c>
      <c r="S2107" s="153" t="s">
        <v>1212</v>
      </c>
      <c r="T2107" s="154">
        <v>0.65</v>
      </c>
      <c r="U2107" s="153" t="s">
        <v>2372</v>
      </c>
      <c r="V2107" s="155">
        <v>3.066E-2</v>
      </c>
      <c r="W2107" s="155">
        <v>5.0500000000000003E-2</v>
      </c>
      <c r="X2107" s="153" t="s">
        <v>412</v>
      </c>
      <c r="Y2107" s="153" t="s">
        <v>339</v>
      </c>
      <c r="Z2107" s="154">
        <v>521.83000000000004</v>
      </c>
      <c r="AA2107" s="154">
        <v>1</v>
      </c>
      <c r="AB2107" s="154">
        <v>100.35</v>
      </c>
      <c r="AD2107" s="154">
        <v>0.52400000000000002</v>
      </c>
      <c r="AG2107" s="157" t="s">
        <v>15</v>
      </c>
      <c r="AH2107" s="155">
        <v>0</v>
      </c>
      <c r="AI2107" s="155">
        <f t="shared" si="32"/>
        <v>1.7502958467617325E-5</v>
      </c>
      <c r="AJ2107" s="155">
        <v>1.9237171554962706E-6</v>
      </c>
    </row>
    <row r="2108" spans="1:36" s="160" customFormat="1">
      <c r="A2108" s="153" t="s">
        <v>1213</v>
      </c>
      <c r="B2108" s="160">
        <v>9888</v>
      </c>
      <c r="C2108" s="153" t="s">
        <v>2775</v>
      </c>
      <c r="D2108" s="153" t="s">
        <v>2776</v>
      </c>
      <c r="E2108" s="153" t="s">
        <v>80</v>
      </c>
      <c r="F2108" s="153" t="s">
        <v>2777</v>
      </c>
      <c r="G2108" s="153" t="s">
        <v>2778</v>
      </c>
      <c r="H2108" s="153" t="s">
        <v>321</v>
      </c>
      <c r="I2108" s="153" t="s">
        <v>755</v>
      </c>
      <c r="J2108" s="153" t="s">
        <v>205</v>
      </c>
      <c r="K2108" s="153" t="s">
        <v>224</v>
      </c>
      <c r="L2108" s="153" t="s">
        <v>325</v>
      </c>
      <c r="M2108" s="153" t="s">
        <v>314</v>
      </c>
      <c r="N2108" s="153" t="s">
        <v>546</v>
      </c>
      <c r="O2108" s="153" t="s">
        <v>339</v>
      </c>
      <c r="P2108" s="153" t="s">
        <v>2779</v>
      </c>
      <c r="Q2108" s="153" t="s">
        <v>433</v>
      </c>
      <c r="R2108" s="153" t="s">
        <v>407</v>
      </c>
      <c r="S2108" s="153" t="s">
        <v>1216</v>
      </c>
      <c r="T2108" s="154">
        <v>2.9239999999999999</v>
      </c>
      <c r="U2108" s="153" t="s">
        <v>1488</v>
      </c>
      <c r="V2108" s="155">
        <v>5.373E-2</v>
      </c>
      <c r="W2108" s="155">
        <v>4.6559999999999997E-2</v>
      </c>
      <c r="X2108" s="153" t="s">
        <v>412</v>
      </c>
      <c r="Y2108" s="153" t="s">
        <v>339</v>
      </c>
      <c r="Z2108" s="154">
        <v>171000</v>
      </c>
      <c r="AA2108" s="154">
        <v>3.71</v>
      </c>
      <c r="AB2108" s="154">
        <v>106.401</v>
      </c>
      <c r="AD2108" s="154">
        <v>675.01700000000005</v>
      </c>
      <c r="AG2108" s="157" t="s">
        <v>15</v>
      </c>
      <c r="AH2108" s="155">
        <v>1.7000000000000001E-4</v>
      </c>
      <c r="AI2108" s="155">
        <f t="shared" si="32"/>
        <v>2.2547317778503138E-2</v>
      </c>
      <c r="AJ2108" s="155">
        <v>2.4781331739534848E-3</v>
      </c>
    </row>
    <row r="2109" spans="1:36" s="160" customFormat="1">
      <c r="A2109" s="153" t="s">
        <v>1213</v>
      </c>
      <c r="B2109" s="160">
        <v>9888</v>
      </c>
      <c r="C2109" s="153" t="s">
        <v>2829</v>
      </c>
      <c r="D2109" s="153" t="s">
        <v>2830</v>
      </c>
      <c r="E2109" s="153" t="s">
        <v>80</v>
      </c>
      <c r="F2109" s="153" t="s">
        <v>2831</v>
      </c>
      <c r="G2109" s="153" t="s">
        <v>2832</v>
      </c>
      <c r="H2109" s="153" t="s">
        <v>321</v>
      </c>
      <c r="I2109" s="153" t="s">
        <v>755</v>
      </c>
      <c r="J2109" s="153" t="s">
        <v>205</v>
      </c>
      <c r="K2109" s="153" t="s">
        <v>245</v>
      </c>
      <c r="L2109" s="153" t="s">
        <v>325</v>
      </c>
      <c r="M2109" s="153" t="s">
        <v>314</v>
      </c>
      <c r="N2109" s="153" t="s">
        <v>491</v>
      </c>
      <c r="O2109" s="153" t="s">
        <v>339</v>
      </c>
      <c r="P2109" s="153" t="s">
        <v>2833</v>
      </c>
      <c r="Q2109" s="153" t="s">
        <v>433</v>
      </c>
      <c r="R2109" s="153" t="s">
        <v>407</v>
      </c>
      <c r="S2109" s="153" t="s">
        <v>1216</v>
      </c>
      <c r="T2109" s="154">
        <v>4.0339999999999998</v>
      </c>
      <c r="U2109" s="153" t="s">
        <v>2834</v>
      </c>
      <c r="V2109" s="155">
        <v>3.3059999999999999E-2</v>
      </c>
      <c r="W2109" s="155">
        <v>5.1709999999999999E-2</v>
      </c>
      <c r="X2109" s="153" t="s">
        <v>412</v>
      </c>
      <c r="Y2109" s="153" t="s">
        <v>339</v>
      </c>
      <c r="Z2109" s="154">
        <v>69000</v>
      </c>
      <c r="AA2109" s="154">
        <v>3.71</v>
      </c>
      <c r="AB2109" s="154">
        <v>95.608999999999995</v>
      </c>
      <c r="AD2109" s="154">
        <v>244.749</v>
      </c>
      <c r="AG2109" s="157" t="s">
        <v>15</v>
      </c>
      <c r="AH2109" s="155">
        <v>1.3999999999999999E-4</v>
      </c>
      <c r="AI2109" s="155">
        <f t="shared" si="32"/>
        <v>8.1752511106696051E-3</v>
      </c>
      <c r="AJ2109" s="155">
        <v>8.98526431470528E-4</v>
      </c>
    </row>
    <row r="2110" spans="1:36" s="160" customFormat="1">
      <c r="A2110" s="153" t="s">
        <v>1213</v>
      </c>
      <c r="B2110" s="160">
        <v>142</v>
      </c>
      <c r="E2110" s="177"/>
      <c r="X2110" s="177"/>
      <c r="Y2110" s="177"/>
    </row>
    <row r="2111" spans="1:36" s="160" customFormat="1">
      <c r="A2111" s="153" t="s">
        <v>1213</v>
      </c>
      <c r="B2111" s="160">
        <v>14318</v>
      </c>
      <c r="E2111" s="177"/>
      <c r="X2111" s="177"/>
      <c r="Y2111" s="177"/>
    </row>
    <row r="2112" spans="1:36" s="160" customFormat="1">
      <c r="A2112" s="153" t="s">
        <v>1213</v>
      </c>
      <c r="B2112" s="160">
        <v>14406</v>
      </c>
      <c r="E2112" s="177"/>
      <c r="X2112" s="177"/>
      <c r="Y2112" s="177"/>
    </row>
    <row r="2113" spans="1:2">
      <c r="A2113" t="s">
        <v>1213</v>
      </c>
      <c r="B2113" s="2">
        <v>58</v>
      </c>
    </row>
    <row r="2114" spans="1:2">
      <c r="A2114" t="s">
        <v>1213</v>
      </c>
      <c r="B2114" s="2">
        <v>15108</v>
      </c>
    </row>
  </sheetData>
  <sheetProtection formatColumns="0"/>
  <autoFilter ref="A1:AK2114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 Q81 Q205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210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13 L15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1359"/>
  <sheetViews>
    <sheetView rightToLeft="1" topLeftCell="D1" workbookViewId="0">
      <selection activeCell="H23" sqref="H23"/>
    </sheetView>
  </sheetViews>
  <sheetFormatPr defaultColWidth="9" defaultRowHeight="14.25"/>
  <cols>
    <col min="1" max="2" width="11.625" style="4" customWidth="1"/>
    <col min="3" max="3" width="31" style="4" bestFit="1" customWidth="1"/>
    <col min="4" max="4" width="11.625" style="4" customWidth="1"/>
    <col min="5" max="5" width="22.75" style="4" bestFit="1" customWidth="1"/>
    <col min="6" max="6" width="35" style="4" bestFit="1" customWidth="1"/>
    <col min="7" max="7" width="14.375" style="4" bestFit="1" customWidth="1"/>
    <col min="8" max="11" width="11.625" style="4" customWidth="1"/>
    <col min="12" max="13" width="11.625" style="2"/>
    <col min="14" max="19" width="11.625" style="4" customWidth="1"/>
    <col min="20" max="20" width="11.625" style="2" customWidth="1"/>
    <col min="21" max="25" width="11.625" style="4" customWidth="1"/>
    <col min="26" max="27" width="9" style="4"/>
    <col min="28" max="28" width="14" customWidth="1"/>
    <col min="29" max="29" width="21" customWidth="1"/>
    <col min="30" max="16384" width="9" style="4"/>
  </cols>
  <sheetData>
    <row r="1" spans="1:29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83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75</v>
      </c>
      <c r="U1" s="17" t="s">
        <v>63</v>
      </c>
      <c r="V1" s="17" t="s">
        <v>79</v>
      </c>
      <c r="W1" s="17" t="s">
        <v>64</v>
      </c>
      <c r="X1" s="17" t="s">
        <v>65</v>
      </c>
    </row>
    <row r="2" spans="1:29">
      <c r="A2" t="s">
        <v>1213</v>
      </c>
      <c r="B2" s="4">
        <v>12937</v>
      </c>
      <c r="C2" t="s">
        <v>1573</v>
      </c>
      <c r="D2" t="s">
        <v>1574</v>
      </c>
      <c r="E2" t="s">
        <v>309</v>
      </c>
      <c r="F2" t="s">
        <v>1573</v>
      </c>
      <c r="G2" t="s">
        <v>3404</v>
      </c>
      <c r="H2" t="s">
        <v>321</v>
      </c>
      <c r="I2" t="s">
        <v>917</v>
      </c>
      <c r="J2" t="s">
        <v>204</v>
      </c>
      <c r="K2" t="s">
        <v>204</v>
      </c>
      <c r="L2" t="s">
        <v>325</v>
      </c>
      <c r="M2" t="s">
        <v>340</v>
      </c>
      <c r="N2" t="s">
        <v>448</v>
      </c>
      <c r="O2" t="s">
        <v>339</v>
      </c>
      <c r="P2" t="s">
        <v>1212</v>
      </c>
      <c r="Q2" s="131">
        <v>185574</v>
      </c>
      <c r="R2" s="131">
        <v>1</v>
      </c>
      <c r="S2" s="131">
        <v>3644</v>
      </c>
      <c r="T2" s="109"/>
      <c r="U2" s="131">
        <v>6762.317</v>
      </c>
      <c r="V2" s="132">
        <v>1.1E-4</v>
      </c>
      <c r="W2" s="132">
        <f>U2/SUMIF(B:B,B2,U:U)</f>
        <v>4.319528769894216E-2</v>
      </c>
      <c r="X2" s="132">
        <v>6.2572147345291854E-3</v>
      </c>
      <c r="AC2" s="173"/>
    </row>
    <row r="3" spans="1:29">
      <c r="A3" t="s">
        <v>1213</v>
      </c>
      <c r="B3" s="4">
        <v>12937</v>
      </c>
      <c r="C3" t="s">
        <v>2089</v>
      </c>
      <c r="D3" t="s">
        <v>2090</v>
      </c>
      <c r="E3" t="s">
        <v>309</v>
      </c>
      <c r="F3" t="s">
        <v>2089</v>
      </c>
      <c r="G3" t="s">
        <v>3405</v>
      </c>
      <c r="H3" t="s">
        <v>321</v>
      </c>
      <c r="I3" t="s">
        <v>917</v>
      </c>
      <c r="J3" t="s">
        <v>204</v>
      </c>
      <c r="K3" t="s">
        <v>204</v>
      </c>
      <c r="L3" t="s">
        <v>325</v>
      </c>
      <c r="M3" t="s">
        <v>340</v>
      </c>
      <c r="N3" t="s">
        <v>467</v>
      </c>
      <c r="O3" t="s">
        <v>339</v>
      </c>
      <c r="P3" t="s">
        <v>1212</v>
      </c>
      <c r="Q3" s="131">
        <v>100940</v>
      </c>
      <c r="R3" s="131">
        <v>1</v>
      </c>
      <c r="S3" s="131">
        <v>6629</v>
      </c>
      <c r="T3" s="109"/>
      <c r="U3" s="131">
        <v>6691.3130000000001</v>
      </c>
      <c r="V3" s="132">
        <v>8.0000000000000007E-5</v>
      </c>
      <c r="W3" s="132">
        <f t="shared" ref="W3:W66" si="0">U3/SUMIF(B:B,B3,U:U)</f>
        <v>4.2741739276445007E-2</v>
      </c>
      <c r="X3" s="132">
        <v>6.1915142837797596E-3</v>
      </c>
      <c r="AC3" s="173"/>
    </row>
    <row r="4" spans="1:29">
      <c r="A4" t="s">
        <v>1213</v>
      </c>
      <c r="B4" s="4">
        <v>12937</v>
      </c>
      <c r="C4" t="s">
        <v>1600</v>
      </c>
      <c r="D4" t="s">
        <v>1601</v>
      </c>
      <c r="E4" t="s">
        <v>309</v>
      </c>
      <c r="F4" t="s">
        <v>1600</v>
      </c>
      <c r="G4" t="s">
        <v>3406</v>
      </c>
      <c r="H4" t="s">
        <v>321</v>
      </c>
      <c r="I4" t="s">
        <v>917</v>
      </c>
      <c r="J4" t="s">
        <v>204</v>
      </c>
      <c r="K4" t="s">
        <v>204</v>
      </c>
      <c r="L4" t="s">
        <v>325</v>
      </c>
      <c r="M4" t="s">
        <v>340</v>
      </c>
      <c r="N4" t="s">
        <v>448</v>
      </c>
      <c r="O4" t="s">
        <v>339</v>
      </c>
      <c r="P4" t="s">
        <v>1212</v>
      </c>
      <c r="Q4" s="131">
        <v>147475</v>
      </c>
      <c r="R4" s="131">
        <v>1</v>
      </c>
      <c r="S4" s="131">
        <v>3729</v>
      </c>
      <c r="T4" s="109"/>
      <c r="U4" s="131">
        <v>5499.3429999999998</v>
      </c>
      <c r="V4" s="132">
        <v>1.1E-4</v>
      </c>
      <c r="W4" s="132">
        <f t="shared" si="0"/>
        <v>3.5127856774558729E-2</v>
      </c>
      <c r="X4" s="132">
        <v>5.0885768960298571E-3</v>
      </c>
      <c r="AC4" s="173"/>
    </row>
    <row r="5" spans="1:29">
      <c r="A5" t="s">
        <v>1213</v>
      </c>
      <c r="B5" s="4">
        <v>12937</v>
      </c>
      <c r="C5" t="s">
        <v>1881</v>
      </c>
      <c r="D5" t="s">
        <v>1882</v>
      </c>
      <c r="E5" t="s">
        <v>309</v>
      </c>
      <c r="F5" t="s">
        <v>3407</v>
      </c>
      <c r="G5" t="s">
        <v>3408</v>
      </c>
      <c r="H5" t="s">
        <v>321</v>
      </c>
      <c r="I5" t="s">
        <v>917</v>
      </c>
      <c r="J5" t="s">
        <v>204</v>
      </c>
      <c r="K5" t="s">
        <v>204</v>
      </c>
      <c r="L5" t="s">
        <v>325</v>
      </c>
      <c r="M5" t="s">
        <v>340</v>
      </c>
      <c r="N5" t="s">
        <v>448</v>
      </c>
      <c r="O5" t="s">
        <v>339</v>
      </c>
      <c r="P5" t="s">
        <v>1212</v>
      </c>
      <c r="Q5" s="131">
        <v>30000</v>
      </c>
      <c r="R5" s="131">
        <v>1</v>
      </c>
      <c r="S5" s="131">
        <v>14550</v>
      </c>
      <c r="T5" s="109"/>
      <c r="U5" s="131">
        <v>4365</v>
      </c>
      <c r="V5" s="132">
        <v>1.2E-4</v>
      </c>
      <c r="W5" s="132">
        <f t="shared" si="0"/>
        <v>2.7882075153513583E-2</v>
      </c>
      <c r="X5" s="132">
        <v>4.0389621362352428E-3</v>
      </c>
      <c r="AC5" s="173"/>
    </row>
    <row r="6" spans="1:29">
      <c r="A6" t="s">
        <v>1213</v>
      </c>
      <c r="B6" s="4">
        <v>12937</v>
      </c>
      <c r="C6" t="s">
        <v>1807</v>
      </c>
      <c r="D6" t="s">
        <v>1808</v>
      </c>
      <c r="E6" t="s">
        <v>309</v>
      </c>
      <c r="F6" t="s">
        <v>1807</v>
      </c>
      <c r="G6" t="s">
        <v>3409</v>
      </c>
      <c r="H6" t="s">
        <v>321</v>
      </c>
      <c r="I6" t="s">
        <v>917</v>
      </c>
      <c r="J6" t="s">
        <v>204</v>
      </c>
      <c r="K6" t="s">
        <v>204</v>
      </c>
      <c r="L6" t="s">
        <v>325</v>
      </c>
      <c r="M6" t="s">
        <v>340</v>
      </c>
      <c r="N6" t="s">
        <v>464</v>
      </c>
      <c r="O6" t="s">
        <v>339</v>
      </c>
      <c r="P6" t="s">
        <v>1212</v>
      </c>
      <c r="Q6" s="131">
        <v>16323</v>
      </c>
      <c r="R6" s="131">
        <v>1</v>
      </c>
      <c r="S6" s="131">
        <v>25940</v>
      </c>
      <c r="T6" s="109"/>
      <c r="U6" s="131">
        <v>4234.1859999999997</v>
      </c>
      <c r="V6" s="132">
        <v>1.2999999999999999E-4</v>
      </c>
      <c r="W6" s="132">
        <f t="shared" si="0"/>
        <v>2.70464816187755E-2</v>
      </c>
      <c r="X6" s="132">
        <v>3.9179191138092448E-3</v>
      </c>
      <c r="AC6" s="173"/>
    </row>
    <row r="7" spans="1:29">
      <c r="A7" t="s">
        <v>1213</v>
      </c>
      <c r="B7" s="4">
        <v>12937</v>
      </c>
      <c r="C7" t="s">
        <v>3410</v>
      </c>
      <c r="D7" t="s">
        <v>3411</v>
      </c>
      <c r="E7" t="s">
        <v>309</v>
      </c>
      <c r="F7" t="s">
        <v>3410</v>
      </c>
      <c r="G7" t="s">
        <v>3412</v>
      </c>
      <c r="H7" t="s">
        <v>321</v>
      </c>
      <c r="I7" t="s">
        <v>917</v>
      </c>
      <c r="J7" t="s">
        <v>204</v>
      </c>
      <c r="K7" t="s">
        <v>204</v>
      </c>
      <c r="L7" t="s">
        <v>325</v>
      </c>
      <c r="M7" t="s">
        <v>340</v>
      </c>
      <c r="N7" t="s">
        <v>480</v>
      </c>
      <c r="O7" t="s">
        <v>339</v>
      </c>
      <c r="P7" t="s">
        <v>1212</v>
      </c>
      <c r="Q7" s="131">
        <v>6000</v>
      </c>
      <c r="R7" s="131">
        <v>1</v>
      </c>
      <c r="S7" s="131">
        <v>64880</v>
      </c>
      <c r="T7" s="109"/>
      <c r="U7" s="131">
        <v>3892.8</v>
      </c>
      <c r="V7" s="132">
        <v>8.0000000000000007E-5</v>
      </c>
      <c r="W7" s="132">
        <f t="shared" si="0"/>
        <v>2.486582867298916E-2</v>
      </c>
      <c r="X7" s="132">
        <v>3.6020324865834027E-3</v>
      </c>
      <c r="AC7" s="173"/>
    </row>
    <row r="8" spans="1:29">
      <c r="A8" t="s">
        <v>1213</v>
      </c>
      <c r="B8" s="4">
        <v>12937</v>
      </c>
      <c r="C8" t="s">
        <v>3113</v>
      </c>
      <c r="D8" t="s">
        <v>3114</v>
      </c>
      <c r="E8" t="s">
        <v>309</v>
      </c>
      <c r="F8" t="s">
        <v>3113</v>
      </c>
      <c r="G8" t="s">
        <v>3413</v>
      </c>
      <c r="H8" t="s">
        <v>321</v>
      </c>
      <c r="I8" t="s">
        <v>917</v>
      </c>
      <c r="J8" t="s">
        <v>204</v>
      </c>
      <c r="K8" t="s">
        <v>204</v>
      </c>
      <c r="L8" t="s">
        <v>325</v>
      </c>
      <c r="M8" t="s">
        <v>340</v>
      </c>
      <c r="N8" t="s">
        <v>448</v>
      </c>
      <c r="O8" t="s">
        <v>339</v>
      </c>
      <c r="P8" t="s">
        <v>1212</v>
      </c>
      <c r="Q8" s="131">
        <v>185749</v>
      </c>
      <c r="R8" s="131">
        <v>1</v>
      </c>
      <c r="S8" s="131">
        <v>2085</v>
      </c>
      <c r="T8" s="109"/>
      <c r="U8" s="131">
        <v>3872.8670000000002</v>
      </c>
      <c r="V8" s="132">
        <v>1.4999999999999999E-4</v>
      </c>
      <c r="W8" s="132">
        <f t="shared" si="0"/>
        <v>2.4738503723611156E-2</v>
      </c>
      <c r="X8" s="132">
        <v>3.5835883554810942E-3</v>
      </c>
      <c r="AC8" s="173"/>
    </row>
    <row r="9" spans="1:29">
      <c r="A9" t="s">
        <v>1213</v>
      </c>
      <c r="B9" s="4">
        <v>12937</v>
      </c>
      <c r="C9" t="s">
        <v>3320</v>
      </c>
      <c r="D9" t="s">
        <v>3321</v>
      </c>
      <c r="E9" t="s">
        <v>309</v>
      </c>
      <c r="F9" t="s">
        <v>3320</v>
      </c>
      <c r="G9" t="s">
        <v>3414</v>
      </c>
      <c r="H9" t="s">
        <v>321</v>
      </c>
      <c r="I9" t="s">
        <v>917</v>
      </c>
      <c r="J9" t="s">
        <v>204</v>
      </c>
      <c r="K9" t="s">
        <v>204</v>
      </c>
      <c r="L9" t="s">
        <v>325</v>
      </c>
      <c r="M9" t="s">
        <v>340</v>
      </c>
      <c r="N9" t="s">
        <v>441</v>
      </c>
      <c r="O9" t="s">
        <v>339</v>
      </c>
      <c r="P9" t="s">
        <v>1212</v>
      </c>
      <c r="Q9" s="131">
        <v>248056</v>
      </c>
      <c r="R9" s="131">
        <v>1</v>
      </c>
      <c r="S9" s="131">
        <v>1472</v>
      </c>
      <c r="T9" s="109"/>
      <c r="U9" s="131">
        <v>3651.384</v>
      </c>
      <c r="V9" s="132">
        <v>1.39E-3</v>
      </c>
      <c r="W9" s="132">
        <f t="shared" si="0"/>
        <v>2.3323748706148235E-2</v>
      </c>
      <c r="X9" s="132">
        <v>3.3786487333001569E-3</v>
      </c>
      <c r="AC9" s="173"/>
    </row>
    <row r="10" spans="1:29">
      <c r="A10" t="s">
        <v>1213</v>
      </c>
      <c r="B10" s="4">
        <v>12937</v>
      </c>
      <c r="C10" t="s">
        <v>3415</v>
      </c>
      <c r="D10" t="s">
        <v>3416</v>
      </c>
      <c r="E10" t="s">
        <v>309</v>
      </c>
      <c r="F10" t="s">
        <v>3415</v>
      </c>
      <c r="G10" t="s">
        <v>3417</v>
      </c>
      <c r="H10" t="s">
        <v>321</v>
      </c>
      <c r="I10" t="s">
        <v>917</v>
      </c>
      <c r="J10" t="s">
        <v>204</v>
      </c>
      <c r="K10" t="s">
        <v>204</v>
      </c>
      <c r="L10" t="s">
        <v>325</v>
      </c>
      <c r="M10" t="s">
        <v>340</v>
      </c>
      <c r="N10" t="s">
        <v>458</v>
      </c>
      <c r="O10" t="s">
        <v>339</v>
      </c>
      <c r="P10" t="s">
        <v>1212</v>
      </c>
      <c r="Q10" s="131">
        <v>4350</v>
      </c>
      <c r="R10" s="131">
        <v>1</v>
      </c>
      <c r="S10" s="131">
        <v>77890</v>
      </c>
      <c r="T10" s="109"/>
      <c r="U10" s="131">
        <v>3388.2150000000001</v>
      </c>
      <c r="V10" s="132">
        <v>1.4999999999999999E-4</v>
      </c>
      <c r="W10" s="132">
        <f t="shared" si="0"/>
        <v>2.164271827405774E-2</v>
      </c>
      <c r="X10" s="132">
        <v>3.1351367913915905E-3</v>
      </c>
      <c r="AC10" s="173"/>
    </row>
    <row r="11" spans="1:29">
      <c r="A11" t="s">
        <v>1213</v>
      </c>
      <c r="B11" s="4">
        <v>12937</v>
      </c>
      <c r="C11" t="s">
        <v>2404</v>
      </c>
      <c r="D11" t="s">
        <v>2405</v>
      </c>
      <c r="E11" t="s">
        <v>309</v>
      </c>
      <c r="F11" t="s">
        <v>2404</v>
      </c>
      <c r="G11" t="s">
        <v>3418</v>
      </c>
      <c r="H11" t="s">
        <v>321</v>
      </c>
      <c r="I11" t="s">
        <v>917</v>
      </c>
      <c r="J11" t="s">
        <v>204</v>
      </c>
      <c r="K11" t="s">
        <v>204</v>
      </c>
      <c r="L11" t="s">
        <v>325</v>
      </c>
      <c r="M11" t="s">
        <v>340</v>
      </c>
      <c r="N11" t="s">
        <v>440</v>
      </c>
      <c r="O11" t="s">
        <v>339</v>
      </c>
      <c r="P11" t="s">
        <v>1212</v>
      </c>
      <c r="Q11" s="131">
        <v>107927</v>
      </c>
      <c r="R11" s="131">
        <v>1</v>
      </c>
      <c r="S11" s="131">
        <v>3016</v>
      </c>
      <c r="T11" s="109"/>
      <c r="U11" s="131">
        <v>3255.078</v>
      </c>
      <c r="V11" s="132">
        <v>4.2000000000000002E-4</v>
      </c>
      <c r="W11" s="132">
        <f t="shared" si="0"/>
        <v>2.0792286237468198E-2</v>
      </c>
      <c r="X11" s="132">
        <v>3.0119442823579243E-3</v>
      </c>
      <c r="AC11" s="173"/>
    </row>
    <row r="12" spans="1:29">
      <c r="A12" t="s">
        <v>1213</v>
      </c>
      <c r="B12" s="4">
        <v>12937</v>
      </c>
      <c r="C12" t="s">
        <v>2128</v>
      </c>
      <c r="D12" t="s">
        <v>2129</v>
      </c>
      <c r="E12" t="s">
        <v>309</v>
      </c>
      <c r="F12" t="s">
        <v>3419</v>
      </c>
      <c r="G12" t="s">
        <v>3420</v>
      </c>
      <c r="H12" t="s">
        <v>321</v>
      </c>
      <c r="I12" t="s">
        <v>917</v>
      </c>
      <c r="J12" t="s">
        <v>204</v>
      </c>
      <c r="K12" t="s">
        <v>204</v>
      </c>
      <c r="L12" t="s">
        <v>325</v>
      </c>
      <c r="M12" t="s">
        <v>340</v>
      </c>
      <c r="N12" t="s">
        <v>445</v>
      </c>
      <c r="O12" t="s">
        <v>339</v>
      </c>
      <c r="P12" t="s">
        <v>1212</v>
      </c>
      <c r="Q12" s="131">
        <v>72615</v>
      </c>
      <c r="R12" s="131">
        <v>1</v>
      </c>
      <c r="S12" s="131">
        <v>4200</v>
      </c>
      <c r="T12" s="109"/>
      <c r="U12" s="131">
        <v>3049.83</v>
      </c>
      <c r="V12" s="132">
        <v>2.7999999999999998E-4</v>
      </c>
      <c r="W12" s="132">
        <f t="shared" si="0"/>
        <v>1.9481234654167314E-2</v>
      </c>
      <c r="X12" s="132">
        <v>2.8220270084660546E-3</v>
      </c>
      <c r="AC12" s="173"/>
    </row>
    <row r="13" spans="1:29">
      <c r="A13" t="s">
        <v>1213</v>
      </c>
      <c r="B13" s="4">
        <v>12937</v>
      </c>
      <c r="C13" t="s">
        <v>1769</v>
      </c>
      <c r="D13" t="s">
        <v>1770</v>
      </c>
      <c r="E13" t="s">
        <v>309</v>
      </c>
      <c r="F13" t="s">
        <v>3421</v>
      </c>
      <c r="G13" t="s">
        <v>3422</v>
      </c>
      <c r="H13" t="s">
        <v>321</v>
      </c>
      <c r="I13" t="s">
        <v>917</v>
      </c>
      <c r="J13" t="s">
        <v>204</v>
      </c>
      <c r="K13" t="s">
        <v>204</v>
      </c>
      <c r="L13" t="s">
        <v>325</v>
      </c>
      <c r="M13" t="s">
        <v>340</v>
      </c>
      <c r="N13" t="s">
        <v>464</v>
      </c>
      <c r="O13" t="s">
        <v>339</v>
      </c>
      <c r="P13" t="s">
        <v>1212</v>
      </c>
      <c r="Q13" s="131">
        <v>11857</v>
      </c>
      <c r="R13" s="131">
        <v>1</v>
      </c>
      <c r="S13" s="131">
        <v>25580</v>
      </c>
      <c r="T13" s="109"/>
      <c r="U13" s="131">
        <v>3033.0210000000002</v>
      </c>
      <c r="V13" s="132">
        <v>1.6100000000000001E-3</v>
      </c>
      <c r="W13" s="132">
        <f t="shared" si="0"/>
        <v>1.9373864711153477E-2</v>
      </c>
      <c r="X13" s="132">
        <v>2.8064735343428068E-3</v>
      </c>
      <c r="AC13" s="173"/>
    </row>
    <row r="14" spans="1:29">
      <c r="A14" t="s">
        <v>1213</v>
      </c>
      <c r="B14" s="4">
        <v>12937</v>
      </c>
      <c r="C14" t="s">
        <v>3423</v>
      </c>
      <c r="D14" t="s">
        <v>3424</v>
      </c>
      <c r="E14" t="s">
        <v>309</v>
      </c>
      <c r="F14" t="s">
        <v>3423</v>
      </c>
      <c r="G14" t="s">
        <v>3425</v>
      </c>
      <c r="H14" t="s">
        <v>321</v>
      </c>
      <c r="I14" t="s">
        <v>917</v>
      </c>
      <c r="J14" t="s">
        <v>204</v>
      </c>
      <c r="K14" t="s">
        <v>204</v>
      </c>
      <c r="L14" t="s">
        <v>325</v>
      </c>
      <c r="M14" t="s">
        <v>340</v>
      </c>
      <c r="N14" t="s">
        <v>458</v>
      </c>
      <c r="O14" t="s">
        <v>339</v>
      </c>
      <c r="P14" t="s">
        <v>1212</v>
      </c>
      <c r="Q14" s="131">
        <v>18039</v>
      </c>
      <c r="R14" s="131">
        <v>1</v>
      </c>
      <c r="S14" s="131">
        <v>16470</v>
      </c>
      <c r="T14" s="109"/>
      <c r="U14" s="131">
        <v>2971.0230000000001</v>
      </c>
      <c r="V14" s="132">
        <v>1.6000000000000001E-4</v>
      </c>
      <c r="W14" s="132">
        <f t="shared" si="0"/>
        <v>1.8977843429282337E-2</v>
      </c>
      <c r="X14" s="132">
        <v>2.7491063924132966E-3</v>
      </c>
      <c r="AC14" s="173"/>
    </row>
    <row r="15" spans="1:29">
      <c r="A15" t="s">
        <v>1213</v>
      </c>
      <c r="B15" s="4">
        <v>12937</v>
      </c>
      <c r="C15" t="s">
        <v>2436</v>
      </c>
      <c r="D15" t="s">
        <v>2437</v>
      </c>
      <c r="E15" t="s">
        <v>309</v>
      </c>
      <c r="F15" t="s">
        <v>2436</v>
      </c>
      <c r="G15" t="s">
        <v>3426</v>
      </c>
      <c r="H15" t="s">
        <v>321</v>
      </c>
      <c r="I15" t="s">
        <v>917</v>
      </c>
      <c r="J15" t="s">
        <v>204</v>
      </c>
      <c r="K15" t="s">
        <v>204</v>
      </c>
      <c r="L15" t="s">
        <v>325</v>
      </c>
      <c r="M15" t="s">
        <v>340</v>
      </c>
      <c r="N15" t="s">
        <v>475</v>
      </c>
      <c r="O15" t="s">
        <v>339</v>
      </c>
      <c r="P15" t="s">
        <v>1212</v>
      </c>
      <c r="Q15" s="131">
        <v>88584</v>
      </c>
      <c r="R15" s="131">
        <v>1</v>
      </c>
      <c r="S15" s="131">
        <v>3310</v>
      </c>
      <c r="T15" s="109"/>
      <c r="U15" s="131">
        <v>2932.13</v>
      </c>
      <c r="V15" s="132">
        <v>3.2000000000000003E-4</v>
      </c>
      <c r="W15" s="132">
        <f t="shared" si="0"/>
        <v>1.8729408710165357E-2</v>
      </c>
      <c r="X15" s="132">
        <v>2.713118453269059E-3</v>
      </c>
      <c r="AC15" s="173"/>
    </row>
    <row r="16" spans="1:29">
      <c r="A16" t="s">
        <v>1213</v>
      </c>
      <c r="B16" s="4">
        <v>12937</v>
      </c>
      <c r="C16" t="s">
        <v>3427</v>
      </c>
      <c r="D16" t="s">
        <v>3428</v>
      </c>
      <c r="E16" t="s">
        <v>309</v>
      </c>
      <c r="F16" t="s">
        <v>3427</v>
      </c>
      <c r="G16" t="s">
        <v>3429</v>
      </c>
      <c r="H16" t="s">
        <v>321</v>
      </c>
      <c r="I16" t="s">
        <v>917</v>
      </c>
      <c r="J16" t="s">
        <v>204</v>
      </c>
      <c r="K16" t="s">
        <v>204</v>
      </c>
      <c r="L16" t="s">
        <v>325</v>
      </c>
      <c r="M16" t="s">
        <v>340</v>
      </c>
      <c r="N16" t="s">
        <v>439</v>
      </c>
      <c r="O16" t="s">
        <v>339</v>
      </c>
      <c r="P16" t="s">
        <v>1212</v>
      </c>
      <c r="Q16" s="131">
        <v>72989</v>
      </c>
      <c r="R16" s="131">
        <v>1</v>
      </c>
      <c r="S16" s="131">
        <v>3950</v>
      </c>
      <c r="T16" s="109"/>
      <c r="U16" s="131">
        <v>2883.0659999999998</v>
      </c>
      <c r="V16" s="132">
        <v>9.1E-4</v>
      </c>
      <c r="W16" s="132">
        <f t="shared" si="0"/>
        <v>1.8416005242735348E-2</v>
      </c>
      <c r="X16" s="132">
        <v>2.6677192234289106E-3</v>
      </c>
      <c r="AC16" s="173"/>
    </row>
    <row r="17" spans="1:29">
      <c r="A17" t="s">
        <v>1213</v>
      </c>
      <c r="B17" s="4">
        <v>12937</v>
      </c>
      <c r="C17" t="s">
        <v>3430</v>
      </c>
      <c r="D17" t="s">
        <v>3431</v>
      </c>
      <c r="E17" t="s">
        <v>309</v>
      </c>
      <c r="F17" t="s">
        <v>3430</v>
      </c>
      <c r="G17" t="s">
        <v>3432</v>
      </c>
      <c r="H17" t="s">
        <v>321</v>
      </c>
      <c r="I17" t="s">
        <v>917</v>
      </c>
      <c r="J17" t="s">
        <v>204</v>
      </c>
      <c r="K17" t="s">
        <v>204</v>
      </c>
      <c r="L17" t="s">
        <v>325</v>
      </c>
      <c r="M17" t="s">
        <v>340</v>
      </c>
      <c r="N17" t="s">
        <v>463</v>
      </c>
      <c r="O17" t="s">
        <v>339</v>
      </c>
      <c r="P17" t="s">
        <v>1212</v>
      </c>
      <c r="Q17" s="131">
        <v>11225</v>
      </c>
      <c r="R17" s="131">
        <v>1</v>
      </c>
      <c r="S17" s="131">
        <v>24950</v>
      </c>
      <c r="T17" s="109"/>
      <c r="U17" s="131">
        <v>2800.6379999999999</v>
      </c>
      <c r="V17" s="132">
        <v>1.25E-3</v>
      </c>
      <c r="W17" s="132">
        <f t="shared" si="0"/>
        <v>1.7889484351382812E-2</v>
      </c>
      <c r="X17" s="132">
        <v>2.5914480731504229E-3</v>
      </c>
      <c r="AC17" s="173"/>
    </row>
    <row r="18" spans="1:29">
      <c r="A18" t="s">
        <v>1213</v>
      </c>
      <c r="B18" s="4">
        <v>12937</v>
      </c>
      <c r="C18" t="s">
        <v>3433</v>
      </c>
      <c r="D18" t="s">
        <v>3434</v>
      </c>
      <c r="E18" t="s">
        <v>309</v>
      </c>
      <c r="F18" t="s">
        <v>3433</v>
      </c>
      <c r="G18" t="s">
        <v>3435</v>
      </c>
      <c r="H18" t="s">
        <v>321</v>
      </c>
      <c r="I18" t="s">
        <v>917</v>
      </c>
      <c r="J18" t="s">
        <v>204</v>
      </c>
      <c r="K18" t="s">
        <v>204</v>
      </c>
      <c r="L18" t="s">
        <v>325</v>
      </c>
      <c r="M18" t="s">
        <v>340</v>
      </c>
      <c r="N18" t="s">
        <v>458</v>
      </c>
      <c r="O18" t="s">
        <v>339</v>
      </c>
      <c r="P18" t="s">
        <v>1212</v>
      </c>
      <c r="Q18" s="131">
        <v>8975</v>
      </c>
      <c r="R18" s="131">
        <v>1</v>
      </c>
      <c r="S18" s="131">
        <v>29980</v>
      </c>
      <c r="T18" s="109"/>
      <c r="U18" s="131">
        <v>2690.7049999999999</v>
      </c>
      <c r="V18" s="132">
        <v>1.9000000000000001E-4</v>
      </c>
      <c r="W18" s="132">
        <f t="shared" si="0"/>
        <v>1.7187271254509681E-2</v>
      </c>
      <c r="X18" s="132">
        <v>2.4897263722288309E-3</v>
      </c>
      <c r="AC18" s="173"/>
    </row>
    <row r="19" spans="1:29">
      <c r="A19" t="s">
        <v>1213</v>
      </c>
      <c r="B19" s="4">
        <v>12937</v>
      </c>
      <c r="C19" t="s">
        <v>1683</v>
      </c>
      <c r="D19" t="s">
        <v>1684</v>
      </c>
      <c r="E19" t="s">
        <v>309</v>
      </c>
      <c r="F19" t="s">
        <v>1683</v>
      </c>
      <c r="G19" t="s">
        <v>3436</v>
      </c>
      <c r="H19" t="s">
        <v>321</v>
      </c>
      <c r="I19" t="s">
        <v>917</v>
      </c>
      <c r="J19" t="s">
        <v>204</v>
      </c>
      <c r="K19" t="s">
        <v>204</v>
      </c>
      <c r="L19" t="s">
        <v>325</v>
      </c>
      <c r="M19" t="s">
        <v>340</v>
      </c>
      <c r="N19" t="s">
        <v>441</v>
      </c>
      <c r="O19" t="s">
        <v>339</v>
      </c>
      <c r="P19" t="s">
        <v>1212</v>
      </c>
      <c r="Q19" s="131">
        <v>30091</v>
      </c>
      <c r="R19" s="131">
        <v>1</v>
      </c>
      <c r="S19" s="131">
        <v>8722</v>
      </c>
      <c r="T19" s="109"/>
      <c r="U19" s="131">
        <v>2624.5369999999998</v>
      </c>
      <c r="V19" s="132">
        <v>8.4999999999999995E-4</v>
      </c>
      <c r="W19" s="132">
        <f t="shared" si="0"/>
        <v>1.6764613488471265E-2</v>
      </c>
      <c r="X19" s="132">
        <v>2.4285007028976937E-3</v>
      </c>
      <c r="AC19" s="173"/>
    </row>
    <row r="20" spans="1:29">
      <c r="A20" t="s">
        <v>1213</v>
      </c>
      <c r="B20" s="4">
        <v>12937</v>
      </c>
      <c r="C20" t="s">
        <v>1634</v>
      </c>
      <c r="D20" t="s">
        <v>1635</v>
      </c>
      <c r="E20" t="s">
        <v>309</v>
      </c>
      <c r="F20" t="s">
        <v>3437</v>
      </c>
      <c r="G20" t="s">
        <v>3438</v>
      </c>
      <c r="H20" t="s">
        <v>321</v>
      </c>
      <c r="I20" t="s">
        <v>917</v>
      </c>
      <c r="J20" t="s">
        <v>204</v>
      </c>
      <c r="K20" t="s">
        <v>204</v>
      </c>
      <c r="L20" t="s">
        <v>325</v>
      </c>
      <c r="M20" t="s">
        <v>340</v>
      </c>
      <c r="N20" t="s">
        <v>454</v>
      </c>
      <c r="O20" t="s">
        <v>339</v>
      </c>
      <c r="P20" t="s">
        <v>1212</v>
      </c>
      <c r="Q20" s="131">
        <v>46150</v>
      </c>
      <c r="R20" s="131">
        <v>1</v>
      </c>
      <c r="S20" s="131">
        <v>5205</v>
      </c>
      <c r="T20" s="108"/>
      <c r="U20" s="131">
        <v>2402.1080000000002</v>
      </c>
      <c r="V20" s="132">
        <v>4.6000000000000001E-4</v>
      </c>
      <c r="W20" s="132">
        <f t="shared" si="0"/>
        <v>1.5343815757813566E-2</v>
      </c>
      <c r="X20" s="132">
        <v>2.2226857409273233E-3</v>
      </c>
      <c r="AC20" s="173"/>
    </row>
    <row r="21" spans="1:29">
      <c r="A21" t="s">
        <v>1213</v>
      </c>
      <c r="B21" s="4">
        <v>12937</v>
      </c>
      <c r="C21" t="s">
        <v>2228</v>
      </c>
      <c r="D21" t="s">
        <v>2229</v>
      </c>
      <c r="E21" t="s">
        <v>309</v>
      </c>
      <c r="F21" t="s">
        <v>2228</v>
      </c>
      <c r="G21" t="s">
        <v>3439</v>
      </c>
      <c r="H21" t="s">
        <v>321</v>
      </c>
      <c r="I21" t="s">
        <v>917</v>
      </c>
      <c r="J21" t="s">
        <v>204</v>
      </c>
      <c r="K21" t="s">
        <v>204</v>
      </c>
      <c r="L21" t="s">
        <v>325</v>
      </c>
      <c r="M21" t="s">
        <v>340</v>
      </c>
      <c r="N21" t="s">
        <v>441</v>
      </c>
      <c r="O21" t="s">
        <v>339</v>
      </c>
      <c r="P21" t="s">
        <v>1212</v>
      </c>
      <c r="Q21" s="131">
        <v>37813.5</v>
      </c>
      <c r="R21" s="131">
        <v>1</v>
      </c>
      <c r="S21" s="131">
        <v>6254</v>
      </c>
      <c r="T21" s="108"/>
      <c r="U21" s="131">
        <v>2364.8560000000002</v>
      </c>
      <c r="V21" s="132">
        <v>3.2000000000000003E-4</v>
      </c>
      <c r="W21" s="132">
        <f t="shared" si="0"/>
        <v>1.5105863165919249E-2</v>
      </c>
      <c r="X21" s="132">
        <v>2.1882162294727908E-3</v>
      </c>
      <c r="AC21" s="173"/>
    </row>
    <row r="22" spans="1:29">
      <c r="A22" t="s">
        <v>1213</v>
      </c>
      <c r="B22" s="4">
        <v>12937</v>
      </c>
      <c r="C22" t="s">
        <v>2361</v>
      </c>
      <c r="D22" t="s">
        <v>2362</v>
      </c>
      <c r="E22" t="s">
        <v>309</v>
      </c>
      <c r="F22" t="s">
        <v>2361</v>
      </c>
      <c r="G22" t="s">
        <v>3440</v>
      </c>
      <c r="H22" t="s">
        <v>321</v>
      </c>
      <c r="I22" t="s">
        <v>917</v>
      </c>
      <c r="J22" t="s">
        <v>204</v>
      </c>
      <c r="K22" t="s">
        <v>204</v>
      </c>
      <c r="L22" t="s">
        <v>325</v>
      </c>
      <c r="M22" t="s">
        <v>340</v>
      </c>
      <c r="N22" t="s">
        <v>446</v>
      </c>
      <c r="O22" t="s">
        <v>339</v>
      </c>
      <c r="P22" t="s">
        <v>1212</v>
      </c>
      <c r="Q22" s="131">
        <v>3166</v>
      </c>
      <c r="R22" s="131">
        <v>1</v>
      </c>
      <c r="S22" s="131">
        <v>74080</v>
      </c>
      <c r="T22" s="108"/>
      <c r="U22" s="131">
        <v>2345.373</v>
      </c>
      <c r="V22" s="132">
        <v>6.9999999999999994E-5</v>
      </c>
      <c r="W22" s="132">
        <f t="shared" si="0"/>
        <v>1.4981412657278721E-2</v>
      </c>
      <c r="X22" s="132">
        <v>2.1701884862195785E-3</v>
      </c>
      <c r="AC22" s="173"/>
    </row>
    <row r="23" spans="1:29">
      <c r="A23" t="s">
        <v>1213</v>
      </c>
      <c r="B23" s="4">
        <v>12937</v>
      </c>
      <c r="C23" t="s">
        <v>3441</v>
      </c>
      <c r="D23" t="s">
        <v>3442</v>
      </c>
      <c r="E23" t="s">
        <v>309</v>
      </c>
      <c r="F23" t="s">
        <v>3443</v>
      </c>
      <c r="G23" t="s">
        <v>3444</v>
      </c>
      <c r="H23" t="s">
        <v>321</v>
      </c>
      <c r="I23" t="s">
        <v>917</v>
      </c>
      <c r="J23" t="s">
        <v>204</v>
      </c>
      <c r="K23" t="s">
        <v>204</v>
      </c>
      <c r="L23" t="s">
        <v>325</v>
      </c>
      <c r="M23" t="s">
        <v>340</v>
      </c>
      <c r="N23" t="s">
        <v>465</v>
      </c>
      <c r="O23" t="s">
        <v>339</v>
      </c>
      <c r="P23" t="s">
        <v>1212</v>
      </c>
      <c r="Q23" s="131">
        <v>52443</v>
      </c>
      <c r="R23" s="131">
        <v>1</v>
      </c>
      <c r="S23" s="131">
        <v>4288</v>
      </c>
      <c r="T23" s="108"/>
      <c r="U23" s="131">
        <v>2248.7559999999999</v>
      </c>
      <c r="V23" s="132">
        <v>8.5999999999999998E-4</v>
      </c>
      <c r="W23" s="132">
        <f t="shared" si="0"/>
        <v>1.4364257455650536E-2</v>
      </c>
      <c r="X23" s="132">
        <v>2.0807881644059147E-3</v>
      </c>
      <c r="AC23" s="173"/>
    </row>
    <row r="24" spans="1:29">
      <c r="A24" t="s">
        <v>1213</v>
      </c>
      <c r="B24" s="4">
        <v>12937</v>
      </c>
      <c r="C24" t="s">
        <v>1986</v>
      </c>
      <c r="D24" t="s">
        <v>1987</v>
      </c>
      <c r="E24" t="s">
        <v>309</v>
      </c>
      <c r="F24" t="s">
        <v>1986</v>
      </c>
      <c r="G24" t="s">
        <v>3445</v>
      </c>
      <c r="H24" t="s">
        <v>321</v>
      </c>
      <c r="I24" t="s">
        <v>917</v>
      </c>
      <c r="J24" t="s">
        <v>204</v>
      </c>
      <c r="K24" t="s">
        <v>204</v>
      </c>
      <c r="L24" t="s">
        <v>325</v>
      </c>
      <c r="M24" t="s">
        <v>340</v>
      </c>
      <c r="N24" t="s">
        <v>484</v>
      </c>
      <c r="O24" t="s">
        <v>339</v>
      </c>
      <c r="P24" t="s">
        <v>1212</v>
      </c>
      <c r="Q24" s="131">
        <v>462548</v>
      </c>
      <c r="R24" s="131">
        <v>1</v>
      </c>
      <c r="S24" s="131">
        <v>428.6</v>
      </c>
      <c r="T24" s="131">
        <v>68.012</v>
      </c>
      <c r="U24" s="131">
        <v>2050.4929999999999</v>
      </c>
      <c r="V24" s="132">
        <v>1.7000000000000001E-4</v>
      </c>
      <c r="W24" s="132">
        <f t="shared" si="0"/>
        <v>1.3097823580241358E-2</v>
      </c>
      <c r="X24" s="132">
        <v>1.8973341552383529E-3</v>
      </c>
      <c r="AC24" s="173"/>
    </row>
    <row r="25" spans="1:29">
      <c r="A25" t="s">
        <v>1213</v>
      </c>
      <c r="B25" s="4">
        <v>12937</v>
      </c>
      <c r="C25" t="s">
        <v>2348</v>
      </c>
      <c r="D25" t="s">
        <v>2349</v>
      </c>
      <c r="E25" t="s">
        <v>309</v>
      </c>
      <c r="F25" t="s">
        <v>2348</v>
      </c>
      <c r="G25" t="s">
        <v>3446</v>
      </c>
      <c r="H25" t="s">
        <v>321</v>
      </c>
      <c r="I25" t="s">
        <v>917</v>
      </c>
      <c r="J25" t="s">
        <v>204</v>
      </c>
      <c r="K25" t="s">
        <v>204</v>
      </c>
      <c r="L25" t="s">
        <v>325</v>
      </c>
      <c r="M25" t="s">
        <v>340</v>
      </c>
      <c r="N25" t="s">
        <v>456</v>
      </c>
      <c r="O25" t="s">
        <v>339</v>
      </c>
      <c r="P25" t="s">
        <v>1212</v>
      </c>
      <c r="Q25" s="131">
        <v>121600</v>
      </c>
      <c r="R25" s="131">
        <v>1</v>
      </c>
      <c r="S25" s="131">
        <v>1588</v>
      </c>
      <c r="T25" s="108"/>
      <c r="U25" s="131">
        <v>1931.008</v>
      </c>
      <c r="V25" s="132">
        <v>9.0000000000000006E-5</v>
      </c>
      <c r="W25" s="132">
        <f t="shared" si="0"/>
        <v>1.2334595687980747E-2</v>
      </c>
      <c r="X25" s="132">
        <v>1.7867739282399413E-3</v>
      </c>
      <c r="AC25" s="173"/>
    </row>
    <row r="26" spans="1:29">
      <c r="A26" t="s">
        <v>1213</v>
      </c>
      <c r="B26" s="4">
        <v>12937</v>
      </c>
      <c r="C26" t="s">
        <v>3447</v>
      </c>
      <c r="D26" t="s">
        <v>3448</v>
      </c>
      <c r="E26" t="s">
        <v>309</v>
      </c>
      <c r="F26" t="s">
        <v>3449</v>
      </c>
      <c r="G26" t="s">
        <v>3450</v>
      </c>
      <c r="H26" t="s">
        <v>321</v>
      </c>
      <c r="I26" t="s">
        <v>917</v>
      </c>
      <c r="J26" t="s">
        <v>204</v>
      </c>
      <c r="K26" t="s">
        <v>204</v>
      </c>
      <c r="L26" t="s">
        <v>325</v>
      </c>
      <c r="M26" t="s">
        <v>340</v>
      </c>
      <c r="N26" t="s">
        <v>445</v>
      </c>
      <c r="O26" t="s">
        <v>339</v>
      </c>
      <c r="P26" t="s">
        <v>1212</v>
      </c>
      <c r="Q26" s="131">
        <v>16837</v>
      </c>
      <c r="R26" s="131">
        <v>1</v>
      </c>
      <c r="S26" s="131">
        <v>10880</v>
      </c>
      <c r="T26" s="108"/>
      <c r="U26" s="131">
        <v>1831.866</v>
      </c>
      <c r="V26" s="132">
        <v>2.7E-4</v>
      </c>
      <c r="W26" s="132">
        <f t="shared" si="0"/>
        <v>1.1701311679992282E-2</v>
      </c>
      <c r="X26" s="132">
        <v>1.6950372079396812E-3</v>
      </c>
      <c r="AC26" s="173"/>
    </row>
    <row r="27" spans="1:29">
      <c r="A27" t="s">
        <v>1213</v>
      </c>
      <c r="B27" s="4">
        <v>12937</v>
      </c>
      <c r="C27" t="s">
        <v>3451</v>
      </c>
      <c r="D27" t="s">
        <v>3452</v>
      </c>
      <c r="E27" t="s">
        <v>309</v>
      </c>
      <c r="F27" t="s">
        <v>3453</v>
      </c>
      <c r="G27" t="s">
        <v>3454</v>
      </c>
      <c r="H27" t="s">
        <v>321</v>
      </c>
      <c r="I27" t="s">
        <v>917</v>
      </c>
      <c r="J27" t="s">
        <v>204</v>
      </c>
      <c r="K27" t="s">
        <v>204</v>
      </c>
      <c r="L27" t="s">
        <v>325</v>
      </c>
      <c r="M27" t="s">
        <v>340</v>
      </c>
      <c r="N27" t="s">
        <v>448</v>
      </c>
      <c r="O27" t="s">
        <v>339</v>
      </c>
      <c r="P27" t="s">
        <v>1212</v>
      </c>
      <c r="Q27" s="131">
        <v>11808</v>
      </c>
      <c r="R27" s="131">
        <v>1</v>
      </c>
      <c r="S27" s="131">
        <v>15410</v>
      </c>
      <c r="T27" s="108"/>
      <c r="U27" s="131">
        <v>1819.6130000000001</v>
      </c>
      <c r="V27" s="132">
        <v>1.2E-4</v>
      </c>
      <c r="W27" s="132">
        <f t="shared" si="0"/>
        <v>1.1623043852533864E-2</v>
      </c>
      <c r="X27" s="132">
        <v>1.6836994294619516E-3</v>
      </c>
      <c r="AC27" s="173"/>
    </row>
    <row r="28" spans="1:29">
      <c r="A28" t="s">
        <v>1213</v>
      </c>
      <c r="B28" s="4">
        <v>12937</v>
      </c>
      <c r="C28" t="s">
        <v>3455</v>
      </c>
      <c r="D28" t="s">
        <v>3456</v>
      </c>
      <c r="E28" t="s">
        <v>309</v>
      </c>
      <c r="F28" t="s">
        <v>3457</v>
      </c>
      <c r="G28" t="s">
        <v>3458</v>
      </c>
      <c r="H28" t="s">
        <v>321</v>
      </c>
      <c r="I28" t="s">
        <v>917</v>
      </c>
      <c r="J28" t="s">
        <v>204</v>
      </c>
      <c r="K28" t="s">
        <v>204</v>
      </c>
      <c r="L28" t="s">
        <v>327</v>
      </c>
      <c r="M28" t="s">
        <v>340</v>
      </c>
      <c r="N28" t="s">
        <v>455</v>
      </c>
      <c r="O28" t="s">
        <v>339</v>
      </c>
      <c r="P28" t="s">
        <v>1212</v>
      </c>
      <c r="Q28" s="131">
        <v>5847</v>
      </c>
      <c r="R28" s="131">
        <v>1</v>
      </c>
      <c r="S28" s="131">
        <f>U28*1000/Q28*100</f>
        <v>5651.7066563489134</v>
      </c>
      <c r="T28" s="108"/>
      <c r="U28" s="131">
        <f>330455.288196721/1000</f>
        <v>330.45528819672097</v>
      </c>
      <c r="V28" s="132">
        <v>2.5200000000000001E-3</v>
      </c>
      <c r="W28" s="132">
        <f t="shared" si="0"/>
        <v>2.1108314273486748E-3</v>
      </c>
      <c r="X28" s="132">
        <v>3.0577237038837589E-4</v>
      </c>
      <c r="AC28" s="173"/>
    </row>
    <row r="29" spans="1:29">
      <c r="A29" t="s">
        <v>1213</v>
      </c>
      <c r="B29" s="4">
        <v>12937</v>
      </c>
      <c r="C29" t="s">
        <v>2428</v>
      </c>
      <c r="D29" t="s">
        <v>2429</v>
      </c>
      <c r="E29" t="s">
        <v>309</v>
      </c>
      <c r="F29" t="s">
        <v>2428</v>
      </c>
      <c r="G29" t="s">
        <v>3459</v>
      </c>
      <c r="H29" t="s">
        <v>321</v>
      </c>
      <c r="I29" t="s">
        <v>917</v>
      </c>
      <c r="J29" t="s">
        <v>204</v>
      </c>
      <c r="K29" t="s">
        <v>204</v>
      </c>
      <c r="L29" t="s">
        <v>325</v>
      </c>
      <c r="M29" t="s">
        <v>340</v>
      </c>
      <c r="N29" t="s">
        <v>454</v>
      </c>
      <c r="O29" t="s">
        <v>339</v>
      </c>
      <c r="P29" t="s">
        <v>1212</v>
      </c>
      <c r="Q29" s="131">
        <v>957767</v>
      </c>
      <c r="R29" s="131">
        <v>1</v>
      </c>
      <c r="S29" s="131">
        <v>161.9</v>
      </c>
      <c r="T29" s="108"/>
      <c r="U29" s="131">
        <v>1550.625</v>
      </c>
      <c r="V29" s="132">
        <v>3.6999999999999999E-4</v>
      </c>
      <c r="W29" s="132">
        <f t="shared" si="0"/>
        <v>9.9048437078847647E-3</v>
      </c>
      <c r="X29" s="132">
        <v>1.4348031300114028E-3</v>
      </c>
      <c r="AC29" s="173"/>
    </row>
    <row r="30" spans="1:29">
      <c r="A30" t="s">
        <v>1213</v>
      </c>
      <c r="B30" s="4">
        <v>12937</v>
      </c>
      <c r="C30" t="s">
        <v>1861</v>
      </c>
      <c r="D30" t="s">
        <v>1862</v>
      </c>
      <c r="E30" t="s">
        <v>309</v>
      </c>
      <c r="F30" t="s">
        <v>1861</v>
      </c>
      <c r="G30" t="s">
        <v>3460</v>
      </c>
      <c r="H30" t="s">
        <v>321</v>
      </c>
      <c r="I30" t="s">
        <v>917</v>
      </c>
      <c r="J30" t="s">
        <v>204</v>
      </c>
      <c r="K30" t="s">
        <v>204</v>
      </c>
      <c r="L30" t="s">
        <v>325</v>
      </c>
      <c r="M30" t="s">
        <v>340</v>
      </c>
      <c r="N30" t="s">
        <v>464</v>
      </c>
      <c r="O30" t="s">
        <v>339</v>
      </c>
      <c r="P30" t="s">
        <v>1212</v>
      </c>
      <c r="Q30" s="131">
        <v>5376</v>
      </c>
      <c r="R30" s="131">
        <v>1</v>
      </c>
      <c r="S30" s="131">
        <v>28210</v>
      </c>
      <c r="T30" s="108"/>
      <c r="U30" s="131">
        <v>1516.57</v>
      </c>
      <c r="V30" s="132">
        <v>1.1E-4</v>
      </c>
      <c r="W30" s="132">
        <f t="shared" si="0"/>
        <v>9.6873124205186928E-3</v>
      </c>
      <c r="X30" s="132">
        <v>1.4032918228981171E-3</v>
      </c>
      <c r="AC30" s="173"/>
    </row>
    <row r="31" spans="1:29">
      <c r="A31" t="s">
        <v>1213</v>
      </c>
      <c r="B31" s="4">
        <v>12937</v>
      </c>
      <c r="C31" t="s">
        <v>3461</v>
      </c>
      <c r="D31" t="s">
        <v>3462</v>
      </c>
      <c r="E31" t="s">
        <v>309</v>
      </c>
      <c r="F31" t="s">
        <v>3461</v>
      </c>
      <c r="G31" t="s">
        <v>3463</v>
      </c>
      <c r="H31" t="s">
        <v>321</v>
      </c>
      <c r="I31" t="s">
        <v>917</v>
      </c>
      <c r="J31" t="s">
        <v>204</v>
      </c>
      <c r="K31" t="s">
        <v>204</v>
      </c>
      <c r="L31" t="s">
        <v>325</v>
      </c>
      <c r="M31" t="s">
        <v>340</v>
      </c>
      <c r="N31" t="s">
        <v>475</v>
      </c>
      <c r="O31" t="s">
        <v>339</v>
      </c>
      <c r="P31" t="s">
        <v>1212</v>
      </c>
      <c r="Q31" s="131">
        <v>5239</v>
      </c>
      <c r="R31" s="131">
        <v>1</v>
      </c>
      <c r="S31" s="131">
        <v>28150</v>
      </c>
      <c r="T31" s="108"/>
      <c r="U31" s="131">
        <v>1474.779</v>
      </c>
      <c r="V31" s="132">
        <v>3.8000000000000002E-4</v>
      </c>
      <c r="W31" s="132">
        <f t="shared" si="0"/>
        <v>9.4203663030523726E-3</v>
      </c>
      <c r="X31" s="132">
        <v>1.3646223460056987E-3</v>
      </c>
      <c r="AC31" s="173"/>
    </row>
    <row r="32" spans="1:29">
      <c r="A32" t="s">
        <v>1213</v>
      </c>
      <c r="B32" s="4">
        <v>12937</v>
      </c>
      <c r="C32" t="s">
        <v>1674</v>
      </c>
      <c r="D32" t="s">
        <v>1675</v>
      </c>
      <c r="E32" t="s">
        <v>309</v>
      </c>
      <c r="F32" t="s">
        <v>1674</v>
      </c>
      <c r="G32" t="s">
        <v>3464</v>
      </c>
      <c r="H32" t="s">
        <v>321</v>
      </c>
      <c r="I32" t="s">
        <v>917</v>
      </c>
      <c r="J32" t="s">
        <v>204</v>
      </c>
      <c r="K32" t="s">
        <v>204</v>
      </c>
      <c r="L32" t="s">
        <v>325</v>
      </c>
      <c r="M32" t="s">
        <v>340</v>
      </c>
      <c r="N32" t="s">
        <v>464</v>
      </c>
      <c r="O32" t="s">
        <v>339</v>
      </c>
      <c r="P32" t="s">
        <v>1212</v>
      </c>
      <c r="Q32" s="131">
        <v>3339</v>
      </c>
      <c r="R32" s="131">
        <v>1</v>
      </c>
      <c r="S32" s="131">
        <v>41490</v>
      </c>
      <c r="U32" s="131">
        <v>1385.3510000000001</v>
      </c>
      <c r="V32" s="132">
        <v>1.3999999999999999E-4</v>
      </c>
      <c r="W32" s="132">
        <f t="shared" si="0"/>
        <v>8.8491318891168839E-3</v>
      </c>
      <c r="X32" s="132">
        <v>1.2818740514079336E-3</v>
      </c>
      <c r="AC32" s="173"/>
    </row>
    <row r="33" spans="1:29">
      <c r="A33" t="s">
        <v>1213</v>
      </c>
      <c r="B33" s="4">
        <v>12937</v>
      </c>
      <c r="C33" t="s">
        <v>1924</v>
      </c>
      <c r="D33" t="s">
        <v>1925</v>
      </c>
      <c r="E33" t="s">
        <v>309</v>
      </c>
      <c r="F33" t="s">
        <v>1924</v>
      </c>
      <c r="G33" t="s">
        <v>3465</v>
      </c>
      <c r="H33" t="s">
        <v>321</v>
      </c>
      <c r="I33" t="s">
        <v>917</v>
      </c>
      <c r="J33" t="s">
        <v>204</v>
      </c>
      <c r="K33" t="s">
        <v>204</v>
      </c>
      <c r="L33" t="s">
        <v>325</v>
      </c>
      <c r="M33" t="s">
        <v>340</v>
      </c>
      <c r="N33" t="s">
        <v>441</v>
      </c>
      <c r="O33" t="s">
        <v>339</v>
      </c>
      <c r="P33" t="s">
        <v>1212</v>
      </c>
      <c r="Q33" s="131">
        <v>41231</v>
      </c>
      <c r="R33" s="131">
        <v>1</v>
      </c>
      <c r="S33" s="131">
        <v>3230</v>
      </c>
      <c r="U33" s="131">
        <v>1331.761</v>
      </c>
      <c r="V33" s="132">
        <v>2.49E-3</v>
      </c>
      <c r="W33" s="132">
        <f t="shared" si="0"/>
        <v>8.5068179355139526E-3</v>
      </c>
      <c r="X33" s="132">
        <v>1.2322868851122068E-3</v>
      </c>
      <c r="AC33" s="173"/>
    </row>
    <row r="34" spans="1:29">
      <c r="A34" t="s">
        <v>1213</v>
      </c>
      <c r="B34" s="4">
        <v>12937</v>
      </c>
      <c r="C34" t="s">
        <v>3466</v>
      </c>
      <c r="D34" t="s">
        <v>3467</v>
      </c>
      <c r="E34" t="s">
        <v>311</v>
      </c>
      <c r="F34" t="s">
        <v>3466</v>
      </c>
      <c r="G34" t="s">
        <v>3468</v>
      </c>
      <c r="H34" t="s">
        <v>321</v>
      </c>
      <c r="I34" t="s">
        <v>917</v>
      </c>
      <c r="J34" t="s">
        <v>204</v>
      </c>
      <c r="K34" t="s">
        <v>245</v>
      </c>
      <c r="L34" t="s">
        <v>325</v>
      </c>
      <c r="M34" t="s">
        <v>340</v>
      </c>
      <c r="N34" t="s">
        <v>465</v>
      </c>
      <c r="O34" t="s">
        <v>339</v>
      </c>
      <c r="P34" t="s">
        <v>1212</v>
      </c>
      <c r="Q34" s="131">
        <v>14200</v>
      </c>
      <c r="R34" s="131">
        <v>1</v>
      </c>
      <c r="S34" s="131">
        <v>9080</v>
      </c>
      <c r="U34" s="131">
        <v>1289.3599999999999</v>
      </c>
      <c r="V34" s="132">
        <v>6.8999999999999997E-4</v>
      </c>
      <c r="W34" s="132">
        <f t="shared" si="0"/>
        <v>8.2359753539368325E-3</v>
      </c>
      <c r="X34" s="132">
        <v>1.1930529713576796E-3</v>
      </c>
    </row>
    <row r="35" spans="1:29">
      <c r="A35" t="s">
        <v>1213</v>
      </c>
      <c r="B35" s="4">
        <v>12937</v>
      </c>
      <c r="C35" t="s">
        <v>3469</v>
      </c>
      <c r="D35" t="s">
        <v>3470</v>
      </c>
      <c r="E35" t="s">
        <v>309</v>
      </c>
      <c r="F35" t="s">
        <v>3471</v>
      </c>
      <c r="G35" t="s">
        <v>3472</v>
      </c>
      <c r="H35" t="s">
        <v>321</v>
      </c>
      <c r="I35" t="s">
        <v>917</v>
      </c>
      <c r="J35" t="s">
        <v>204</v>
      </c>
      <c r="K35" t="s">
        <v>204</v>
      </c>
      <c r="L35" t="s">
        <v>325</v>
      </c>
      <c r="M35" t="s">
        <v>340</v>
      </c>
      <c r="N35" t="s">
        <v>454</v>
      </c>
      <c r="O35" t="s">
        <v>339</v>
      </c>
      <c r="P35" t="s">
        <v>1212</v>
      </c>
      <c r="Q35" s="131">
        <v>121705</v>
      </c>
      <c r="R35" s="131">
        <v>1</v>
      </c>
      <c r="S35" s="131">
        <v>1025</v>
      </c>
      <c r="U35" s="131">
        <v>1247.4760000000001</v>
      </c>
      <c r="V35" s="132">
        <v>1E-4</v>
      </c>
      <c r="W35" s="132">
        <f t="shared" si="0"/>
        <v>7.9684351853847677E-3</v>
      </c>
      <c r="X35" s="132">
        <v>1.1542974409764479E-3</v>
      </c>
    </row>
    <row r="36" spans="1:29">
      <c r="A36" t="s">
        <v>1213</v>
      </c>
      <c r="B36" s="4">
        <v>12937</v>
      </c>
      <c r="C36" t="s">
        <v>2155</v>
      </c>
      <c r="D36" t="s">
        <v>2156</v>
      </c>
      <c r="E36" t="s">
        <v>309</v>
      </c>
      <c r="F36" t="s">
        <v>2155</v>
      </c>
      <c r="G36" t="s">
        <v>3473</v>
      </c>
      <c r="H36" t="s">
        <v>321</v>
      </c>
      <c r="I36" t="s">
        <v>917</v>
      </c>
      <c r="J36" t="s">
        <v>204</v>
      </c>
      <c r="K36" t="s">
        <v>204</v>
      </c>
      <c r="L36" t="s">
        <v>325</v>
      </c>
      <c r="M36" t="s">
        <v>340</v>
      </c>
      <c r="N36" t="s">
        <v>451</v>
      </c>
      <c r="O36" t="s">
        <v>339</v>
      </c>
      <c r="P36" t="s">
        <v>1212</v>
      </c>
      <c r="Q36" s="131">
        <v>784</v>
      </c>
      <c r="R36" s="131">
        <v>1</v>
      </c>
      <c r="S36" s="131">
        <v>148500</v>
      </c>
      <c r="T36" s="131">
        <v>7.8419999999999996</v>
      </c>
      <c r="U36" s="131">
        <v>1172.0820000000001</v>
      </c>
      <c r="V36" s="132">
        <v>1.9000000000000001E-4</v>
      </c>
      <c r="W36" s="132">
        <f t="shared" si="0"/>
        <v>7.4868449965820186E-3</v>
      </c>
      <c r="X36" s="132">
        <v>1.0845348954325032E-3</v>
      </c>
    </row>
    <row r="37" spans="1:29">
      <c r="A37" t="s">
        <v>1213</v>
      </c>
      <c r="B37" s="4">
        <v>12937</v>
      </c>
      <c r="C37" t="s">
        <v>3474</v>
      </c>
      <c r="D37" t="s">
        <v>3475</v>
      </c>
      <c r="E37" t="s">
        <v>309</v>
      </c>
      <c r="F37" t="s">
        <v>3476</v>
      </c>
      <c r="G37" t="s">
        <v>3477</v>
      </c>
      <c r="H37" t="s">
        <v>321</v>
      </c>
      <c r="I37" t="s">
        <v>917</v>
      </c>
      <c r="J37" t="s">
        <v>204</v>
      </c>
      <c r="K37" t="s">
        <v>204</v>
      </c>
      <c r="L37" t="s">
        <v>325</v>
      </c>
      <c r="M37" t="s">
        <v>340</v>
      </c>
      <c r="N37" t="s">
        <v>454</v>
      </c>
      <c r="O37" t="s">
        <v>339</v>
      </c>
      <c r="P37" t="s">
        <v>1212</v>
      </c>
      <c r="Q37" s="131">
        <v>358449</v>
      </c>
      <c r="R37" s="131">
        <v>1</v>
      </c>
      <c r="S37" s="131">
        <v>303</v>
      </c>
      <c r="U37" s="131">
        <v>1086.0999999999999</v>
      </c>
      <c r="V37" s="132">
        <v>3.2000000000000003E-4</v>
      </c>
      <c r="W37" s="132">
        <f t="shared" si="0"/>
        <v>6.9376224110495079E-3</v>
      </c>
      <c r="X37" s="132">
        <v>1.0049752064524848E-3</v>
      </c>
    </row>
    <row r="38" spans="1:29">
      <c r="A38" t="s">
        <v>1213</v>
      </c>
      <c r="B38" s="4">
        <v>12937</v>
      </c>
      <c r="C38" t="s">
        <v>1691</v>
      </c>
      <c r="D38" t="s">
        <v>1692</v>
      </c>
      <c r="E38" t="s">
        <v>309</v>
      </c>
      <c r="F38" t="s">
        <v>3478</v>
      </c>
      <c r="G38" t="s">
        <v>3479</v>
      </c>
      <c r="H38" t="s">
        <v>321</v>
      </c>
      <c r="I38" t="s">
        <v>917</v>
      </c>
      <c r="J38" t="s">
        <v>204</v>
      </c>
      <c r="K38" t="s">
        <v>204</v>
      </c>
      <c r="L38" t="s">
        <v>325</v>
      </c>
      <c r="M38" t="s">
        <v>340</v>
      </c>
      <c r="N38" t="s">
        <v>464</v>
      </c>
      <c r="O38" t="s">
        <v>339</v>
      </c>
      <c r="P38" t="s">
        <v>1212</v>
      </c>
      <c r="Q38" s="131">
        <v>70830</v>
      </c>
      <c r="R38" s="131">
        <v>1</v>
      </c>
      <c r="S38" s="131">
        <v>1513</v>
      </c>
      <c r="U38" s="131">
        <v>1071.6579999999999</v>
      </c>
      <c r="V38" s="132">
        <v>3.6000000000000002E-4</v>
      </c>
      <c r="W38" s="132">
        <f t="shared" si="0"/>
        <v>6.8453720263147895E-3</v>
      </c>
      <c r="X38" s="132">
        <v>9.916119324154839E-4</v>
      </c>
    </row>
    <row r="39" spans="1:29">
      <c r="A39" t="s">
        <v>1213</v>
      </c>
      <c r="B39" s="4">
        <v>12937</v>
      </c>
      <c r="C39" t="s">
        <v>2789</v>
      </c>
      <c r="D39" t="s">
        <v>2790</v>
      </c>
      <c r="E39" t="s">
        <v>309</v>
      </c>
      <c r="F39" t="s">
        <v>2789</v>
      </c>
      <c r="G39" t="s">
        <v>3480</v>
      </c>
      <c r="H39" t="s">
        <v>321</v>
      </c>
      <c r="I39" t="s">
        <v>917</v>
      </c>
      <c r="J39" t="s">
        <v>204</v>
      </c>
      <c r="K39" t="s">
        <v>204</v>
      </c>
      <c r="L39" t="s">
        <v>325</v>
      </c>
      <c r="M39" t="s">
        <v>340</v>
      </c>
      <c r="N39" t="s">
        <v>441</v>
      </c>
      <c r="O39" t="s">
        <v>339</v>
      </c>
      <c r="P39" t="s">
        <v>1212</v>
      </c>
      <c r="Q39" s="131">
        <v>78576</v>
      </c>
      <c r="R39" s="131">
        <v>1</v>
      </c>
      <c r="S39" s="131">
        <v>1348</v>
      </c>
      <c r="U39" s="131">
        <v>1059.204</v>
      </c>
      <c r="V39" s="132">
        <v>1.3999999999999999E-4</v>
      </c>
      <c r="W39" s="132">
        <f t="shared" si="0"/>
        <v>6.7658202819936312E-3</v>
      </c>
      <c r="X39" s="132">
        <v>9.8008816736515781E-4</v>
      </c>
    </row>
    <row r="40" spans="1:29">
      <c r="A40" t="s">
        <v>1213</v>
      </c>
      <c r="B40" s="4">
        <v>12937</v>
      </c>
      <c r="C40" t="s">
        <v>2298</v>
      </c>
      <c r="D40" t="s">
        <v>2299</v>
      </c>
      <c r="E40" t="s">
        <v>309</v>
      </c>
      <c r="F40" t="s">
        <v>3481</v>
      </c>
      <c r="G40" t="s">
        <v>3482</v>
      </c>
      <c r="H40" t="s">
        <v>321</v>
      </c>
      <c r="I40" t="s">
        <v>917</v>
      </c>
      <c r="J40" t="s">
        <v>204</v>
      </c>
      <c r="K40" t="s">
        <v>204</v>
      </c>
      <c r="L40" t="s">
        <v>325</v>
      </c>
      <c r="M40" t="s">
        <v>340</v>
      </c>
      <c r="N40" t="s">
        <v>462</v>
      </c>
      <c r="O40" t="s">
        <v>339</v>
      </c>
      <c r="P40" t="s">
        <v>1212</v>
      </c>
      <c r="Q40" s="131">
        <v>51554</v>
      </c>
      <c r="R40" s="131">
        <v>1</v>
      </c>
      <c r="S40" s="131">
        <v>1991</v>
      </c>
      <c r="U40" s="131">
        <v>1026.44</v>
      </c>
      <c r="V40" s="132">
        <v>5.6999999999999998E-4</v>
      </c>
      <c r="W40" s="132">
        <f t="shared" si="0"/>
        <v>6.5565354457210734E-3</v>
      </c>
      <c r="X40" s="132">
        <v>9.4977143072561335E-4</v>
      </c>
    </row>
    <row r="41" spans="1:29">
      <c r="A41" t="s">
        <v>1213</v>
      </c>
      <c r="B41" s="4">
        <v>12937</v>
      </c>
      <c r="C41" t="s">
        <v>3483</v>
      </c>
      <c r="D41" t="s">
        <v>3484</v>
      </c>
      <c r="E41" t="s">
        <v>309</v>
      </c>
      <c r="F41" t="s">
        <v>3483</v>
      </c>
      <c r="G41" t="s">
        <v>3485</v>
      </c>
      <c r="H41" t="s">
        <v>321</v>
      </c>
      <c r="I41" t="s">
        <v>917</v>
      </c>
      <c r="J41" t="s">
        <v>204</v>
      </c>
      <c r="K41" t="s">
        <v>204</v>
      </c>
      <c r="L41" t="s">
        <v>325</v>
      </c>
      <c r="M41" t="s">
        <v>340</v>
      </c>
      <c r="N41" t="s">
        <v>461</v>
      </c>
      <c r="O41" t="s">
        <v>339</v>
      </c>
      <c r="P41" t="s">
        <v>1212</v>
      </c>
      <c r="Q41" s="131">
        <v>13366</v>
      </c>
      <c r="R41" s="131">
        <v>1</v>
      </c>
      <c r="S41" s="131">
        <v>7454</v>
      </c>
      <c r="U41" s="131">
        <v>996.30200000000002</v>
      </c>
      <c r="V41" s="132">
        <v>2.2000000000000001E-4</v>
      </c>
      <c r="W41" s="132">
        <f t="shared" si="0"/>
        <v>6.3640245680632052E-3</v>
      </c>
      <c r="X41" s="132">
        <v>9.2188454851212936E-4</v>
      </c>
    </row>
    <row r="42" spans="1:29">
      <c r="A42" t="s">
        <v>1213</v>
      </c>
      <c r="B42" s="4">
        <v>12937</v>
      </c>
      <c r="C42" t="s">
        <v>3486</v>
      </c>
      <c r="D42" t="s">
        <v>3487</v>
      </c>
      <c r="E42" t="s">
        <v>309</v>
      </c>
      <c r="F42" t="s">
        <v>3486</v>
      </c>
      <c r="G42" t="s">
        <v>3488</v>
      </c>
      <c r="H42" t="s">
        <v>321</v>
      </c>
      <c r="I42" t="s">
        <v>917</v>
      </c>
      <c r="J42" t="s">
        <v>204</v>
      </c>
      <c r="K42" t="s">
        <v>204</v>
      </c>
      <c r="L42" t="s">
        <v>325</v>
      </c>
      <c r="M42" t="s">
        <v>340</v>
      </c>
      <c r="N42" t="s">
        <v>475</v>
      </c>
      <c r="O42" t="s">
        <v>339</v>
      </c>
      <c r="P42" t="s">
        <v>1212</v>
      </c>
      <c r="Q42" s="131">
        <v>15041</v>
      </c>
      <c r="R42" s="131">
        <v>1</v>
      </c>
      <c r="S42" s="131">
        <v>6601</v>
      </c>
      <c r="U42" s="131">
        <v>992.85599999999999</v>
      </c>
      <c r="V42" s="132">
        <v>3.1E-4</v>
      </c>
      <c r="W42" s="132">
        <f t="shared" si="0"/>
        <v>6.3420127396602247E-3</v>
      </c>
      <c r="X42" s="132">
        <v>9.1869594289438212E-4</v>
      </c>
    </row>
    <row r="43" spans="1:29">
      <c r="A43" t="s">
        <v>1213</v>
      </c>
      <c r="B43" s="4">
        <v>12937</v>
      </c>
      <c r="C43" t="s">
        <v>3125</v>
      </c>
      <c r="D43" t="s">
        <v>3126</v>
      </c>
      <c r="E43" t="s">
        <v>309</v>
      </c>
      <c r="F43" t="s">
        <v>3125</v>
      </c>
      <c r="G43" t="s">
        <v>3489</v>
      </c>
      <c r="H43" t="s">
        <v>321</v>
      </c>
      <c r="I43" t="s">
        <v>917</v>
      </c>
      <c r="J43" t="s">
        <v>204</v>
      </c>
      <c r="K43" t="s">
        <v>204</v>
      </c>
      <c r="L43" t="s">
        <v>325</v>
      </c>
      <c r="M43" t="s">
        <v>340</v>
      </c>
      <c r="N43" t="s">
        <v>441</v>
      </c>
      <c r="O43" t="s">
        <v>339</v>
      </c>
      <c r="P43" t="s">
        <v>1212</v>
      </c>
      <c r="Q43" s="131">
        <v>3474</v>
      </c>
      <c r="R43" s="131">
        <v>1</v>
      </c>
      <c r="S43" s="131">
        <v>28560</v>
      </c>
      <c r="U43" s="131">
        <v>992.17399999999998</v>
      </c>
      <c r="V43" s="132">
        <v>6.0000000000000002E-5</v>
      </c>
      <c r="W43" s="132">
        <f t="shared" si="0"/>
        <v>6.3376563650314284E-3</v>
      </c>
      <c r="X43" s="132">
        <v>9.1806488397641823E-4</v>
      </c>
    </row>
    <row r="44" spans="1:29">
      <c r="A44" t="s">
        <v>1213</v>
      </c>
      <c r="B44" s="4">
        <v>12937</v>
      </c>
      <c r="C44" t="s">
        <v>3490</v>
      </c>
      <c r="D44" t="s">
        <v>3491</v>
      </c>
      <c r="E44" t="s">
        <v>309</v>
      </c>
      <c r="F44" t="s">
        <v>3490</v>
      </c>
      <c r="G44" t="s">
        <v>3492</v>
      </c>
      <c r="H44" t="s">
        <v>321</v>
      </c>
      <c r="I44" t="s">
        <v>917</v>
      </c>
      <c r="J44" t="s">
        <v>204</v>
      </c>
      <c r="K44" t="s">
        <v>204</v>
      </c>
      <c r="L44" t="s">
        <v>325</v>
      </c>
      <c r="M44" t="s">
        <v>340</v>
      </c>
      <c r="N44" t="s">
        <v>476</v>
      </c>
      <c r="O44" t="s">
        <v>339</v>
      </c>
      <c r="P44" t="s">
        <v>1212</v>
      </c>
      <c r="Q44" s="131">
        <v>4883</v>
      </c>
      <c r="R44" s="131">
        <v>1</v>
      </c>
      <c r="S44" s="131">
        <v>19560</v>
      </c>
      <c r="U44" s="131">
        <v>955.11500000000001</v>
      </c>
      <c r="V44" s="132">
        <v>2.1000000000000001E-4</v>
      </c>
      <c r="W44" s="132">
        <f t="shared" si="0"/>
        <v>6.1009365888311856E-3</v>
      </c>
      <c r="X44" s="132">
        <v>8.8377395664383134E-4</v>
      </c>
    </row>
    <row r="45" spans="1:29">
      <c r="A45" t="s">
        <v>1213</v>
      </c>
      <c r="B45" s="4">
        <v>12937</v>
      </c>
      <c r="C45" t="s">
        <v>3493</v>
      </c>
      <c r="D45" t="s">
        <v>3494</v>
      </c>
      <c r="E45" t="s">
        <v>309</v>
      </c>
      <c r="F45" t="s">
        <v>3493</v>
      </c>
      <c r="G45" t="s">
        <v>3495</v>
      </c>
      <c r="H45" t="s">
        <v>321</v>
      </c>
      <c r="I45" t="s">
        <v>917</v>
      </c>
      <c r="J45" t="s">
        <v>204</v>
      </c>
      <c r="K45" t="s">
        <v>204</v>
      </c>
      <c r="L45" t="s">
        <v>325</v>
      </c>
      <c r="M45" t="s">
        <v>340</v>
      </c>
      <c r="N45" t="s">
        <v>464</v>
      </c>
      <c r="O45" t="s">
        <v>339</v>
      </c>
      <c r="P45" t="s">
        <v>1212</v>
      </c>
      <c r="Q45" s="131">
        <v>84105</v>
      </c>
      <c r="R45" s="131">
        <v>1</v>
      </c>
      <c r="S45" s="131">
        <v>1130</v>
      </c>
      <c r="U45" s="131">
        <v>950.38699999999994</v>
      </c>
      <c r="V45" s="132">
        <v>1.1999999999999999E-3</v>
      </c>
      <c r="W45" s="132">
        <f t="shared" si="0"/>
        <v>6.0707357981494414E-3</v>
      </c>
      <c r="X45" s="132">
        <v>8.7939910830932483E-4</v>
      </c>
    </row>
    <row r="46" spans="1:29">
      <c r="A46" t="s">
        <v>1213</v>
      </c>
      <c r="B46" s="4">
        <v>12937</v>
      </c>
      <c r="C46" t="s">
        <v>1728</v>
      </c>
      <c r="D46" t="s">
        <v>1729</v>
      </c>
      <c r="E46" t="s">
        <v>309</v>
      </c>
      <c r="F46" t="s">
        <v>1728</v>
      </c>
      <c r="G46" t="s">
        <v>3496</v>
      </c>
      <c r="H46" t="s">
        <v>321</v>
      </c>
      <c r="I46" t="s">
        <v>917</v>
      </c>
      <c r="J46" t="s">
        <v>204</v>
      </c>
      <c r="K46" t="s">
        <v>204</v>
      </c>
      <c r="L46" t="s">
        <v>325</v>
      </c>
      <c r="M46" t="s">
        <v>340</v>
      </c>
      <c r="N46" t="s">
        <v>461</v>
      </c>
      <c r="O46" t="s">
        <v>339</v>
      </c>
      <c r="P46" t="s">
        <v>1212</v>
      </c>
      <c r="Q46" s="131">
        <v>2217</v>
      </c>
      <c r="R46" s="131">
        <v>1</v>
      </c>
      <c r="S46" s="131">
        <v>42630</v>
      </c>
      <c r="U46" s="131">
        <v>945.10699999999997</v>
      </c>
      <c r="V46" s="132">
        <v>1.2999999999999999E-4</v>
      </c>
      <c r="W46" s="132">
        <f t="shared" si="0"/>
        <v>6.037009026829728E-3</v>
      </c>
      <c r="X46" s="132">
        <v>8.7451349087992692E-4</v>
      </c>
    </row>
    <row r="47" spans="1:29">
      <c r="A47" t="s">
        <v>1213</v>
      </c>
      <c r="B47" s="4">
        <v>12937</v>
      </c>
      <c r="C47" t="s">
        <v>1782</v>
      </c>
      <c r="D47" t="s">
        <v>1783</v>
      </c>
      <c r="E47" t="s">
        <v>309</v>
      </c>
      <c r="F47" t="s">
        <v>1782</v>
      </c>
      <c r="G47" t="s">
        <v>3497</v>
      </c>
      <c r="H47" t="s">
        <v>321</v>
      </c>
      <c r="I47" t="s">
        <v>917</v>
      </c>
      <c r="J47" t="s">
        <v>204</v>
      </c>
      <c r="K47" t="s">
        <v>204</v>
      </c>
      <c r="L47" t="s">
        <v>325</v>
      </c>
      <c r="M47" t="s">
        <v>340</v>
      </c>
      <c r="N47" t="s">
        <v>461</v>
      </c>
      <c r="O47" t="s">
        <v>339</v>
      </c>
      <c r="P47" t="s">
        <v>1212</v>
      </c>
      <c r="Q47" s="131">
        <v>11023</v>
      </c>
      <c r="R47" s="131">
        <v>1</v>
      </c>
      <c r="S47" s="131">
        <v>7743</v>
      </c>
      <c r="U47" s="131">
        <v>853.51099999999997</v>
      </c>
      <c r="V47" s="132">
        <v>6.4000000000000005E-4</v>
      </c>
      <c r="W47" s="132">
        <f t="shared" si="0"/>
        <v>5.4519261961856885E-3</v>
      </c>
      <c r="X47" s="132">
        <v>7.8975913215584834E-4</v>
      </c>
    </row>
    <row r="48" spans="1:29">
      <c r="A48" t="s">
        <v>1213</v>
      </c>
      <c r="B48" s="4">
        <v>12937</v>
      </c>
      <c r="C48" t="s">
        <v>3498</v>
      </c>
      <c r="D48" t="s">
        <v>3499</v>
      </c>
      <c r="E48" t="s">
        <v>309</v>
      </c>
      <c r="F48" t="s">
        <v>3500</v>
      </c>
      <c r="G48" t="s">
        <v>3501</v>
      </c>
      <c r="H48" t="s">
        <v>321</v>
      </c>
      <c r="I48" t="s">
        <v>917</v>
      </c>
      <c r="J48" t="s">
        <v>204</v>
      </c>
      <c r="K48" t="s">
        <v>204</v>
      </c>
      <c r="L48" t="s">
        <v>325</v>
      </c>
      <c r="M48" t="s">
        <v>340</v>
      </c>
      <c r="N48" t="s">
        <v>476</v>
      </c>
      <c r="O48" t="s">
        <v>339</v>
      </c>
      <c r="P48" t="s">
        <v>1212</v>
      </c>
      <c r="Q48" s="131">
        <v>12698</v>
      </c>
      <c r="R48" s="131">
        <v>1</v>
      </c>
      <c r="S48" s="131">
        <v>5029</v>
      </c>
      <c r="U48" s="131">
        <v>638.58199999999999</v>
      </c>
      <c r="V48" s="132">
        <v>1.8000000000000001E-4</v>
      </c>
      <c r="W48" s="132">
        <f t="shared" si="0"/>
        <v>4.07903581115258E-3</v>
      </c>
      <c r="X48" s="132">
        <v>5.9088396767041781E-4</v>
      </c>
    </row>
    <row r="49" spans="1:24">
      <c r="A49" t="s">
        <v>1213</v>
      </c>
      <c r="B49" s="4">
        <v>12937</v>
      </c>
      <c r="C49" t="s">
        <v>3502</v>
      </c>
      <c r="D49" t="s">
        <v>3503</v>
      </c>
      <c r="E49" t="s">
        <v>309</v>
      </c>
      <c r="F49" t="s">
        <v>3502</v>
      </c>
      <c r="G49" t="s">
        <v>3504</v>
      </c>
      <c r="H49" t="s">
        <v>321</v>
      </c>
      <c r="I49" t="s">
        <v>917</v>
      </c>
      <c r="J49" t="s">
        <v>204</v>
      </c>
      <c r="K49" t="s">
        <v>204</v>
      </c>
      <c r="L49" t="s">
        <v>325</v>
      </c>
      <c r="M49" t="s">
        <v>340</v>
      </c>
      <c r="N49" t="s">
        <v>475</v>
      </c>
      <c r="O49" t="s">
        <v>339</v>
      </c>
      <c r="P49" t="s">
        <v>1212</v>
      </c>
      <c r="Q49" s="131">
        <v>10000</v>
      </c>
      <c r="R49" s="131">
        <v>1</v>
      </c>
      <c r="S49" s="131">
        <v>6219</v>
      </c>
      <c r="U49" s="131">
        <v>621.9</v>
      </c>
      <c r="V49" s="132">
        <v>4.0000000000000002E-4</v>
      </c>
      <c r="W49" s="132">
        <f t="shared" si="0"/>
        <v>3.9724770991913169E-3</v>
      </c>
      <c r="X49" s="132">
        <v>5.7544800745124795E-4</v>
      </c>
    </row>
    <row r="50" spans="1:24">
      <c r="A50" t="s">
        <v>1213</v>
      </c>
      <c r="B50" s="4">
        <v>12937</v>
      </c>
      <c r="C50" t="s">
        <v>1624</v>
      </c>
      <c r="D50" t="s">
        <v>1625</v>
      </c>
      <c r="E50" t="s">
        <v>309</v>
      </c>
      <c r="F50" t="s">
        <v>1624</v>
      </c>
      <c r="G50" t="s">
        <v>3505</v>
      </c>
      <c r="H50" t="s">
        <v>321</v>
      </c>
      <c r="I50" t="s">
        <v>917</v>
      </c>
      <c r="J50" t="s">
        <v>204</v>
      </c>
      <c r="K50" t="s">
        <v>204</v>
      </c>
      <c r="L50" t="s">
        <v>325</v>
      </c>
      <c r="M50" t="s">
        <v>340</v>
      </c>
      <c r="N50" t="s">
        <v>447</v>
      </c>
      <c r="O50" t="s">
        <v>339</v>
      </c>
      <c r="P50" t="s">
        <v>1212</v>
      </c>
      <c r="Q50" s="131">
        <v>32663</v>
      </c>
      <c r="R50" s="131">
        <v>1</v>
      </c>
      <c r="S50" s="131">
        <v>1740</v>
      </c>
      <c r="U50" s="131">
        <v>568.33600000000001</v>
      </c>
      <c r="V50" s="132">
        <v>1.2E-4</v>
      </c>
      <c r="W50" s="132">
        <f t="shared" si="0"/>
        <v>3.6303292243865513E-3</v>
      </c>
      <c r="X50" s="132">
        <v>5.2588489912013577E-4</v>
      </c>
    </row>
    <row r="51" spans="1:24">
      <c r="A51" t="s">
        <v>1213</v>
      </c>
      <c r="B51" s="4">
        <v>12937</v>
      </c>
      <c r="C51" t="s">
        <v>3506</v>
      </c>
      <c r="D51" t="s">
        <v>3507</v>
      </c>
      <c r="E51" t="s">
        <v>309</v>
      </c>
      <c r="F51" t="s">
        <v>3506</v>
      </c>
      <c r="G51" t="s">
        <v>3508</v>
      </c>
      <c r="H51" t="s">
        <v>321</v>
      </c>
      <c r="I51" t="s">
        <v>917</v>
      </c>
      <c r="J51" t="s">
        <v>204</v>
      </c>
      <c r="K51" t="s">
        <v>204</v>
      </c>
      <c r="L51" t="s">
        <v>325</v>
      </c>
      <c r="M51" t="s">
        <v>340</v>
      </c>
      <c r="N51" t="s">
        <v>478</v>
      </c>
      <c r="O51" t="s">
        <v>339</v>
      </c>
      <c r="P51" t="s">
        <v>1212</v>
      </c>
      <c r="Q51" s="131">
        <v>10000</v>
      </c>
      <c r="R51" s="131">
        <v>1</v>
      </c>
      <c r="S51" s="131">
        <v>5660</v>
      </c>
      <c r="U51" s="131">
        <v>566</v>
      </c>
      <c r="V51" s="132">
        <v>6.7000000000000002E-4</v>
      </c>
      <c r="W51" s="132">
        <f t="shared" si="0"/>
        <v>3.615407683136011E-3</v>
      </c>
      <c r="X51" s="132">
        <v>5.237233835301597E-4</v>
      </c>
    </row>
    <row r="52" spans="1:24">
      <c r="A52" t="s">
        <v>1213</v>
      </c>
      <c r="B52" s="4">
        <v>12937</v>
      </c>
      <c r="C52" t="s">
        <v>1534</v>
      </c>
      <c r="D52" t="s">
        <v>1535</v>
      </c>
      <c r="E52" t="s">
        <v>309</v>
      </c>
      <c r="F52" t="s">
        <v>1534</v>
      </c>
      <c r="G52" t="s">
        <v>3509</v>
      </c>
      <c r="H52" t="s">
        <v>321</v>
      </c>
      <c r="I52" t="s">
        <v>917</v>
      </c>
      <c r="J52" t="s">
        <v>204</v>
      </c>
      <c r="K52" t="s">
        <v>204</v>
      </c>
      <c r="L52" t="s">
        <v>325</v>
      </c>
      <c r="M52" t="s">
        <v>340</v>
      </c>
      <c r="N52" t="s">
        <v>464</v>
      </c>
      <c r="O52" t="s">
        <v>339</v>
      </c>
      <c r="P52" t="s">
        <v>1212</v>
      </c>
      <c r="Q52" s="131">
        <v>32342</v>
      </c>
      <c r="R52" s="131">
        <v>1</v>
      </c>
      <c r="S52" s="131">
        <v>1609</v>
      </c>
      <c r="U52" s="131">
        <v>520.38300000000004</v>
      </c>
      <c r="V52" s="132">
        <v>6.9999999999999994E-5</v>
      </c>
      <c r="W52" s="132">
        <f t="shared" si="0"/>
        <v>3.3240224317550656E-3</v>
      </c>
      <c r="X52" s="132">
        <v>4.8151368461409034E-4</v>
      </c>
    </row>
    <row r="53" spans="1:24">
      <c r="A53" t="s">
        <v>1213</v>
      </c>
      <c r="B53" s="4">
        <v>12937</v>
      </c>
      <c r="C53" t="s">
        <v>3284</v>
      </c>
      <c r="D53" t="s">
        <v>3285</v>
      </c>
      <c r="E53" t="s">
        <v>311</v>
      </c>
      <c r="F53" t="s">
        <v>3284</v>
      </c>
      <c r="G53" t="s">
        <v>3510</v>
      </c>
      <c r="H53" t="s">
        <v>321</v>
      </c>
      <c r="I53" t="s">
        <v>917</v>
      </c>
      <c r="J53" t="s">
        <v>204</v>
      </c>
      <c r="K53" t="s">
        <v>233</v>
      </c>
      <c r="L53" t="s">
        <v>325</v>
      </c>
      <c r="M53" t="s">
        <v>340</v>
      </c>
      <c r="N53" t="s">
        <v>454</v>
      </c>
      <c r="O53" t="s">
        <v>339</v>
      </c>
      <c r="P53" t="s">
        <v>1212</v>
      </c>
      <c r="Q53" s="131">
        <v>11083</v>
      </c>
      <c r="R53" s="131">
        <v>1</v>
      </c>
      <c r="S53" s="131">
        <v>4556</v>
      </c>
      <c r="T53" s="131">
        <f>12.375-39.8909999999996/1000/R53</f>
        <v>12.335109000000001</v>
      </c>
      <c r="U53" s="131">
        <f>517.317-39.8909999999996/1000</f>
        <v>517.277109</v>
      </c>
      <c r="V53" s="132">
        <v>6.0000000000000002E-5</v>
      </c>
      <c r="W53" s="132">
        <f t="shared" si="0"/>
        <v>3.3041830992738231E-3</v>
      </c>
      <c r="X53" s="132">
        <v>4.786397840073838E-4</v>
      </c>
    </row>
    <row r="54" spans="1:24">
      <c r="A54" t="s">
        <v>1213</v>
      </c>
      <c r="B54" s="4">
        <v>12937</v>
      </c>
      <c r="C54" t="s">
        <v>2566</v>
      </c>
      <c r="D54" t="s">
        <v>2567</v>
      </c>
      <c r="E54" t="s">
        <v>309</v>
      </c>
      <c r="F54" t="s">
        <v>2566</v>
      </c>
      <c r="G54" t="s">
        <v>3511</v>
      </c>
      <c r="H54" t="s">
        <v>321</v>
      </c>
      <c r="I54" t="s">
        <v>917</v>
      </c>
      <c r="J54" t="s">
        <v>204</v>
      </c>
      <c r="K54" t="s">
        <v>204</v>
      </c>
      <c r="L54" t="s">
        <v>325</v>
      </c>
      <c r="M54" t="s">
        <v>340</v>
      </c>
      <c r="N54" t="s">
        <v>476</v>
      </c>
      <c r="O54" t="s">
        <v>339</v>
      </c>
      <c r="P54" t="s">
        <v>1212</v>
      </c>
      <c r="Q54" s="131">
        <v>6548</v>
      </c>
      <c r="R54" s="131">
        <v>1</v>
      </c>
      <c r="S54" s="131">
        <v>7125</v>
      </c>
      <c r="T54" s="131">
        <v>10.38</v>
      </c>
      <c r="U54" s="131">
        <v>476.92500000000001</v>
      </c>
      <c r="V54" s="132">
        <v>1E-4</v>
      </c>
      <c r="W54" s="132">
        <f t="shared" si="0"/>
        <v>3.0464281082679188E-3</v>
      </c>
      <c r="X54" s="132">
        <v>4.4130172206735237E-4</v>
      </c>
    </row>
    <row r="55" spans="1:24">
      <c r="A55" t="s">
        <v>1213</v>
      </c>
      <c r="B55" s="4">
        <v>12937</v>
      </c>
      <c r="C55" t="s">
        <v>1973</v>
      </c>
      <c r="D55" t="s">
        <v>1974</v>
      </c>
      <c r="E55" t="s">
        <v>309</v>
      </c>
      <c r="F55" t="s">
        <v>3512</v>
      </c>
      <c r="G55" t="s">
        <v>3513</v>
      </c>
      <c r="H55" t="s">
        <v>321</v>
      </c>
      <c r="I55" t="s">
        <v>917</v>
      </c>
      <c r="J55" t="s">
        <v>204</v>
      </c>
      <c r="K55" t="s">
        <v>204</v>
      </c>
      <c r="L55" t="s">
        <v>325</v>
      </c>
      <c r="M55" t="s">
        <v>340</v>
      </c>
      <c r="N55" t="s">
        <v>464</v>
      </c>
      <c r="O55" t="s">
        <v>339</v>
      </c>
      <c r="P55" t="s">
        <v>1212</v>
      </c>
      <c r="Q55" s="131">
        <v>49651</v>
      </c>
      <c r="R55" s="131">
        <v>1</v>
      </c>
      <c r="S55" s="131">
        <v>954</v>
      </c>
      <c r="U55" s="131">
        <v>473.67099999999999</v>
      </c>
      <c r="V55" s="132">
        <v>6.9999999999999994E-5</v>
      </c>
      <c r="W55" s="132">
        <f t="shared" si="0"/>
        <v>3.0256427079129286E-3</v>
      </c>
      <c r="X55" s="132">
        <v>4.3829077526521957E-4</v>
      </c>
    </row>
    <row r="56" spans="1:24">
      <c r="A56" t="s">
        <v>1213</v>
      </c>
      <c r="B56" s="4">
        <v>12937</v>
      </c>
      <c r="C56" t="s">
        <v>2735</v>
      </c>
      <c r="D56" t="s">
        <v>2736</v>
      </c>
      <c r="E56" t="s">
        <v>309</v>
      </c>
      <c r="F56" t="s">
        <v>3514</v>
      </c>
      <c r="G56" t="s">
        <v>3515</v>
      </c>
      <c r="H56" t="s">
        <v>321</v>
      </c>
      <c r="I56" t="s">
        <v>917</v>
      </c>
      <c r="J56" t="s">
        <v>204</v>
      </c>
      <c r="K56" t="s">
        <v>204</v>
      </c>
      <c r="L56" t="s">
        <v>325</v>
      </c>
      <c r="M56" t="s">
        <v>340</v>
      </c>
      <c r="N56" t="s">
        <v>462</v>
      </c>
      <c r="O56" t="s">
        <v>339</v>
      </c>
      <c r="P56" t="s">
        <v>1212</v>
      </c>
      <c r="Q56" s="131">
        <v>2106</v>
      </c>
      <c r="R56" s="131">
        <v>1</v>
      </c>
      <c r="S56" s="131">
        <v>19990</v>
      </c>
      <c r="U56" s="131">
        <v>420.98899999999998</v>
      </c>
      <c r="V56" s="132">
        <v>2.5000000000000001E-4</v>
      </c>
      <c r="W56" s="132">
        <f t="shared" si="0"/>
        <v>2.6891287369536152E-3</v>
      </c>
      <c r="X56" s="132">
        <v>3.8954378711833639E-4</v>
      </c>
    </row>
    <row r="57" spans="1:24">
      <c r="A57" t="s">
        <v>1213</v>
      </c>
      <c r="B57" s="4">
        <v>12937</v>
      </c>
      <c r="C57" t="s">
        <v>3516</v>
      </c>
      <c r="D57" t="s">
        <v>3517</v>
      </c>
      <c r="E57" t="s">
        <v>309</v>
      </c>
      <c r="F57" t="s">
        <v>3516</v>
      </c>
      <c r="G57" t="s">
        <v>3518</v>
      </c>
      <c r="H57" t="s">
        <v>321</v>
      </c>
      <c r="I57" t="s">
        <v>917</v>
      </c>
      <c r="J57" t="s">
        <v>204</v>
      </c>
      <c r="K57" t="s">
        <v>204</v>
      </c>
      <c r="L57" t="s">
        <v>325</v>
      </c>
      <c r="M57" t="s">
        <v>340</v>
      </c>
      <c r="N57" t="s">
        <v>475</v>
      </c>
      <c r="O57" t="s">
        <v>339</v>
      </c>
      <c r="P57" t="s">
        <v>1212</v>
      </c>
      <c r="Q57" s="131">
        <v>38191</v>
      </c>
      <c r="R57" s="131">
        <v>1</v>
      </c>
      <c r="S57" s="131">
        <v>1049</v>
      </c>
      <c r="U57" s="131">
        <v>400.62400000000002</v>
      </c>
      <c r="V57" s="132">
        <v>2.7E-4</v>
      </c>
      <c r="W57" s="132">
        <f t="shared" si="0"/>
        <v>2.559044324467635E-3</v>
      </c>
      <c r="X57" s="132">
        <v>3.7069992368089528E-4</v>
      </c>
    </row>
    <row r="58" spans="1:24">
      <c r="A58" t="s">
        <v>1213</v>
      </c>
      <c r="B58" s="4">
        <v>12937</v>
      </c>
      <c r="C58" t="s">
        <v>3519</v>
      </c>
      <c r="D58" t="s">
        <v>3520</v>
      </c>
      <c r="E58" t="s">
        <v>309</v>
      </c>
      <c r="F58" t="s">
        <v>3521</v>
      </c>
      <c r="G58" t="s">
        <v>3522</v>
      </c>
      <c r="H58" t="s">
        <v>321</v>
      </c>
      <c r="I58" t="s">
        <v>917</v>
      </c>
      <c r="J58" t="s">
        <v>204</v>
      </c>
      <c r="K58" t="s">
        <v>204</v>
      </c>
      <c r="L58" s="134" t="s">
        <v>325</v>
      </c>
      <c r="M58" t="s">
        <v>340</v>
      </c>
      <c r="N58" t="s">
        <v>477</v>
      </c>
      <c r="O58" t="s">
        <v>339</v>
      </c>
      <c r="P58" t="s">
        <v>1212</v>
      </c>
      <c r="Q58" s="131">
        <v>51695</v>
      </c>
      <c r="R58" s="131">
        <v>1</v>
      </c>
      <c r="S58" s="131">
        <v>644.6</v>
      </c>
      <c r="U58" s="131">
        <v>333.226</v>
      </c>
      <c r="V58" s="132">
        <v>1.2999999999999999E-4</v>
      </c>
      <c r="W58" s="132">
        <f t="shared" si="0"/>
        <v>2.1285297537467851E-3</v>
      </c>
      <c r="X58" s="132">
        <v>3.0833612756222791E-4</v>
      </c>
    </row>
    <row r="59" spans="1:24">
      <c r="A59" t="s">
        <v>1213</v>
      </c>
      <c r="B59" s="4">
        <v>12937</v>
      </c>
      <c r="C59" t="s">
        <v>3523</v>
      </c>
      <c r="D59" t="s">
        <v>3524</v>
      </c>
      <c r="E59" t="s">
        <v>309</v>
      </c>
      <c r="F59" t="s">
        <v>3523</v>
      </c>
      <c r="G59" t="s">
        <v>3525</v>
      </c>
      <c r="H59" t="s">
        <v>321</v>
      </c>
      <c r="I59" t="s">
        <v>917</v>
      </c>
      <c r="J59" t="s">
        <v>204</v>
      </c>
      <c r="K59" t="s">
        <v>204</v>
      </c>
      <c r="L59" s="134" t="s">
        <v>325</v>
      </c>
      <c r="M59" t="s">
        <v>340</v>
      </c>
      <c r="N59" t="s">
        <v>484</v>
      </c>
      <c r="O59" t="s">
        <v>339</v>
      </c>
      <c r="P59" t="s">
        <v>1212</v>
      </c>
      <c r="Q59" s="131">
        <v>19499</v>
      </c>
      <c r="R59" s="131">
        <v>1</v>
      </c>
      <c r="S59" s="131">
        <v>1670</v>
      </c>
      <c r="U59" s="131">
        <v>325.63299999999998</v>
      </c>
      <c r="V59" s="132">
        <v>1.2E-4</v>
      </c>
      <c r="W59" s="132">
        <f t="shared" si="0"/>
        <v>2.0800283570364462E-3</v>
      </c>
      <c r="X59" s="132">
        <v>3.0131027658847435E-4</v>
      </c>
    </row>
    <row r="60" spans="1:24">
      <c r="A60" t="s">
        <v>1213</v>
      </c>
      <c r="B60" s="4">
        <v>12937</v>
      </c>
      <c r="C60" t="s">
        <v>3526</v>
      </c>
      <c r="D60" t="s">
        <v>3527</v>
      </c>
      <c r="E60" t="s">
        <v>309</v>
      </c>
      <c r="F60" t="s">
        <v>3528</v>
      </c>
      <c r="G60" t="s">
        <v>3529</v>
      </c>
      <c r="H60" t="s">
        <v>321</v>
      </c>
      <c r="I60" t="s">
        <v>917</v>
      </c>
      <c r="J60" t="s">
        <v>204</v>
      </c>
      <c r="K60" t="s">
        <v>204</v>
      </c>
      <c r="L60" t="s">
        <v>325</v>
      </c>
      <c r="M60" t="s">
        <v>340</v>
      </c>
      <c r="N60" t="s">
        <v>463</v>
      </c>
      <c r="O60" t="s">
        <v>339</v>
      </c>
      <c r="P60" t="s">
        <v>1212</v>
      </c>
      <c r="Q60" s="131">
        <v>18409</v>
      </c>
      <c r="R60" s="131">
        <v>1</v>
      </c>
      <c r="S60" s="131">
        <v>1271</v>
      </c>
      <c r="U60" s="131">
        <v>233.97800000000001</v>
      </c>
      <c r="V60" s="132">
        <v>1.2999999999999999E-4</v>
      </c>
      <c r="W60" s="132">
        <f t="shared" si="0"/>
        <v>1.494568655273494E-3</v>
      </c>
      <c r="X60" s="132">
        <v>2.1650132479084756E-4</v>
      </c>
    </row>
    <row r="61" spans="1:24">
      <c r="A61" t="s">
        <v>1213</v>
      </c>
      <c r="B61" s="4">
        <v>12937</v>
      </c>
      <c r="C61" t="s">
        <v>1737</v>
      </c>
      <c r="D61" t="s">
        <v>1738</v>
      </c>
      <c r="E61" t="s">
        <v>309</v>
      </c>
      <c r="F61" t="s">
        <v>3530</v>
      </c>
      <c r="G61" t="s">
        <v>3531</v>
      </c>
      <c r="H61" t="s">
        <v>321</v>
      </c>
      <c r="I61" t="s">
        <v>917</v>
      </c>
      <c r="J61" t="s">
        <v>204</v>
      </c>
      <c r="K61" t="s">
        <v>204</v>
      </c>
      <c r="L61" t="s">
        <v>325</v>
      </c>
      <c r="M61" t="s">
        <v>340</v>
      </c>
      <c r="N61" t="s">
        <v>447</v>
      </c>
      <c r="O61" t="s">
        <v>339</v>
      </c>
      <c r="P61" t="s">
        <v>1212</v>
      </c>
      <c r="Q61" s="131">
        <v>14346.46</v>
      </c>
      <c r="R61" s="131">
        <v>1</v>
      </c>
      <c r="S61" s="131">
        <v>1628</v>
      </c>
      <c r="U61" s="131">
        <v>233.56</v>
      </c>
      <c r="V61" s="132">
        <v>2.3000000000000001E-4</v>
      </c>
      <c r="W61" s="132">
        <f t="shared" si="0"/>
        <v>1.4918986192106833E-3</v>
      </c>
      <c r="X61" s="132">
        <v>2.1611454674435354E-4</v>
      </c>
    </row>
    <row r="62" spans="1:24">
      <c r="A62" t="s">
        <v>1213</v>
      </c>
      <c r="B62" s="4">
        <v>12937</v>
      </c>
      <c r="C62" t="s">
        <v>3532</v>
      </c>
      <c r="D62" t="s">
        <v>3533</v>
      </c>
      <c r="E62" t="s">
        <v>309</v>
      </c>
      <c r="F62" t="s">
        <v>3534</v>
      </c>
      <c r="G62" t="s">
        <v>3535</v>
      </c>
      <c r="H62" t="s">
        <v>321</v>
      </c>
      <c r="I62" t="s">
        <v>917</v>
      </c>
      <c r="J62" t="s">
        <v>204</v>
      </c>
      <c r="K62" t="s">
        <v>204</v>
      </c>
      <c r="L62" t="s">
        <v>325</v>
      </c>
      <c r="M62" t="s">
        <v>340</v>
      </c>
      <c r="N62" t="s">
        <v>477</v>
      </c>
      <c r="O62" t="s">
        <v>339</v>
      </c>
      <c r="P62" t="s">
        <v>1212</v>
      </c>
      <c r="Q62" s="131">
        <v>22569</v>
      </c>
      <c r="R62" s="131">
        <v>1</v>
      </c>
      <c r="S62" s="131">
        <v>974.5</v>
      </c>
      <c r="U62" s="131">
        <v>219.935</v>
      </c>
      <c r="V62" s="132">
        <v>2.1700000000000001E-3</v>
      </c>
      <c r="W62" s="132">
        <f t="shared" si="0"/>
        <v>1.4048669413260046E-3</v>
      </c>
      <c r="X62" s="132">
        <v>2.0350724798004537E-4</v>
      </c>
    </row>
    <row r="63" spans="1:24">
      <c r="A63" t="s">
        <v>1213</v>
      </c>
      <c r="B63" s="4">
        <v>12937</v>
      </c>
      <c r="C63" t="s">
        <v>3536</v>
      </c>
      <c r="D63" t="s">
        <v>3537</v>
      </c>
      <c r="E63" t="s">
        <v>80</v>
      </c>
      <c r="F63" t="s">
        <v>3538</v>
      </c>
      <c r="G63" t="s">
        <v>3539</v>
      </c>
      <c r="H63" t="s">
        <v>312</v>
      </c>
      <c r="I63" t="s">
        <v>963</v>
      </c>
      <c r="J63" t="s">
        <v>204</v>
      </c>
      <c r="K63" t="s">
        <v>224</v>
      </c>
      <c r="L63" s="134"/>
      <c r="M63" t="s">
        <v>342</v>
      </c>
      <c r="N63" t="s">
        <v>449</v>
      </c>
      <c r="O63" t="s">
        <v>339</v>
      </c>
      <c r="P63" t="s">
        <v>1212</v>
      </c>
      <c r="Q63" s="131">
        <v>575</v>
      </c>
      <c r="R63" s="131">
        <v>1</v>
      </c>
      <c r="S63" s="131">
        <v>400000</v>
      </c>
      <c r="U63" s="131">
        <v>2300</v>
      </c>
      <c r="V63" s="132">
        <v>1.1900000000000001E-2</v>
      </c>
      <c r="W63" s="132">
        <f t="shared" si="0"/>
        <v>1.4691585991542095E-2</v>
      </c>
      <c r="X63" s="132">
        <v>2.1282045620483522E-3</v>
      </c>
    </row>
    <row r="64" spans="1:24">
      <c r="A64" t="s">
        <v>1213</v>
      </c>
      <c r="B64" s="4">
        <v>12937</v>
      </c>
      <c r="C64" t="s">
        <v>3540</v>
      </c>
      <c r="D64" t="s">
        <v>3541</v>
      </c>
      <c r="E64" t="s">
        <v>80</v>
      </c>
      <c r="F64" t="s">
        <v>3542</v>
      </c>
      <c r="G64" t="s">
        <v>3543</v>
      </c>
      <c r="H64" t="s">
        <v>312</v>
      </c>
      <c r="I64" t="s">
        <v>959</v>
      </c>
      <c r="J64" t="s">
        <v>204</v>
      </c>
      <c r="K64" t="s">
        <v>224</v>
      </c>
      <c r="L64" t="s">
        <v>314</v>
      </c>
      <c r="M64" t="s">
        <v>342</v>
      </c>
      <c r="N64" t="s">
        <v>473</v>
      </c>
      <c r="O64" t="s">
        <v>339</v>
      </c>
      <c r="P64" t="s">
        <v>1212</v>
      </c>
      <c r="Q64" s="131">
        <v>2423263</v>
      </c>
      <c r="R64" s="131">
        <v>1</v>
      </c>
      <c r="S64" s="131">
        <v>0</v>
      </c>
      <c r="U64" s="131">
        <v>0</v>
      </c>
      <c r="V64" s="132">
        <v>1.635E-2</v>
      </c>
      <c r="W64" s="132">
        <f t="shared" si="0"/>
        <v>0</v>
      </c>
      <c r="X64" s="132">
        <v>0</v>
      </c>
    </row>
    <row r="65" spans="1:24">
      <c r="A65" t="s">
        <v>1213</v>
      </c>
      <c r="B65" s="4">
        <v>12937</v>
      </c>
      <c r="C65" t="s">
        <v>3455</v>
      </c>
      <c r="D65" t="s">
        <v>3456</v>
      </c>
      <c r="E65" t="s">
        <v>309</v>
      </c>
      <c r="F65" t="s">
        <v>3457</v>
      </c>
      <c r="G65" t="s">
        <v>3458</v>
      </c>
      <c r="H65" t="s">
        <v>321</v>
      </c>
      <c r="I65" t="s">
        <v>917</v>
      </c>
      <c r="J65" t="s">
        <v>204</v>
      </c>
      <c r="K65" t="s">
        <v>204</v>
      </c>
      <c r="L65" t="s">
        <v>327</v>
      </c>
      <c r="M65" t="s">
        <v>340</v>
      </c>
      <c r="N65" t="s">
        <v>455</v>
      </c>
      <c r="O65" t="s">
        <v>339</v>
      </c>
      <c r="P65" t="s">
        <v>1212</v>
      </c>
      <c r="Q65" s="131">
        <v>20403</v>
      </c>
      <c r="R65" s="131">
        <v>1</v>
      </c>
      <c r="S65" s="131">
        <f>U65*1000/Q65*100</f>
        <v>6800</v>
      </c>
      <c r="U65" s="131">
        <f>1387404/1000</f>
        <v>1387.404</v>
      </c>
      <c r="W65" s="132">
        <f t="shared" si="0"/>
        <v>8.8622457265258563E-3</v>
      </c>
      <c r="X65" s="132">
        <v>1.2837737053061444E-3</v>
      </c>
    </row>
    <row r="66" spans="1:24">
      <c r="A66" t="s">
        <v>1213</v>
      </c>
      <c r="B66" s="4">
        <v>12937</v>
      </c>
      <c r="C66" t="s">
        <v>3544</v>
      </c>
      <c r="D66" t="s">
        <v>3545</v>
      </c>
      <c r="E66" t="s">
        <v>80</v>
      </c>
      <c r="F66" t="s">
        <v>3546</v>
      </c>
      <c r="G66" t="s">
        <v>3547</v>
      </c>
      <c r="H66" t="s">
        <v>321</v>
      </c>
      <c r="I66" t="s">
        <v>917</v>
      </c>
      <c r="J66" t="s">
        <v>205</v>
      </c>
      <c r="K66" t="s">
        <v>224</v>
      </c>
      <c r="L66" t="s">
        <v>325</v>
      </c>
      <c r="M66" t="s">
        <v>344</v>
      </c>
      <c r="N66" t="s">
        <v>545</v>
      </c>
      <c r="O66" t="s">
        <v>339</v>
      </c>
      <c r="P66" t="s">
        <v>1216</v>
      </c>
      <c r="Q66" s="131">
        <v>9583</v>
      </c>
      <c r="R66" s="131">
        <v>3.71</v>
      </c>
      <c r="S66" s="131">
        <v>16719</v>
      </c>
      <c r="U66" s="131">
        <v>5944.0940000000001</v>
      </c>
      <c r="V66" s="132">
        <v>0</v>
      </c>
      <c r="W66" s="132">
        <f t="shared" si="0"/>
        <v>3.7968768757743222E-2</v>
      </c>
      <c r="X66" s="132">
        <v>5.5001078121931475E-3</v>
      </c>
    </row>
    <row r="67" spans="1:24">
      <c r="A67" t="s">
        <v>1213</v>
      </c>
      <c r="B67" s="4">
        <v>12937</v>
      </c>
      <c r="C67" t="s">
        <v>3227</v>
      </c>
      <c r="D67" t="s">
        <v>3228</v>
      </c>
      <c r="E67" t="s">
        <v>80</v>
      </c>
      <c r="F67" t="s">
        <v>3548</v>
      </c>
      <c r="G67" t="s">
        <v>3549</v>
      </c>
      <c r="H67" t="s">
        <v>321</v>
      </c>
      <c r="I67" t="s">
        <v>917</v>
      </c>
      <c r="J67" t="s">
        <v>205</v>
      </c>
      <c r="K67" t="s">
        <v>301</v>
      </c>
      <c r="L67" t="s">
        <v>325</v>
      </c>
      <c r="M67" t="s">
        <v>344</v>
      </c>
      <c r="N67" t="s">
        <v>548</v>
      </c>
      <c r="O67" t="s">
        <v>339</v>
      </c>
      <c r="P67" t="s">
        <v>1216</v>
      </c>
      <c r="Q67" s="131">
        <v>8000</v>
      </c>
      <c r="R67" s="131">
        <v>3.71</v>
      </c>
      <c r="S67" s="131">
        <v>17367</v>
      </c>
      <c r="T67" s="131">
        <f>3.136+3345.5499998/1000/R67</f>
        <v>4.0377654985983833</v>
      </c>
      <c r="U67" s="131">
        <f>5166.159+3345.5499998/1000</f>
        <v>5169.5045499997996</v>
      </c>
      <c r="V67" s="132">
        <v>0</v>
      </c>
      <c r="W67" s="132">
        <f t="shared" ref="W67:W130" si="1">U67/SUMIF(B:B,B67,U:U)</f>
        <v>3.3020965491300076E-2</v>
      </c>
      <c r="X67" s="132">
        <v>4.7833752899301253E-3</v>
      </c>
    </row>
    <row r="68" spans="1:24">
      <c r="A68" t="s">
        <v>1213</v>
      </c>
      <c r="B68" s="4">
        <v>12937</v>
      </c>
      <c r="C68" t="s">
        <v>3550</v>
      </c>
      <c r="D68" t="s">
        <v>3551</v>
      </c>
      <c r="E68" t="s">
        <v>80</v>
      </c>
      <c r="F68" t="s">
        <v>3552</v>
      </c>
      <c r="G68" t="s">
        <v>3553</v>
      </c>
      <c r="H68" t="s">
        <v>321</v>
      </c>
      <c r="I68" t="s">
        <v>917</v>
      </c>
      <c r="J68" t="s">
        <v>205</v>
      </c>
      <c r="K68" t="s">
        <v>224</v>
      </c>
      <c r="L68" t="s">
        <v>325</v>
      </c>
      <c r="M68" t="s">
        <v>344</v>
      </c>
      <c r="N68" t="s">
        <v>544</v>
      </c>
      <c r="O68" t="s">
        <v>339</v>
      </c>
      <c r="P68" t="s">
        <v>1216</v>
      </c>
      <c r="Q68" s="131">
        <v>2500</v>
      </c>
      <c r="R68" s="131">
        <v>3.71</v>
      </c>
      <c r="S68" s="131">
        <v>43030</v>
      </c>
      <c r="U68" s="131">
        <v>3991.0329999999999</v>
      </c>
      <c r="V68" s="132">
        <v>0</v>
      </c>
      <c r="W68" s="132">
        <f t="shared" si="1"/>
        <v>2.549330631068792E-2</v>
      </c>
      <c r="X68" s="132">
        <v>3.6929281034284874E-3</v>
      </c>
    </row>
    <row r="69" spans="1:24">
      <c r="A69" t="s">
        <v>1213</v>
      </c>
      <c r="B69" s="4">
        <v>12937</v>
      </c>
      <c r="C69" t="s">
        <v>3554</v>
      </c>
      <c r="D69" t="s">
        <v>3555</v>
      </c>
      <c r="E69" t="s">
        <v>80</v>
      </c>
      <c r="F69" t="s">
        <v>3556</v>
      </c>
      <c r="G69" t="s">
        <v>3557</v>
      </c>
      <c r="H69" t="s">
        <v>321</v>
      </c>
      <c r="I69" t="s">
        <v>917</v>
      </c>
      <c r="J69" t="s">
        <v>205</v>
      </c>
      <c r="K69" t="s">
        <v>224</v>
      </c>
      <c r="L69" t="s">
        <v>325</v>
      </c>
      <c r="M69" t="s">
        <v>344</v>
      </c>
      <c r="N69" t="s">
        <v>536</v>
      </c>
      <c r="O69" t="s">
        <v>339</v>
      </c>
      <c r="P69" t="s">
        <v>1216</v>
      </c>
      <c r="Q69" s="131">
        <v>25000</v>
      </c>
      <c r="R69" s="131">
        <v>3.71</v>
      </c>
      <c r="S69" s="131">
        <v>3968</v>
      </c>
      <c r="U69" s="131">
        <v>3680.32</v>
      </c>
      <c r="V69" s="132">
        <v>0</v>
      </c>
      <c r="W69" s="132">
        <f t="shared" si="1"/>
        <v>2.3508581633214003E-2</v>
      </c>
      <c r="X69" s="132">
        <v>3.405423397303388E-3</v>
      </c>
    </row>
    <row r="70" spans="1:24">
      <c r="A70" t="s">
        <v>1213</v>
      </c>
      <c r="B70" s="4">
        <v>12937</v>
      </c>
      <c r="C70" t="s">
        <v>3558</v>
      </c>
      <c r="D70" t="s">
        <v>3559</v>
      </c>
      <c r="E70" t="s">
        <v>80</v>
      </c>
      <c r="F70" t="s">
        <v>3560</v>
      </c>
      <c r="G70" t="s">
        <v>3561</v>
      </c>
      <c r="H70" t="s">
        <v>321</v>
      </c>
      <c r="I70" t="s">
        <v>917</v>
      </c>
      <c r="J70" t="s">
        <v>205</v>
      </c>
      <c r="K70" t="s">
        <v>224</v>
      </c>
      <c r="L70" s="134" t="s">
        <v>325</v>
      </c>
      <c r="M70" t="s">
        <v>344</v>
      </c>
      <c r="N70" t="s">
        <v>486</v>
      </c>
      <c r="O70" t="s">
        <v>339</v>
      </c>
      <c r="P70" t="s">
        <v>1216</v>
      </c>
      <c r="Q70" s="131">
        <v>6000</v>
      </c>
      <c r="R70" s="131">
        <v>3.71</v>
      </c>
      <c r="S70" s="131">
        <v>14727</v>
      </c>
      <c r="U70" s="131">
        <v>3278.23</v>
      </c>
      <c r="V70" s="132">
        <v>0</v>
      </c>
      <c r="W70" s="132">
        <f t="shared" si="1"/>
        <v>2.0940173019588278E-2</v>
      </c>
      <c r="X70" s="132">
        <v>3.0333669745407697E-3</v>
      </c>
    </row>
    <row r="71" spans="1:24">
      <c r="A71" t="s">
        <v>1213</v>
      </c>
      <c r="B71" s="4">
        <v>12937</v>
      </c>
      <c r="C71" t="s">
        <v>3209</v>
      </c>
      <c r="D71" t="s">
        <v>3210</v>
      </c>
      <c r="E71" t="s">
        <v>80</v>
      </c>
      <c r="F71" t="s">
        <v>3209</v>
      </c>
      <c r="G71" t="s">
        <v>3562</v>
      </c>
      <c r="H71" t="s">
        <v>321</v>
      </c>
      <c r="I71" t="s">
        <v>917</v>
      </c>
      <c r="J71" t="s">
        <v>205</v>
      </c>
      <c r="K71" t="s">
        <v>224</v>
      </c>
      <c r="L71" t="s">
        <v>325</v>
      </c>
      <c r="M71" t="s">
        <v>340</v>
      </c>
      <c r="N71" t="s">
        <v>545</v>
      </c>
      <c r="O71" t="s">
        <v>339</v>
      </c>
      <c r="P71" t="s">
        <v>1216</v>
      </c>
      <c r="Q71" s="131">
        <v>1011</v>
      </c>
      <c r="R71" s="131">
        <v>3.71</v>
      </c>
      <c r="S71" s="131">
        <v>57244</v>
      </c>
      <c r="U71" s="131">
        <v>2147.114</v>
      </c>
      <c r="V71" s="132">
        <v>0</v>
      </c>
      <c r="W71" s="132">
        <f t="shared" si="1"/>
        <v>1.3715004332453875E-2</v>
      </c>
      <c r="X71" s="132">
        <v>1.9867381782773417E-3</v>
      </c>
    </row>
    <row r="72" spans="1:24">
      <c r="A72" t="s">
        <v>1213</v>
      </c>
      <c r="B72" s="4">
        <v>12937</v>
      </c>
      <c r="C72" t="s">
        <v>3563</v>
      </c>
      <c r="D72" t="s">
        <v>3564</v>
      </c>
      <c r="E72" t="s">
        <v>80</v>
      </c>
      <c r="F72" t="s">
        <v>3565</v>
      </c>
      <c r="G72" t="s">
        <v>3566</v>
      </c>
      <c r="H72" t="s">
        <v>321</v>
      </c>
      <c r="I72" t="s">
        <v>917</v>
      </c>
      <c r="J72" t="s">
        <v>205</v>
      </c>
      <c r="K72" t="s">
        <v>224</v>
      </c>
      <c r="L72" t="s">
        <v>325</v>
      </c>
      <c r="M72" t="s">
        <v>344</v>
      </c>
      <c r="N72" t="s">
        <v>546</v>
      </c>
      <c r="O72" t="s">
        <v>339</v>
      </c>
      <c r="P72" t="s">
        <v>1216</v>
      </c>
      <c r="Q72" s="131">
        <v>2416</v>
      </c>
      <c r="R72" s="131">
        <v>3.71</v>
      </c>
      <c r="S72" s="131">
        <v>23300</v>
      </c>
      <c r="U72" s="131">
        <v>2088.4630000000002</v>
      </c>
      <c r="V72" s="132">
        <v>0</v>
      </c>
      <c r="W72" s="132">
        <f t="shared" si="1"/>
        <v>1.3340362502023469E-2</v>
      </c>
      <c r="X72" s="132">
        <v>1.9324680366387774E-3</v>
      </c>
    </row>
    <row r="73" spans="1:24">
      <c r="A73" t="s">
        <v>1213</v>
      </c>
      <c r="B73" s="4">
        <v>12937</v>
      </c>
      <c r="C73" t="s">
        <v>3567</v>
      </c>
      <c r="D73" t="s">
        <v>3568</v>
      </c>
      <c r="E73" t="s">
        <v>80</v>
      </c>
      <c r="F73" t="s">
        <v>3569</v>
      </c>
      <c r="G73" t="s">
        <v>3570</v>
      </c>
      <c r="H73" t="s">
        <v>321</v>
      </c>
      <c r="I73" t="s">
        <v>917</v>
      </c>
      <c r="J73" t="s">
        <v>205</v>
      </c>
      <c r="K73" t="s">
        <v>224</v>
      </c>
      <c r="L73" t="s">
        <v>325</v>
      </c>
      <c r="M73" t="s">
        <v>344</v>
      </c>
      <c r="N73" t="s">
        <v>536</v>
      </c>
      <c r="O73" t="s">
        <v>339</v>
      </c>
      <c r="P73" t="s">
        <v>1216</v>
      </c>
      <c r="Q73" s="131">
        <v>2588</v>
      </c>
      <c r="R73" s="131">
        <v>3.71</v>
      </c>
      <c r="S73" s="131">
        <v>21086</v>
      </c>
      <c r="U73" s="131">
        <v>2024.568</v>
      </c>
      <c r="V73" s="132">
        <v>0</v>
      </c>
      <c r="W73" s="132">
        <f t="shared" si="1"/>
        <v>1.2932223855532346E-2</v>
      </c>
      <c r="X73" s="132">
        <v>1.8733455885987429E-3</v>
      </c>
    </row>
    <row r="74" spans="1:24">
      <c r="A74" t="s">
        <v>1213</v>
      </c>
      <c r="B74" s="4">
        <v>12937</v>
      </c>
      <c r="C74" t="s">
        <v>3571</v>
      </c>
      <c r="D74" t="s">
        <v>3572</v>
      </c>
      <c r="E74" t="s">
        <v>80</v>
      </c>
      <c r="F74" t="s">
        <v>3573</v>
      </c>
      <c r="G74" t="s">
        <v>3574</v>
      </c>
      <c r="H74" t="s">
        <v>321</v>
      </c>
      <c r="I74" t="s">
        <v>917</v>
      </c>
      <c r="J74" t="s">
        <v>205</v>
      </c>
      <c r="K74" t="s">
        <v>233</v>
      </c>
      <c r="L74" t="s">
        <v>325</v>
      </c>
      <c r="M74" t="s">
        <v>380</v>
      </c>
      <c r="N74" t="s">
        <v>568</v>
      </c>
      <c r="O74" t="s">
        <v>339</v>
      </c>
      <c r="P74" t="s">
        <v>1227</v>
      </c>
      <c r="Q74" s="131">
        <v>32521</v>
      </c>
      <c r="R74" s="131">
        <v>4.9748000000000001</v>
      </c>
      <c r="S74" s="131">
        <v>1230</v>
      </c>
      <c r="T74" s="131">
        <f>5.51-13.8200001999976/1000/R74</f>
        <v>5.5072219988341242</v>
      </c>
      <c r="U74" s="131">
        <f>2017.371-13.8200001999976/1000</f>
        <v>2017.3571799998001</v>
      </c>
      <c r="V74" s="132">
        <v>7.7999999999999999E-4</v>
      </c>
      <c r="W74" s="132">
        <f t="shared" si="1"/>
        <v>1.2886163689400838E-2</v>
      </c>
      <c r="X74" s="132">
        <v>1.8666733711985102E-3</v>
      </c>
    </row>
    <row r="75" spans="1:24">
      <c r="A75" t="s">
        <v>1213</v>
      </c>
      <c r="B75" s="4">
        <v>12937</v>
      </c>
      <c r="C75" t="s">
        <v>3575</v>
      </c>
      <c r="D75" t="s">
        <v>3576</v>
      </c>
      <c r="E75" t="s">
        <v>80</v>
      </c>
      <c r="F75" t="s">
        <v>3577</v>
      </c>
      <c r="G75" t="s">
        <v>3578</v>
      </c>
      <c r="H75" t="s">
        <v>321</v>
      </c>
      <c r="I75" t="s">
        <v>917</v>
      </c>
      <c r="J75" t="s">
        <v>205</v>
      </c>
      <c r="K75" t="s">
        <v>224</v>
      </c>
      <c r="L75" t="s">
        <v>325</v>
      </c>
      <c r="M75" t="s">
        <v>344</v>
      </c>
      <c r="N75" t="s">
        <v>544</v>
      </c>
      <c r="O75" t="s">
        <v>339</v>
      </c>
      <c r="P75" t="s">
        <v>1216</v>
      </c>
      <c r="Q75" s="131">
        <v>1370</v>
      </c>
      <c r="R75" s="131">
        <v>3.71</v>
      </c>
      <c r="S75" s="131">
        <v>34180</v>
      </c>
      <c r="U75" s="131">
        <v>1737.2670000000001</v>
      </c>
      <c r="V75" s="132">
        <v>0</v>
      </c>
      <c r="W75" s="132">
        <f t="shared" si="1"/>
        <v>1.1097046748160156E-2</v>
      </c>
      <c r="X75" s="132">
        <v>1.6075041543026326E-3</v>
      </c>
    </row>
    <row r="76" spans="1:24">
      <c r="A76" t="s">
        <v>1213</v>
      </c>
      <c r="B76" s="4">
        <v>12937</v>
      </c>
      <c r="C76" t="s">
        <v>3579</v>
      </c>
      <c r="D76" t="s">
        <v>3580</v>
      </c>
      <c r="E76" t="s">
        <v>80</v>
      </c>
      <c r="F76" t="s">
        <v>3581</v>
      </c>
      <c r="G76" t="s">
        <v>3582</v>
      </c>
      <c r="H76" t="s">
        <v>321</v>
      </c>
      <c r="I76" t="s">
        <v>917</v>
      </c>
      <c r="J76" t="s">
        <v>205</v>
      </c>
      <c r="K76" t="s">
        <v>224</v>
      </c>
      <c r="L76" t="s">
        <v>325</v>
      </c>
      <c r="M76" t="s">
        <v>344</v>
      </c>
      <c r="N76" t="s">
        <v>497</v>
      </c>
      <c r="O76" t="s">
        <v>339</v>
      </c>
      <c r="P76" t="s">
        <v>1216</v>
      </c>
      <c r="Q76" s="131">
        <v>2700</v>
      </c>
      <c r="R76" s="131">
        <v>3.71</v>
      </c>
      <c r="S76" s="131">
        <v>15553</v>
      </c>
      <c r="U76" s="131">
        <v>1557.944</v>
      </c>
      <c r="V76" s="132">
        <v>2.0000000000000002E-5</v>
      </c>
      <c r="W76" s="132">
        <f t="shared" si="1"/>
        <v>9.9515948895682847E-3</v>
      </c>
      <c r="X76" s="132">
        <v>1.4415754470503731E-3</v>
      </c>
    </row>
    <row r="77" spans="1:24">
      <c r="A77" t="s">
        <v>1213</v>
      </c>
      <c r="B77" s="4">
        <v>12937</v>
      </c>
      <c r="C77" t="s">
        <v>3583</v>
      </c>
      <c r="D77" t="s">
        <v>3584</v>
      </c>
      <c r="E77" t="s">
        <v>80</v>
      </c>
      <c r="F77" t="s">
        <v>3585</v>
      </c>
      <c r="G77" t="s">
        <v>3586</v>
      </c>
      <c r="H77" t="s">
        <v>321</v>
      </c>
      <c r="I77" t="s">
        <v>917</v>
      </c>
      <c r="J77" t="s">
        <v>205</v>
      </c>
      <c r="K77" t="s">
        <v>204</v>
      </c>
      <c r="L77" t="s">
        <v>325</v>
      </c>
      <c r="M77" t="s">
        <v>314</v>
      </c>
      <c r="N77" t="s">
        <v>530</v>
      </c>
      <c r="O77" t="s">
        <v>339</v>
      </c>
      <c r="P77" t="s">
        <v>1219</v>
      </c>
      <c r="Q77" s="131">
        <v>102936</v>
      </c>
      <c r="R77" s="131">
        <v>4.3964999999999996</v>
      </c>
      <c r="S77" s="131">
        <v>273</v>
      </c>
      <c r="U77" s="131">
        <v>1235.4839999999999</v>
      </c>
      <c r="V77" s="132">
        <v>6.28E-3</v>
      </c>
      <c r="W77" s="132">
        <f t="shared" si="1"/>
        <v>7.8918345335540832E-3</v>
      </c>
      <c r="X77" s="132">
        <v>1.1432011674511941E-3</v>
      </c>
    </row>
    <row r="78" spans="1:24">
      <c r="A78" t="s">
        <v>1213</v>
      </c>
      <c r="B78" s="4">
        <v>12937</v>
      </c>
      <c r="C78" t="s">
        <v>3587</v>
      </c>
      <c r="D78" t="s">
        <v>3588</v>
      </c>
      <c r="E78" t="s">
        <v>309</v>
      </c>
      <c r="F78" t="s">
        <v>3587</v>
      </c>
      <c r="G78" t="s">
        <v>3589</v>
      </c>
      <c r="H78" t="s">
        <v>321</v>
      </c>
      <c r="I78" t="s">
        <v>917</v>
      </c>
      <c r="J78" t="s">
        <v>205</v>
      </c>
      <c r="K78" t="s">
        <v>204</v>
      </c>
      <c r="L78" t="s">
        <v>325</v>
      </c>
      <c r="M78" t="s">
        <v>344</v>
      </c>
      <c r="N78" t="s">
        <v>493</v>
      </c>
      <c r="O78" t="s">
        <v>339</v>
      </c>
      <c r="P78" t="s">
        <v>1216</v>
      </c>
      <c r="Q78" s="131">
        <v>78000</v>
      </c>
      <c r="R78" s="131">
        <v>3.71</v>
      </c>
      <c r="S78" s="131">
        <f>U78*1000/Q78/R78*100</f>
        <v>533.78775312737571</v>
      </c>
      <c r="U78" s="131">
        <f>1089.194+455.481</f>
        <v>1544.675</v>
      </c>
      <c r="V78" s="132">
        <v>-1.468E-2</v>
      </c>
      <c r="W78" s="132">
        <f t="shared" si="1"/>
        <v>9.8668372136892536E-3</v>
      </c>
      <c r="X78" s="132">
        <v>1.4292975573400167E-3</v>
      </c>
    </row>
    <row r="79" spans="1:24">
      <c r="A79" t="s">
        <v>1213</v>
      </c>
      <c r="B79" s="4">
        <v>12937</v>
      </c>
      <c r="C79" t="s">
        <v>3590</v>
      </c>
      <c r="D79" t="s">
        <v>3591</v>
      </c>
      <c r="E79" t="s">
        <v>80</v>
      </c>
      <c r="F79" t="s">
        <v>3590</v>
      </c>
      <c r="G79" t="s">
        <v>3592</v>
      </c>
      <c r="H79" t="s">
        <v>321</v>
      </c>
      <c r="I79" t="s">
        <v>917</v>
      </c>
      <c r="J79" t="s">
        <v>205</v>
      </c>
      <c r="K79" t="s">
        <v>204</v>
      </c>
      <c r="L79" t="s">
        <v>325</v>
      </c>
      <c r="M79" t="s">
        <v>344</v>
      </c>
      <c r="N79" t="s">
        <v>546</v>
      </c>
      <c r="O79" t="s">
        <v>339</v>
      </c>
      <c r="P79" t="s">
        <v>1216</v>
      </c>
      <c r="Q79" s="131">
        <v>10812</v>
      </c>
      <c r="R79" s="131">
        <v>3.71</v>
      </c>
      <c r="S79" s="131">
        <v>2654</v>
      </c>
      <c r="T79" s="131">
        <f>3.173+4193.49/1000/R79</f>
        <v>4.3033207547169816</v>
      </c>
      <c r="U79" s="131">
        <f>1076.357+4193.49/1000</f>
        <v>1080.5504900000001</v>
      </c>
      <c r="V79" s="132">
        <v>5.4000000000000001E-4</v>
      </c>
      <c r="W79" s="132">
        <f t="shared" si="1"/>
        <v>6.9021741052338898E-3</v>
      </c>
      <c r="X79" s="132">
        <v>9.9984020971373151E-4</v>
      </c>
    </row>
    <row r="80" spans="1:24">
      <c r="A80" t="s">
        <v>1213</v>
      </c>
      <c r="B80" s="4">
        <v>12937</v>
      </c>
      <c r="C80" t="s">
        <v>3593</v>
      </c>
      <c r="D80" t="s">
        <v>3594</v>
      </c>
      <c r="E80" t="s">
        <v>80</v>
      </c>
      <c r="F80" t="s">
        <v>3593</v>
      </c>
      <c r="G80" t="s">
        <v>3595</v>
      </c>
      <c r="H80" t="s">
        <v>321</v>
      </c>
      <c r="I80" t="s">
        <v>917</v>
      </c>
      <c r="J80" t="s">
        <v>205</v>
      </c>
      <c r="K80" t="s">
        <v>224</v>
      </c>
      <c r="L80" t="s">
        <v>325</v>
      </c>
      <c r="M80" t="s">
        <v>344</v>
      </c>
      <c r="N80" t="s">
        <v>569</v>
      </c>
      <c r="O80" t="s">
        <v>339</v>
      </c>
      <c r="P80" t="s">
        <v>1216</v>
      </c>
      <c r="Q80" s="131">
        <v>688</v>
      </c>
      <c r="R80" s="131">
        <v>3.71</v>
      </c>
      <c r="S80" s="131">
        <v>39112</v>
      </c>
      <c r="U80" s="131">
        <v>998.32600000000002</v>
      </c>
      <c r="V80" s="132">
        <v>0</v>
      </c>
      <c r="W80" s="132">
        <f t="shared" si="1"/>
        <v>6.3769531637357622E-3</v>
      </c>
      <c r="X80" s="132">
        <v>9.237573685267319E-4</v>
      </c>
    </row>
    <row r="81" spans="1:24">
      <c r="A81" t="s">
        <v>1213</v>
      </c>
      <c r="B81" s="4">
        <v>12938</v>
      </c>
      <c r="C81" t="s">
        <v>1573</v>
      </c>
      <c r="D81" t="s">
        <v>1574</v>
      </c>
      <c r="E81" t="s">
        <v>309</v>
      </c>
      <c r="F81" t="s">
        <v>1573</v>
      </c>
      <c r="G81" t="s">
        <v>3404</v>
      </c>
      <c r="H81" t="s">
        <v>321</v>
      </c>
      <c r="I81" t="s">
        <v>917</v>
      </c>
      <c r="J81" t="s">
        <v>204</v>
      </c>
      <c r="K81" t="s">
        <v>204</v>
      </c>
      <c r="L81" t="s">
        <v>325</v>
      </c>
      <c r="M81" t="s">
        <v>340</v>
      </c>
      <c r="N81" t="s">
        <v>448</v>
      </c>
      <c r="O81" t="s">
        <v>339</v>
      </c>
      <c r="P81" t="s">
        <v>1212</v>
      </c>
      <c r="Q81" s="131">
        <v>78240</v>
      </c>
      <c r="R81" s="131">
        <v>1</v>
      </c>
      <c r="S81" s="131">
        <v>3644</v>
      </c>
      <c r="U81" s="131">
        <v>2851.0659999999998</v>
      </c>
      <c r="V81" s="132">
        <v>5.0000000000000002E-5</v>
      </c>
      <c r="W81" s="132">
        <f t="shared" si="1"/>
        <v>4.823988117070703E-2</v>
      </c>
      <c r="X81" s="132">
        <v>1.2554254671700937E-2</v>
      </c>
    </row>
    <row r="82" spans="1:24">
      <c r="A82" t="s">
        <v>1213</v>
      </c>
      <c r="B82" s="4">
        <v>12938</v>
      </c>
      <c r="C82" t="s">
        <v>2089</v>
      </c>
      <c r="D82" t="s">
        <v>2090</v>
      </c>
      <c r="E82" t="s">
        <v>309</v>
      </c>
      <c r="F82" t="s">
        <v>2089</v>
      </c>
      <c r="G82" t="s">
        <v>3405</v>
      </c>
      <c r="H82" t="s">
        <v>321</v>
      </c>
      <c r="I82" t="s">
        <v>917</v>
      </c>
      <c r="J82" t="s">
        <v>204</v>
      </c>
      <c r="K82" t="s">
        <v>204</v>
      </c>
      <c r="L82" t="s">
        <v>325</v>
      </c>
      <c r="M82" t="s">
        <v>340</v>
      </c>
      <c r="N82" t="s">
        <v>467</v>
      </c>
      <c r="O82" t="s">
        <v>339</v>
      </c>
      <c r="P82" t="s">
        <v>1212</v>
      </c>
      <c r="Q82" s="131">
        <v>42821</v>
      </c>
      <c r="R82" s="131">
        <v>1</v>
      </c>
      <c r="S82" s="131">
        <v>6629</v>
      </c>
      <c r="U82" s="131">
        <v>2838.6039999999998</v>
      </c>
      <c r="V82" s="132">
        <v>3.0000000000000001E-5</v>
      </c>
      <c r="W82" s="132">
        <f t="shared" si="1"/>
        <v>4.8029024810612476E-2</v>
      </c>
      <c r="X82" s="132">
        <v>1.2499380066301155E-2</v>
      </c>
    </row>
    <row r="83" spans="1:24">
      <c r="A83" t="s">
        <v>1213</v>
      </c>
      <c r="B83" s="4">
        <v>12938</v>
      </c>
      <c r="C83" t="s">
        <v>1807</v>
      </c>
      <c r="D83" t="s">
        <v>1808</v>
      </c>
      <c r="E83" t="s">
        <v>309</v>
      </c>
      <c r="F83" t="s">
        <v>1807</v>
      </c>
      <c r="G83" t="s">
        <v>3409</v>
      </c>
      <c r="H83" t="s">
        <v>321</v>
      </c>
      <c r="I83" t="s">
        <v>917</v>
      </c>
      <c r="J83" t="s">
        <v>204</v>
      </c>
      <c r="K83" t="s">
        <v>204</v>
      </c>
      <c r="L83" t="s">
        <v>325</v>
      </c>
      <c r="M83" t="s">
        <v>340</v>
      </c>
      <c r="N83" t="s">
        <v>464</v>
      </c>
      <c r="O83" t="s">
        <v>339</v>
      </c>
      <c r="P83" t="s">
        <v>1212</v>
      </c>
      <c r="Q83" s="131">
        <v>9575</v>
      </c>
      <c r="R83" s="131">
        <v>1</v>
      </c>
      <c r="S83" s="131">
        <v>25940</v>
      </c>
      <c r="U83" s="131">
        <v>2483.7550000000001</v>
      </c>
      <c r="V83" s="132">
        <v>8.0000000000000007E-5</v>
      </c>
      <c r="W83" s="132">
        <f t="shared" si="1"/>
        <v>4.202499909056804E-2</v>
      </c>
      <c r="X83" s="132">
        <v>1.0936854079179706E-2</v>
      </c>
    </row>
    <row r="84" spans="1:24">
      <c r="A84" t="s">
        <v>1213</v>
      </c>
      <c r="B84" s="4">
        <v>12938</v>
      </c>
      <c r="C84" t="s">
        <v>1600</v>
      </c>
      <c r="D84" t="s">
        <v>1601</v>
      </c>
      <c r="E84" t="s">
        <v>309</v>
      </c>
      <c r="F84" t="s">
        <v>1600</v>
      </c>
      <c r="G84" t="s">
        <v>3406</v>
      </c>
      <c r="H84" t="s">
        <v>321</v>
      </c>
      <c r="I84" t="s">
        <v>917</v>
      </c>
      <c r="J84" t="s">
        <v>204</v>
      </c>
      <c r="K84" t="s">
        <v>204</v>
      </c>
      <c r="L84" t="s">
        <v>325</v>
      </c>
      <c r="M84" t="s">
        <v>340</v>
      </c>
      <c r="N84" t="s">
        <v>448</v>
      </c>
      <c r="O84" t="s">
        <v>339</v>
      </c>
      <c r="P84" t="s">
        <v>1212</v>
      </c>
      <c r="Q84" s="131">
        <v>58971</v>
      </c>
      <c r="R84" s="131">
        <v>1</v>
      </c>
      <c r="S84" s="131">
        <v>3729</v>
      </c>
      <c r="U84" s="131">
        <v>2199.029</v>
      </c>
      <c r="V84" s="132">
        <v>4.0000000000000003E-5</v>
      </c>
      <c r="W84" s="132">
        <f t="shared" si="1"/>
        <v>3.7207450704732449E-2</v>
      </c>
      <c r="X84" s="132">
        <v>9.6831045287818114E-3</v>
      </c>
    </row>
    <row r="85" spans="1:24">
      <c r="A85" t="s">
        <v>1213</v>
      </c>
      <c r="B85" s="4">
        <v>12938</v>
      </c>
      <c r="C85" t="s">
        <v>3320</v>
      </c>
      <c r="D85" t="s">
        <v>3321</v>
      </c>
      <c r="E85" t="s">
        <v>309</v>
      </c>
      <c r="F85" t="s">
        <v>3320</v>
      </c>
      <c r="G85" t="s">
        <v>3414</v>
      </c>
      <c r="H85" t="s">
        <v>321</v>
      </c>
      <c r="I85" t="s">
        <v>917</v>
      </c>
      <c r="J85" t="s">
        <v>204</v>
      </c>
      <c r="K85" t="s">
        <v>204</v>
      </c>
      <c r="L85" t="s">
        <v>325</v>
      </c>
      <c r="M85" t="s">
        <v>340</v>
      </c>
      <c r="N85" t="s">
        <v>441</v>
      </c>
      <c r="O85" t="s">
        <v>339</v>
      </c>
      <c r="P85" t="s">
        <v>1212</v>
      </c>
      <c r="Q85" s="131">
        <v>146942</v>
      </c>
      <c r="R85" s="131">
        <v>1</v>
      </c>
      <c r="S85" s="131">
        <v>1472</v>
      </c>
      <c r="U85" s="131">
        <v>2162.9859999999999</v>
      </c>
      <c r="V85" s="132">
        <v>8.3000000000000001E-4</v>
      </c>
      <c r="W85" s="132">
        <f t="shared" si="1"/>
        <v>3.6597605111176983E-2</v>
      </c>
      <c r="X85" s="132">
        <v>9.5243944178506294E-3</v>
      </c>
    </row>
    <row r="86" spans="1:24">
      <c r="A86" t="s">
        <v>1213</v>
      </c>
      <c r="B86" s="4">
        <v>12938</v>
      </c>
      <c r="C86" t="s">
        <v>2404</v>
      </c>
      <c r="D86" t="s">
        <v>2405</v>
      </c>
      <c r="E86" t="s">
        <v>309</v>
      </c>
      <c r="F86" t="s">
        <v>2404</v>
      </c>
      <c r="G86" t="s">
        <v>3418</v>
      </c>
      <c r="H86" t="s">
        <v>321</v>
      </c>
      <c r="I86" t="s">
        <v>917</v>
      </c>
      <c r="J86" t="s">
        <v>204</v>
      </c>
      <c r="K86" t="s">
        <v>204</v>
      </c>
      <c r="L86" t="s">
        <v>325</v>
      </c>
      <c r="M86" t="s">
        <v>340</v>
      </c>
      <c r="N86" t="s">
        <v>440</v>
      </c>
      <c r="O86" t="s">
        <v>339</v>
      </c>
      <c r="P86" t="s">
        <v>1212</v>
      </c>
      <c r="Q86" s="131">
        <v>68338</v>
      </c>
      <c r="R86" s="131">
        <v>1</v>
      </c>
      <c r="S86" s="131">
        <v>3016</v>
      </c>
      <c r="U86" s="131">
        <v>2061.0740000000001</v>
      </c>
      <c r="V86" s="132">
        <v>2.7E-4</v>
      </c>
      <c r="W86" s="132">
        <f t="shared" si="1"/>
        <v>3.48732596313217E-2</v>
      </c>
      <c r="X86" s="132">
        <v>9.0756397407921602E-3</v>
      </c>
    </row>
    <row r="87" spans="1:24">
      <c r="A87" t="s">
        <v>1213</v>
      </c>
      <c r="B87" s="4">
        <v>12938</v>
      </c>
      <c r="C87" t="s">
        <v>1769</v>
      </c>
      <c r="D87" t="s">
        <v>1770</v>
      </c>
      <c r="E87" t="s">
        <v>309</v>
      </c>
      <c r="F87" t="s">
        <v>3421</v>
      </c>
      <c r="G87" t="s">
        <v>3422</v>
      </c>
      <c r="H87" t="s">
        <v>321</v>
      </c>
      <c r="I87" t="s">
        <v>917</v>
      </c>
      <c r="J87" t="s">
        <v>204</v>
      </c>
      <c r="K87" t="s">
        <v>204</v>
      </c>
      <c r="L87" t="s">
        <v>325</v>
      </c>
      <c r="M87" t="s">
        <v>340</v>
      </c>
      <c r="N87" t="s">
        <v>464</v>
      </c>
      <c r="O87" t="s">
        <v>339</v>
      </c>
      <c r="P87" t="s">
        <v>1212</v>
      </c>
      <c r="Q87" s="131">
        <v>7690</v>
      </c>
      <c r="R87" s="131">
        <v>1</v>
      </c>
      <c r="S87" s="131">
        <v>25580</v>
      </c>
      <c r="U87" s="131">
        <v>1967.1020000000001</v>
      </c>
      <c r="V87" s="132">
        <v>1.0399999999999999E-3</v>
      </c>
      <c r="W87" s="132">
        <f t="shared" si="1"/>
        <v>3.3283258518273573E-2</v>
      </c>
      <c r="X87" s="132">
        <v>8.66184769949635E-3</v>
      </c>
    </row>
    <row r="88" spans="1:24">
      <c r="A88" t="s">
        <v>1213</v>
      </c>
      <c r="B88" s="4">
        <v>12938</v>
      </c>
      <c r="C88" t="s">
        <v>1881</v>
      </c>
      <c r="D88" t="s">
        <v>1882</v>
      </c>
      <c r="E88" t="s">
        <v>309</v>
      </c>
      <c r="F88" t="s">
        <v>3407</v>
      </c>
      <c r="G88" t="s">
        <v>3408</v>
      </c>
      <c r="H88" t="s">
        <v>321</v>
      </c>
      <c r="I88" t="s">
        <v>917</v>
      </c>
      <c r="J88" t="s">
        <v>204</v>
      </c>
      <c r="K88" t="s">
        <v>204</v>
      </c>
      <c r="L88" t="s">
        <v>325</v>
      </c>
      <c r="M88" t="s">
        <v>340</v>
      </c>
      <c r="N88" t="s">
        <v>448</v>
      </c>
      <c r="O88" t="s">
        <v>339</v>
      </c>
      <c r="P88" t="s">
        <v>1212</v>
      </c>
      <c r="Q88" s="131">
        <v>13361</v>
      </c>
      <c r="R88" s="131">
        <v>1</v>
      </c>
      <c r="S88" s="131">
        <v>14550</v>
      </c>
      <c r="U88" s="131">
        <v>1944.0260000000001</v>
      </c>
      <c r="V88" s="132">
        <v>5.0000000000000002E-5</v>
      </c>
      <c r="W88" s="132">
        <f t="shared" si="1"/>
        <v>3.2892813857260728E-2</v>
      </c>
      <c r="X88" s="132">
        <v>8.5602358880531321E-3</v>
      </c>
    </row>
    <row r="89" spans="1:24">
      <c r="A89" t="s">
        <v>1213</v>
      </c>
      <c r="B89" s="4">
        <v>12938</v>
      </c>
      <c r="C89" t="s">
        <v>3441</v>
      </c>
      <c r="D89" t="s">
        <v>3442</v>
      </c>
      <c r="E89" t="s">
        <v>309</v>
      </c>
      <c r="F89" t="s">
        <v>3443</v>
      </c>
      <c r="G89" t="s">
        <v>3444</v>
      </c>
      <c r="H89" t="s">
        <v>321</v>
      </c>
      <c r="I89" t="s">
        <v>917</v>
      </c>
      <c r="J89" t="s">
        <v>204</v>
      </c>
      <c r="K89" t="s">
        <v>204</v>
      </c>
      <c r="L89" t="s">
        <v>325</v>
      </c>
      <c r="M89" t="s">
        <v>340</v>
      </c>
      <c r="N89" t="s">
        <v>465</v>
      </c>
      <c r="O89" t="s">
        <v>339</v>
      </c>
      <c r="P89" t="s">
        <v>1212</v>
      </c>
      <c r="Q89" s="131">
        <v>42648</v>
      </c>
      <c r="R89" s="131">
        <v>1</v>
      </c>
      <c r="S89" s="131">
        <v>4288</v>
      </c>
      <c r="U89" s="131">
        <v>1828.7460000000001</v>
      </c>
      <c r="V89" s="132">
        <v>6.9999999999999999E-4</v>
      </c>
      <c r="W89" s="132">
        <f t="shared" si="1"/>
        <v>3.0942282546740699E-2</v>
      </c>
      <c r="X89" s="132">
        <v>8.0526171663000447E-3</v>
      </c>
    </row>
    <row r="90" spans="1:24">
      <c r="A90" t="s">
        <v>1213</v>
      </c>
      <c r="B90" s="4">
        <v>12938</v>
      </c>
      <c r="C90" t="s">
        <v>3113</v>
      </c>
      <c r="D90" t="s">
        <v>3114</v>
      </c>
      <c r="E90" t="s">
        <v>309</v>
      </c>
      <c r="F90" t="s">
        <v>3113</v>
      </c>
      <c r="G90" t="s">
        <v>3413</v>
      </c>
      <c r="H90" t="s">
        <v>321</v>
      </c>
      <c r="I90" t="s">
        <v>917</v>
      </c>
      <c r="J90" t="s">
        <v>204</v>
      </c>
      <c r="K90" t="s">
        <v>204</v>
      </c>
      <c r="L90" t="s">
        <v>325</v>
      </c>
      <c r="M90" t="s">
        <v>340</v>
      </c>
      <c r="N90" t="s">
        <v>448</v>
      </c>
      <c r="O90" t="s">
        <v>339</v>
      </c>
      <c r="P90" t="s">
        <v>1212</v>
      </c>
      <c r="Q90" s="131">
        <v>80000</v>
      </c>
      <c r="R90" s="131">
        <v>1</v>
      </c>
      <c r="S90" s="131">
        <v>2085</v>
      </c>
      <c r="U90" s="131">
        <v>1668</v>
      </c>
      <c r="V90" s="132">
        <v>6.0000000000000002E-5</v>
      </c>
      <c r="W90" s="132">
        <f t="shared" si="1"/>
        <v>2.8222468996767995E-2</v>
      </c>
      <c r="X90" s="132">
        <v>7.344795522936742E-3</v>
      </c>
    </row>
    <row r="91" spans="1:24">
      <c r="A91" t="s">
        <v>1213</v>
      </c>
      <c r="B91" s="4">
        <v>12938</v>
      </c>
      <c r="C91" t="s">
        <v>2361</v>
      </c>
      <c r="D91" t="s">
        <v>2362</v>
      </c>
      <c r="E91" t="s">
        <v>309</v>
      </c>
      <c r="F91" t="s">
        <v>2361</v>
      </c>
      <c r="G91" t="s">
        <v>3440</v>
      </c>
      <c r="H91" t="s">
        <v>321</v>
      </c>
      <c r="I91" t="s">
        <v>917</v>
      </c>
      <c r="J91" t="s">
        <v>204</v>
      </c>
      <c r="K91" t="s">
        <v>204</v>
      </c>
      <c r="L91" t="s">
        <v>325</v>
      </c>
      <c r="M91" t="s">
        <v>340</v>
      </c>
      <c r="N91" t="s">
        <v>446</v>
      </c>
      <c r="O91" t="s">
        <v>339</v>
      </c>
      <c r="P91" t="s">
        <v>1212</v>
      </c>
      <c r="Q91" s="131">
        <v>1904</v>
      </c>
      <c r="R91" s="131">
        <v>1</v>
      </c>
      <c r="S91" s="131">
        <v>74080</v>
      </c>
      <c r="U91" s="131">
        <v>1410.4829999999999</v>
      </c>
      <c r="V91" s="132">
        <v>4.0000000000000003E-5</v>
      </c>
      <c r="W91" s="132">
        <f t="shared" si="1"/>
        <v>2.3865295406455822E-2</v>
      </c>
      <c r="X91" s="132">
        <v>6.2108568486680957E-3</v>
      </c>
    </row>
    <row r="92" spans="1:24">
      <c r="A92" t="s">
        <v>1213</v>
      </c>
      <c r="B92" s="4">
        <v>12938</v>
      </c>
      <c r="C92" t="s">
        <v>3415</v>
      </c>
      <c r="D92" t="s">
        <v>3416</v>
      </c>
      <c r="E92" t="s">
        <v>309</v>
      </c>
      <c r="F92" t="s">
        <v>3415</v>
      </c>
      <c r="G92" t="s">
        <v>3417</v>
      </c>
      <c r="H92" t="s">
        <v>321</v>
      </c>
      <c r="I92" t="s">
        <v>917</v>
      </c>
      <c r="J92" t="s">
        <v>204</v>
      </c>
      <c r="K92" t="s">
        <v>204</v>
      </c>
      <c r="L92" t="s">
        <v>325</v>
      </c>
      <c r="M92" t="s">
        <v>340</v>
      </c>
      <c r="N92" t="s">
        <v>458</v>
      </c>
      <c r="O92" t="s">
        <v>339</v>
      </c>
      <c r="P92" t="s">
        <v>1212</v>
      </c>
      <c r="Q92" s="131">
        <v>1800</v>
      </c>
      <c r="R92" s="131">
        <v>1</v>
      </c>
      <c r="S92" s="131">
        <v>77890</v>
      </c>
      <c r="U92" s="131">
        <v>1402.02</v>
      </c>
      <c r="V92" s="132">
        <v>6.0000000000000002E-5</v>
      </c>
      <c r="W92" s="132">
        <f t="shared" si="1"/>
        <v>2.3722101908182653E-2</v>
      </c>
      <c r="X92" s="132">
        <v>6.1735912584339149E-3</v>
      </c>
    </row>
    <row r="93" spans="1:24">
      <c r="A93" t="s">
        <v>1213</v>
      </c>
      <c r="B93" s="4">
        <v>12938</v>
      </c>
      <c r="C93" t="s">
        <v>2228</v>
      </c>
      <c r="D93" t="s">
        <v>2229</v>
      </c>
      <c r="E93" t="s">
        <v>309</v>
      </c>
      <c r="F93" t="s">
        <v>2228</v>
      </c>
      <c r="G93" t="s">
        <v>3439</v>
      </c>
      <c r="H93" t="s">
        <v>321</v>
      </c>
      <c r="I93" t="s">
        <v>917</v>
      </c>
      <c r="J93" t="s">
        <v>204</v>
      </c>
      <c r="K93" t="s">
        <v>204</v>
      </c>
      <c r="L93" t="s">
        <v>325</v>
      </c>
      <c r="M93" t="s">
        <v>340</v>
      </c>
      <c r="N93" t="s">
        <v>441</v>
      </c>
      <c r="O93" t="s">
        <v>339</v>
      </c>
      <c r="P93" t="s">
        <v>1212</v>
      </c>
      <c r="Q93" s="131">
        <v>21376.5</v>
      </c>
      <c r="R93" s="131">
        <v>1</v>
      </c>
      <c r="S93" s="131">
        <v>6254</v>
      </c>
      <c r="U93" s="131">
        <v>1336.886</v>
      </c>
      <c r="V93" s="132">
        <v>1.8000000000000001E-4</v>
      </c>
      <c r="W93" s="132">
        <f t="shared" si="1"/>
        <v>2.262003818178248E-2</v>
      </c>
      <c r="X93" s="132">
        <v>5.8867831579597178E-3</v>
      </c>
    </row>
    <row r="94" spans="1:24">
      <c r="A94" t="s">
        <v>1213</v>
      </c>
      <c r="B94" s="4">
        <v>12938</v>
      </c>
      <c r="C94" t="s">
        <v>2128</v>
      </c>
      <c r="D94" t="s">
        <v>2129</v>
      </c>
      <c r="E94" t="s">
        <v>309</v>
      </c>
      <c r="F94" t="s">
        <v>3419</v>
      </c>
      <c r="G94" t="s">
        <v>3420</v>
      </c>
      <c r="H94" t="s">
        <v>321</v>
      </c>
      <c r="I94" t="s">
        <v>917</v>
      </c>
      <c r="J94" t="s">
        <v>204</v>
      </c>
      <c r="K94" t="s">
        <v>204</v>
      </c>
      <c r="L94" t="s">
        <v>325</v>
      </c>
      <c r="M94" t="s">
        <v>340</v>
      </c>
      <c r="N94" t="s">
        <v>445</v>
      </c>
      <c r="O94" t="s">
        <v>339</v>
      </c>
      <c r="P94" t="s">
        <v>1212</v>
      </c>
      <c r="Q94" s="131">
        <v>30000</v>
      </c>
      <c r="R94" s="131">
        <v>1</v>
      </c>
      <c r="S94" s="131">
        <v>4200</v>
      </c>
      <c r="U94" s="131">
        <v>1260</v>
      </c>
      <c r="V94" s="132">
        <v>1.1E-4</v>
      </c>
      <c r="W94" s="132">
        <f t="shared" si="1"/>
        <v>2.1319131256551362E-2</v>
      </c>
      <c r="X94" s="132">
        <v>5.5482268338730781E-3</v>
      </c>
    </row>
    <row r="95" spans="1:24">
      <c r="A95" t="s">
        <v>1213</v>
      </c>
      <c r="B95" s="4">
        <v>12938</v>
      </c>
      <c r="C95" t="s">
        <v>2436</v>
      </c>
      <c r="D95" t="s">
        <v>2437</v>
      </c>
      <c r="E95" t="s">
        <v>309</v>
      </c>
      <c r="F95" t="s">
        <v>2436</v>
      </c>
      <c r="G95" t="s">
        <v>3426</v>
      </c>
      <c r="H95" t="s">
        <v>321</v>
      </c>
      <c r="I95" t="s">
        <v>917</v>
      </c>
      <c r="J95" t="s">
        <v>204</v>
      </c>
      <c r="K95" t="s">
        <v>204</v>
      </c>
      <c r="L95" t="s">
        <v>325</v>
      </c>
      <c r="M95" t="s">
        <v>340</v>
      </c>
      <c r="N95" t="s">
        <v>475</v>
      </c>
      <c r="O95" t="s">
        <v>339</v>
      </c>
      <c r="P95" t="s">
        <v>1212</v>
      </c>
      <c r="Q95" s="131">
        <v>37021</v>
      </c>
      <c r="R95" s="131">
        <v>1</v>
      </c>
      <c r="S95" s="131">
        <v>3310</v>
      </c>
      <c r="U95" s="131">
        <v>1225.395</v>
      </c>
      <c r="V95" s="132">
        <v>1.2999999999999999E-4</v>
      </c>
      <c r="W95" s="132">
        <f t="shared" si="1"/>
        <v>2.0733616544541075E-2</v>
      </c>
      <c r="X95" s="132">
        <v>5.3958487468999212E-3</v>
      </c>
    </row>
    <row r="96" spans="1:24">
      <c r="A96" t="s">
        <v>1213</v>
      </c>
      <c r="B96" s="4">
        <v>12938</v>
      </c>
      <c r="C96" t="s">
        <v>3410</v>
      </c>
      <c r="D96" t="s">
        <v>3411</v>
      </c>
      <c r="E96" t="s">
        <v>309</v>
      </c>
      <c r="F96" t="s">
        <v>3410</v>
      </c>
      <c r="G96" t="s">
        <v>3412</v>
      </c>
      <c r="H96" t="s">
        <v>321</v>
      </c>
      <c r="I96" t="s">
        <v>917</v>
      </c>
      <c r="J96" t="s">
        <v>204</v>
      </c>
      <c r="K96" t="s">
        <v>204</v>
      </c>
      <c r="L96" t="s">
        <v>325</v>
      </c>
      <c r="M96" t="s">
        <v>340</v>
      </c>
      <c r="N96" t="s">
        <v>480</v>
      </c>
      <c r="O96" t="s">
        <v>339</v>
      </c>
      <c r="P96" t="s">
        <v>1212</v>
      </c>
      <c r="Q96" s="131">
        <v>1800</v>
      </c>
      <c r="R96" s="131">
        <v>1</v>
      </c>
      <c r="S96" s="131">
        <v>64880</v>
      </c>
      <c r="U96" s="131">
        <v>1167.8399999999999</v>
      </c>
      <c r="V96" s="132">
        <v>2.0000000000000002E-5</v>
      </c>
      <c r="W96" s="132">
        <f t="shared" si="1"/>
        <v>1.9759789084643604E-2</v>
      </c>
      <c r="X96" s="132">
        <v>5.142413671166933E-3</v>
      </c>
    </row>
    <row r="97" spans="1:24">
      <c r="A97" t="s">
        <v>1213</v>
      </c>
      <c r="B97" s="4">
        <v>12938</v>
      </c>
      <c r="C97" t="s">
        <v>3433</v>
      </c>
      <c r="D97" t="s">
        <v>3434</v>
      </c>
      <c r="E97" t="s">
        <v>309</v>
      </c>
      <c r="F97" t="s">
        <v>3433</v>
      </c>
      <c r="G97" t="s">
        <v>3435</v>
      </c>
      <c r="H97" t="s">
        <v>321</v>
      </c>
      <c r="I97" t="s">
        <v>917</v>
      </c>
      <c r="J97" t="s">
        <v>204</v>
      </c>
      <c r="K97" t="s">
        <v>204</v>
      </c>
      <c r="L97" t="s">
        <v>325</v>
      </c>
      <c r="M97" t="s">
        <v>340</v>
      </c>
      <c r="N97" t="s">
        <v>458</v>
      </c>
      <c r="O97" t="s">
        <v>339</v>
      </c>
      <c r="P97" t="s">
        <v>1212</v>
      </c>
      <c r="Q97" s="131">
        <v>3579</v>
      </c>
      <c r="R97" s="131">
        <v>1</v>
      </c>
      <c r="S97" s="131">
        <v>29980</v>
      </c>
      <c r="U97" s="131">
        <v>1072.9839999999999</v>
      </c>
      <c r="V97" s="132">
        <v>8.0000000000000007E-5</v>
      </c>
      <c r="W97" s="132">
        <f t="shared" si="1"/>
        <v>1.8154830739825004E-2</v>
      </c>
      <c r="X97" s="132">
        <v>4.7247290643781517E-3</v>
      </c>
    </row>
    <row r="98" spans="1:24">
      <c r="A98" t="s">
        <v>1213</v>
      </c>
      <c r="B98" s="4">
        <v>12938</v>
      </c>
      <c r="C98" t="s">
        <v>3427</v>
      </c>
      <c r="D98" t="s">
        <v>3428</v>
      </c>
      <c r="E98" t="s">
        <v>309</v>
      </c>
      <c r="F98" t="s">
        <v>3427</v>
      </c>
      <c r="G98" t="s">
        <v>3429</v>
      </c>
      <c r="H98" t="s">
        <v>321</v>
      </c>
      <c r="I98" t="s">
        <v>917</v>
      </c>
      <c r="J98" t="s">
        <v>204</v>
      </c>
      <c r="K98" t="s">
        <v>204</v>
      </c>
      <c r="L98" t="s">
        <v>325</v>
      </c>
      <c r="M98" t="s">
        <v>340</v>
      </c>
      <c r="N98" t="s">
        <v>439</v>
      </c>
      <c r="O98" t="s">
        <v>339</v>
      </c>
      <c r="P98" t="s">
        <v>1212</v>
      </c>
      <c r="Q98" s="131">
        <v>25820</v>
      </c>
      <c r="R98" s="131">
        <v>1</v>
      </c>
      <c r="S98" s="131">
        <v>3950</v>
      </c>
      <c r="U98" s="131">
        <v>1019.89</v>
      </c>
      <c r="V98" s="132">
        <v>3.2000000000000003E-4</v>
      </c>
      <c r="W98" s="132">
        <f t="shared" si="1"/>
        <v>1.725648315654299E-2</v>
      </c>
      <c r="X98" s="132">
        <v>4.490937353649852E-3</v>
      </c>
    </row>
    <row r="99" spans="1:24">
      <c r="A99" t="s">
        <v>1213</v>
      </c>
      <c r="B99" s="4">
        <v>12938</v>
      </c>
      <c r="C99" t="s">
        <v>3455</v>
      </c>
      <c r="D99" t="s">
        <v>3456</v>
      </c>
      <c r="E99" t="s">
        <v>309</v>
      </c>
      <c r="F99" t="s">
        <v>3457</v>
      </c>
      <c r="G99" t="s">
        <v>3458</v>
      </c>
      <c r="H99" t="s">
        <v>321</v>
      </c>
      <c r="I99" t="s">
        <v>917</v>
      </c>
      <c r="J99" t="s">
        <v>204</v>
      </c>
      <c r="K99" t="s">
        <v>204</v>
      </c>
      <c r="L99" t="s">
        <v>327</v>
      </c>
      <c r="M99" t="s">
        <v>340</v>
      </c>
      <c r="N99" t="s">
        <v>455</v>
      </c>
      <c r="O99" t="s">
        <v>339</v>
      </c>
      <c r="P99" t="s">
        <v>1212</v>
      </c>
      <c r="Q99" s="131">
        <v>2972</v>
      </c>
      <c r="R99" s="131">
        <v>1</v>
      </c>
      <c r="S99" s="131">
        <f>U99*1000/Q99*100</f>
        <v>5651.5371592054171</v>
      </c>
      <c r="U99" s="131">
        <f>167963.684371585/1000</f>
        <v>167.963684371585</v>
      </c>
      <c r="V99" s="132">
        <v>1.2800000000000001E-3</v>
      </c>
      <c r="W99" s="132">
        <f t="shared" si="1"/>
        <v>2.8419363757553853E-3</v>
      </c>
      <c r="X99" s="132">
        <v>7.3960366725921915E-4</v>
      </c>
    </row>
    <row r="100" spans="1:24">
      <c r="A100" t="s">
        <v>1213</v>
      </c>
      <c r="B100" s="4">
        <v>12938</v>
      </c>
      <c r="C100" t="s">
        <v>3423</v>
      </c>
      <c r="D100" t="s">
        <v>3424</v>
      </c>
      <c r="E100" t="s">
        <v>309</v>
      </c>
      <c r="F100" t="s">
        <v>3423</v>
      </c>
      <c r="G100" t="s">
        <v>3425</v>
      </c>
      <c r="H100" t="s">
        <v>321</v>
      </c>
      <c r="I100" t="s">
        <v>917</v>
      </c>
      <c r="J100" t="s">
        <v>204</v>
      </c>
      <c r="K100" t="s">
        <v>204</v>
      </c>
      <c r="L100" t="s">
        <v>325</v>
      </c>
      <c r="M100" t="s">
        <v>340</v>
      </c>
      <c r="N100" t="s">
        <v>458</v>
      </c>
      <c r="O100" t="s">
        <v>339</v>
      </c>
      <c r="P100" t="s">
        <v>1212</v>
      </c>
      <c r="Q100" s="131">
        <v>5500</v>
      </c>
      <c r="R100" s="131">
        <v>1</v>
      </c>
      <c r="S100" s="131">
        <v>16470</v>
      </c>
      <c r="U100" s="131">
        <v>905.85</v>
      </c>
      <c r="V100" s="132">
        <v>5.0000000000000002E-5</v>
      </c>
      <c r="W100" s="132">
        <f t="shared" si="1"/>
        <v>1.5326932578370676E-2</v>
      </c>
      <c r="X100" s="132">
        <v>3.9887787916380382E-3</v>
      </c>
    </row>
    <row r="101" spans="1:24">
      <c r="A101" t="s">
        <v>1213</v>
      </c>
      <c r="B101" s="4">
        <v>12938</v>
      </c>
      <c r="C101" t="s">
        <v>3430</v>
      </c>
      <c r="D101" t="s">
        <v>3431</v>
      </c>
      <c r="E101" t="s">
        <v>309</v>
      </c>
      <c r="F101" t="s">
        <v>3430</v>
      </c>
      <c r="G101" t="s">
        <v>3432</v>
      </c>
      <c r="H101" t="s">
        <v>321</v>
      </c>
      <c r="I101" t="s">
        <v>917</v>
      </c>
      <c r="J101" t="s">
        <v>204</v>
      </c>
      <c r="K101" t="s">
        <v>204</v>
      </c>
      <c r="L101" t="s">
        <v>325</v>
      </c>
      <c r="M101" t="s">
        <v>340</v>
      </c>
      <c r="N101" t="s">
        <v>463</v>
      </c>
      <c r="O101" t="s">
        <v>339</v>
      </c>
      <c r="P101" t="s">
        <v>1212</v>
      </c>
      <c r="Q101" s="131">
        <v>3576</v>
      </c>
      <c r="R101" s="131">
        <v>1</v>
      </c>
      <c r="S101" s="131">
        <v>24950</v>
      </c>
      <c r="U101" s="131">
        <v>892.21199999999999</v>
      </c>
      <c r="V101" s="132">
        <v>4.0000000000000002E-4</v>
      </c>
      <c r="W101" s="132">
        <f t="shared" si="1"/>
        <v>1.5096178362436669E-2</v>
      </c>
      <c r="X101" s="132">
        <v>3.928725841193307E-3</v>
      </c>
    </row>
    <row r="102" spans="1:24">
      <c r="A102" t="s">
        <v>1213</v>
      </c>
      <c r="B102" s="4">
        <v>12938</v>
      </c>
      <c r="C102" t="s">
        <v>2428</v>
      </c>
      <c r="D102" t="s">
        <v>2429</v>
      </c>
      <c r="E102" t="s">
        <v>309</v>
      </c>
      <c r="F102" t="s">
        <v>2428</v>
      </c>
      <c r="G102" t="s">
        <v>3459</v>
      </c>
      <c r="H102" t="s">
        <v>321</v>
      </c>
      <c r="I102" t="s">
        <v>917</v>
      </c>
      <c r="J102" t="s">
        <v>204</v>
      </c>
      <c r="K102" t="s">
        <v>204</v>
      </c>
      <c r="L102" t="s">
        <v>325</v>
      </c>
      <c r="M102" t="s">
        <v>340</v>
      </c>
      <c r="N102" t="s">
        <v>454</v>
      </c>
      <c r="O102" t="s">
        <v>339</v>
      </c>
      <c r="P102" t="s">
        <v>1212</v>
      </c>
      <c r="Q102" s="131">
        <v>538925</v>
      </c>
      <c r="R102" s="131">
        <v>1</v>
      </c>
      <c r="S102" s="131">
        <v>161.9</v>
      </c>
      <c r="U102" s="131">
        <v>872.52</v>
      </c>
      <c r="V102" s="132">
        <v>2.1000000000000001E-4</v>
      </c>
      <c r="W102" s="132">
        <f t="shared" si="1"/>
        <v>1.4762990796798567E-2</v>
      </c>
      <c r="X102" s="132">
        <v>3.8420149818182048E-3</v>
      </c>
    </row>
    <row r="103" spans="1:24">
      <c r="A103" t="s">
        <v>1213</v>
      </c>
      <c r="B103" s="4">
        <v>12938</v>
      </c>
      <c r="C103" t="s">
        <v>1986</v>
      </c>
      <c r="D103" t="s">
        <v>1987</v>
      </c>
      <c r="E103" t="s">
        <v>309</v>
      </c>
      <c r="F103" t="s">
        <v>1986</v>
      </c>
      <c r="G103" t="s">
        <v>3445</v>
      </c>
      <c r="H103" t="s">
        <v>321</v>
      </c>
      <c r="I103" t="s">
        <v>917</v>
      </c>
      <c r="J103" t="s">
        <v>204</v>
      </c>
      <c r="K103" t="s">
        <v>204</v>
      </c>
      <c r="L103" t="s">
        <v>325</v>
      </c>
      <c r="M103" t="s">
        <v>340</v>
      </c>
      <c r="N103" t="s">
        <v>484</v>
      </c>
      <c r="O103" t="s">
        <v>339</v>
      </c>
      <c r="P103" t="s">
        <v>1212</v>
      </c>
      <c r="Q103" s="131">
        <v>185805</v>
      </c>
      <c r="R103" s="131">
        <v>1</v>
      </c>
      <c r="S103" s="131">
        <v>428.6</v>
      </c>
      <c r="T103" s="131">
        <v>27.321000000000002</v>
      </c>
      <c r="U103" s="131">
        <v>823.68100000000004</v>
      </c>
      <c r="V103" s="132">
        <v>6.9999999999999994E-5</v>
      </c>
      <c r="W103" s="132">
        <f t="shared" si="1"/>
        <v>1.3936637581371019E-2</v>
      </c>
      <c r="X103" s="132">
        <v>3.6269595450408028E-3</v>
      </c>
    </row>
    <row r="104" spans="1:24">
      <c r="A104" t="s">
        <v>1213</v>
      </c>
      <c r="B104" s="4">
        <v>12938</v>
      </c>
      <c r="C104" t="s">
        <v>3451</v>
      </c>
      <c r="D104" t="s">
        <v>3452</v>
      </c>
      <c r="E104" t="s">
        <v>309</v>
      </c>
      <c r="F104" t="s">
        <v>3453</v>
      </c>
      <c r="G104" t="s">
        <v>3454</v>
      </c>
      <c r="H104" t="s">
        <v>321</v>
      </c>
      <c r="I104" t="s">
        <v>917</v>
      </c>
      <c r="J104" t="s">
        <v>204</v>
      </c>
      <c r="K104" t="s">
        <v>204</v>
      </c>
      <c r="L104" t="s">
        <v>325</v>
      </c>
      <c r="M104" t="s">
        <v>340</v>
      </c>
      <c r="N104" t="s">
        <v>448</v>
      </c>
      <c r="O104" t="s">
        <v>339</v>
      </c>
      <c r="P104" t="s">
        <v>1212</v>
      </c>
      <c r="Q104" s="131">
        <v>4841</v>
      </c>
      <c r="R104" s="131">
        <v>1</v>
      </c>
      <c r="S104" s="131">
        <v>15410</v>
      </c>
      <c r="U104" s="131">
        <v>745.99800000000005</v>
      </c>
      <c r="V104" s="132">
        <v>5.0000000000000002E-5</v>
      </c>
      <c r="W104" s="132">
        <f t="shared" si="1"/>
        <v>1.2622245459622861E-2</v>
      </c>
      <c r="X104" s="132">
        <v>3.2848937473140072E-3</v>
      </c>
    </row>
    <row r="105" spans="1:24">
      <c r="A105" t="s">
        <v>1213</v>
      </c>
      <c r="B105" s="4">
        <v>12938</v>
      </c>
      <c r="C105" t="s">
        <v>3447</v>
      </c>
      <c r="D105" t="s">
        <v>3448</v>
      </c>
      <c r="E105" t="s">
        <v>309</v>
      </c>
      <c r="F105" t="s">
        <v>3449</v>
      </c>
      <c r="G105" t="s">
        <v>3450</v>
      </c>
      <c r="H105" t="s">
        <v>321</v>
      </c>
      <c r="I105" t="s">
        <v>917</v>
      </c>
      <c r="J105" t="s">
        <v>204</v>
      </c>
      <c r="K105" t="s">
        <v>204</v>
      </c>
      <c r="L105" t="s">
        <v>325</v>
      </c>
      <c r="M105" t="s">
        <v>340</v>
      </c>
      <c r="N105" t="s">
        <v>445</v>
      </c>
      <c r="O105" t="s">
        <v>339</v>
      </c>
      <c r="P105" t="s">
        <v>1212</v>
      </c>
      <c r="Q105" s="131">
        <v>6546</v>
      </c>
      <c r="R105" s="131">
        <v>1</v>
      </c>
      <c r="S105" s="131">
        <v>10880</v>
      </c>
      <c r="U105" s="131">
        <v>712.20500000000004</v>
      </c>
      <c r="V105" s="132">
        <v>1E-4</v>
      </c>
      <c r="W105" s="132">
        <f t="shared" si="1"/>
        <v>1.2050469743311242E-2</v>
      </c>
      <c r="X105" s="132">
        <v>3.136091184300457E-3</v>
      </c>
    </row>
    <row r="106" spans="1:24">
      <c r="A106" t="s">
        <v>1213</v>
      </c>
      <c r="B106" s="4">
        <v>12938</v>
      </c>
      <c r="C106" t="s">
        <v>2348</v>
      </c>
      <c r="D106" t="s">
        <v>2349</v>
      </c>
      <c r="E106" t="s">
        <v>309</v>
      </c>
      <c r="F106" t="s">
        <v>2348</v>
      </c>
      <c r="G106" t="s">
        <v>3446</v>
      </c>
      <c r="H106" t="s">
        <v>321</v>
      </c>
      <c r="I106" t="s">
        <v>917</v>
      </c>
      <c r="J106" t="s">
        <v>204</v>
      </c>
      <c r="K106" t="s">
        <v>204</v>
      </c>
      <c r="L106" t="s">
        <v>325</v>
      </c>
      <c r="M106" t="s">
        <v>340</v>
      </c>
      <c r="N106" t="s">
        <v>456</v>
      </c>
      <c r="O106" t="s">
        <v>339</v>
      </c>
      <c r="P106" t="s">
        <v>1212</v>
      </c>
      <c r="Q106" s="131">
        <v>42927</v>
      </c>
      <c r="R106" s="131">
        <v>1</v>
      </c>
      <c r="S106" s="131">
        <v>1588</v>
      </c>
      <c r="U106" s="131">
        <v>681.68100000000004</v>
      </c>
      <c r="V106" s="132">
        <v>3.0000000000000001E-5</v>
      </c>
      <c r="W106" s="132">
        <f t="shared" si="1"/>
        <v>1.1534005328648563E-2</v>
      </c>
      <c r="X106" s="132">
        <v>3.0016831875725666E-3</v>
      </c>
    </row>
    <row r="107" spans="1:24">
      <c r="A107" t="s">
        <v>1213</v>
      </c>
      <c r="B107" s="4">
        <v>12938</v>
      </c>
      <c r="C107" t="s">
        <v>1728</v>
      </c>
      <c r="D107" t="s">
        <v>1729</v>
      </c>
      <c r="E107" t="s">
        <v>309</v>
      </c>
      <c r="F107" t="s">
        <v>1728</v>
      </c>
      <c r="G107" t="s">
        <v>3496</v>
      </c>
      <c r="H107" t="s">
        <v>321</v>
      </c>
      <c r="I107" t="s">
        <v>917</v>
      </c>
      <c r="J107" t="s">
        <v>204</v>
      </c>
      <c r="K107" t="s">
        <v>204</v>
      </c>
      <c r="L107" t="s">
        <v>325</v>
      </c>
      <c r="M107" t="s">
        <v>340</v>
      </c>
      <c r="N107" t="s">
        <v>461</v>
      </c>
      <c r="O107" t="s">
        <v>339</v>
      </c>
      <c r="P107" t="s">
        <v>1212</v>
      </c>
      <c r="Q107" s="131">
        <v>1500</v>
      </c>
      <c r="R107" s="131">
        <v>1</v>
      </c>
      <c r="S107" s="131">
        <v>42630</v>
      </c>
      <c r="U107" s="131">
        <v>639.45000000000005</v>
      </c>
      <c r="V107" s="132">
        <v>9.0000000000000006E-5</v>
      </c>
      <c r="W107" s="132">
        <f t="shared" si="1"/>
        <v>1.0819459112699817E-2</v>
      </c>
      <c r="X107" s="132">
        <v>2.8157251181905874E-3</v>
      </c>
    </row>
    <row r="108" spans="1:24">
      <c r="A108" t="s">
        <v>1213</v>
      </c>
      <c r="B108" s="4">
        <v>12938</v>
      </c>
      <c r="C108" t="s">
        <v>3466</v>
      </c>
      <c r="D108" t="s">
        <v>3467</v>
      </c>
      <c r="E108" t="s">
        <v>311</v>
      </c>
      <c r="F108" t="s">
        <v>3466</v>
      </c>
      <c r="G108" t="s">
        <v>3468</v>
      </c>
      <c r="H108" t="s">
        <v>321</v>
      </c>
      <c r="I108" t="s">
        <v>917</v>
      </c>
      <c r="J108" t="s">
        <v>204</v>
      </c>
      <c r="K108" t="s">
        <v>245</v>
      </c>
      <c r="L108" t="s">
        <v>325</v>
      </c>
      <c r="M108" t="s">
        <v>340</v>
      </c>
      <c r="N108" t="s">
        <v>465</v>
      </c>
      <c r="O108" t="s">
        <v>339</v>
      </c>
      <c r="P108" t="s">
        <v>1212</v>
      </c>
      <c r="Q108" s="131">
        <v>6584</v>
      </c>
      <c r="R108" s="131">
        <v>1</v>
      </c>
      <c r="S108" s="131">
        <v>9080</v>
      </c>
      <c r="U108" s="131">
        <v>597.827</v>
      </c>
      <c r="V108" s="132">
        <v>3.2000000000000003E-4</v>
      </c>
      <c r="W108" s="132">
        <f t="shared" si="1"/>
        <v>1.0115200223579628E-2</v>
      </c>
      <c r="X108" s="132">
        <v>2.6324442884236832E-3</v>
      </c>
    </row>
    <row r="109" spans="1:24">
      <c r="A109" t="s">
        <v>1213</v>
      </c>
      <c r="B109" s="4">
        <v>12938</v>
      </c>
      <c r="C109" t="s">
        <v>1861</v>
      </c>
      <c r="D109" t="s">
        <v>1862</v>
      </c>
      <c r="E109" t="s">
        <v>309</v>
      </c>
      <c r="F109" t="s">
        <v>1861</v>
      </c>
      <c r="G109" t="s">
        <v>3460</v>
      </c>
      <c r="H109" t="s">
        <v>321</v>
      </c>
      <c r="I109" t="s">
        <v>917</v>
      </c>
      <c r="J109" t="s">
        <v>204</v>
      </c>
      <c r="K109" t="s">
        <v>204</v>
      </c>
      <c r="L109" t="s">
        <v>325</v>
      </c>
      <c r="M109" t="s">
        <v>340</v>
      </c>
      <c r="N109" t="s">
        <v>464</v>
      </c>
      <c r="O109" t="s">
        <v>339</v>
      </c>
      <c r="P109" t="s">
        <v>1212</v>
      </c>
      <c r="Q109" s="131">
        <v>2106</v>
      </c>
      <c r="R109" s="131">
        <v>1</v>
      </c>
      <c r="S109" s="131">
        <v>28210</v>
      </c>
      <c r="U109" s="131">
        <v>594.10299999999995</v>
      </c>
      <c r="V109" s="132">
        <v>4.0000000000000003E-5</v>
      </c>
      <c r="W109" s="132">
        <f t="shared" si="1"/>
        <v>1.0052190346754709E-2</v>
      </c>
      <c r="X109" s="132">
        <v>2.6160461957813472E-3</v>
      </c>
    </row>
    <row r="110" spans="1:24">
      <c r="A110" t="s">
        <v>1213</v>
      </c>
      <c r="B110" s="4">
        <v>12938</v>
      </c>
      <c r="C110" t="s">
        <v>3461</v>
      </c>
      <c r="D110" t="s">
        <v>3462</v>
      </c>
      <c r="E110" t="s">
        <v>309</v>
      </c>
      <c r="F110" t="s">
        <v>3461</v>
      </c>
      <c r="G110" t="s">
        <v>3463</v>
      </c>
      <c r="H110" t="s">
        <v>321</v>
      </c>
      <c r="I110" t="s">
        <v>917</v>
      </c>
      <c r="J110" t="s">
        <v>204</v>
      </c>
      <c r="K110" t="s">
        <v>204</v>
      </c>
      <c r="L110" t="s">
        <v>325</v>
      </c>
      <c r="M110" t="s">
        <v>340</v>
      </c>
      <c r="N110" t="s">
        <v>475</v>
      </c>
      <c r="O110" t="s">
        <v>339</v>
      </c>
      <c r="P110" t="s">
        <v>1212</v>
      </c>
      <c r="Q110" s="131">
        <v>2079</v>
      </c>
      <c r="R110" s="131">
        <v>1</v>
      </c>
      <c r="S110" s="131">
        <v>28150</v>
      </c>
      <c r="U110" s="131">
        <v>585.23900000000003</v>
      </c>
      <c r="V110" s="132">
        <v>1.4999999999999999E-4</v>
      </c>
      <c r="W110" s="132">
        <f t="shared" si="1"/>
        <v>9.9022119503594155E-3</v>
      </c>
      <c r="X110" s="132">
        <v>2.5770148603405131E-3</v>
      </c>
    </row>
    <row r="111" spans="1:24">
      <c r="A111" t="s">
        <v>1213</v>
      </c>
      <c r="B111" s="4">
        <v>12938</v>
      </c>
      <c r="C111" t="s">
        <v>1924</v>
      </c>
      <c r="D111" t="s">
        <v>1925</v>
      </c>
      <c r="E111" t="s">
        <v>309</v>
      </c>
      <c r="F111" t="s">
        <v>1924</v>
      </c>
      <c r="G111" t="s">
        <v>3465</v>
      </c>
      <c r="H111" t="s">
        <v>321</v>
      </c>
      <c r="I111" t="s">
        <v>917</v>
      </c>
      <c r="J111" t="s">
        <v>204</v>
      </c>
      <c r="K111" t="s">
        <v>204</v>
      </c>
      <c r="L111" t="s">
        <v>325</v>
      </c>
      <c r="M111" t="s">
        <v>340</v>
      </c>
      <c r="N111" t="s">
        <v>441</v>
      </c>
      <c r="O111" t="s">
        <v>339</v>
      </c>
      <c r="P111" t="s">
        <v>1212</v>
      </c>
      <c r="Q111" s="131">
        <v>17320</v>
      </c>
      <c r="R111" s="131">
        <v>1</v>
      </c>
      <c r="S111" s="131">
        <v>3230</v>
      </c>
      <c r="U111" s="131">
        <v>559.43600000000004</v>
      </c>
      <c r="V111" s="132">
        <v>1.0499999999999999E-3</v>
      </c>
      <c r="W111" s="132">
        <f t="shared" si="1"/>
        <v>9.4656265981270388E-3</v>
      </c>
      <c r="X111" s="132">
        <v>2.4633951008211268E-3</v>
      </c>
    </row>
    <row r="112" spans="1:24">
      <c r="A112" t="s">
        <v>1213</v>
      </c>
      <c r="B112" s="4">
        <v>12938</v>
      </c>
      <c r="C112" t="s">
        <v>1674</v>
      </c>
      <c r="D112" t="s">
        <v>1675</v>
      </c>
      <c r="E112" t="s">
        <v>309</v>
      </c>
      <c r="F112" t="s">
        <v>1674</v>
      </c>
      <c r="G112" t="s">
        <v>3464</v>
      </c>
      <c r="H112" t="s">
        <v>321</v>
      </c>
      <c r="I112" t="s">
        <v>917</v>
      </c>
      <c r="J112" t="s">
        <v>204</v>
      </c>
      <c r="K112" t="s">
        <v>204</v>
      </c>
      <c r="L112" t="s">
        <v>325</v>
      </c>
      <c r="M112" t="s">
        <v>340</v>
      </c>
      <c r="N112" t="s">
        <v>464</v>
      </c>
      <c r="O112" t="s">
        <v>339</v>
      </c>
      <c r="P112" t="s">
        <v>1212</v>
      </c>
      <c r="Q112" s="131">
        <v>1291</v>
      </c>
      <c r="R112" s="131">
        <v>1</v>
      </c>
      <c r="S112" s="131">
        <v>41490</v>
      </c>
      <c r="U112" s="131">
        <v>535.63599999999997</v>
      </c>
      <c r="V112" s="132">
        <v>5.0000000000000002E-5</v>
      </c>
      <c r="W112" s="132">
        <f t="shared" si="1"/>
        <v>9.0629318966144005E-3</v>
      </c>
      <c r="X112" s="132">
        <v>2.358595260625746E-3</v>
      </c>
    </row>
    <row r="113" spans="1:24">
      <c r="A113" t="s">
        <v>1213</v>
      </c>
      <c r="B113" s="4">
        <v>12938</v>
      </c>
      <c r="C113" t="s">
        <v>1683</v>
      </c>
      <c r="D113" t="s">
        <v>1684</v>
      </c>
      <c r="E113" t="s">
        <v>309</v>
      </c>
      <c r="F113" t="s">
        <v>1683</v>
      </c>
      <c r="G113" t="s">
        <v>3436</v>
      </c>
      <c r="H113" t="s">
        <v>321</v>
      </c>
      <c r="I113" t="s">
        <v>917</v>
      </c>
      <c r="J113" t="s">
        <v>204</v>
      </c>
      <c r="K113" t="s">
        <v>204</v>
      </c>
      <c r="L113" t="s">
        <v>325</v>
      </c>
      <c r="M113" t="s">
        <v>340</v>
      </c>
      <c r="N113" t="s">
        <v>441</v>
      </c>
      <c r="O113" t="s">
        <v>339</v>
      </c>
      <c r="P113" t="s">
        <v>1212</v>
      </c>
      <c r="Q113" s="131">
        <v>5908</v>
      </c>
      <c r="R113" s="131">
        <v>1</v>
      </c>
      <c r="S113" s="131">
        <v>8722</v>
      </c>
      <c r="U113" s="131">
        <v>515.29600000000005</v>
      </c>
      <c r="V113" s="132">
        <v>1.7000000000000001E-4</v>
      </c>
      <c r="W113" s="132">
        <f t="shared" si="1"/>
        <v>8.7187802063300734E-3</v>
      </c>
      <c r="X113" s="132">
        <v>2.2690310274503665E-3</v>
      </c>
    </row>
    <row r="114" spans="1:24">
      <c r="A114" t="s">
        <v>1213</v>
      </c>
      <c r="B114" s="4">
        <v>12938</v>
      </c>
      <c r="C114" t="s">
        <v>1634</v>
      </c>
      <c r="D114" t="s">
        <v>1635</v>
      </c>
      <c r="E114" t="s">
        <v>309</v>
      </c>
      <c r="F114" t="s">
        <v>3437</v>
      </c>
      <c r="G114" t="s">
        <v>3438</v>
      </c>
      <c r="H114" t="s">
        <v>321</v>
      </c>
      <c r="I114" t="s">
        <v>917</v>
      </c>
      <c r="J114" t="s">
        <v>204</v>
      </c>
      <c r="K114" t="s">
        <v>204</v>
      </c>
      <c r="L114" t="s">
        <v>325</v>
      </c>
      <c r="M114" t="s">
        <v>340</v>
      </c>
      <c r="N114" t="s">
        <v>454</v>
      </c>
      <c r="O114" t="s">
        <v>339</v>
      </c>
      <c r="P114" t="s">
        <v>1212</v>
      </c>
      <c r="Q114" s="131">
        <v>9267</v>
      </c>
      <c r="R114" s="131">
        <v>1</v>
      </c>
      <c r="S114" s="131">
        <v>5205</v>
      </c>
      <c r="U114" s="131">
        <v>482.34699999999998</v>
      </c>
      <c r="V114" s="132">
        <v>9.0000000000000006E-5</v>
      </c>
      <c r="W114" s="132">
        <f t="shared" si="1"/>
        <v>8.1612849239712532E-3</v>
      </c>
      <c r="X114" s="132">
        <v>2.1239448957445853E-3</v>
      </c>
    </row>
    <row r="115" spans="1:24">
      <c r="A115" t="s">
        <v>1213</v>
      </c>
      <c r="B115" s="4">
        <v>12938</v>
      </c>
      <c r="C115" t="s">
        <v>2155</v>
      </c>
      <c r="D115" t="s">
        <v>2156</v>
      </c>
      <c r="E115" t="s">
        <v>309</v>
      </c>
      <c r="F115" t="s">
        <v>2155</v>
      </c>
      <c r="G115" t="s">
        <v>3473</v>
      </c>
      <c r="H115" t="s">
        <v>321</v>
      </c>
      <c r="I115" t="s">
        <v>917</v>
      </c>
      <c r="J115" t="s">
        <v>204</v>
      </c>
      <c r="K115" t="s">
        <v>204</v>
      </c>
      <c r="L115" t="s">
        <v>325</v>
      </c>
      <c r="M115" t="s">
        <v>340</v>
      </c>
      <c r="N115" t="s">
        <v>451</v>
      </c>
      <c r="O115" t="s">
        <v>339</v>
      </c>
      <c r="P115" t="s">
        <v>1212</v>
      </c>
      <c r="Q115" s="131">
        <v>300</v>
      </c>
      <c r="R115" s="131">
        <v>1</v>
      </c>
      <c r="S115" s="131">
        <v>148500</v>
      </c>
      <c r="T115" s="131">
        <v>3.17</v>
      </c>
      <c r="U115" s="131">
        <v>448.67</v>
      </c>
      <c r="V115" s="132">
        <v>6.9999999999999994E-5</v>
      </c>
      <c r="W115" s="132">
        <f t="shared" si="1"/>
        <v>7.5914719213308734E-3</v>
      </c>
      <c r="X115" s="132">
        <v>1.9756531218681223E-3</v>
      </c>
    </row>
    <row r="116" spans="1:24">
      <c r="A116" t="s">
        <v>1213</v>
      </c>
      <c r="B116" s="4">
        <v>12938</v>
      </c>
      <c r="C116" t="s">
        <v>1691</v>
      </c>
      <c r="D116" t="s">
        <v>1692</v>
      </c>
      <c r="E116" t="s">
        <v>309</v>
      </c>
      <c r="F116" t="s">
        <v>3478</v>
      </c>
      <c r="G116" t="s">
        <v>3479</v>
      </c>
      <c r="H116" t="s">
        <v>321</v>
      </c>
      <c r="I116" t="s">
        <v>917</v>
      </c>
      <c r="J116" t="s">
        <v>204</v>
      </c>
      <c r="K116" t="s">
        <v>204</v>
      </c>
      <c r="L116" t="s">
        <v>325</v>
      </c>
      <c r="M116" t="s">
        <v>340</v>
      </c>
      <c r="N116" t="s">
        <v>464</v>
      </c>
      <c r="O116" t="s">
        <v>339</v>
      </c>
      <c r="P116" t="s">
        <v>1212</v>
      </c>
      <c r="Q116" s="131">
        <v>28582</v>
      </c>
      <c r="R116" s="131">
        <v>1</v>
      </c>
      <c r="S116" s="131">
        <v>1513</v>
      </c>
      <c r="U116" s="131">
        <v>432.44600000000003</v>
      </c>
      <c r="V116" s="132">
        <v>1.4999999999999999E-4</v>
      </c>
      <c r="W116" s="132">
        <f t="shared" si="1"/>
        <v>7.3169627264846118E-3</v>
      </c>
      <c r="X116" s="132">
        <v>1.9042130963500615E-3</v>
      </c>
    </row>
    <row r="117" spans="1:24">
      <c r="A117" t="s">
        <v>1213</v>
      </c>
      <c r="B117" s="4">
        <v>12938</v>
      </c>
      <c r="C117" t="s">
        <v>3474</v>
      </c>
      <c r="D117" t="s">
        <v>3475</v>
      </c>
      <c r="E117" t="s">
        <v>309</v>
      </c>
      <c r="F117" t="s">
        <v>3476</v>
      </c>
      <c r="G117" t="s">
        <v>3477</v>
      </c>
      <c r="H117" t="s">
        <v>321</v>
      </c>
      <c r="I117" t="s">
        <v>917</v>
      </c>
      <c r="J117" t="s">
        <v>204</v>
      </c>
      <c r="K117" t="s">
        <v>204</v>
      </c>
      <c r="L117" t="s">
        <v>325</v>
      </c>
      <c r="M117" t="s">
        <v>340</v>
      </c>
      <c r="N117" t="s">
        <v>454</v>
      </c>
      <c r="O117" t="s">
        <v>339</v>
      </c>
      <c r="P117" t="s">
        <v>1212</v>
      </c>
      <c r="Q117" s="131">
        <v>142378</v>
      </c>
      <c r="R117" s="131">
        <v>1</v>
      </c>
      <c r="S117" s="131">
        <v>303</v>
      </c>
      <c r="U117" s="131">
        <v>431.40499999999997</v>
      </c>
      <c r="V117" s="132">
        <v>1.2999999999999999E-4</v>
      </c>
      <c r="W117" s="132">
        <f t="shared" si="1"/>
        <v>7.2993490632797938E-3</v>
      </c>
      <c r="X117" s="132">
        <v>1.8996292041801707E-3</v>
      </c>
    </row>
    <row r="118" spans="1:24">
      <c r="A118" t="s">
        <v>1213</v>
      </c>
      <c r="B118" s="4">
        <v>12938</v>
      </c>
      <c r="C118" t="s">
        <v>2789</v>
      </c>
      <c r="D118" t="s">
        <v>2790</v>
      </c>
      <c r="E118" t="s">
        <v>309</v>
      </c>
      <c r="F118" t="s">
        <v>2789</v>
      </c>
      <c r="G118" t="s">
        <v>3480</v>
      </c>
      <c r="H118" t="s">
        <v>321</v>
      </c>
      <c r="I118" t="s">
        <v>917</v>
      </c>
      <c r="J118" t="s">
        <v>204</v>
      </c>
      <c r="K118" t="s">
        <v>204</v>
      </c>
      <c r="L118" t="s">
        <v>325</v>
      </c>
      <c r="M118" t="s">
        <v>340</v>
      </c>
      <c r="N118" t="s">
        <v>441</v>
      </c>
      <c r="O118" t="s">
        <v>339</v>
      </c>
      <c r="P118" t="s">
        <v>1212</v>
      </c>
      <c r="Q118" s="131">
        <v>31789</v>
      </c>
      <c r="R118" s="131">
        <v>1</v>
      </c>
      <c r="S118" s="131">
        <v>1348</v>
      </c>
      <c r="U118" s="131">
        <v>428.51600000000002</v>
      </c>
      <c r="V118" s="132">
        <v>6.0000000000000002E-5</v>
      </c>
      <c r="W118" s="132">
        <f t="shared" si="1"/>
        <v>7.2504673408987017E-3</v>
      </c>
      <c r="X118" s="132">
        <v>1.8869079126539335E-3</v>
      </c>
    </row>
    <row r="119" spans="1:24">
      <c r="A119" t="s">
        <v>1213</v>
      </c>
      <c r="B119" s="4">
        <v>12938</v>
      </c>
      <c r="C119" t="s">
        <v>3486</v>
      </c>
      <c r="D119" t="s">
        <v>3487</v>
      </c>
      <c r="E119" t="s">
        <v>309</v>
      </c>
      <c r="F119" t="s">
        <v>3486</v>
      </c>
      <c r="G119" t="s">
        <v>3488</v>
      </c>
      <c r="H119" t="s">
        <v>321</v>
      </c>
      <c r="I119" t="s">
        <v>917</v>
      </c>
      <c r="J119" t="s">
        <v>204</v>
      </c>
      <c r="K119" t="s">
        <v>204</v>
      </c>
      <c r="L119" t="s">
        <v>325</v>
      </c>
      <c r="M119" t="s">
        <v>340</v>
      </c>
      <c r="N119" t="s">
        <v>475</v>
      </c>
      <c r="O119" t="s">
        <v>339</v>
      </c>
      <c r="P119" t="s">
        <v>1212</v>
      </c>
      <c r="Q119" s="131">
        <v>6113</v>
      </c>
      <c r="R119" s="131">
        <v>1</v>
      </c>
      <c r="S119" s="131">
        <v>6601</v>
      </c>
      <c r="U119" s="131">
        <v>403.51900000000001</v>
      </c>
      <c r="V119" s="132">
        <v>1.2999999999999999E-4</v>
      </c>
      <c r="W119" s="132">
        <f t="shared" si="1"/>
        <v>6.8275194646923408E-3</v>
      </c>
      <c r="X119" s="132">
        <v>1.7768372569663736E-3</v>
      </c>
    </row>
    <row r="120" spans="1:24">
      <c r="A120" t="s">
        <v>1213</v>
      </c>
      <c r="B120" s="4">
        <v>12938</v>
      </c>
      <c r="C120" t="s">
        <v>3125</v>
      </c>
      <c r="D120" t="s">
        <v>3126</v>
      </c>
      <c r="E120" t="s">
        <v>309</v>
      </c>
      <c r="F120" t="s">
        <v>3125</v>
      </c>
      <c r="G120" t="s">
        <v>3489</v>
      </c>
      <c r="H120" t="s">
        <v>321</v>
      </c>
      <c r="I120" t="s">
        <v>917</v>
      </c>
      <c r="J120" t="s">
        <v>204</v>
      </c>
      <c r="K120" t="s">
        <v>204</v>
      </c>
      <c r="L120" t="s">
        <v>325</v>
      </c>
      <c r="M120" t="s">
        <v>340</v>
      </c>
      <c r="N120" t="s">
        <v>441</v>
      </c>
      <c r="O120" t="s">
        <v>339</v>
      </c>
      <c r="P120" t="s">
        <v>1212</v>
      </c>
      <c r="Q120" s="131">
        <v>1400</v>
      </c>
      <c r="R120" s="131">
        <v>1</v>
      </c>
      <c r="S120" s="131">
        <v>28560</v>
      </c>
      <c r="U120" s="131">
        <v>399.84</v>
      </c>
      <c r="V120" s="132">
        <v>2.0000000000000002E-5</v>
      </c>
      <c r="W120" s="132">
        <f t="shared" si="1"/>
        <v>6.7652709854122989E-3</v>
      </c>
      <c r="X120" s="132">
        <v>1.76063731528239E-3</v>
      </c>
    </row>
    <row r="121" spans="1:24">
      <c r="A121" t="s">
        <v>1213</v>
      </c>
      <c r="B121" s="4">
        <v>12938</v>
      </c>
      <c r="C121" t="s">
        <v>2298</v>
      </c>
      <c r="D121" t="s">
        <v>2299</v>
      </c>
      <c r="E121" t="s">
        <v>309</v>
      </c>
      <c r="F121" t="s">
        <v>3481</v>
      </c>
      <c r="G121" t="s">
        <v>3482</v>
      </c>
      <c r="H121" t="s">
        <v>321</v>
      </c>
      <c r="I121" t="s">
        <v>917</v>
      </c>
      <c r="J121" t="s">
        <v>204</v>
      </c>
      <c r="K121" t="s">
        <v>204</v>
      </c>
      <c r="L121" t="s">
        <v>325</v>
      </c>
      <c r="M121" t="s">
        <v>340</v>
      </c>
      <c r="N121" t="s">
        <v>462</v>
      </c>
      <c r="O121" t="s">
        <v>339</v>
      </c>
      <c r="P121" t="s">
        <v>1212</v>
      </c>
      <c r="Q121" s="131">
        <v>20040</v>
      </c>
      <c r="R121" s="131">
        <v>1</v>
      </c>
      <c r="S121" s="131">
        <v>1991</v>
      </c>
      <c r="U121" s="131">
        <v>398.99599999999998</v>
      </c>
      <c r="V121" s="132">
        <v>2.2000000000000001E-4</v>
      </c>
      <c r="W121" s="132">
        <f t="shared" si="1"/>
        <v>6.750990551459498E-3</v>
      </c>
      <c r="X121" s="132">
        <v>1.7569208839746211E-3</v>
      </c>
    </row>
    <row r="122" spans="1:24">
      <c r="A122" t="s">
        <v>1213</v>
      </c>
      <c r="B122" s="4">
        <v>12938</v>
      </c>
      <c r="C122" t="s">
        <v>3490</v>
      </c>
      <c r="D122" t="s">
        <v>3491</v>
      </c>
      <c r="E122" t="s">
        <v>309</v>
      </c>
      <c r="F122" t="s">
        <v>3490</v>
      </c>
      <c r="G122" t="s">
        <v>3492</v>
      </c>
      <c r="H122" t="s">
        <v>321</v>
      </c>
      <c r="I122" t="s">
        <v>917</v>
      </c>
      <c r="J122" t="s">
        <v>204</v>
      </c>
      <c r="K122" t="s">
        <v>204</v>
      </c>
      <c r="L122" t="s">
        <v>325</v>
      </c>
      <c r="M122" t="s">
        <v>340</v>
      </c>
      <c r="N122" t="s">
        <v>476</v>
      </c>
      <c r="O122" t="s">
        <v>339</v>
      </c>
      <c r="P122" t="s">
        <v>1212</v>
      </c>
      <c r="Q122" s="131">
        <v>2018</v>
      </c>
      <c r="R122" s="131">
        <v>1</v>
      </c>
      <c r="S122" s="131">
        <v>19560</v>
      </c>
      <c r="U122" s="131">
        <v>394.721</v>
      </c>
      <c r="V122" s="132">
        <v>9.0000000000000006E-5</v>
      </c>
      <c r="W122" s="132">
        <f t="shared" si="1"/>
        <v>6.6786577846961988E-3</v>
      </c>
      <c r="X122" s="132">
        <v>1.7380965429311234E-3</v>
      </c>
    </row>
    <row r="123" spans="1:24">
      <c r="A123" t="s">
        <v>1213</v>
      </c>
      <c r="B123" s="4">
        <v>12938</v>
      </c>
      <c r="C123" t="s">
        <v>3596</v>
      </c>
      <c r="D123" t="s">
        <v>3597</v>
      </c>
      <c r="E123" t="s">
        <v>309</v>
      </c>
      <c r="F123" t="s">
        <v>3596</v>
      </c>
      <c r="G123" t="s">
        <v>3598</v>
      </c>
      <c r="H123" t="s">
        <v>321</v>
      </c>
      <c r="I123" t="s">
        <v>917</v>
      </c>
      <c r="J123" t="s">
        <v>204</v>
      </c>
      <c r="K123" t="s">
        <v>204</v>
      </c>
      <c r="L123" t="s">
        <v>325</v>
      </c>
      <c r="M123" t="s">
        <v>340</v>
      </c>
      <c r="N123" t="s">
        <v>456</v>
      </c>
      <c r="O123" t="s">
        <v>339</v>
      </c>
      <c r="P123" t="s">
        <v>1212</v>
      </c>
      <c r="Q123" s="131">
        <v>1187</v>
      </c>
      <c r="R123" s="131">
        <v>1</v>
      </c>
      <c r="S123" s="131">
        <v>30650</v>
      </c>
      <c r="U123" s="131">
        <v>363.81599999999997</v>
      </c>
      <c r="V123" s="132">
        <v>1E-4</v>
      </c>
      <c r="W123" s="132">
        <f t="shared" si="1"/>
        <v>6.1557468708202303E-3</v>
      </c>
      <c r="X123" s="132">
        <v>1.6020108680891807E-3</v>
      </c>
    </row>
    <row r="124" spans="1:24">
      <c r="A124" t="s">
        <v>1213</v>
      </c>
      <c r="B124" s="4">
        <v>12938</v>
      </c>
      <c r="C124" t="s">
        <v>3506</v>
      </c>
      <c r="D124" t="s">
        <v>3507</v>
      </c>
      <c r="E124" t="s">
        <v>309</v>
      </c>
      <c r="F124" t="s">
        <v>3506</v>
      </c>
      <c r="G124" t="s">
        <v>3508</v>
      </c>
      <c r="H124" t="s">
        <v>321</v>
      </c>
      <c r="I124" t="s">
        <v>917</v>
      </c>
      <c r="J124" t="s">
        <v>204</v>
      </c>
      <c r="K124" t="s">
        <v>204</v>
      </c>
      <c r="L124" t="s">
        <v>325</v>
      </c>
      <c r="M124" t="s">
        <v>340</v>
      </c>
      <c r="N124" t="s">
        <v>478</v>
      </c>
      <c r="O124" t="s">
        <v>339</v>
      </c>
      <c r="P124" t="s">
        <v>1212</v>
      </c>
      <c r="Q124" s="131">
        <v>6000</v>
      </c>
      <c r="R124" s="131">
        <v>1</v>
      </c>
      <c r="S124" s="131">
        <v>5660</v>
      </c>
      <c r="U124" s="131">
        <v>339.6</v>
      </c>
      <c r="V124" s="132">
        <v>4.0000000000000002E-4</v>
      </c>
      <c r="W124" s="132">
        <f t="shared" si="1"/>
        <v>5.7460134720038435E-3</v>
      </c>
      <c r="X124" s="132">
        <v>1.4953792323676965E-3</v>
      </c>
    </row>
    <row r="125" spans="1:24">
      <c r="A125" t="s">
        <v>1213</v>
      </c>
      <c r="B125" s="4">
        <v>12938</v>
      </c>
      <c r="C125" t="s">
        <v>1782</v>
      </c>
      <c r="D125" t="s">
        <v>1783</v>
      </c>
      <c r="E125" t="s">
        <v>309</v>
      </c>
      <c r="F125" t="s">
        <v>1782</v>
      </c>
      <c r="G125" t="s">
        <v>3497</v>
      </c>
      <c r="H125" t="s">
        <v>321</v>
      </c>
      <c r="I125" t="s">
        <v>917</v>
      </c>
      <c r="J125" t="s">
        <v>204</v>
      </c>
      <c r="K125" t="s">
        <v>204</v>
      </c>
      <c r="L125" t="s">
        <v>325</v>
      </c>
      <c r="M125" t="s">
        <v>340</v>
      </c>
      <c r="N125" t="s">
        <v>461</v>
      </c>
      <c r="O125" t="s">
        <v>339</v>
      </c>
      <c r="P125" t="s">
        <v>1212</v>
      </c>
      <c r="Q125" s="131">
        <v>4301</v>
      </c>
      <c r="R125" s="131">
        <v>1</v>
      </c>
      <c r="S125" s="131">
        <v>7743</v>
      </c>
      <c r="U125" s="131">
        <v>333.02600000000001</v>
      </c>
      <c r="V125" s="132">
        <v>2.5000000000000001E-4</v>
      </c>
      <c r="W125" s="132">
        <f t="shared" si="1"/>
        <v>5.6347817506700593E-3</v>
      </c>
      <c r="X125" s="132">
        <v>1.4664315790296951E-3</v>
      </c>
    </row>
    <row r="126" spans="1:24">
      <c r="A126" t="s">
        <v>1213</v>
      </c>
      <c r="B126" s="4">
        <v>12938</v>
      </c>
      <c r="C126" t="s">
        <v>3502</v>
      </c>
      <c r="D126" t="s">
        <v>3503</v>
      </c>
      <c r="E126" t="s">
        <v>309</v>
      </c>
      <c r="F126" t="s">
        <v>3502</v>
      </c>
      <c r="G126" t="s">
        <v>3504</v>
      </c>
      <c r="H126" t="s">
        <v>321</v>
      </c>
      <c r="I126" t="s">
        <v>917</v>
      </c>
      <c r="J126" t="s">
        <v>204</v>
      </c>
      <c r="K126" t="s">
        <v>204</v>
      </c>
      <c r="L126" t="s">
        <v>325</v>
      </c>
      <c r="M126" t="s">
        <v>340</v>
      </c>
      <c r="N126" t="s">
        <v>475</v>
      </c>
      <c r="O126" t="s">
        <v>339</v>
      </c>
      <c r="P126" t="s">
        <v>1212</v>
      </c>
      <c r="Q126" s="131">
        <v>5000</v>
      </c>
      <c r="R126" s="131">
        <v>1</v>
      </c>
      <c r="S126" s="131">
        <v>6219</v>
      </c>
      <c r="U126" s="131">
        <v>310.95</v>
      </c>
      <c r="V126" s="132">
        <v>2.0000000000000001E-4</v>
      </c>
      <c r="W126" s="132">
        <f t="shared" si="1"/>
        <v>5.2612570350989256E-3</v>
      </c>
      <c r="X126" s="132">
        <v>1.3692231222165346E-3</v>
      </c>
    </row>
    <row r="127" spans="1:24">
      <c r="A127" t="s">
        <v>1213</v>
      </c>
      <c r="B127" s="4">
        <v>12938</v>
      </c>
      <c r="C127" t="s">
        <v>1893</v>
      </c>
      <c r="D127" t="s">
        <v>1894</v>
      </c>
      <c r="E127" t="s">
        <v>309</v>
      </c>
      <c r="F127" t="s">
        <v>1893</v>
      </c>
      <c r="G127" t="s">
        <v>3599</v>
      </c>
      <c r="H127" t="s">
        <v>321</v>
      </c>
      <c r="I127" t="s">
        <v>917</v>
      </c>
      <c r="J127" t="s">
        <v>204</v>
      </c>
      <c r="K127" t="s">
        <v>204</v>
      </c>
      <c r="L127" t="s">
        <v>325</v>
      </c>
      <c r="M127" t="s">
        <v>340</v>
      </c>
      <c r="N127" t="s">
        <v>464</v>
      </c>
      <c r="O127" t="s">
        <v>339</v>
      </c>
      <c r="P127" t="s">
        <v>1212</v>
      </c>
      <c r="Q127" s="131">
        <v>3158</v>
      </c>
      <c r="R127" s="131">
        <v>1</v>
      </c>
      <c r="S127" s="131">
        <v>9550</v>
      </c>
      <c r="U127" s="131">
        <v>301.589</v>
      </c>
      <c r="V127" s="132">
        <v>9.0000000000000006E-5</v>
      </c>
      <c r="W127" s="132">
        <f t="shared" si="1"/>
        <v>5.1028694258191025E-3</v>
      </c>
      <c r="X127" s="132">
        <v>1.3280033195245617E-3</v>
      </c>
    </row>
    <row r="128" spans="1:24">
      <c r="A128" t="s">
        <v>1213</v>
      </c>
      <c r="B128" s="4">
        <v>12938</v>
      </c>
      <c r="C128" t="s">
        <v>3469</v>
      </c>
      <c r="D128" t="s">
        <v>3470</v>
      </c>
      <c r="E128" t="s">
        <v>309</v>
      </c>
      <c r="F128" t="s">
        <v>3471</v>
      </c>
      <c r="G128" t="s">
        <v>3472</v>
      </c>
      <c r="H128" t="s">
        <v>321</v>
      </c>
      <c r="I128" t="s">
        <v>917</v>
      </c>
      <c r="J128" t="s">
        <v>204</v>
      </c>
      <c r="K128" t="s">
        <v>204</v>
      </c>
      <c r="L128" t="s">
        <v>325</v>
      </c>
      <c r="M128" t="s">
        <v>340</v>
      </c>
      <c r="N128" t="s">
        <v>454</v>
      </c>
      <c r="O128" t="s">
        <v>339</v>
      </c>
      <c r="P128" t="s">
        <v>1212</v>
      </c>
      <c r="Q128" s="131">
        <v>24352</v>
      </c>
      <c r="R128" s="131">
        <v>1</v>
      </c>
      <c r="S128" s="131">
        <v>1025</v>
      </c>
      <c r="U128" s="131">
        <v>249.608</v>
      </c>
      <c r="V128" s="132">
        <v>2.0000000000000002E-5</v>
      </c>
      <c r="W128" s="132">
        <f t="shared" si="1"/>
        <v>4.2233537418137086E-3</v>
      </c>
      <c r="X128" s="132">
        <v>1.0991125424995171E-3</v>
      </c>
    </row>
    <row r="129" spans="1:24">
      <c r="A129" t="s">
        <v>1213</v>
      </c>
      <c r="B129" s="4">
        <v>12938</v>
      </c>
      <c r="C129" t="s">
        <v>3498</v>
      </c>
      <c r="D129" t="s">
        <v>3499</v>
      </c>
      <c r="E129" t="s">
        <v>309</v>
      </c>
      <c r="F129" t="s">
        <v>3500</v>
      </c>
      <c r="G129" t="s">
        <v>3501</v>
      </c>
      <c r="H129" t="s">
        <v>321</v>
      </c>
      <c r="I129" t="s">
        <v>917</v>
      </c>
      <c r="J129" t="s">
        <v>204</v>
      </c>
      <c r="K129" t="s">
        <v>204</v>
      </c>
      <c r="L129" t="s">
        <v>325</v>
      </c>
      <c r="M129" t="s">
        <v>340</v>
      </c>
      <c r="N129" t="s">
        <v>476</v>
      </c>
      <c r="O129" t="s">
        <v>339</v>
      </c>
      <c r="P129" t="s">
        <v>1212</v>
      </c>
      <c r="Q129" s="131">
        <v>4928</v>
      </c>
      <c r="R129" s="131">
        <v>1</v>
      </c>
      <c r="S129" s="131">
        <v>5029</v>
      </c>
      <c r="U129" s="131">
        <v>247.82900000000001</v>
      </c>
      <c r="V129" s="132">
        <v>6.9999999999999994E-5</v>
      </c>
      <c r="W129" s="132">
        <f t="shared" si="1"/>
        <v>4.1932531588729106E-3</v>
      </c>
      <c r="X129" s="132">
        <v>1.0912789746126438E-3</v>
      </c>
    </row>
    <row r="130" spans="1:24">
      <c r="A130" t="s">
        <v>1213</v>
      </c>
      <c r="B130" s="4">
        <v>12938</v>
      </c>
      <c r="C130" t="s">
        <v>1624</v>
      </c>
      <c r="D130" t="s">
        <v>1625</v>
      </c>
      <c r="E130" t="s">
        <v>309</v>
      </c>
      <c r="F130" t="s">
        <v>1624</v>
      </c>
      <c r="G130" t="s">
        <v>3505</v>
      </c>
      <c r="H130" t="s">
        <v>321</v>
      </c>
      <c r="I130" t="s">
        <v>917</v>
      </c>
      <c r="J130" t="s">
        <v>204</v>
      </c>
      <c r="K130" t="s">
        <v>204</v>
      </c>
      <c r="L130" t="s">
        <v>325</v>
      </c>
      <c r="M130" t="s">
        <v>340</v>
      </c>
      <c r="N130" t="s">
        <v>447</v>
      </c>
      <c r="O130" t="s">
        <v>339</v>
      </c>
      <c r="P130" t="s">
        <v>1212</v>
      </c>
      <c r="Q130" s="131">
        <v>13239</v>
      </c>
      <c r="R130" s="131">
        <v>1</v>
      </c>
      <c r="S130" s="131">
        <v>1740</v>
      </c>
      <c r="U130" s="131">
        <v>230.35900000000001</v>
      </c>
      <c r="V130" s="132">
        <v>5.0000000000000002E-5</v>
      </c>
      <c r="W130" s="132">
        <f t="shared" si="1"/>
        <v>3.8976617120062822E-3</v>
      </c>
      <c r="X130" s="132">
        <v>1.0143523692255306E-3</v>
      </c>
    </row>
    <row r="131" spans="1:24">
      <c r="A131" t="s">
        <v>1213</v>
      </c>
      <c r="B131" s="4">
        <v>12938</v>
      </c>
      <c r="C131" t="s">
        <v>3600</v>
      </c>
      <c r="D131" t="s">
        <v>3601</v>
      </c>
      <c r="E131" t="s">
        <v>309</v>
      </c>
      <c r="F131" t="s">
        <v>3600</v>
      </c>
      <c r="G131" t="s">
        <v>3602</v>
      </c>
      <c r="H131" t="s">
        <v>321</v>
      </c>
      <c r="I131" t="s">
        <v>917</v>
      </c>
      <c r="J131" t="s">
        <v>204</v>
      </c>
      <c r="K131" t="s">
        <v>204</v>
      </c>
      <c r="L131" t="s">
        <v>325</v>
      </c>
      <c r="M131" t="s">
        <v>340</v>
      </c>
      <c r="N131" t="s">
        <v>456</v>
      </c>
      <c r="O131" t="s">
        <v>339</v>
      </c>
      <c r="P131" t="s">
        <v>1212</v>
      </c>
      <c r="Q131" s="131">
        <v>20000</v>
      </c>
      <c r="R131" s="131">
        <v>1</v>
      </c>
      <c r="S131" s="131">
        <v>1074</v>
      </c>
      <c r="U131" s="131">
        <v>214.8</v>
      </c>
      <c r="V131" s="132">
        <v>1.9000000000000001E-4</v>
      </c>
      <c r="W131" s="132">
        <f t="shared" ref="W131:W194" si="2">U131/SUMIF(B:B,B131,U:U)</f>
        <v>3.6344042808787564E-3</v>
      </c>
      <c r="X131" s="132">
        <v>9.4584057453645821E-4</v>
      </c>
    </row>
    <row r="132" spans="1:24">
      <c r="A132" t="s">
        <v>1213</v>
      </c>
      <c r="B132" s="4">
        <v>12938</v>
      </c>
      <c r="C132" t="s">
        <v>3483</v>
      </c>
      <c r="D132" t="s">
        <v>3484</v>
      </c>
      <c r="E132" t="s">
        <v>309</v>
      </c>
      <c r="F132" t="s">
        <v>3483</v>
      </c>
      <c r="G132" t="s">
        <v>3485</v>
      </c>
      <c r="H132" t="s">
        <v>321</v>
      </c>
      <c r="I132" t="s">
        <v>917</v>
      </c>
      <c r="J132" t="s">
        <v>204</v>
      </c>
      <c r="K132" t="s">
        <v>204</v>
      </c>
      <c r="L132" t="s">
        <v>325</v>
      </c>
      <c r="M132" t="s">
        <v>340</v>
      </c>
      <c r="N132" t="s">
        <v>461</v>
      </c>
      <c r="O132" t="s">
        <v>339</v>
      </c>
      <c r="P132" t="s">
        <v>1212</v>
      </c>
      <c r="Q132" s="131">
        <v>2846</v>
      </c>
      <c r="R132" s="131">
        <v>1</v>
      </c>
      <c r="S132" s="131">
        <v>7454</v>
      </c>
      <c r="U132" s="131">
        <v>212.14099999999999</v>
      </c>
      <c r="V132" s="132">
        <v>5.0000000000000002E-5</v>
      </c>
      <c r="W132" s="132">
        <f t="shared" si="2"/>
        <v>3.5894141459492557E-3</v>
      </c>
      <c r="X132" s="132">
        <v>9.3413205457513386E-4</v>
      </c>
    </row>
    <row r="133" spans="1:24">
      <c r="A133" t="s">
        <v>1213</v>
      </c>
      <c r="B133" s="4">
        <v>12938</v>
      </c>
      <c r="C133" t="s">
        <v>3284</v>
      </c>
      <c r="D133" t="s">
        <v>3285</v>
      </c>
      <c r="E133" t="s">
        <v>311</v>
      </c>
      <c r="F133" t="s">
        <v>3284</v>
      </c>
      <c r="G133" t="s">
        <v>3510</v>
      </c>
      <c r="H133" t="s">
        <v>321</v>
      </c>
      <c r="I133" t="s">
        <v>917</v>
      </c>
      <c r="J133" t="s">
        <v>204</v>
      </c>
      <c r="K133" t="s">
        <v>233</v>
      </c>
      <c r="L133" t="s">
        <v>325</v>
      </c>
      <c r="M133" t="s">
        <v>340</v>
      </c>
      <c r="N133" t="s">
        <v>454</v>
      </c>
      <c r="O133" t="s">
        <v>339</v>
      </c>
      <c r="P133" t="s">
        <v>1212</v>
      </c>
      <c r="Q133" s="131">
        <v>4395</v>
      </c>
      <c r="R133" s="131">
        <v>1</v>
      </c>
      <c r="S133" s="131">
        <v>4556</v>
      </c>
      <c r="T133" s="131">
        <f>4.907-15.8149999999996/1000/R133</f>
        <v>4.8911850000000001</v>
      </c>
      <c r="U133" s="131">
        <f>205.144-15.8149999999996/1000</f>
        <v>205.128185</v>
      </c>
      <c r="V133" s="132">
        <v>2.0000000000000002E-5</v>
      </c>
      <c r="W133" s="132">
        <f t="shared" si="2"/>
        <v>3.4707576987564686E-3</v>
      </c>
      <c r="X133" s="132">
        <v>9.0325214317514373E-4</v>
      </c>
    </row>
    <row r="134" spans="1:24">
      <c r="A134" t="s">
        <v>1213</v>
      </c>
      <c r="B134" s="4">
        <v>12938</v>
      </c>
      <c r="C134" t="s">
        <v>2735</v>
      </c>
      <c r="D134" t="s">
        <v>2736</v>
      </c>
      <c r="E134" t="s">
        <v>309</v>
      </c>
      <c r="F134" t="s">
        <v>3514</v>
      </c>
      <c r="G134" t="s">
        <v>3515</v>
      </c>
      <c r="H134" t="s">
        <v>321</v>
      </c>
      <c r="I134" t="s">
        <v>917</v>
      </c>
      <c r="J134" t="s">
        <v>204</v>
      </c>
      <c r="K134" t="s">
        <v>204</v>
      </c>
      <c r="L134" t="s">
        <v>325</v>
      </c>
      <c r="M134" t="s">
        <v>340</v>
      </c>
      <c r="N134" t="s">
        <v>462</v>
      </c>
      <c r="O134" t="s">
        <v>339</v>
      </c>
      <c r="P134" t="s">
        <v>1212</v>
      </c>
      <c r="Q134" s="131">
        <v>969</v>
      </c>
      <c r="R134" s="131">
        <v>1</v>
      </c>
      <c r="S134" s="131">
        <v>19990</v>
      </c>
      <c r="U134" s="131">
        <v>193.703</v>
      </c>
      <c r="V134" s="132">
        <v>1.1E-4</v>
      </c>
      <c r="W134" s="132">
        <f t="shared" si="2"/>
        <v>3.2774441918950546E-3</v>
      </c>
      <c r="X134" s="132">
        <v>8.5294300190612456E-4</v>
      </c>
    </row>
    <row r="135" spans="1:24">
      <c r="A135" t="s">
        <v>1213</v>
      </c>
      <c r="B135" s="4">
        <v>12938</v>
      </c>
      <c r="C135" t="s">
        <v>1534</v>
      </c>
      <c r="D135" t="s">
        <v>1535</v>
      </c>
      <c r="E135" t="s">
        <v>309</v>
      </c>
      <c r="F135" t="s">
        <v>1534</v>
      </c>
      <c r="G135" t="s">
        <v>3509</v>
      </c>
      <c r="H135" t="s">
        <v>321</v>
      </c>
      <c r="I135" t="s">
        <v>917</v>
      </c>
      <c r="J135" t="s">
        <v>204</v>
      </c>
      <c r="K135" t="s">
        <v>204</v>
      </c>
      <c r="L135" t="s">
        <v>325</v>
      </c>
      <c r="M135" t="s">
        <v>340</v>
      </c>
      <c r="N135" t="s">
        <v>464</v>
      </c>
      <c r="O135" t="s">
        <v>339</v>
      </c>
      <c r="P135" t="s">
        <v>1212</v>
      </c>
      <c r="Q135" s="131">
        <v>12011</v>
      </c>
      <c r="R135" s="131">
        <v>1</v>
      </c>
      <c r="S135" s="131">
        <v>1609</v>
      </c>
      <c r="U135" s="131">
        <v>193.25700000000001</v>
      </c>
      <c r="V135" s="132">
        <v>3.0000000000000001E-5</v>
      </c>
      <c r="W135" s="132">
        <f t="shared" si="2"/>
        <v>3.2698978962280531E-3</v>
      </c>
      <c r="X135" s="132">
        <v>8.5097910574111863E-4</v>
      </c>
    </row>
    <row r="136" spans="1:24">
      <c r="A136" t="s">
        <v>1213</v>
      </c>
      <c r="B136" s="4">
        <v>12938</v>
      </c>
      <c r="C136" t="s">
        <v>3603</v>
      </c>
      <c r="D136" t="s">
        <v>3604</v>
      </c>
      <c r="E136" t="s">
        <v>309</v>
      </c>
      <c r="F136" t="s">
        <v>3603</v>
      </c>
      <c r="G136" t="s">
        <v>3605</v>
      </c>
      <c r="H136" t="s">
        <v>321</v>
      </c>
      <c r="I136" t="s">
        <v>917</v>
      </c>
      <c r="J136" t="s">
        <v>204</v>
      </c>
      <c r="K136" t="s">
        <v>204</v>
      </c>
      <c r="L136" t="s">
        <v>325</v>
      </c>
      <c r="M136" t="s">
        <v>340</v>
      </c>
      <c r="N136" t="s">
        <v>463</v>
      </c>
      <c r="O136" t="s">
        <v>339</v>
      </c>
      <c r="P136" t="s">
        <v>1212</v>
      </c>
      <c r="Q136" s="131">
        <v>4442</v>
      </c>
      <c r="R136" s="131">
        <v>1</v>
      </c>
      <c r="S136" s="131">
        <v>4319</v>
      </c>
      <c r="U136" s="131">
        <v>191.85</v>
      </c>
      <c r="V136" s="132">
        <v>1.9000000000000001E-4</v>
      </c>
      <c r="W136" s="132">
        <f t="shared" si="2"/>
        <v>3.2460915329915706E-3</v>
      </c>
      <c r="X136" s="132">
        <v>8.4478358577662707E-4</v>
      </c>
    </row>
    <row r="137" spans="1:24">
      <c r="A137" t="s">
        <v>1213</v>
      </c>
      <c r="B137" s="4">
        <v>12938</v>
      </c>
      <c r="C137" t="s">
        <v>2566</v>
      </c>
      <c r="D137" t="s">
        <v>2567</v>
      </c>
      <c r="E137" t="s">
        <v>309</v>
      </c>
      <c r="F137" t="s">
        <v>2566</v>
      </c>
      <c r="G137" t="s">
        <v>3511</v>
      </c>
      <c r="H137" t="s">
        <v>321</v>
      </c>
      <c r="I137" t="s">
        <v>917</v>
      </c>
      <c r="J137" t="s">
        <v>204</v>
      </c>
      <c r="K137" t="s">
        <v>204</v>
      </c>
      <c r="L137" t="s">
        <v>325</v>
      </c>
      <c r="M137" t="s">
        <v>340</v>
      </c>
      <c r="N137" t="s">
        <v>476</v>
      </c>
      <c r="O137" t="s">
        <v>339</v>
      </c>
      <c r="P137" t="s">
        <v>1212</v>
      </c>
      <c r="Q137" s="131">
        <v>2563</v>
      </c>
      <c r="R137" s="131">
        <v>1</v>
      </c>
      <c r="S137" s="131">
        <v>7125</v>
      </c>
      <c r="T137" s="131">
        <v>4.3890000000000002</v>
      </c>
      <c r="U137" s="131">
        <v>187.00200000000001</v>
      </c>
      <c r="V137" s="132">
        <v>4.0000000000000003E-5</v>
      </c>
      <c r="W137" s="132">
        <f t="shared" si="2"/>
        <v>3.164063637490173E-3</v>
      </c>
      <c r="X137" s="132">
        <v>8.2343612253010594E-4</v>
      </c>
    </row>
    <row r="138" spans="1:24">
      <c r="A138" t="s">
        <v>1213</v>
      </c>
      <c r="B138" s="4">
        <v>12938</v>
      </c>
      <c r="C138" t="s">
        <v>1973</v>
      </c>
      <c r="D138" t="s">
        <v>1974</v>
      </c>
      <c r="E138" t="s">
        <v>309</v>
      </c>
      <c r="F138" t="s">
        <v>3512</v>
      </c>
      <c r="G138" t="s">
        <v>3513</v>
      </c>
      <c r="H138" t="s">
        <v>321</v>
      </c>
      <c r="I138" t="s">
        <v>917</v>
      </c>
      <c r="J138" t="s">
        <v>204</v>
      </c>
      <c r="K138" t="s">
        <v>204</v>
      </c>
      <c r="L138" t="s">
        <v>325</v>
      </c>
      <c r="M138" t="s">
        <v>340</v>
      </c>
      <c r="N138" t="s">
        <v>464</v>
      </c>
      <c r="O138" t="s">
        <v>339</v>
      </c>
      <c r="P138" t="s">
        <v>1212</v>
      </c>
      <c r="Q138" s="131">
        <v>19258</v>
      </c>
      <c r="R138" s="131">
        <v>1</v>
      </c>
      <c r="S138" s="131">
        <v>954</v>
      </c>
      <c r="U138" s="131">
        <v>183.721</v>
      </c>
      <c r="V138" s="132">
        <v>3.0000000000000001E-5</v>
      </c>
      <c r="W138" s="132">
        <f t="shared" si="2"/>
        <v>3.1085492964959311E-3</v>
      </c>
      <c r="X138" s="132">
        <v>8.0898871598888554E-4</v>
      </c>
    </row>
    <row r="139" spans="1:24">
      <c r="A139" t="s">
        <v>1213</v>
      </c>
      <c r="B139" s="4">
        <v>12938</v>
      </c>
      <c r="C139" t="s">
        <v>3519</v>
      </c>
      <c r="D139" t="s">
        <v>3520</v>
      </c>
      <c r="E139" t="s">
        <v>309</v>
      </c>
      <c r="F139" t="s">
        <v>3521</v>
      </c>
      <c r="G139" t="s">
        <v>3522</v>
      </c>
      <c r="H139" t="s">
        <v>321</v>
      </c>
      <c r="I139" t="s">
        <v>917</v>
      </c>
      <c r="J139" t="s">
        <v>204</v>
      </c>
      <c r="K139" t="s">
        <v>204</v>
      </c>
      <c r="L139" s="134" t="s">
        <v>325</v>
      </c>
      <c r="M139" t="s">
        <v>340</v>
      </c>
      <c r="N139" t="s">
        <v>477</v>
      </c>
      <c r="O139" t="s">
        <v>339</v>
      </c>
      <c r="P139" t="s">
        <v>1212</v>
      </c>
      <c r="Q139" s="131">
        <v>20954</v>
      </c>
      <c r="R139" s="131">
        <v>1</v>
      </c>
      <c r="S139" s="131">
        <v>644.6</v>
      </c>
      <c r="U139" s="131">
        <v>135.06899999999999</v>
      </c>
      <c r="V139" s="132">
        <v>5.0000000000000002E-5</v>
      </c>
      <c r="W139" s="132">
        <f t="shared" si="2"/>
        <v>2.2853601108659806E-3</v>
      </c>
      <c r="X139" s="132">
        <v>5.9475670652730378E-4</v>
      </c>
    </row>
    <row r="140" spans="1:24">
      <c r="A140" t="s">
        <v>1213</v>
      </c>
      <c r="B140" s="4">
        <v>12938</v>
      </c>
      <c r="C140" t="s">
        <v>3493</v>
      </c>
      <c r="D140" t="s">
        <v>3494</v>
      </c>
      <c r="E140" t="s">
        <v>309</v>
      </c>
      <c r="F140" t="s">
        <v>3493</v>
      </c>
      <c r="G140" t="s">
        <v>3495</v>
      </c>
      <c r="H140" t="s">
        <v>321</v>
      </c>
      <c r="I140" t="s">
        <v>917</v>
      </c>
      <c r="J140" t="s">
        <v>204</v>
      </c>
      <c r="K140" t="s">
        <v>204</v>
      </c>
      <c r="L140" t="s">
        <v>325</v>
      </c>
      <c r="M140" t="s">
        <v>340</v>
      </c>
      <c r="N140" t="s">
        <v>464</v>
      </c>
      <c r="O140" t="s">
        <v>339</v>
      </c>
      <c r="P140" t="s">
        <v>1212</v>
      </c>
      <c r="Q140" s="131">
        <v>11804</v>
      </c>
      <c r="R140" s="131">
        <v>1</v>
      </c>
      <c r="S140" s="131">
        <v>1130</v>
      </c>
      <c r="U140" s="131">
        <v>133.38499999999999</v>
      </c>
      <c r="V140" s="132">
        <v>1.7000000000000001E-4</v>
      </c>
      <c r="W140" s="132">
        <f t="shared" si="2"/>
        <v>2.2568669227421454E-3</v>
      </c>
      <c r="X140" s="132">
        <v>5.8734145733028607E-4</v>
      </c>
    </row>
    <row r="141" spans="1:24">
      <c r="A141" t="s">
        <v>1213</v>
      </c>
      <c r="B141" s="4">
        <v>12938</v>
      </c>
      <c r="C141" t="s">
        <v>3523</v>
      </c>
      <c r="D141" t="s">
        <v>3524</v>
      </c>
      <c r="E141" t="s">
        <v>309</v>
      </c>
      <c r="F141" t="s">
        <v>3523</v>
      </c>
      <c r="G141" t="s">
        <v>3525</v>
      </c>
      <c r="H141" t="s">
        <v>321</v>
      </c>
      <c r="I141" t="s">
        <v>917</v>
      </c>
      <c r="J141" t="s">
        <v>204</v>
      </c>
      <c r="K141" t="s">
        <v>204</v>
      </c>
      <c r="L141" s="134" t="s">
        <v>325</v>
      </c>
      <c r="M141" t="s">
        <v>340</v>
      </c>
      <c r="N141" t="s">
        <v>484</v>
      </c>
      <c r="O141" t="s">
        <v>339</v>
      </c>
      <c r="P141" t="s">
        <v>1212</v>
      </c>
      <c r="Q141" s="131">
        <v>7903</v>
      </c>
      <c r="R141" s="131">
        <v>1</v>
      </c>
      <c r="S141" s="131">
        <v>1670</v>
      </c>
      <c r="U141" s="131">
        <v>131.97999999999999</v>
      </c>
      <c r="V141" s="132">
        <v>5.0000000000000002E-5</v>
      </c>
      <c r="W141" s="132">
        <f t="shared" si="2"/>
        <v>2.2330943993965464E-3</v>
      </c>
      <c r="X141" s="132">
        <v>5.8115474407505468E-4</v>
      </c>
    </row>
    <row r="142" spans="1:24">
      <c r="A142" t="s">
        <v>1213</v>
      </c>
      <c r="B142" s="4">
        <v>12938</v>
      </c>
      <c r="C142" t="s">
        <v>1737</v>
      </c>
      <c r="D142" t="s">
        <v>1738</v>
      </c>
      <c r="E142" t="s">
        <v>309</v>
      </c>
      <c r="F142" t="s">
        <v>3530</v>
      </c>
      <c r="G142" t="s">
        <v>3531</v>
      </c>
      <c r="H142" t="s">
        <v>321</v>
      </c>
      <c r="I142" t="s">
        <v>917</v>
      </c>
      <c r="J142" t="s">
        <v>204</v>
      </c>
      <c r="K142" t="s">
        <v>204</v>
      </c>
      <c r="L142" t="s">
        <v>325</v>
      </c>
      <c r="M142" t="s">
        <v>340</v>
      </c>
      <c r="N142" t="s">
        <v>447</v>
      </c>
      <c r="O142" t="s">
        <v>339</v>
      </c>
      <c r="P142" t="s">
        <v>1212</v>
      </c>
      <c r="Q142" s="131">
        <v>8065.45</v>
      </c>
      <c r="R142" s="131">
        <v>1</v>
      </c>
      <c r="S142" s="131">
        <v>1628</v>
      </c>
      <c r="U142" s="131">
        <v>131.30600000000001</v>
      </c>
      <c r="V142" s="132">
        <v>1.2999999999999999E-4</v>
      </c>
      <c r="W142" s="132">
        <f t="shared" si="2"/>
        <v>2.2216903561688359E-3</v>
      </c>
      <c r="X142" s="132">
        <v>5.7818688305439562E-4</v>
      </c>
    </row>
    <row r="143" spans="1:24">
      <c r="A143" t="s">
        <v>1213</v>
      </c>
      <c r="B143" s="4">
        <v>12938</v>
      </c>
      <c r="C143" t="s">
        <v>3516</v>
      </c>
      <c r="D143" t="s">
        <v>3517</v>
      </c>
      <c r="E143" t="s">
        <v>309</v>
      </c>
      <c r="F143" t="s">
        <v>3516</v>
      </c>
      <c r="G143" t="s">
        <v>3518</v>
      </c>
      <c r="H143" t="s">
        <v>321</v>
      </c>
      <c r="I143" t="s">
        <v>917</v>
      </c>
      <c r="J143" t="s">
        <v>204</v>
      </c>
      <c r="K143" t="s">
        <v>204</v>
      </c>
      <c r="L143" t="s">
        <v>325</v>
      </c>
      <c r="M143" t="s">
        <v>340</v>
      </c>
      <c r="N143" t="s">
        <v>475</v>
      </c>
      <c r="O143" t="s">
        <v>339</v>
      </c>
      <c r="P143" t="s">
        <v>1212</v>
      </c>
      <c r="Q143" s="131">
        <v>10014</v>
      </c>
      <c r="R143" s="131">
        <v>1</v>
      </c>
      <c r="S143" s="131">
        <v>1049</v>
      </c>
      <c r="U143" s="131">
        <v>105.047</v>
      </c>
      <c r="V143" s="132">
        <v>6.9999999999999994E-5</v>
      </c>
      <c r="W143" s="132">
        <f t="shared" si="2"/>
        <v>1.7773895088150403E-3</v>
      </c>
      <c r="X143" s="132">
        <v>4.6255919382370256E-4</v>
      </c>
    </row>
    <row r="144" spans="1:24">
      <c r="A144" t="s">
        <v>1213</v>
      </c>
      <c r="B144" s="4">
        <v>12938</v>
      </c>
      <c r="C144" t="s">
        <v>3526</v>
      </c>
      <c r="D144" t="s">
        <v>3527</v>
      </c>
      <c r="E144" t="s">
        <v>309</v>
      </c>
      <c r="F144" t="s">
        <v>3528</v>
      </c>
      <c r="G144" t="s">
        <v>3529</v>
      </c>
      <c r="H144" t="s">
        <v>321</v>
      </c>
      <c r="I144" t="s">
        <v>917</v>
      </c>
      <c r="J144" t="s">
        <v>204</v>
      </c>
      <c r="K144" t="s">
        <v>204</v>
      </c>
      <c r="L144" t="s">
        <v>325</v>
      </c>
      <c r="M144" t="s">
        <v>340</v>
      </c>
      <c r="N144" t="s">
        <v>463</v>
      </c>
      <c r="O144" t="s">
        <v>339</v>
      </c>
      <c r="P144" t="s">
        <v>1212</v>
      </c>
      <c r="Q144" s="131">
        <v>7084</v>
      </c>
      <c r="R144" s="131">
        <v>1</v>
      </c>
      <c r="S144" s="131">
        <v>1271</v>
      </c>
      <c r="U144" s="131">
        <v>90.037999999999997</v>
      </c>
      <c r="V144" s="132">
        <v>5.0000000000000002E-5</v>
      </c>
      <c r="W144" s="132">
        <f t="shared" si="2"/>
        <v>1.5234380476804536E-3</v>
      </c>
      <c r="X144" s="132">
        <v>3.9646924418116209E-4</v>
      </c>
    </row>
    <row r="145" spans="1:24">
      <c r="A145" t="s">
        <v>1213</v>
      </c>
      <c r="B145" s="4">
        <v>12938</v>
      </c>
      <c r="C145" t="s">
        <v>3536</v>
      </c>
      <c r="D145" t="s">
        <v>3537</v>
      </c>
      <c r="E145" t="s">
        <v>80</v>
      </c>
      <c r="F145" t="s">
        <v>3538</v>
      </c>
      <c r="G145" t="s">
        <v>3539</v>
      </c>
      <c r="H145" t="s">
        <v>312</v>
      </c>
      <c r="I145" t="s">
        <v>963</v>
      </c>
      <c r="J145" t="s">
        <v>204</v>
      </c>
      <c r="K145" t="s">
        <v>224</v>
      </c>
      <c r="L145" s="134"/>
      <c r="M145" t="s">
        <v>342</v>
      </c>
      <c r="N145" t="s">
        <v>449</v>
      </c>
      <c r="O145" t="s">
        <v>339</v>
      </c>
      <c r="P145" t="s">
        <v>1212</v>
      </c>
      <c r="Q145" s="131">
        <v>225</v>
      </c>
      <c r="R145" s="131">
        <v>1</v>
      </c>
      <c r="S145" s="131">
        <v>400000</v>
      </c>
      <c r="U145" s="131">
        <v>900</v>
      </c>
      <c r="V145" s="132">
        <v>4.6600000000000001E-3</v>
      </c>
      <c r="W145" s="132">
        <f t="shared" si="2"/>
        <v>1.5227950897536688E-2</v>
      </c>
      <c r="X145" s="132">
        <v>3.9630191670521992E-3</v>
      </c>
    </row>
    <row r="146" spans="1:24">
      <c r="A146" t="s">
        <v>1213</v>
      </c>
      <c r="B146" s="4">
        <v>12938</v>
      </c>
      <c r="C146" t="s">
        <v>3540</v>
      </c>
      <c r="D146" t="s">
        <v>3541</v>
      </c>
      <c r="E146" t="s">
        <v>80</v>
      </c>
      <c r="F146" t="s">
        <v>3542</v>
      </c>
      <c r="G146" t="s">
        <v>3543</v>
      </c>
      <c r="H146" t="s">
        <v>312</v>
      </c>
      <c r="I146" t="s">
        <v>959</v>
      </c>
      <c r="J146" t="s">
        <v>204</v>
      </c>
      <c r="K146" t="s">
        <v>224</v>
      </c>
      <c r="L146" t="s">
        <v>314</v>
      </c>
      <c r="M146" t="s">
        <v>342</v>
      </c>
      <c r="N146" t="s">
        <v>473</v>
      </c>
      <c r="O146" t="s">
        <v>339</v>
      </c>
      <c r="P146" t="s">
        <v>1212</v>
      </c>
      <c r="Q146" s="131">
        <v>807755</v>
      </c>
      <c r="R146" s="131">
        <v>1</v>
      </c>
      <c r="S146" s="131">
        <v>0</v>
      </c>
      <c r="U146" s="131">
        <v>0</v>
      </c>
      <c r="V146" s="132">
        <v>5.45E-3</v>
      </c>
      <c r="W146" s="132">
        <f t="shared" si="2"/>
        <v>0</v>
      </c>
      <c r="X146" s="132">
        <v>0</v>
      </c>
    </row>
    <row r="147" spans="1:24">
      <c r="A147" t="s">
        <v>1213</v>
      </c>
      <c r="B147" s="4">
        <v>12938</v>
      </c>
      <c r="C147" t="s">
        <v>3455</v>
      </c>
      <c r="D147" t="s">
        <v>3456</v>
      </c>
      <c r="E147" t="s">
        <v>309</v>
      </c>
      <c r="F147" t="s">
        <v>3457</v>
      </c>
      <c r="G147" t="s">
        <v>3458</v>
      </c>
      <c r="H147" t="s">
        <v>321</v>
      </c>
      <c r="I147" t="s">
        <v>917</v>
      </c>
      <c r="J147" t="s">
        <v>204</v>
      </c>
      <c r="K147" t="s">
        <v>204</v>
      </c>
      <c r="L147" t="s">
        <v>327</v>
      </c>
      <c r="M147" t="s">
        <v>340</v>
      </c>
      <c r="N147" t="s">
        <v>455</v>
      </c>
      <c r="O147" t="s">
        <v>339</v>
      </c>
      <c r="P147" t="s">
        <v>1212</v>
      </c>
      <c r="Q147" s="131">
        <v>10373</v>
      </c>
      <c r="R147" s="131">
        <v>1</v>
      </c>
      <c r="S147" s="131">
        <f>U147*1000/Q147*100</f>
        <v>6800</v>
      </c>
      <c r="U147" s="131">
        <f>705364/1000</f>
        <v>705.36400000000003</v>
      </c>
      <c r="W147" s="132">
        <f t="shared" si="2"/>
        <v>1.1934720396544521E-2</v>
      </c>
      <c r="X147" s="132">
        <v>3.1059678352762304E-3</v>
      </c>
    </row>
    <row r="148" spans="1:24">
      <c r="A148" t="s">
        <v>1213</v>
      </c>
      <c r="B148" s="4">
        <v>12938</v>
      </c>
      <c r="C148" t="s">
        <v>3227</v>
      </c>
      <c r="D148" t="s">
        <v>3228</v>
      </c>
      <c r="E148" t="s">
        <v>80</v>
      </c>
      <c r="F148" t="s">
        <v>3548</v>
      </c>
      <c r="G148" t="s">
        <v>3549</v>
      </c>
      <c r="H148" t="s">
        <v>321</v>
      </c>
      <c r="I148" t="s">
        <v>917</v>
      </c>
      <c r="J148" t="s">
        <v>205</v>
      </c>
      <c r="K148" t="s">
        <v>301</v>
      </c>
      <c r="L148" t="s">
        <v>325</v>
      </c>
      <c r="M148" t="s">
        <v>344</v>
      </c>
      <c r="N148" t="s">
        <v>548</v>
      </c>
      <c r="O148" t="s">
        <v>339</v>
      </c>
      <c r="P148" t="s">
        <v>1216</v>
      </c>
      <c r="Q148" s="131">
        <v>2000</v>
      </c>
      <c r="R148" s="131">
        <v>3.71</v>
      </c>
      <c r="S148" s="131">
        <v>17367</v>
      </c>
      <c r="T148" s="131">
        <f>0.784+836.4000002/1000/R148</f>
        <v>1.0094447439892185</v>
      </c>
      <c r="U148" s="131">
        <f>1291.54+836.4000002/1000</f>
        <v>1292.3764000002</v>
      </c>
      <c r="V148" s="132">
        <v>0</v>
      </c>
      <c r="W148" s="132">
        <f t="shared" si="2"/>
        <v>2.1866938178153644E-2</v>
      </c>
      <c r="X148" s="132">
        <v>5.6907916047185684E-3</v>
      </c>
    </row>
    <row r="149" spans="1:24">
      <c r="A149" t="s">
        <v>1213</v>
      </c>
      <c r="B149" s="4">
        <v>12938</v>
      </c>
      <c r="C149" t="s">
        <v>3544</v>
      </c>
      <c r="D149" t="s">
        <v>3545</v>
      </c>
      <c r="E149" t="s">
        <v>80</v>
      </c>
      <c r="F149" t="s">
        <v>3546</v>
      </c>
      <c r="G149" t="s">
        <v>3547</v>
      </c>
      <c r="H149" t="s">
        <v>321</v>
      </c>
      <c r="I149" t="s">
        <v>917</v>
      </c>
      <c r="J149" t="s">
        <v>205</v>
      </c>
      <c r="K149" t="s">
        <v>224</v>
      </c>
      <c r="L149" t="s">
        <v>325</v>
      </c>
      <c r="M149" t="s">
        <v>344</v>
      </c>
      <c r="N149" t="s">
        <v>545</v>
      </c>
      <c r="O149" t="s">
        <v>339</v>
      </c>
      <c r="P149" t="s">
        <v>1216</v>
      </c>
      <c r="Q149" s="131">
        <v>1911</v>
      </c>
      <c r="R149" s="131">
        <v>3.71</v>
      </c>
      <c r="S149" s="131">
        <v>16719</v>
      </c>
      <c r="U149" s="131">
        <v>1185.345</v>
      </c>
      <c r="V149" s="132">
        <v>0</v>
      </c>
      <c r="W149" s="132">
        <f t="shared" si="2"/>
        <v>2.0055972729600694E-2</v>
      </c>
      <c r="X149" s="132">
        <v>5.2194943939660983E-3</v>
      </c>
    </row>
    <row r="150" spans="1:24">
      <c r="A150" t="s">
        <v>1213</v>
      </c>
      <c r="B150" s="4">
        <v>12938</v>
      </c>
      <c r="C150" t="s">
        <v>3575</v>
      </c>
      <c r="D150" t="s">
        <v>3576</v>
      </c>
      <c r="E150" t="s">
        <v>80</v>
      </c>
      <c r="F150" t="s">
        <v>3577</v>
      </c>
      <c r="G150" t="s">
        <v>3578</v>
      </c>
      <c r="H150" t="s">
        <v>321</v>
      </c>
      <c r="I150" t="s">
        <v>917</v>
      </c>
      <c r="J150" t="s">
        <v>205</v>
      </c>
      <c r="K150" t="s">
        <v>224</v>
      </c>
      <c r="L150" t="s">
        <v>325</v>
      </c>
      <c r="M150" t="s">
        <v>344</v>
      </c>
      <c r="N150" t="s">
        <v>544</v>
      </c>
      <c r="O150" t="s">
        <v>339</v>
      </c>
      <c r="P150" t="s">
        <v>1216</v>
      </c>
      <c r="Q150" s="131">
        <v>536</v>
      </c>
      <c r="R150" s="131">
        <v>3.71</v>
      </c>
      <c r="S150" s="131">
        <v>34180</v>
      </c>
      <c r="U150" s="131">
        <v>679.69</v>
      </c>
      <c r="V150" s="132">
        <v>0</v>
      </c>
      <c r="W150" s="132">
        <f t="shared" si="2"/>
        <v>1.1500317717274125E-2</v>
      </c>
      <c r="X150" s="132">
        <v>2.9929161085041215E-3</v>
      </c>
    </row>
    <row r="151" spans="1:24">
      <c r="A151" t="s">
        <v>1213</v>
      </c>
      <c r="B151" s="4">
        <v>12938</v>
      </c>
      <c r="C151" t="s">
        <v>3579</v>
      </c>
      <c r="D151" t="s">
        <v>3580</v>
      </c>
      <c r="E151" t="s">
        <v>80</v>
      </c>
      <c r="F151" t="s">
        <v>3581</v>
      </c>
      <c r="G151" t="s">
        <v>3582</v>
      </c>
      <c r="H151" t="s">
        <v>321</v>
      </c>
      <c r="I151" t="s">
        <v>917</v>
      </c>
      <c r="J151" t="s">
        <v>205</v>
      </c>
      <c r="K151" t="s">
        <v>224</v>
      </c>
      <c r="L151" t="s">
        <v>325</v>
      </c>
      <c r="M151" t="s">
        <v>344</v>
      </c>
      <c r="N151" t="s">
        <v>497</v>
      </c>
      <c r="O151" t="s">
        <v>339</v>
      </c>
      <c r="P151" t="s">
        <v>1216</v>
      </c>
      <c r="Q151" s="131">
        <v>1100</v>
      </c>
      <c r="R151" s="131">
        <v>3.71</v>
      </c>
      <c r="S151" s="131">
        <v>15553</v>
      </c>
      <c r="U151" s="131">
        <v>634.71799999999996</v>
      </c>
      <c r="V151" s="132">
        <v>1.0000000000000001E-5</v>
      </c>
      <c r="W151" s="132">
        <f t="shared" si="2"/>
        <v>1.0739393930869656E-2</v>
      </c>
      <c r="X151" s="132">
        <v>2.7948884440811526E-3</v>
      </c>
    </row>
    <row r="152" spans="1:24">
      <c r="A152" t="s">
        <v>1213</v>
      </c>
      <c r="B152" s="4">
        <v>12938</v>
      </c>
      <c r="C152" t="s">
        <v>3583</v>
      </c>
      <c r="D152" t="s">
        <v>3584</v>
      </c>
      <c r="E152" t="s">
        <v>80</v>
      </c>
      <c r="F152" t="s">
        <v>3585</v>
      </c>
      <c r="G152" t="s">
        <v>3586</v>
      </c>
      <c r="H152" t="s">
        <v>321</v>
      </c>
      <c r="I152" t="s">
        <v>917</v>
      </c>
      <c r="J152" t="s">
        <v>205</v>
      </c>
      <c r="K152" t="s">
        <v>204</v>
      </c>
      <c r="L152" t="s">
        <v>325</v>
      </c>
      <c r="M152" t="s">
        <v>314</v>
      </c>
      <c r="N152" t="s">
        <v>530</v>
      </c>
      <c r="O152" t="s">
        <v>339</v>
      </c>
      <c r="P152" t="s">
        <v>1219</v>
      </c>
      <c r="Q152" s="131">
        <v>46115</v>
      </c>
      <c r="R152" s="131">
        <v>4.3964999999999996</v>
      </c>
      <c r="S152" s="131">
        <v>273</v>
      </c>
      <c r="U152" s="131">
        <v>553.49300000000005</v>
      </c>
      <c r="V152" s="132">
        <v>2.81E-3</v>
      </c>
      <c r="W152" s="132">
        <f t="shared" si="2"/>
        <v>9.3650713623669724E-3</v>
      </c>
      <c r="X152" s="132">
        <v>2.437225964254692E-3</v>
      </c>
    </row>
    <row r="153" spans="1:24">
      <c r="A153" t="s">
        <v>1213</v>
      </c>
      <c r="B153" s="4">
        <v>12938</v>
      </c>
      <c r="C153" t="s">
        <v>3550</v>
      </c>
      <c r="D153" t="s">
        <v>3551</v>
      </c>
      <c r="E153" t="s">
        <v>80</v>
      </c>
      <c r="F153" t="s">
        <v>3552</v>
      </c>
      <c r="G153" t="s">
        <v>3553</v>
      </c>
      <c r="H153" t="s">
        <v>321</v>
      </c>
      <c r="I153" t="s">
        <v>917</v>
      </c>
      <c r="J153" t="s">
        <v>205</v>
      </c>
      <c r="K153" t="s">
        <v>224</v>
      </c>
      <c r="L153" t="s">
        <v>325</v>
      </c>
      <c r="M153" t="s">
        <v>344</v>
      </c>
      <c r="N153" t="s">
        <v>544</v>
      </c>
      <c r="O153" t="s">
        <v>339</v>
      </c>
      <c r="P153" t="s">
        <v>1216</v>
      </c>
      <c r="Q153" s="131">
        <v>290</v>
      </c>
      <c r="R153" s="131">
        <v>3.71</v>
      </c>
      <c r="S153" s="131">
        <v>43030</v>
      </c>
      <c r="U153" s="131">
        <v>462.96</v>
      </c>
      <c r="V153" s="132">
        <v>0</v>
      </c>
      <c r="W153" s="132">
        <f t="shared" si="2"/>
        <v>7.833257941692871E-3</v>
      </c>
      <c r="X153" s="132">
        <v>2.0385770595316511E-3</v>
      </c>
    </row>
    <row r="154" spans="1:24">
      <c r="A154" t="s">
        <v>1213</v>
      </c>
      <c r="B154" s="4">
        <v>12938</v>
      </c>
      <c r="C154" t="s">
        <v>3590</v>
      </c>
      <c r="D154" t="s">
        <v>3591</v>
      </c>
      <c r="E154" t="s">
        <v>80</v>
      </c>
      <c r="F154" t="s">
        <v>3590</v>
      </c>
      <c r="G154" t="s">
        <v>3592</v>
      </c>
      <c r="H154" t="s">
        <v>321</v>
      </c>
      <c r="I154" t="s">
        <v>917</v>
      </c>
      <c r="J154" t="s">
        <v>205</v>
      </c>
      <c r="K154" t="s">
        <v>204</v>
      </c>
      <c r="L154" t="s">
        <v>325</v>
      </c>
      <c r="M154" t="s">
        <v>344</v>
      </c>
      <c r="N154" t="s">
        <v>546</v>
      </c>
      <c r="O154" t="s">
        <v>339</v>
      </c>
      <c r="P154" t="s">
        <v>1216</v>
      </c>
      <c r="Q154" s="131">
        <v>4368</v>
      </c>
      <c r="R154" s="131">
        <v>3.71</v>
      </c>
      <c r="S154" s="131">
        <v>2654</v>
      </c>
      <c r="T154" s="131">
        <f>1.282+1694.1500002/1000/R154</f>
        <v>1.7386442049056603</v>
      </c>
      <c r="U154" s="131">
        <f>434.844+1694.1500002/1000</f>
        <v>436.53815000020001</v>
      </c>
      <c r="V154" s="132">
        <v>2.2000000000000001E-4</v>
      </c>
      <c r="W154" s="132">
        <f t="shared" si="2"/>
        <v>7.3862016812272788E-3</v>
      </c>
      <c r="X154" s="132">
        <v>1.9222322840003339E-3</v>
      </c>
    </row>
    <row r="155" spans="1:24">
      <c r="A155" t="s">
        <v>1213</v>
      </c>
      <c r="B155" s="4">
        <v>12938</v>
      </c>
      <c r="C155" t="s">
        <v>3563</v>
      </c>
      <c r="D155" t="s">
        <v>3564</v>
      </c>
      <c r="E155" t="s">
        <v>80</v>
      </c>
      <c r="F155" t="s">
        <v>3565</v>
      </c>
      <c r="G155" t="s">
        <v>3566</v>
      </c>
      <c r="H155" t="s">
        <v>321</v>
      </c>
      <c r="I155" t="s">
        <v>917</v>
      </c>
      <c r="J155" t="s">
        <v>205</v>
      </c>
      <c r="K155" t="s">
        <v>224</v>
      </c>
      <c r="L155" t="s">
        <v>325</v>
      </c>
      <c r="M155" t="s">
        <v>344</v>
      </c>
      <c r="N155" t="s">
        <v>546</v>
      </c>
      <c r="O155" t="s">
        <v>339</v>
      </c>
      <c r="P155" t="s">
        <v>1216</v>
      </c>
      <c r="Q155" s="131">
        <v>497</v>
      </c>
      <c r="R155" s="131">
        <v>3.71</v>
      </c>
      <c r="S155" s="131">
        <v>23300</v>
      </c>
      <c r="U155" s="131">
        <v>429.62200000000001</v>
      </c>
      <c r="V155" s="132">
        <v>0</v>
      </c>
      <c r="W155" s="132">
        <f t="shared" si="2"/>
        <v>7.26918080055723E-3</v>
      </c>
      <c r="X155" s="132">
        <v>1.8917780228747776E-3</v>
      </c>
    </row>
    <row r="156" spans="1:24">
      <c r="A156" t="s">
        <v>1213</v>
      </c>
      <c r="B156" s="4">
        <v>12938</v>
      </c>
      <c r="C156" t="s">
        <v>3567</v>
      </c>
      <c r="D156" t="s">
        <v>3568</v>
      </c>
      <c r="E156" t="s">
        <v>80</v>
      </c>
      <c r="F156" t="s">
        <v>3569</v>
      </c>
      <c r="G156" t="s">
        <v>3570</v>
      </c>
      <c r="H156" t="s">
        <v>321</v>
      </c>
      <c r="I156" t="s">
        <v>917</v>
      </c>
      <c r="J156" t="s">
        <v>205</v>
      </c>
      <c r="K156" t="s">
        <v>224</v>
      </c>
      <c r="L156" t="s">
        <v>325</v>
      </c>
      <c r="M156" t="s">
        <v>344</v>
      </c>
      <c r="N156" t="s">
        <v>536</v>
      </c>
      <c r="O156" t="s">
        <v>339</v>
      </c>
      <c r="P156" t="s">
        <v>1216</v>
      </c>
      <c r="Q156" s="131">
        <v>530</v>
      </c>
      <c r="R156" s="131">
        <v>3.71</v>
      </c>
      <c r="S156" s="131">
        <v>21086</v>
      </c>
      <c r="U156" s="131">
        <v>414.61399999999998</v>
      </c>
      <c r="V156" s="132">
        <v>0</v>
      </c>
      <c r="W156" s="132">
        <f t="shared" si="2"/>
        <v>7.0152462593680845E-3</v>
      </c>
      <c r="X156" s="132">
        <v>1.825692476586867E-3</v>
      </c>
    </row>
    <row r="157" spans="1:24">
      <c r="A157" t="s">
        <v>1213</v>
      </c>
      <c r="B157" s="4">
        <v>12938</v>
      </c>
      <c r="C157" t="s">
        <v>3209</v>
      </c>
      <c r="D157" t="s">
        <v>3210</v>
      </c>
      <c r="E157" t="s">
        <v>80</v>
      </c>
      <c r="F157" t="s">
        <v>3209</v>
      </c>
      <c r="G157" t="s">
        <v>3562</v>
      </c>
      <c r="H157" t="s">
        <v>321</v>
      </c>
      <c r="I157" t="s">
        <v>917</v>
      </c>
      <c r="J157" t="s">
        <v>205</v>
      </c>
      <c r="K157" t="s">
        <v>224</v>
      </c>
      <c r="L157" t="s">
        <v>325</v>
      </c>
      <c r="M157" t="s">
        <v>340</v>
      </c>
      <c r="N157" t="s">
        <v>545</v>
      </c>
      <c r="O157" t="s">
        <v>339</v>
      </c>
      <c r="P157" t="s">
        <v>1216</v>
      </c>
      <c r="Q157" s="131">
        <v>195</v>
      </c>
      <c r="R157" s="131">
        <v>3.71</v>
      </c>
      <c r="S157" s="131">
        <v>57244</v>
      </c>
      <c r="U157" s="131">
        <v>414.13200000000001</v>
      </c>
      <c r="V157" s="132">
        <v>0</v>
      </c>
      <c r="W157" s="132">
        <f t="shared" si="2"/>
        <v>7.0070908456651817E-3</v>
      </c>
      <c r="X157" s="132">
        <v>1.8235700596551791E-3</v>
      </c>
    </row>
    <row r="158" spans="1:24">
      <c r="A158" t="s">
        <v>1213</v>
      </c>
      <c r="B158" s="4">
        <v>12938</v>
      </c>
      <c r="C158" t="s">
        <v>3593</v>
      </c>
      <c r="D158" t="s">
        <v>3594</v>
      </c>
      <c r="E158" t="s">
        <v>80</v>
      </c>
      <c r="F158" t="s">
        <v>3593</v>
      </c>
      <c r="G158" t="s">
        <v>3595</v>
      </c>
      <c r="H158" t="s">
        <v>321</v>
      </c>
      <c r="I158" t="s">
        <v>917</v>
      </c>
      <c r="J158" t="s">
        <v>205</v>
      </c>
      <c r="K158" t="s">
        <v>224</v>
      </c>
      <c r="L158" t="s">
        <v>325</v>
      </c>
      <c r="M158" t="s">
        <v>344</v>
      </c>
      <c r="N158" t="s">
        <v>569</v>
      </c>
      <c r="O158" t="s">
        <v>339</v>
      </c>
      <c r="P158" t="s">
        <v>1216</v>
      </c>
      <c r="Q158" s="131">
        <v>270</v>
      </c>
      <c r="R158" s="131">
        <v>3.71</v>
      </c>
      <c r="S158" s="131">
        <v>39112</v>
      </c>
      <c r="U158" s="131">
        <v>391.78500000000003</v>
      </c>
      <c r="V158" s="132">
        <v>0</v>
      </c>
      <c r="W158" s="132">
        <f t="shared" si="2"/>
        <v>6.6289808248793458E-3</v>
      </c>
      <c r="X158" s="132">
        <v>1.7251682937372732E-3</v>
      </c>
    </row>
    <row r="159" spans="1:24">
      <c r="A159" t="s">
        <v>1213</v>
      </c>
      <c r="B159" s="4">
        <v>12938</v>
      </c>
      <c r="C159" t="s">
        <v>3554</v>
      </c>
      <c r="D159" t="s">
        <v>3555</v>
      </c>
      <c r="E159" t="s">
        <v>80</v>
      </c>
      <c r="F159" t="s">
        <v>3556</v>
      </c>
      <c r="G159" t="s">
        <v>3557</v>
      </c>
      <c r="H159" t="s">
        <v>321</v>
      </c>
      <c r="I159" t="s">
        <v>917</v>
      </c>
      <c r="J159" t="s">
        <v>205</v>
      </c>
      <c r="K159" t="s">
        <v>224</v>
      </c>
      <c r="L159" t="s">
        <v>325</v>
      </c>
      <c r="M159" t="s">
        <v>344</v>
      </c>
      <c r="N159" t="s">
        <v>536</v>
      </c>
      <c r="O159" t="s">
        <v>339</v>
      </c>
      <c r="P159" t="s">
        <v>1216</v>
      </c>
      <c r="Q159" s="131">
        <v>2490</v>
      </c>
      <c r="R159" s="131">
        <v>3.71</v>
      </c>
      <c r="S159" s="131">
        <v>3968</v>
      </c>
      <c r="U159" s="131">
        <v>366.56</v>
      </c>
      <c r="V159" s="132">
        <v>0</v>
      </c>
      <c r="W159" s="132">
        <f t="shared" si="2"/>
        <v>6.202175201112276E-3</v>
      </c>
      <c r="X159" s="132">
        <v>1.61409367319406E-3</v>
      </c>
    </row>
    <row r="160" spans="1:24">
      <c r="A160" t="s">
        <v>1213</v>
      </c>
      <c r="B160" s="4">
        <v>13498</v>
      </c>
      <c r="C160" t="s">
        <v>1573</v>
      </c>
      <c r="D160" t="s">
        <v>1574</v>
      </c>
      <c r="E160" t="s">
        <v>309</v>
      </c>
      <c r="F160" t="s">
        <v>1573</v>
      </c>
      <c r="G160" t="s">
        <v>3404</v>
      </c>
      <c r="H160" t="s">
        <v>321</v>
      </c>
      <c r="I160" t="s">
        <v>917</v>
      </c>
      <c r="J160" t="s">
        <v>204</v>
      </c>
      <c r="K160" t="s">
        <v>204</v>
      </c>
      <c r="L160" t="s">
        <v>325</v>
      </c>
      <c r="M160" t="s">
        <v>340</v>
      </c>
      <c r="N160" t="s">
        <v>448</v>
      </c>
      <c r="O160" t="s">
        <v>339</v>
      </c>
      <c r="P160" t="s">
        <v>1212</v>
      </c>
      <c r="Q160" s="131">
        <v>55000</v>
      </c>
      <c r="R160" s="131">
        <v>1</v>
      </c>
      <c r="S160" s="131">
        <v>3644</v>
      </c>
      <c r="U160" s="131">
        <v>2004.2</v>
      </c>
      <c r="V160" s="132">
        <v>3.0000000000000001E-5</v>
      </c>
      <c r="W160" s="132">
        <f t="shared" si="2"/>
        <v>7.4677114259002905E-2</v>
      </c>
      <c r="X160" s="132">
        <v>2.5153741710792774E-3</v>
      </c>
    </row>
    <row r="161" spans="1:24">
      <c r="A161" t="s">
        <v>1213</v>
      </c>
      <c r="B161" s="4">
        <v>13498</v>
      </c>
      <c r="C161" t="s">
        <v>2089</v>
      </c>
      <c r="D161" t="s">
        <v>2090</v>
      </c>
      <c r="E161" t="s">
        <v>309</v>
      </c>
      <c r="F161" t="s">
        <v>2089</v>
      </c>
      <c r="G161" t="s">
        <v>3405</v>
      </c>
      <c r="H161" t="s">
        <v>321</v>
      </c>
      <c r="I161" t="s">
        <v>917</v>
      </c>
      <c r="J161" t="s">
        <v>204</v>
      </c>
      <c r="K161" t="s">
        <v>204</v>
      </c>
      <c r="L161" t="s">
        <v>325</v>
      </c>
      <c r="M161" t="s">
        <v>340</v>
      </c>
      <c r="N161" t="s">
        <v>467</v>
      </c>
      <c r="O161" t="s">
        <v>339</v>
      </c>
      <c r="P161" t="s">
        <v>1212</v>
      </c>
      <c r="Q161" s="131">
        <v>29208</v>
      </c>
      <c r="R161" s="131">
        <v>1</v>
      </c>
      <c r="S161" s="131">
        <v>6629</v>
      </c>
      <c r="U161" s="131">
        <v>1936.1980000000001</v>
      </c>
      <c r="V161" s="132">
        <v>2.0000000000000002E-5</v>
      </c>
      <c r="W161" s="132">
        <f t="shared" si="2"/>
        <v>7.2143338625912046E-2</v>
      </c>
      <c r="X161" s="132">
        <v>2.4300281605106051E-3</v>
      </c>
    </row>
    <row r="162" spans="1:24">
      <c r="A162" t="s">
        <v>1213</v>
      </c>
      <c r="B162" s="4">
        <v>13498</v>
      </c>
      <c r="C162" t="s">
        <v>1600</v>
      </c>
      <c r="D162" t="s">
        <v>1601</v>
      </c>
      <c r="E162" t="s">
        <v>309</v>
      </c>
      <c r="F162" t="s">
        <v>1600</v>
      </c>
      <c r="G162" t="s">
        <v>3406</v>
      </c>
      <c r="H162" t="s">
        <v>321</v>
      </c>
      <c r="I162" t="s">
        <v>917</v>
      </c>
      <c r="J162" t="s">
        <v>204</v>
      </c>
      <c r="K162" t="s">
        <v>204</v>
      </c>
      <c r="L162" t="s">
        <v>325</v>
      </c>
      <c r="M162" t="s">
        <v>340</v>
      </c>
      <c r="N162" t="s">
        <v>448</v>
      </c>
      <c r="O162" t="s">
        <v>339</v>
      </c>
      <c r="P162" t="s">
        <v>1212</v>
      </c>
      <c r="Q162" s="131">
        <v>49263</v>
      </c>
      <c r="R162" s="131">
        <v>1</v>
      </c>
      <c r="S162" s="131">
        <v>3729</v>
      </c>
      <c r="U162" s="131">
        <v>1837.0170000000001</v>
      </c>
      <c r="V162" s="132">
        <v>4.0000000000000003E-5</v>
      </c>
      <c r="W162" s="132">
        <f t="shared" si="2"/>
        <v>6.8447823772443239E-2</v>
      </c>
      <c r="X162" s="132">
        <v>2.3055508999269242E-3</v>
      </c>
    </row>
    <row r="163" spans="1:24">
      <c r="A163" t="s">
        <v>1213</v>
      </c>
      <c r="B163" s="4">
        <v>13498</v>
      </c>
      <c r="C163" t="s">
        <v>3113</v>
      </c>
      <c r="D163" t="s">
        <v>3114</v>
      </c>
      <c r="E163" t="s">
        <v>309</v>
      </c>
      <c r="F163" t="s">
        <v>3113</v>
      </c>
      <c r="G163" t="s">
        <v>3413</v>
      </c>
      <c r="H163" t="s">
        <v>321</v>
      </c>
      <c r="I163" t="s">
        <v>917</v>
      </c>
      <c r="J163" t="s">
        <v>204</v>
      </c>
      <c r="K163" t="s">
        <v>204</v>
      </c>
      <c r="L163" t="s">
        <v>325</v>
      </c>
      <c r="M163" t="s">
        <v>340</v>
      </c>
      <c r="N163" t="s">
        <v>448</v>
      </c>
      <c r="O163" t="s">
        <v>339</v>
      </c>
      <c r="P163" t="s">
        <v>1212</v>
      </c>
      <c r="Q163" s="131">
        <v>70685</v>
      </c>
      <c r="R163" s="131">
        <v>1</v>
      </c>
      <c r="S163" s="131">
        <v>2085</v>
      </c>
      <c r="U163" s="131">
        <v>1473.7819999999999</v>
      </c>
      <c r="V163" s="132">
        <v>6.0000000000000002E-5</v>
      </c>
      <c r="W163" s="132">
        <f t="shared" si="2"/>
        <v>5.4913574896148995E-2</v>
      </c>
      <c r="X163" s="132">
        <v>1.8496722765200875E-3</v>
      </c>
    </row>
    <row r="164" spans="1:24">
      <c r="A164" t="s">
        <v>1213</v>
      </c>
      <c r="B164" s="4">
        <v>13498</v>
      </c>
      <c r="C164" t="s">
        <v>3415</v>
      </c>
      <c r="D164" t="s">
        <v>3416</v>
      </c>
      <c r="E164" t="s">
        <v>309</v>
      </c>
      <c r="F164" t="s">
        <v>3415</v>
      </c>
      <c r="G164" t="s">
        <v>3417</v>
      </c>
      <c r="H164" t="s">
        <v>321</v>
      </c>
      <c r="I164" t="s">
        <v>917</v>
      </c>
      <c r="J164" t="s">
        <v>204</v>
      </c>
      <c r="K164" t="s">
        <v>204</v>
      </c>
      <c r="L164" t="s">
        <v>325</v>
      </c>
      <c r="M164" t="s">
        <v>340</v>
      </c>
      <c r="N164" t="s">
        <v>458</v>
      </c>
      <c r="O164" t="s">
        <v>339</v>
      </c>
      <c r="P164" t="s">
        <v>1212</v>
      </c>
      <c r="Q164" s="131">
        <v>1751</v>
      </c>
      <c r="R164" s="131">
        <v>1</v>
      </c>
      <c r="S164" s="131">
        <v>77890</v>
      </c>
      <c r="U164" s="131">
        <v>1363.854</v>
      </c>
      <c r="V164" s="132">
        <v>6.0000000000000002E-5</v>
      </c>
      <c r="W164" s="132">
        <f t="shared" si="2"/>
        <v>5.0817623485978521E-2</v>
      </c>
      <c r="X164" s="132">
        <v>1.7117069777083907E-3</v>
      </c>
    </row>
    <row r="165" spans="1:24">
      <c r="A165" t="s">
        <v>1213</v>
      </c>
      <c r="B165" s="4">
        <v>13498</v>
      </c>
      <c r="C165" t="s">
        <v>1881</v>
      </c>
      <c r="D165" t="s">
        <v>1882</v>
      </c>
      <c r="E165" t="s">
        <v>309</v>
      </c>
      <c r="F165" t="s">
        <v>3407</v>
      </c>
      <c r="G165" t="s">
        <v>3408</v>
      </c>
      <c r="H165" t="s">
        <v>321</v>
      </c>
      <c r="I165" t="s">
        <v>917</v>
      </c>
      <c r="J165" t="s">
        <v>204</v>
      </c>
      <c r="K165" t="s">
        <v>204</v>
      </c>
      <c r="L165" t="s">
        <v>325</v>
      </c>
      <c r="M165" t="s">
        <v>340</v>
      </c>
      <c r="N165" t="s">
        <v>448</v>
      </c>
      <c r="O165" t="s">
        <v>339</v>
      </c>
      <c r="P165" t="s">
        <v>1212</v>
      </c>
      <c r="Q165" s="131">
        <v>9051</v>
      </c>
      <c r="R165" s="131">
        <v>1</v>
      </c>
      <c r="S165" s="131">
        <v>14550</v>
      </c>
      <c r="U165" s="131">
        <v>1316.921</v>
      </c>
      <c r="V165" s="132">
        <v>4.0000000000000003E-5</v>
      </c>
      <c r="W165" s="132">
        <f t="shared" si="2"/>
        <v>4.9068885334338071E-2</v>
      </c>
      <c r="X165" s="132">
        <v>1.6528036467178392E-3</v>
      </c>
    </row>
    <row r="166" spans="1:24">
      <c r="A166" t="s">
        <v>1213</v>
      </c>
      <c r="B166" s="4">
        <v>13498</v>
      </c>
      <c r="C166" t="s">
        <v>2361</v>
      </c>
      <c r="D166" t="s">
        <v>2362</v>
      </c>
      <c r="E166" t="s">
        <v>309</v>
      </c>
      <c r="F166" t="s">
        <v>2361</v>
      </c>
      <c r="G166" t="s">
        <v>3440</v>
      </c>
      <c r="H166" t="s">
        <v>321</v>
      </c>
      <c r="I166" t="s">
        <v>917</v>
      </c>
      <c r="J166" t="s">
        <v>204</v>
      </c>
      <c r="K166" t="s">
        <v>204</v>
      </c>
      <c r="L166" t="s">
        <v>325</v>
      </c>
      <c r="M166" t="s">
        <v>340</v>
      </c>
      <c r="N166" t="s">
        <v>446</v>
      </c>
      <c r="O166" t="s">
        <v>339</v>
      </c>
      <c r="P166" t="s">
        <v>1212</v>
      </c>
      <c r="Q166" s="131">
        <v>1746</v>
      </c>
      <c r="R166" s="131">
        <v>1</v>
      </c>
      <c r="S166" s="131">
        <v>74080</v>
      </c>
      <c r="U166" s="131">
        <v>1293.4369999999999</v>
      </c>
      <c r="V166" s="132">
        <v>4.0000000000000003E-5</v>
      </c>
      <c r="W166" s="132">
        <f t="shared" si="2"/>
        <v>4.819386420308449E-2</v>
      </c>
      <c r="X166" s="132">
        <v>1.623330017821708E-3</v>
      </c>
    </row>
    <row r="167" spans="1:24">
      <c r="A167" t="s">
        <v>1213</v>
      </c>
      <c r="B167" s="4">
        <v>13498</v>
      </c>
      <c r="C167" t="s">
        <v>3410</v>
      </c>
      <c r="D167" t="s">
        <v>3411</v>
      </c>
      <c r="E167" t="s">
        <v>309</v>
      </c>
      <c r="F167" t="s">
        <v>3410</v>
      </c>
      <c r="G167" t="s">
        <v>3412</v>
      </c>
      <c r="H167" t="s">
        <v>321</v>
      </c>
      <c r="I167" t="s">
        <v>917</v>
      </c>
      <c r="J167" t="s">
        <v>204</v>
      </c>
      <c r="K167" t="s">
        <v>204</v>
      </c>
      <c r="L167" t="s">
        <v>325</v>
      </c>
      <c r="M167" t="s">
        <v>340</v>
      </c>
      <c r="N167" t="s">
        <v>480</v>
      </c>
      <c r="O167" t="s">
        <v>339</v>
      </c>
      <c r="P167" t="s">
        <v>1212</v>
      </c>
      <c r="Q167" s="131">
        <v>1957</v>
      </c>
      <c r="R167" s="131">
        <v>1</v>
      </c>
      <c r="S167" s="131">
        <v>64880</v>
      </c>
      <c r="U167" s="131">
        <v>1269.702</v>
      </c>
      <c r="V167" s="132">
        <v>3.0000000000000001E-5</v>
      </c>
      <c r="W167" s="132">
        <f t="shared" si="2"/>
        <v>4.7309490733901061E-2</v>
      </c>
      <c r="X167" s="132">
        <v>1.5935413710047404E-3</v>
      </c>
    </row>
    <row r="168" spans="1:24">
      <c r="A168" t="s">
        <v>1213</v>
      </c>
      <c r="B168" s="4">
        <v>13498</v>
      </c>
      <c r="C168" t="s">
        <v>3423</v>
      </c>
      <c r="D168" t="s">
        <v>3424</v>
      </c>
      <c r="E168" t="s">
        <v>309</v>
      </c>
      <c r="F168" t="s">
        <v>3423</v>
      </c>
      <c r="G168" t="s">
        <v>3425</v>
      </c>
      <c r="H168" t="s">
        <v>321</v>
      </c>
      <c r="I168" t="s">
        <v>917</v>
      </c>
      <c r="J168" t="s">
        <v>204</v>
      </c>
      <c r="K168" t="s">
        <v>204</v>
      </c>
      <c r="L168" t="s">
        <v>325</v>
      </c>
      <c r="M168" t="s">
        <v>340</v>
      </c>
      <c r="N168" t="s">
        <v>458</v>
      </c>
      <c r="O168" t="s">
        <v>339</v>
      </c>
      <c r="P168" t="s">
        <v>1212</v>
      </c>
      <c r="Q168" s="131">
        <v>7564</v>
      </c>
      <c r="R168" s="131">
        <v>1</v>
      </c>
      <c r="S168" s="131">
        <v>16470</v>
      </c>
      <c r="U168" s="131">
        <v>1245.7909999999999</v>
      </c>
      <c r="V168" s="132">
        <v>6.9999999999999994E-5</v>
      </c>
      <c r="W168" s="132">
        <f t="shared" si="2"/>
        <v>4.6418559450073588E-2</v>
      </c>
      <c r="X168" s="132">
        <v>1.5635318351277436E-3</v>
      </c>
    </row>
    <row r="169" spans="1:24">
      <c r="A169" t="s">
        <v>1213</v>
      </c>
      <c r="B169" s="4">
        <v>13498</v>
      </c>
      <c r="C169" t="s">
        <v>1986</v>
      </c>
      <c r="D169" t="s">
        <v>1987</v>
      </c>
      <c r="E169" t="s">
        <v>309</v>
      </c>
      <c r="F169" t="s">
        <v>1986</v>
      </c>
      <c r="G169" t="s">
        <v>3445</v>
      </c>
      <c r="H169" t="s">
        <v>321</v>
      </c>
      <c r="I169" t="s">
        <v>917</v>
      </c>
      <c r="J169" t="s">
        <v>204</v>
      </c>
      <c r="K169" t="s">
        <v>204</v>
      </c>
      <c r="L169" t="s">
        <v>325</v>
      </c>
      <c r="M169" t="s">
        <v>340</v>
      </c>
      <c r="N169" t="s">
        <v>484</v>
      </c>
      <c r="O169" t="s">
        <v>339</v>
      </c>
      <c r="P169" t="s">
        <v>1212</v>
      </c>
      <c r="Q169" s="131">
        <v>223414</v>
      </c>
      <c r="R169" s="131">
        <v>1</v>
      </c>
      <c r="S169" s="131">
        <v>428.6</v>
      </c>
      <c r="T169" s="131">
        <v>32.85</v>
      </c>
      <c r="U169" s="131">
        <v>990.40300000000002</v>
      </c>
      <c r="V169" s="132">
        <v>8.0000000000000007E-5</v>
      </c>
      <c r="W169" s="132">
        <f t="shared" si="2"/>
        <v>3.6902723277846147E-2</v>
      </c>
      <c r="X169" s="132">
        <v>1.2430067484080578E-3</v>
      </c>
    </row>
    <row r="170" spans="1:24">
      <c r="A170" t="s">
        <v>1213</v>
      </c>
      <c r="B170" s="4">
        <v>13498</v>
      </c>
      <c r="C170" t="s">
        <v>2348</v>
      </c>
      <c r="D170" t="s">
        <v>2349</v>
      </c>
      <c r="E170" t="s">
        <v>309</v>
      </c>
      <c r="F170" t="s">
        <v>2348</v>
      </c>
      <c r="G170" t="s">
        <v>3446</v>
      </c>
      <c r="H170" t="s">
        <v>321</v>
      </c>
      <c r="I170" t="s">
        <v>917</v>
      </c>
      <c r="J170" t="s">
        <v>204</v>
      </c>
      <c r="K170" t="s">
        <v>204</v>
      </c>
      <c r="L170" t="s">
        <v>325</v>
      </c>
      <c r="M170" t="s">
        <v>340</v>
      </c>
      <c r="N170" t="s">
        <v>456</v>
      </c>
      <c r="O170" t="s">
        <v>339</v>
      </c>
      <c r="P170" t="s">
        <v>1212</v>
      </c>
      <c r="Q170" s="131">
        <v>53220</v>
      </c>
      <c r="R170" s="131">
        <v>1</v>
      </c>
      <c r="S170" s="131">
        <v>1588</v>
      </c>
      <c r="U170" s="131">
        <v>845.13400000000001</v>
      </c>
      <c r="V170" s="132">
        <v>4.0000000000000003E-5</v>
      </c>
      <c r="W170" s="132">
        <f t="shared" si="2"/>
        <v>3.1489955235090392E-2</v>
      </c>
      <c r="X170" s="132">
        <v>1.0606866753322592E-3</v>
      </c>
    </row>
    <row r="171" spans="1:24">
      <c r="A171" t="s">
        <v>1213</v>
      </c>
      <c r="B171" s="4">
        <v>13498</v>
      </c>
      <c r="C171" t="s">
        <v>3125</v>
      </c>
      <c r="D171" t="s">
        <v>3126</v>
      </c>
      <c r="E171" t="s">
        <v>309</v>
      </c>
      <c r="F171" t="s">
        <v>3125</v>
      </c>
      <c r="G171" t="s">
        <v>3489</v>
      </c>
      <c r="H171" t="s">
        <v>321</v>
      </c>
      <c r="I171" t="s">
        <v>917</v>
      </c>
      <c r="J171" t="s">
        <v>204</v>
      </c>
      <c r="K171" t="s">
        <v>204</v>
      </c>
      <c r="L171" t="s">
        <v>325</v>
      </c>
      <c r="M171" t="s">
        <v>340</v>
      </c>
      <c r="N171" t="s">
        <v>441</v>
      </c>
      <c r="O171" t="s">
        <v>339</v>
      </c>
      <c r="P171" t="s">
        <v>1212</v>
      </c>
      <c r="Q171" s="131">
        <v>2910</v>
      </c>
      <c r="R171" s="131">
        <v>1</v>
      </c>
      <c r="S171" s="131">
        <v>28560</v>
      </c>
      <c r="U171" s="131">
        <v>831.096</v>
      </c>
      <c r="V171" s="132">
        <v>5.0000000000000002E-5</v>
      </c>
      <c r="W171" s="132">
        <f t="shared" si="2"/>
        <v>3.0966894996607264E-2</v>
      </c>
      <c r="X171" s="132">
        <v>1.0430682626919984E-3</v>
      </c>
    </row>
    <row r="172" spans="1:24">
      <c r="A172" t="s">
        <v>1213</v>
      </c>
      <c r="B172" s="4">
        <v>13498</v>
      </c>
      <c r="C172" t="s">
        <v>3451</v>
      </c>
      <c r="D172" t="s">
        <v>3452</v>
      </c>
      <c r="E172" t="s">
        <v>309</v>
      </c>
      <c r="F172" t="s">
        <v>3453</v>
      </c>
      <c r="G172" t="s">
        <v>3454</v>
      </c>
      <c r="H172" t="s">
        <v>321</v>
      </c>
      <c r="I172" t="s">
        <v>917</v>
      </c>
      <c r="J172" t="s">
        <v>204</v>
      </c>
      <c r="K172" t="s">
        <v>204</v>
      </c>
      <c r="L172" t="s">
        <v>325</v>
      </c>
      <c r="M172" t="s">
        <v>340</v>
      </c>
      <c r="N172" t="s">
        <v>448</v>
      </c>
      <c r="O172" t="s">
        <v>339</v>
      </c>
      <c r="P172" t="s">
        <v>1212</v>
      </c>
      <c r="Q172" s="131">
        <v>4759</v>
      </c>
      <c r="R172" s="131">
        <v>1</v>
      </c>
      <c r="S172" s="131">
        <v>15410</v>
      </c>
      <c r="U172" s="131">
        <v>733.36199999999997</v>
      </c>
      <c r="V172" s="132">
        <v>5.0000000000000002E-5</v>
      </c>
      <c r="W172" s="132">
        <f t="shared" si="2"/>
        <v>2.7325295812399404E-2</v>
      </c>
      <c r="X172" s="132">
        <v>9.2040706159616853E-4</v>
      </c>
    </row>
    <row r="173" spans="1:24">
      <c r="A173" t="s">
        <v>1213</v>
      </c>
      <c r="B173" s="4">
        <v>13498</v>
      </c>
      <c r="C173" t="s">
        <v>1807</v>
      </c>
      <c r="D173" t="s">
        <v>1808</v>
      </c>
      <c r="E173" t="s">
        <v>309</v>
      </c>
      <c r="F173" t="s">
        <v>1807</v>
      </c>
      <c r="G173" t="s">
        <v>3409</v>
      </c>
      <c r="H173" t="s">
        <v>321</v>
      </c>
      <c r="I173" t="s">
        <v>917</v>
      </c>
      <c r="J173" t="s">
        <v>204</v>
      </c>
      <c r="K173" t="s">
        <v>204</v>
      </c>
      <c r="L173" t="s">
        <v>325</v>
      </c>
      <c r="M173" t="s">
        <v>340</v>
      </c>
      <c r="N173" t="s">
        <v>464</v>
      </c>
      <c r="O173" t="s">
        <v>339</v>
      </c>
      <c r="P173" t="s">
        <v>1212</v>
      </c>
      <c r="Q173" s="131">
        <v>2525</v>
      </c>
      <c r="R173" s="131">
        <v>1</v>
      </c>
      <c r="S173" s="131">
        <v>25940</v>
      </c>
      <c r="U173" s="131">
        <v>654.98500000000001</v>
      </c>
      <c r="V173" s="132">
        <v>2.0000000000000002E-5</v>
      </c>
      <c r="W173" s="132">
        <f t="shared" si="2"/>
        <v>2.440494445810449E-2</v>
      </c>
      <c r="X173" s="132">
        <v>8.2203989194908718E-4</v>
      </c>
    </row>
    <row r="174" spans="1:24">
      <c r="A174" t="s">
        <v>1213</v>
      </c>
      <c r="B174" s="4">
        <v>13498</v>
      </c>
      <c r="C174" t="s">
        <v>2436</v>
      </c>
      <c r="D174" t="s">
        <v>2437</v>
      </c>
      <c r="E174" t="s">
        <v>309</v>
      </c>
      <c r="F174" t="s">
        <v>2436</v>
      </c>
      <c r="G174" t="s">
        <v>3426</v>
      </c>
      <c r="H174" t="s">
        <v>321</v>
      </c>
      <c r="I174" t="s">
        <v>917</v>
      </c>
      <c r="J174" t="s">
        <v>204</v>
      </c>
      <c r="K174" t="s">
        <v>204</v>
      </c>
      <c r="L174" t="s">
        <v>325</v>
      </c>
      <c r="M174" t="s">
        <v>340</v>
      </c>
      <c r="N174" t="s">
        <v>475</v>
      </c>
      <c r="O174" t="s">
        <v>339</v>
      </c>
      <c r="P174" t="s">
        <v>1212</v>
      </c>
      <c r="Q174" s="131">
        <v>19768</v>
      </c>
      <c r="R174" s="131">
        <v>1</v>
      </c>
      <c r="S174" s="131">
        <v>3310</v>
      </c>
      <c r="U174" s="131">
        <v>654.32100000000003</v>
      </c>
      <c r="V174" s="132">
        <v>6.9999999999999994E-5</v>
      </c>
      <c r="W174" s="132">
        <f t="shared" si="2"/>
        <v>2.438020361194743E-2</v>
      </c>
      <c r="X174" s="132">
        <v>8.2120653776806901E-4</v>
      </c>
    </row>
    <row r="175" spans="1:24">
      <c r="A175" t="s">
        <v>1213</v>
      </c>
      <c r="B175" s="4">
        <v>13498</v>
      </c>
      <c r="C175" t="s">
        <v>1674</v>
      </c>
      <c r="D175" t="s">
        <v>1675</v>
      </c>
      <c r="E175" t="s">
        <v>309</v>
      </c>
      <c r="F175" t="s">
        <v>1674</v>
      </c>
      <c r="G175" t="s">
        <v>3464</v>
      </c>
      <c r="H175" t="s">
        <v>321</v>
      </c>
      <c r="I175" t="s">
        <v>917</v>
      </c>
      <c r="J175" t="s">
        <v>204</v>
      </c>
      <c r="K175" t="s">
        <v>204</v>
      </c>
      <c r="L175" t="s">
        <v>325</v>
      </c>
      <c r="M175" t="s">
        <v>340</v>
      </c>
      <c r="N175" t="s">
        <v>464</v>
      </c>
      <c r="O175" t="s">
        <v>339</v>
      </c>
      <c r="P175" t="s">
        <v>1212</v>
      </c>
      <c r="Q175" s="131">
        <v>1175</v>
      </c>
      <c r="R175" s="131">
        <v>1</v>
      </c>
      <c r="S175" s="131">
        <v>41490</v>
      </c>
      <c r="U175" s="131">
        <v>487.50799999999998</v>
      </c>
      <c r="V175" s="132">
        <v>5.0000000000000002E-5</v>
      </c>
      <c r="W175" s="132">
        <f t="shared" si="2"/>
        <v>1.8164699440264439E-2</v>
      </c>
      <c r="X175" s="132">
        <v>6.1184763566236714E-4</v>
      </c>
    </row>
    <row r="176" spans="1:24">
      <c r="A176" t="s">
        <v>1213</v>
      </c>
      <c r="B176" s="4">
        <v>13498</v>
      </c>
      <c r="C176" t="s">
        <v>1861</v>
      </c>
      <c r="D176" t="s">
        <v>1862</v>
      </c>
      <c r="E176" t="s">
        <v>309</v>
      </c>
      <c r="F176" t="s">
        <v>1861</v>
      </c>
      <c r="G176" t="s">
        <v>3460</v>
      </c>
      <c r="H176" t="s">
        <v>321</v>
      </c>
      <c r="I176" t="s">
        <v>917</v>
      </c>
      <c r="J176" t="s">
        <v>204</v>
      </c>
      <c r="K176" t="s">
        <v>204</v>
      </c>
      <c r="L176" t="s">
        <v>325</v>
      </c>
      <c r="M176" t="s">
        <v>340</v>
      </c>
      <c r="N176" t="s">
        <v>464</v>
      </c>
      <c r="O176" t="s">
        <v>339</v>
      </c>
      <c r="P176" t="s">
        <v>1212</v>
      </c>
      <c r="Q176" s="131">
        <v>1600</v>
      </c>
      <c r="R176" s="131">
        <v>1</v>
      </c>
      <c r="S176" s="131">
        <v>28210</v>
      </c>
      <c r="U176" s="131">
        <v>451.36</v>
      </c>
      <c r="V176" s="132">
        <v>3.0000000000000001E-5</v>
      </c>
      <c r="W176" s="132">
        <f t="shared" si="2"/>
        <v>1.6817813737123814E-2</v>
      </c>
      <c r="X176" s="132">
        <v>5.6648003485597375E-4</v>
      </c>
    </row>
    <row r="177" spans="1:24">
      <c r="A177" t="s">
        <v>1213</v>
      </c>
      <c r="B177" s="4">
        <v>13498</v>
      </c>
      <c r="C177" t="s">
        <v>1973</v>
      </c>
      <c r="D177" t="s">
        <v>1974</v>
      </c>
      <c r="E177" t="s">
        <v>309</v>
      </c>
      <c r="F177" t="s">
        <v>3512</v>
      </c>
      <c r="G177" t="s">
        <v>3513</v>
      </c>
      <c r="H177" t="s">
        <v>321</v>
      </c>
      <c r="I177" t="s">
        <v>917</v>
      </c>
      <c r="J177" t="s">
        <v>204</v>
      </c>
      <c r="K177" t="s">
        <v>204</v>
      </c>
      <c r="L177" t="s">
        <v>325</v>
      </c>
      <c r="M177" t="s">
        <v>340</v>
      </c>
      <c r="N177" t="s">
        <v>464</v>
      </c>
      <c r="O177" t="s">
        <v>339</v>
      </c>
      <c r="P177" t="s">
        <v>1212</v>
      </c>
      <c r="Q177" s="131">
        <v>40428</v>
      </c>
      <c r="R177" s="131">
        <v>1</v>
      </c>
      <c r="S177" s="131">
        <v>954</v>
      </c>
      <c r="U177" s="131">
        <v>385.68299999999999</v>
      </c>
      <c r="V177" s="132">
        <v>5.0000000000000002E-5</v>
      </c>
      <c r="W177" s="132">
        <f t="shared" si="2"/>
        <v>1.4370668325893133E-2</v>
      </c>
      <c r="X177" s="132">
        <v>4.8405201897234253E-4</v>
      </c>
    </row>
    <row r="178" spans="1:24">
      <c r="A178" t="s">
        <v>1213</v>
      </c>
      <c r="B178" s="4">
        <v>13498</v>
      </c>
      <c r="C178" t="s">
        <v>3469</v>
      </c>
      <c r="D178" t="s">
        <v>3470</v>
      </c>
      <c r="E178" t="s">
        <v>309</v>
      </c>
      <c r="F178" t="s">
        <v>3471</v>
      </c>
      <c r="G178" t="s">
        <v>3472</v>
      </c>
      <c r="H178" t="s">
        <v>321</v>
      </c>
      <c r="I178" t="s">
        <v>917</v>
      </c>
      <c r="J178" t="s">
        <v>204</v>
      </c>
      <c r="K178" t="s">
        <v>204</v>
      </c>
      <c r="L178" t="s">
        <v>325</v>
      </c>
      <c r="M178" t="s">
        <v>340</v>
      </c>
      <c r="N178" t="s">
        <v>454</v>
      </c>
      <c r="O178" t="s">
        <v>339</v>
      </c>
      <c r="P178" t="s">
        <v>1212</v>
      </c>
      <c r="Q178" s="131">
        <v>36437</v>
      </c>
      <c r="R178" s="131">
        <v>1</v>
      </c>
      <c r="S178" s="131">
        <v>1025</v>
      </c>
      <c r="U178" s="131">
        <v>373.47899999999998</v>
      </c>
      <c r="V178" s="132">
        <v>3.0000000000000001E-5</v>
      </c>
      <c r="W178" s="132">
        <f t="shared" si="2"/>
        <v>1.3915943496825739E-2</v>
      </c>
      <c r="X178" s="132">
        <v>4.6873537074170114E-4</v>
      </c>
    </row>
    <row r="179" spans="1:24">
      <c r="A179" t="s">
        <v>1213</v>
      </c>
      <c r="B179" s="4">
        <v>13498</v>
      </c>
      <c r="C179" t="s">
        <v>3433</v>
      </c>
      <c r="D179" t="s">
        <v>3434</v>
      </c>
      <c r="E179" t="s">
        <v>309</v>
      </c>
      <c r="F179" t="s">
        <v>3433</v>
      </c>
      <c r="G179" t="s">
        <v>3435</v>
      </c>
      <c r="H179" t="s">
        <v>321</v>
      </c>
      <c r="I179" t="s">
        <v>917</v>
      </c>
      <c r="J179" t="s">
        <v>204</v>
      </c>
      <c r="K179" t="s">
        <v>204</v>
      </c>
      <c r="L179" t="s">
        <v>325</v>
      </c>
      <c r="M179" t="s">
        <v>340</v>
      </c>
      <c r="N179" t="s">
        <v>458</v>
      </c>
      <c r="O179" t="s">
        <v>339</v>
      </c>
      <c r="P179" t="s">
        <v>1212</v>
      </c>
      <c r="Q179" s="131">
        <v>1217</v>
      </c>
      <c r="R179" s="131">
        <v>1</v>
      </c>
      <c r="S179" s="131">
        <v>29980</v>
      </c>
      <c r="U179" s="131">
        <v>364.85700000000003</v>
      </c>
      <c r="V179" s="132">
        <v>3.0000000000000001E-5</v>
      </c>
      <c r="W179" s="132">
        <f t="shared" si="2"/>
        <v>1.3594685099888745E-2</v>
      </c>
      <c r="X179" s="132">
        <v>4.5791431690323919E-4</v>
      </c>
    </row>
    <row r="180" spans="1:24">
      <c r="A180" t="s">
        <v>1213</v>
      </c>
      <c r="B180" s="4">
        <v>13498</v>
      </c>
      <c r="C180" t="s">
        <v>2203</v>
      </c>
      <c r="D180" t="s">
        <v>2204</v>
      </c>
      <c r="E180" t="s">
        <v>309</v>
      </c>
      <c r="F180" t="s">
        <v>3606</v>
      </c>
      <c r="G180" t="s">
        <v>3607</v>
      </c>
      <c r="H180" t="s">
        <v>321</v>
      </c>
      <c r="I180" t="s">
        <v>917</v>
      </c>
      <c r="J180" t="s">
        <v>204</v>
      </c>
      <c r="K180" t="s">
        <v>204</v>
      </c>
      <c r="L180" t="s">
        <v>325</v>
      </c>
      <c r="M180" t="s">
        <v>340</v>
      </c>
      <c r="N180" t="s">
        <v>459</v>
      </c>
      <c r="O180" t="s">
        <v>339</v>
      </c>
      <c r="P180" t="s">
        <v>1212</v>
      </c>
      <c r="Q180" s="131">
        <v>6000</v>
      </c>
      <c r="R180" s="131">
        <v>1</v>
      </c>
      <c r="S180" s="131">
        <v>5930</v>
      </c>
      <c r="U180" s="131">
        <v>355.8</v>
      </c>
      <c r="V180" s="132">
        <v>5.0000000000000002E-5</v>
      </c>
      <c r="W180" s="132">
        <f t="shared" si="2"/>
        <v>1.3257218467894039E-2</v>
      </c>
      <c r="X180" s="132">
        <v>4.4654731567209208E-4</v>
      </c>
    </row>
    <row r="181" spans="1:24">
      <c r="A181" t="s">
        <v>1213</v>
      </c>
      <c r="B181" s="4">
        <v>13498</v>
      </c>
      <c r="C181" t="s">
        <v>1620</v>
      </c>
      <c r="D181" t="s">
        <v>1621</v>
      </c>
      <c r="E181" t="s">
        <v>309</v>
      </c>
      <c r="F181" t="s">
        <v>1620</v>
      </c>
      <c r="G181" t="s">
        <v>3608</v>
      </c>
      <c r="H181" t="s">
        <v>321</v>
      </c>
      <c r="I181" t="s">
        <v>917</v>
      </c>
      <c r="J181" t="s">
        <v>204</v>
      </c>
      <c r="K181" t="s">
        <v>204</v>
      </c>
      <c r="L181" t="s">
        <v>325</v>
      </c>
      <c r="M181" t="s">
        <v>340</v>
      </c>
      <c r="N181" t="s">
        <v>447</v>
      </c>
      <c r="O181" t="s">
        <v>339</v>
      </c>
      <c r="P181" t="s">
        <v>1212</v>
      </c>
      <c r="Q181" s="131">
        <v>12800</v>
      </c>
      <c r="R181" s="131">
        <v>1</v>
      </c>
      <c r="S181" s="131">
        <v>2761</v>
      </c>
      <c r="U181" s="131">
        <v>353.40800000000002</v>
      </c>
      <c r="V181" s="132">
        <v>1.7000000000000001E-4</v>
      </c>
      <c r="W181" s="132">
        <f t="shared" si="2"/>
        <v>1.3168091805231864E-2</v>
      </c>
      <c r="X181" s="132">
        <v>4.4354523253806269E-4</v>
      </c>
    </row>
    <row r="182" spans="1:24">
      <c r="A182" t="s">
        <v>1213</v>
      </c>
      <c r="B182" s="4">
        <v>13498</v>
      </c>
      <c r="C182" t="s">
        <v>2228</v>
      </c>
      <c r="D182" t="s">
        <v>2229</v>
      </c>
      <c r="E182" t="s">
        <v>309</v>
      </c>
      <c r="F182" t="s">
        <v>2228</v>
      </c>
      <c r="G182" t="s">
        <v>3439</v>
      </c>
      <c r="H182" t="s">
        <v>321</v>
      </c>
      <c r="I182" t="s">
        <v>917</v>
      </c>
      <c r="J182" t="s">
        <v>204</v>
      </c>
      <c r="K182" t="s">
        <v>204</v>
      </c>
      <c r="L182" t="s">
        <v>325</v>
      </c>
      <c r="M182" t="s">
        <v>340</v>
      </c>
      <c r="N182" t="s">
        <v>441</v>
      </c>
      <c r="O182" t="s">
        <v>339</v>
      </c>
      <c r="P182" t="s">
        <v>1212</v>
      </c>
      <c r="Q182" s="131">
        <v>5483.1</v>
      </c>
      <c r="R182" s="131">
        <v>1</v>
      </c>
      <c r="S182" s="131">
        <v>6254</v>
      </c>
      <c r="U182" s="131">
        <v>342.91300000000001</v>
      </c>
      <c r="V182" s="132">
        <v>5.0000000000000002E-5</v>
      </c>
      <c r="W182" s="132">
        <f t="shared" si="2"/>
        <v>1.2777044846770514E-2</v>
      </c>
      <c r="X182" s="132">
        <v>4.303734672823612E-4</v>
      </c>
    </row>
    <row r="183" spans="1:24">
      <c r="A183" t="s">
        <v>1213</v>
      </c>
      <c r="B183" s="4">
        <v>13498</v>
      </c>
      <c r="C183" t="s">
        <v>2178</v>
      </c>
      <c r="D183" t="s">
        <v>2179</v>
      </c>
      <c r="E183" t="s">
        <v>309</v>
      </c>
      <c r="F183" t="s">
        <v>2178</v>
      </c>
      <c r="G183" t="s">
        <v>3609</v>
      </c>
      <c r="H183" t="s">
        <v>321</v>
      </c>
      <c r="I183" t="s">
        <v>917</v>
      </c>
      <c r="J183" t="s">
        <v>204</v>
      </c>
      <c r="K183" t="s">
        <v>204</v>
      </c>
      <c r="L183" t="s">
        <v>325</v>
      </c>
      <c r="M183" t="s">
        <v>340</v>
      </c>
      <c r="N183" t="s">
        <v>464</v>
      </c>
      <c r="O183" t="s">
        <v>339</v>
      </c>
      <c r="P183" t="s">
        <v>1212</v>
      </c>
      <c r="Q183" s="131">
        <v>10996</v>
      </c>
      <c r="R183" s="131">
        <v>1</v>
      </c>
      <c r="S183" s="131">
        <v>2855</v>
      </c>
      <c r="U183" s="131">
        <v>313.93599999999998</v>
      </c>
      <c r="V183" s="132">
        <v>6.0000000000000002E-5</v>
      </c>
      <c r="W183" s="132">
        <f t="shared" si="2"/>
        <v>1.1697352830064033E-2</v>
      </c>
      <c r="X183" s="132">
        <v>3.9400584062066857E-4</v>
      </c>
    </row>
    <row r="184" spans="1:24">
      <c r="A184" t="s">
        <v>1213</v>
      </c>
      <c r="B184" s="4">
        <v>13498</v>
      </c>
      <c r="C184" t="s">
        <v>2789</v>
      </c>
      <c r="D184" t="s">
        <v>2790</v>
      </c>
      <c r="E184" t="s">
        <v>309</v>
      </c>
      <c r="F184" t="s">
        <v>2789</v>
      </c>
      <c r="G184" t="s">
        <v>3480</v>
      </c>
      <c r="H184" t="s">
        <v>321</v>
      </c>
      <c r="I184" t="s">
        <v>917</v>
      </c>
      <c r="J184" t="s">
        <v>204</v>
      </c>
      <c r="K184" t="s">
        <v>204</v>
      </c>
      <c r="L184" t="s">
        <v>325</v>
      </c>
      <c r="M184" t="s">
        <v>340</v>
      </c>
      <c r="N184" t="s">
        <v>441</v>
      </c>
      <c r="O184" t="s">
        <v>339</v>
      </c>
      <c r="P184" t="s">
        <v>1212</v>
      </c>
      <c r="Q184" s="131">
        <v>22909</v>
      </c>
      <c r="R184" s="131">
        <v>1</v>
      </c>
      <c r="S184" s="131">
        <v>1348</v>
      </c>
      <c r="U184" s="131">
        <v>308.81299999999999</v>
      </c>
      <c r="V184" s="132">
        <v>4.0000000000000003E-5</v>
      </c>
      <c r="W184" s="132">
        <f t="shared" si="2"/>
        <v>1.1506468259487807E-2</v>
      </c>
      <c r="X184" s="132">
        <v>3.8757621190175872E-4</v>
      </c>
    </row>
    <row r="185" spans="1:24">
      <c r="A185" t="s">
        <v>1213</v>
      </c>
      <c r="B185" s="4">
        <v>13498</v>
      </c>
      <c r="C185" t="s">
        <v>2195</v>
      </c>
      <c r="D185" t="s">
        <v>2196</v>
      </c>
      <c r="E185" t="s">
        <v>309</v>
      </c>
      <c r="F185" t="s">
        <v>3610</v>
      </c>
      <c r="G185" t="s">
        <v>3611</v>
      </c>
      <c r="H185" t="s">
        <v>321</v>
      </c>
      <c r="I185" t="s">
        <v>917</v>
      </c>
      <c r="J185" t="s">
        <v>204</v>
      </c>
      <c r="K185" t="s">
        <v>204</v>
      </c>
      <c r="L185" t="s">
        <v>325</v>
      </c>
      <c r="M185" t="s">
        <v>340</v>
      </c>
      <c r="N185" t="s">
        <v>445</v>
      </c>
      <c r="O185" t="s">
        <v>339</v>
      </c>
      <c r="P185" t="s">
        <v>1212</v>
      </c>
      <c r="Q185" s="131">
        <v>8118</v>
      </c>
      <c r="R185" s="131">
        <v>1</v>
      </c>
      <c r="S185" s="131">
        <v>3619</v>
      </c>
      <c r="U185" s="131">
        <v>293.79000000000002</v>
      </c>
      <c r="V185" s="132">
        <v>4.0000000000000003E-5</v>
      </c>
      <c r="W185" s="132">
        <f t="shared" si="2"/>
        <v>1.0946706615184345E-2</v>
      </c>
      <c r="X185" s="132">
        <v>3.687215735562224E-4</v>
      </c>
    </row>
    <row r="186" spans="1:24">
      <c r="A186" t="s">
        <v>1213</v>
      </c>
      <c r="B186" s="4">
        <v>13498</v>
      </c>
      <c r="C186" t="s">
        <v>2128</v>
      </c>
      <c r="D186" t="s">
        <v>2129</v>
      </c>
      <c r="E186" t="s">
        <v>309</v>
      </c>
      <c r="F186" t="s">
        <v>3419</v>
      </c>
      <c r="G186" t="s">
        <v>3420</v>
      </c>
      <c r="H186" t="s">
        <v>321</v>
      </c>
      <c r="I186" t="s">
        <v>917</v>
      </c>
      <c r="J186" t="s">
        <v>204</v>
      </c>
      <c r="K186" t="s">
        <v>204</v>
      </c>
      <c r="L186" t="s">
        <v>325</v>
      </c>
      <c r="M186" t="s">
        <v>340</v>
      </c>
      <c r="N186" t="s">
        <v>445</v>
      </c>
      <c r="O186" t="s">
        <v>339</v>
      </c>
      <c r="P186" t="s">
        <v>1212</v>
      </c>
      <c r="Q186" s="131">
        <v>6971</v>
      </c>
      <c r="R186" s="131">
        <v>1</v>
      </c>
      <c r="S186" s="131">
        <v>4200</v>
      </c>
      <c r="U186" s="131">
        <v>292.78199999999998</v>
      </c>
      <c r="V186" s="132">
        <v>3.0000000000000001E-5</v>
      </c>
      <c r="W186" s="132">
        <f t="shared" si="2"/>
        <v>1.0909148222223025E-2</v>
      </c>
      <c r="X186" s="132">
        <v>3.6745648166696586E-4</v>
      </c>
    </row>
    <row r="187" spans="1:24">
      <c r="A187" t="s">
        <v>1213</v>
      </c>
      <c r="B187" s="4">
        <v>13498</v>
      </c>
      <c r="C187" t="s">
        <v>1534</v>
      </c>
      <c r="D187" t="s">
        <v>1535</v>
      </c>
      <c r="E187" t="s">
        <v>309</v>
      </c>
      <c r="F187" t="s">
        <v>1534</v>
      </c>
      <c r="G187" t="s">
        <v>3509</v>
      </c>
      <c r="H187" t="s">
        <v>321</v>
      </c>
      <c r="I187" t="s">
        <v>917</v>
      </c>
      <c r="J187" t="s">
        <v>204</v>
      </c>
      <c r="K187" t="s">
        <v>204</v>
      </c>
      <c r="L187" t="s">
        <v>325</v>
      </c>
      <c r="M187" t="s">
        <v>340</v>
      </c>
      <c r="N187" t="s">
        <v>464</v>
      </c>
      <c r="O187" t="s">
        <v>339</v>
      </c>
      <c r="P187" t="s">
        <v>1212</v>
      </c>
      <c r="Q187" s="131">
        <v>16160</v>
      </c>
      <c r="R187" s="131">
        <v>1</v>
      </c>
      <c r="S187" s="131">
        <v>1609</v>
      </c>
      <c r="U187" s="131">
        <v>260.01400000000001</v>
      </c>
      <c r="V187" s="132">
        <v>3.0000000000000001E-5</v>
      </c>
      <c r="W187" s="132">
        <f t="shared" si="2"/>
        <v>9.6882023684963479E-3</v>
      </c>
      <c r="X187" s="132">
        <v>3.2633095485430955E-4</v>
      </c>
    </row>
    <row r="188" spans="1:24">
      <c r="A188" t="s">
        <v>1213</v>
      </c>
      <c r="B188" s="4">
        <v>13498</v>
      </c>
      <c r="C188" t="s">
        <v>2145</v>
      </c>
      <c r="D188" t="s">
        <v>2146</v>
      </c>
      <c r="E188" t="s">
        <v>309</v>
      </c>
      <c r="F188" t="s">
        <v>3612</v>
      </c>
      <c r="G188" t="s">
        <v>3613</v>
      </c>
      <c r="H188" t="s">
        <v>321</v>
      </c>
      <c r="I188" t="s">
        <v>917</v>
      </c>
      <c r="J188" t="s">
        <v>204</v>
      </c>
      <c r="K188" t="s">
        <v>204</v>
      </c>
      <c r="L188" t="s">
        <v>325</v>
      </c>
      <c r="M188" t="s">
        <v>340</v>
      </c>
      <c r="N188" t="s">
        <v>445</v>
      </c>
      <c r="O188" t="s">
        <v>339</v>
      </c>
      <c r="P188" t="s">
        <v>1212</v>
      </c>
      <c r="Q188" s="131">
        <v>4035</v>
      </c>
      <c r="R188" s="131">
        <v>1</v>
      </c>
      <c r="S188" s="131">
        <v>6329</v>
      </c>
      <c r="U188" s="131">
        <v>255.375</v>
      </c>
      <c r="V188" s="132">
        <v>5.0000000000000002E-5</v>
      </c>
      <c r="W188" s="132">
        <f t="shared" si="2"/>
        <v>9.515351788191231E-3</v>
      </c>
      <c r="X188" s="132">
        <v>3.2050877105047922E-4</v>
      </c>
    </row>
    <row r="189" spans="1:24">
      <c r="A189" t="s">
        <v>1213</v>
      </c>
      <c r="B189" s="4">
        <v>13498</v>
      </c>
      <c r="C189" t="s">
        <v>2883</v>
      </c>
      <c r="D189" t="s">
        <v>2884</v>
      </c>
      <c r="E189" t="s">
        <v>311</v>
      </c>
      <c r="F189" t="s">
        <v>3614</v>
      </c>
      <c r="G189" t="s">
        <v>3615</v>
      </c>
      <c r="H189" t="s">
        <v>321</v>
      </c>
      <c r="I189" t="s">
        <v>917</v>
      </c>
      <c r="J189" t="s">
        <v>204</v>
      </c>
      <c r="K189" t="s">
        <v>204</v>
      </c>
      <c r="L189" t="s">
        <v>325</v>
      </c>
      <c r="M189" t="s">
        <v>340</v>
      </c>
      <c r="N189" t="s">
        <v>480</v>
      </c>
      <c r="O189" t="s">
        <v>339</v>
      </c>
      <c r="P189" t="s">
        <v>1212</v>
      </c>
      <c r="Q189" s="131">
        <v>1750</v>
      </c>
      <c r="R189" s="131">
        <v>1</v>
      </c>
      <c r="S189" s="131">
        <v>13820</v>
      </c>
      <c r="U189" s="131">
        <v>241.85</v>
      </c>
      <c r="V189" s="132">
        <v>3.0000000000000001E-5</v>
      </c>
      <c r="W189" s="132">
        <f t="shared" si="2"/>
        <v>9.0114060889830618E-3</v>
      </c>
      <c r="X189" s="132">
        <v>3.0353419981814353E-4</v>
      </c>
    </row>
    <row r="190" spans="1:24">
      <c r="A190" t="s">
        <v>1213</v>
      </c>
      <c r="B190" s="4">
        <v>13498</v>
      </c>
      <c r="C190" t="s">
        <v>2428</v>
      </c>
      <c r="D190" t="s">
        <v>2429</v>
      </c>
      <c r="E190" t="s">
        <v>309</v>
      </c>
      <c r="F190" t="s">
        <v>2428</v>
      </c>
      <c r="G190" t="s">
        <v>3459</v>
      </c>
      <c r="H190" t="s">
        <v>321</v>
      </c>
      <c r="I190" t="s">
        <v>917</v>
      </c>
      <c r="J190" t="s">
        <v>204</v>
      </c>
      <c r="K190" t="s">
        <v>204</v>
      </c>
      <c r="L190" t="s">
        <v>325</v>
      </c>
      <c r="M190" t="s">
        <v>340</v>
      </c>
      <c r="N190" t="s">
        <v>454</v>
      </c>
      <c r="O190" t="s">
        <v>339</v>
      </c>
      <c r="P190" t="s">
        <v>1212</v>
      </c>
      <c r="Q190" s="131">
        <v>125770</v>
      </c>
      <c r="R190" s="131">
        <v>1</v>
      </c>
      <c r="S190" s="131">
        <v>161.9</v>
      </c>
      <c r="U190" s="131">
        <v>203.62200000000001</v>
      </c>
      <c r="V190" s="132">
        <v>5.0000000000000002E-5</v>
      </c>
      <c r="W190" s="132">
        <f t="shared" si="2"/>
        <v>7.5870189400492416E-3</v>
      </c>
      <c r="X190" s="132">
        <v>2.5555609193868111E-4</v>
      </c>
    </row>
    <row r="191" spans="1:24">
      <c r="A191" t="s">
        <v>1213</v>
      </c>
      <c r="B191" s="4">
        <v>13498</v>
      </c>
      <c r="C191" t="s">
        <v>2136</v>
      </c>
      <c r="D191" t="s">
        <v>2137</v>
      </c>
      <c r="E191" t="s">
        <v>309</v>
      </c>
      <c r="F191" t="s">
        <v>2136</v>
      </c>
      <c r="G191" t="s">
        <v>3616</v>
      </c>
      <c r="H191" t="s">
        <v>321</v>
      </c>
      <c r="I191" t="s">
        <v>917</v>
      </c>
      <c r="J191" t="s">
        <v>204</v>
      </c>
      <c r="K191" t="s">
        <v>204</v>
      </c>
      <c r="L191" t="s">
        <v>325</v>
      </c>
      <c r="M191" t="s">
        <v>340</v>
      </c>
      <c r="N191" t="s">
        <v>440</v>
      </c>
      <c r="O191" t="s">
        <v>339</v>
      </c>
      <c r="P191" t="s">
        <v>1212</v>
      </c>
      <c r="Q191" s="131">
        <v>461</v>
      </c>
      <c r="R191" s="131">
        <v>1</v>
      </c>
      <c r="S191" s="131">
        <v>39190</v>
      </c>
      <c r="T191" s="131">
        <v>10.145</v>
      </c>
      <c r="U191" s="131">
        <v>190.81</v>
      </c>
      <c r="V191" s="132">
        <v>3.0000000000000001E-5</v>
      </c>
      <c r="W191" s="132">
        <f t="shared" si="2"/>
        <v>7.109639842211528E-3</v>
      </c>
      <c r="X191" s="132">
        <v>2.3947637240975798E-4</v>
      </c>
    </row>
    <row r="192" spans="1:24">
      <c r="A192" t="s">
        <v>1213</v>
      </c>
      <c r="B192" s="4">
        <v>13498</v>
      </c>
      <c r="C192" t="s">
        <v>2211</v>
      </c>
      <c r="D192" t="s">
        <v>2212</v>
      </c>
      <c r="E192" t="s">
        <v>309</v>
      </c>
      <c r="F192" t="s">
        <v>2211</v>
      </c>
      <c r="G192" t="s">
        <v>3617</v>
      </c>
      <c r="H192" t="s">
        <v>321</v>
      </c>
      <c r="I192" t="s">
        <v>917</v>
      </c>
      <c r="J192" t="s">
        <v>204</v>
      </c>
      <c r="K192" t="s">
        <v>204</v>
      </c>
      <c r="L192" t="s">
        <v>325</v>
      </c>
      <c r="M192" t="s">
        <v>340</v>
      </c>
      <c r="N192" t="s">
        <v>454</v>
      </c>
      <c r="O192" t="s">
        <v>339</v>
      </c>
      <c r="P192" t="s">
        <v>1212</v>
      </c>
      <c r="Q192" s="131">
        <v>437</v>
      </c>
      <c r="R192" s="131">
        <v>1</v>
      </c>
      <c r="S192" s="131">
        <v>43600</v>
      </c>
      <c r="U192" s="131">
        <v>190.53200000000001</v>
      </c>
      <c r="V192" s="132">
        <v>2.0000000000000002E-5</v>
      </c>
      <c r="W192" s="132">
        <f t="shared" si="2"/>
        <v>7.0992814758987837E-3</v>
      </c>
      <c r="X192" s="132">
        <v>2.3912746809903049E-4</v>
      </c>
    </row>
    <row r="193" spans="1:24">
      <c r="A193" t="s">
        <v>1213</v>
      </c>
      <c r="B193" s="4">
        <v>13498</v>
      </c>
      <c r="C193" t="s">
        <v>3427</v>
      </c>
      <c r="D193" t="s">
        <v>3428</v>
      </c>
      <c r="E193" t="s">
        <v>309</v>
      </c>
      <c r="F193" t="s">
        <v>3427</v>
      </c>
      <c r="G193" t="s">
        <v>3429</v>
      </c>
      <c r="H193" t="s">
        <v>321</v>
      </c>
      <c r="I193" t="s">
        <v>917</v>
      </c>
      <c r="J193" t="s">
        <v>204</v>
      </c>
      <c r="K193" t="s">
        <v>204</v>
      </c>
      <c r="L193" t="s">
        <v>325</v>
      </c>
      <c r="M193" t="s">
        <v>340</v>
      </c>
      <c r="N193" t="s">
        <v>439</v>
      </c>
      <c r="O193" t="s">
        <v>339</v>
      </c>
      <c r="P193" t="s">
        <v>1212</v>
      </c>
      <c r="Q193" s="131">
        <v>4133</v>
      </c>
      <c r="R193" s="131">
        <v>1</v>
      </c>
      <c r="S193" s="131">
        <v>3950</v>
      </c>
      <c r="U193" s="131">
        <v>163.25399999999999</v>
      </c>
      <c r="V193" s="132">
        <v>5.0000000000000002E-5</v>
      </c>
      <c r="W193" s="132">
        <f t="shared" si="2"/>
        <v>6.0828947266935735E-3</v>
      </c>
      <c r="X193" s="132">
        <v>2.0489217389750341E-4</v>
      </c>
    </row>
    <row r="194" spans="1:24">
      <c r="A194" t="s">
        <v>1213</v>
      </c>
      <c r="B194" s="4">
        <v>13498</v>
      </c>
      <c r="C194" t="s">
        <v>3526</v>
      </c>
      <c r="D194" t="s">
        <v>3527</v>
      </c>
      <c r="E194" t="s">
        <v>309</v>
      </c>
      <c r="F194" t="s">
        <v>3528</v>
      </c>
      <c r="G194" t="s">
        <v>3529</v>
      </c>
      <c r="H194" t="s">
        <v>321</v>
      </c>
      <c r="I194" t="s">
        <v>917</v>
      </c>
      <c r="J194" t="s">
        <v>204</v>
      </c>
      <c r="K194" t="s">
        <v>204</v>
      </c>
      <c r="L194" t="s">
        <v>325</v>
      </c>
      <c r="M194" t="s">
        <v>340</v>
      </c>
      <c r="N194" t="s">
        <v>463</v>
      </c>
      <c r="O194" t="s">
        <v>339</v>
      </c>
      <c r="P194" t="s">
        <v>1212</v>
      </c>
      <c r="Q194" s="131">
        <v>11826</v>
      </c>
      <c r="R194" s="131">
        <v>1</v>
      </c>
      <c r="S194" s="131">
        <v>1271</v>
      </c>
      <c r="U194" s="131">
        <v>150.30799999999999</v>
      </c>
      <c r="V194" s="132">
        <v>8.0000000000000007E-5</v>
      </c>
      <c r="W194" s="132">
        <f t="shared" si="2"/>
        <v>5.6005227472518751E-3</v>
      </c>
      <c r="X194" s="132">
        <v>1.8864427747060372E-4</v>
      </c>
    </row>
    <row r="195" spans="1:24">
      <c r="A195" t="s">
        <v>1213</v>
      </c>
      <c r="B195" s="4">
        <v>13498</v>
      </c>
      <c r="C195" t="s">
        <v>2454</v>
      </c>
      <c r="D195" t="s">
        <v>2455</v>
      </c>
      <c r="E195" t="s">
        <v>309</v>
      </c>
      <c r="F195" t="s">
        <v>2454</v>
      </c>
      <c r="G195" t="s">
        <v>3618</v>
      </c>
      <c r="H195" t="s">
        <v>321</v>
      </c>
      <c r="I195" t="s">
        <v>917</v>
      </c>
      <c r="J195" t="s">
        <v>204</v>
      </c>
      <c r="K195" t="s">
        <v>204</v>
      </c>
      <c r="L195" t="s">
        <v>325</v>
      </c>
      <c r="M195" t="s">
        <v>340</v>
      </c>
      <c r="N195" t="s">
        <v>478</v>
      </c>
      <c r="O195" t="s">
        <v>339</v>
      </c>
      <c r="P195" t="s">
        <v>1212</v>
      </c>
      <c r="Q195" s="131">
        <v>10394</v>
      </c>
      <c r="R195" s="131">
        <v>1</v>
      </c>
      <c r="S195" s="131">
        <v>1373</v>
      </c>
      <c r="U195" s="131">
        <v>142.71</v>
      </c>
      <c r="V195" s="132">
        <v>5.0000000000000002E-5</v>
      </c>
      <c r="W195" s="132">
        <f t="shared" ref="W195:W258" si="3">U195/SUMIF(B:B,B195,U:U)</f>
        <v>5.3174189082438404E-3</v>
      </c>
      <c r="X195" s="132">
        <v>1.7910839634503726E-4</v>
      </c>
    </row>
    <row r="196" spans="1:24">
      <c r="A196" t="s">
        <v>1213</v>
      </c>
      <c r="B196" s="4">
        <v>13498</v>
      </c>
      <c r="C196" t="s">
        <v>2343</v>
      </c>
      <c r="D196" t="s">
        <v>2344</v>
      </c>
      <c r="E196" t="s">
        <v>309</v>
      </c>
      <c r="F196" t="s">
        <v>3619</v>
      </c>
      <c r="G196" t="s">
        <v>3620</v>
      </c>
      <c r="H196" t="s">
        <v>321</v>
      </c>
      <c r="I196" t="s">
        <v>917</v>
      </c>
      <c r="J196" t="s">
        <v>204</v>
      </c>
      <c r="K196" t="s">
        <v>204</v>
      </c>
      <c r="L196" t="s">
        <v>325</v>
      </c>
      <c r="M196" t="s">
        <v>340</v>
      </c>
      <c r="N196" t="s">
        <v>476</v>
      </c>
      <c r="O196" t="s">
        <v>339</v>
      </c>
      <c r="P196" t="s">
        <v>1212</v>
      </c>
      <c r="Q196" s="131">
        <v>467</v>
      </c>
      <c r="R196" s="131">
        <v>1</v>
      </c>
      <c r="S196" s="131">
        <v>29830</v>
      </c>
      <c r="U196" s="131">
        <v>139.30600000000001</v>
      </c>
      <c r="V196" s="132">
        <v>3.0000000000000001E-5</v>
      </c>
      <c r="W196" s="132">
        <f t="shared" si="3"/>
        <v>5.1905848113784347E-3</v>
      </c>
      <c r="X196" s="132">
        <v>1.7483620111584166E-4</v>
      </c>
    </row>
    <row r="197" spans="1:24">
      <c r="A197" t="s">
        <v>1213</v>
      </c>
      <c r="B197" s="4">
        <v>13498</v>
      </c>
      <c r="C197" t="s">
        <v>3474</v>
      </c>
      <c r="D197" t="s">
        <v>3475</v>
      </c>
      <c r="E197" t="s">
        <v>309</v>
      </c>
      <c r="F197" t="s">
        <v>3476</v>
      </c>
      <c r="G197" t="s">
        <v>3477</v>
      </c>
      <c r="H197" t="s">
        <v>321</v>
      </c>
      <c r="I197" t="s">
        <v>917</v>
      </c>
      <c r="J197" t="s">
        <v>204</v>
      </c>
      <c r="K197" t="s">
        <v>204</v>
      </c>
      <c r="L197" t="s">
        <v>325</v>
      </c>
      <c r="M197" t="s">
        <v>340</v>
      </c>
      <c r="N197" t="s">
        <v>454</v>
      </c>
      <c r="O197" t="s">
        <v>339</v>
      </c>
      <c r="P197" t="s">
        <v>1212</v>
      </c>
      <c r="Q197" s="131">
        <v>45536</v>
      </c>
      <c r="R197" s="131">
        <v>1</v>
      </c>
      <c r="S197" s="131">
        <v>303</v>
      </c>
      <c r="U197" s="131">
        <v>137.97399999999999</v>
      </c>
      <c r="V197" s="132">
        <v>4.0000000000000003E-5</v>
      </c>
      <c r="W197" s="132">
        <f t="shared" si="3"/>
        <v>5.1409540778224062E-3</v>
      </c>
      <c r="X197" s="132">
        <v>1.7316447254789552E-4</v>
      </c>
    </row>
    <row r="198" spans="1:24">
      <c r="A198" t="s">
        <v>1213</v>
      </c>
      <c r="B198" s="4">
        <v>13498</v>
      </c>
      <c r="C198" t="s">
        <v>2576</v>
      </c>
      <c r="D198" t="s">
        <v>2577</v>
      </c>
      <c r="E198" t="s">
        <v>309</v>
      </c>
      <c r="F198" t="s">
        <v>2576</v>
      </c>
      <c r="G198" t="s">
        <v>3621</v>
      </c>
      <c r="H198" t="s">
        <v>321</v>
      </c>
      <c r="I198" t="s">
        <v>917</v>
      </c>
      <c r="J198" t="s">
        <v>204</v>
      </c>
      <c r="K198" t="s">
        <v>204</v>
      </c>
      <c r="L198" t="s">
        <v>325</v>
      </c>
      <c r="M198" t="s">
        <v>340</v>
      </c>
      <c r="N198" t="s">
        <v>451</v>
      </c>
      <c r="O198" t="s">
        <v>339</v>
      </c>
      <c r="P198" t="s">
        <v>1212</v>
      </c>
      <c r="Q198" s="131">
        <v>166</v>
      </c>
      <c r="R198" s="131">
        <v>1</v>
      </c>
      <c r="S198" s="131">
        <v>81100</v>
      </c>
      <c r="U198" s="131">
        <v>134.626</v>
      </c>
      <c r="V198" s="132">
        <v>2.0000000000000002E-5</v>
      </c>
      <c r="W198" s="132">
        <f t="shared" si="3"/>
        <v>5.0162065583437406E-3</v>
      </c>
      <c r="X198" s="132">
        <v>1.6896256020143639E-4</v>
      </c>
    </row>
    <row r="199" spans="1:24">
      <c r="A199" t="s">
        <v>1213</v>
      </c>
      <c r="B199" s="4">
        <v>13498</v>
      </c>
      <c r="C199" t="s">
        <v>1546</v>
      </c>
      <c r="D199" t="s">
        <v>1547</v>
      </c>
      <c r="E199" t="s">
        <v>309</v>
      </c>
      <c r="F199" t="s">
        <v>3622</v>
      </c>
      <c r="G199" t="s">
        <v>3623</v>
      </c>
      <c r="H199" t="s">
        <v>321</v>
      </c>
      <c r="I199" t="s">
        <v>917</v>
      </c>
      <c r="J199" t="s">
        <v>204</v>
      </c>
      <c r="K199" t="s">
        <v>204</v>
      </c>
      <c r="L199" t="s">
        <v>325</v>
      </c>
      <c r="M199" t="s">
        <v>340</v>
      </c>
      <c r="N199" t="s">
        <v>443</v>
      </c>
      <c r="O199" t="s">
        <v>339</v>
      </c>
      <c r="P199" t="s">
        <v>1212</v>
      </c>
      <c r="Q199" s="131">
        <v>245</v>
      </c>
      <c r="R199" s="131">
        <v>1</v>
      </c>
      <c r="S199" s="131">
        <v>52740</v>
      </c>
      <c r="U199" s="131">
        <v>129.21299999999999</v>
      </c>
      <c r="V199" s="132">
        <v>8.0000000000000007E-5</v>
      </c>
      <c r="W199" s="132">
        <f t="shared" si="3"/>
        <v>4.8145164977290399E-3</v>
      </c>
      <c r="X199" s="132">
        <v>1.6216896655406977E-4</v>
      </c>
    </row>
    <row r="200" spans="1:24">
      <c r="A200" t="s">
        <v>1213</v>
      </c>
      <c r="B200" s="4">
        <v>13498</v>
      </c>
      <c r="C200" t="s">
        <v>3490</v>
      </c>
      <c r="D200" t="s">
        <v>3491</v>
      </c>
      <c r="E200" t="s">
        <v>309</v>
      </c>
      <c r="F200" t="s">
        <v>3490</v>
      </c>
      <c r="G200" t="s">
        <v>3492</v>
      </c>
      <c r="H200" t="s">
        <v>321</v>
      </c>
      <c r="I200" t="s">
        <v>917</v>
      </c>
      <c r="J200" t="s">
        <v>204</v>
      </c>
      <c r="K200" t="s">
        <v>204</v>
      </c>
      <c r="L200" t="s">
        <v>325</v>
      </c>
      <c r="M200" t="s">
        <v>340</v>
      </c>
      <c r="N200" t="s">
        <v>476</v>
      </c>
      <c r="O200" t="s">
        <v>339</v>
      </c>
      <c r="P200" t="s">
        <v>1212</v>
      </c>
      <c r="Q200" s="131">
        <v>617</v>
      </c>
      <c r="R200" s="131">
        <v>1</v>
      </c>
      <c r="S200" s="131">
        <v>19560</v>
      </c>
      <c r="U200" s="131">
        <v>120.685</v>
      </c>
      <c r="V200" s="132">
        <v>3.0000000000000001E-5</v>
      </c>
      <c r="W200" s="132">
        <f t="shared" si="3"/>
        <v>4.4967605699769309E-3</v>
      </c>
      <c r="X200" s="132">
        <v>1.5146588755448687E-4</v>
      </c>
    </row>
    <row r="201" spans="1:24">
      <c r="A201" t="s">
        <v>1213</v>
      </c>
      <c r="B201" s="4">
        <v>13498</v>
      </c>
      <c r="C201" t="s">
        <v>2315</v>
      </c>
      <c r="D201" t="s">
        <v>2316</v>
      </c>
      <c r="E201" t="s">
        <v>309</v>
      </c>
      <c r="F201" t="s">
        <v>3624</v>
      </c>
      <c r="G201" t="s">
        <v>3625</v>
      </c>
      <c r="H201" t="s">
        <v>321</v>
      </c>
      <c r="I201" t="s">
        <v>917</v>
      </c>
      <c r="J201" t="s">
        <v>204</v>
      </c>
      <c r="K201" t="s">
        <v>204</v>
      </c>
      <c r="L201" t="s">
        <v>325</v>
      </c>
      <c r="M201" t="s">
        <v>340</v>
      </c>
      <c r="N201" t="s">
        <v>484</v>
      </c>
      <c r="O201" t="s">
        <v>339</v>
      </c>
      <c r="P201" t="s">
        <v>1212</v>
      </c>
      <c r="Q201" s="131">
        <v>10000</v>
      </c>
      <c r="R201" s="131">
        <v>1</v>
      </c>
      <c r="S201" s="131">
        <v>1175</v>
      </c>
      <c r="U201" s="131">
        <v>117.5</v>
      </c>
      <c r="V201" s="132">
        <v>9.0000000000000006E-5</v>
      </c>
      <c r="W201" s="132">
        <f t="shared" si="3"/>
        <v>4.3780864811060975E-3</v>
      </c>
      <c r="X201" s="132">
        <v>1.4746854859884996E-4</v>
      </c>
    </row>
    <row r="202" spans="1:24">
      <c r="A202" t="s">
        <v>1213</v>
      </c>
      <c r="B202" s="4">
        <v>13498</v>
      </c>
      <c r="C202" t="s">
        <v>2404</v>
      </c>
      <c r="D202" t="s">
        <v>2405</v>
      </c>
      <c r="E202" t="s">
        <v>309</v>
      </c>
      <c r="F202" t="s">
        <v>2404</v>
      </c>
      <c r="G202" t="s">
        <v>3418</v>
      </c>
      <c r="H202" t="s">
        <v>321</v>
      </c>
      <c r="I202" t="s">
        <v>917</v>
      </c>
      <c r="J202" t="s">
        <v>204</v>
      </c>
      <c r="K202" t="s">
        <v>204</v>
      </c>
      <c r="L202" t="s">
        <v>325</v>
      </c>
      <c r="M202" t="s">
        <v>340</v>
      </c>
      <c r="N202" t="s">
        <v>440</v>
      </c>
      <c r="O202" t="s">
        <v>339</v>
      </c>
      <c r="P202" t="s">
        <v>1212</v>
      </c>
      <c r="Q202" s="131">
        <v>3747</v>
      </c>
      <c r="R202" s="131">
        <v>1</v>
      </c>
      <c r="S202" s="131">
        <v>3016</v>
      </c>
      <c r="U202" s="131">
        <v>113.01</v>
      </c>
      <c r="V202" s="132">
        <v>1.0000000000000001E-5</v>
      </c>
      <c r="W202" s="132">
        <f t="shared" si="3"/>
        <v>4.2107876870621291E-3</v>
      </c>
      <c r="X202" s="132">
        <v>1.4183336746515773E-4</v>
      </c>
    </row>
    <row r="203" spans="1:24">
      <c r="A203" t="s">
        <v>1213</v>
      </c>
      <c r="B203" s="4">
        <v>13498</v>
      </c>
      <c r="C203" t="s">
        <v>2824</v>
      </c>
      <c r="D203" t="s">
        <v>2825</v>
      </c>
      <c r="E203" t="s">
        <v>309</v>
      </c>
      <c r="F203" t="s">
        <v>3626</v>
      </c>
      <c r="G203" t="s">
        <v>3627</v>
      </c>
      <c r="H203" t="s">
        <v>321</v>
      </c>
      <c r="I203" t="s">
        <v>917</v>
      </c>
      <c r="J203" t="s">
        <v>204</v>
      </c>
      <c r="K203" t="s">
        <v>204</v>
      </c>
      <c r="L203" t="s">
        <v>325</v>
      </c>
      <c r="M203" t="s">
        <v>340</v>
      </c>
      <c r="N203" t="s">
        <v>463</v>
      </c>
      <c r="O203" t="s">
        <v>339</v>
      </c>
      <c r="P203" t="s">
        <v>1212</v>
      </c>
      <c r="Q203" s="131">
        <v>5005</v>
      </c>
      <c r="R203" s="131">
        <v>1</v>
      </c>
      <c r="S203" s="131">
        <v>2140</v>
      </c>
      <c r="U203" s="131">
        <v>107.107</v>
      </c>
      <c r="V203" s="132">
        <v>1.0000000000000001E-5</v>
      </c>
      <c r="W203" s="132">
        <f t="shared" si="3"/>
        <v>3.9908400743134537E-3</v>
      </c>
      <c r="X203" s="132">
        <v>1.3442479859384699E-4</v>
      </c>
    </row>
    <row r="204" spans="1:24">
      <c r="A204" t="s">
        <v>1213</v>
      </c>
      <c r="B204" s="4">
        <v>13498</v>
      </c>
      <c r="C204" t="s">
        <v>3461</v>
      </c>
      <c r="D204" t="s">
        <v>3462</v>
      </c>
      <c r="E204" t="s">
        <v>309</v>
      </c>
      <c r="F204" t="s">
        <v>3461</v>
      </c>
      <c r="G204" t="s">
        <v>3463</v>
      </c>
      <c r="H204" t="s">
        <v>321</v>
      </c>
      <c r="I204" t="s">
        <v>917</v>
      </c>
      <c r="J204" t="s">
        <v>204</v>
      </c>
      <c r="K204" t="s">
        <v>204</v>
      </c>
      <c r="L204" t="s">
        <v>325</v>
      </c>
      <c r="M204" t="s">
        <v>340</v>
      </c>
      <c r="N204" t="s">
        <v>475</v>
      </c>
      <c r="O204" t="s">
        <v>339</v>
      </c>
      <c r="P204" t="s">
        <v>1212</v>
      </c>
      <c r="Q204" s="131">
        <v>356</v>
      </c>
      <c r="R204" s="131">
        <v>1</v>
      </c>
      <c r="S204" s="131">
        <v>28150</v>
      </c>
      <c r="U204" s="131">
        <v>100.214</v>
      </c>
      <c r="V204" s="132">
        <v>3.0000000000000001E-5</v>
      </c>
      <c r="W204" s="132">
        <f t="shared" si="3"/>
        <v>3.7340047541920551E-3</v>
      </c>
      <c r="X204" s="132">
        <v>1.257737287598736E-4</v>
      </c>
    </row>
    <row r="205" spans="1:24">
      <c r="A205" t="s">
        <v>1213</v>
      </c>
      <c r="B205" s="4">
        <v>13498</v>
      </c>
      <c r="C205" t="s">
        <v>2155</v>
      </c>
      <c r="D205" t="s">
        <v>2156</v>
      </c>
      <c r="E205" t="s">
        <v>309</v>
      </c>
      <c r="F205" t="s">
        <v>2155</v>
      </c>
      <c r="G205" t="s">
        <v>3473</v>
      </c>
      <c r="H205" t="s">
        <v>321</v>
      </c>
      <c r="I205" t="s">
        <v>917</v>
      </c>
      <c r="J205" t="s">
        <v>204</v>
      </c>
      <c r="K205" t="s">
        <v>204</v>
      </c>
      <c r="L205" t="s">
        <v>325</v>
      </c>
      <c r="M205" t="s">
        <v>340</v>
      </c>
      <c r="N205" t="s">
        <v>451</v>
      </c>
      <c r="O205" t="s">
        <v>339</v>
      </c>
      <c r="P205" t="s">
        <v>1212</v>
      </c>
      <c r="Q205" s="131">
        <v>63</v>
      </c>
      <c r="R205" s="131">
        <v>1</v>
      </c>
      <c r="S205" s="131">
        <v>148500</v>
      </c>
      <c r="T205" s="131">
        <v>0.70599999999999996</v>
      </c>
      <c r="U205" s="131">
        <v>94.260999999999996</v>
      </c>
      <c r="V205" s="132">
        <v>2.0000000000000002E-5</v>
      </c>
      <c r="W205" s="132">
        <f t="shared" si="3"/>
        <v>3.5121941259195055E-3</v>
      </c>
      <c r="X205" s="132">
        <v>1.1830240731469103E-4</v>
      </c>
    </row>
    <row r="206" spans="1:24">
      <c r="A206" t="s">
        <v>1213</v>
      </c>
      <c r="B206" s="4">
        <v>13498</v>
      </c>
      <c r="C206" t="s">
        <v>3447</v>
      </c>
      <c r="D206" t="s">
        <v>3448</v>
      </c>
      <c r="E206" t="s">
        <v>309</v>
      </c>
      <c r="F206" t="s">
        <v>3449</v>
      </c>
      <c r="G206" t="s">
        <v>3450</v>
      </c>
      <c r="H206" t="s">
        <v>321</v>
      </c>
      <c r="I206" t="s">
        <v>917</v>
      </c>
      <c r="J206" t="s">
        <v>204</v>
      </c>
      <c r="K206" t="s">
        <v>204</v>
      </c>
      <c r="L206" t="s">
        <v>325</v>
      </c>
      <c r="M206" t="s">
        <v>340</v>
      </c>
      <c r="N206" t="s">
        <v>445</v>
      </c>
      <c r="O206" t="s">
        <v>339</v>
      </c>
      <c r="P206" t="s">
        <v>1212</v>
      </c>
      <c r="Q206" s="131">
        <v>822</v>
      </c>
      <c r="R206" s="131">
        <v>1</v>
      </c>
      <c r="S206" s="131">
        <v>10880</v>
      </c>
      <c r="U206" s="131">
        <v>89.433999999999997</v>
      </c>
      <c r="V206" s="132">
        <v>1.0000000000000001E-5</v>
      </c>
      <c r="W206" s="132">
        <f t="shared" si="3"/>
        <v>3.332338607244619E-3</v>
      </c>
      <c r="X206" s="132">
        <v>1.1224427383310253E-4</v>
      </c>
    </row>
    <row r="207" spans="1:24">
      <c r="A207" t="s">
        <v>1213</v>
      </c>
      <c r="B207" s="4">
        <v>13498</v>
      </c>
      <c r="C207" t="s">
        <v>3628</v>
      </c>
      <c r="D207" t="s">
        <v>3629</v>
      </c>
      <c r="E207" t="s">
        <v>309</v>
      </c>
      <c r="F207" t="s">
        <v>3630</v>
      </c>
      <c r="G207" t="s">
        <v>3631</v>
      </c>
      <c r="H207" t="s">
        <v>321</v>
      </c>
      <c r="I207" t="s">
        <v>917</v>
      </c>
      <c r="J207" t="s">
        <v>204</v>
      </c>
      <c r="K207" t="s">
        <v>204</v>
      </c>
      <c r="L207" t="s">
        <v>325</v>
      </c>
      <c r="M207" t="s">
        <v>340</v>
      </c>
      <c r="N207" t="s">
        <v>478</v>
      </c>
      <c r="O207" t="s">
        <v>339</v>
      </c>
      <c r="P207" t="s">
        <v>1212</v>
      </c>
      <c r="Q207" s="131">
        <v>14717</v>
      </c>
      <c r="R207" s="131">
        <v>1</v>
      </c>
      <c r="S207" s="131">
        <v>561</v>
      </c>
      <c r="U207" s="131">
        <v>82.561999999999998</v>
      </c>
      <c r="V207" s="132">
        <v>6.9999999999999994E-5</v>
      </c>
      <c r="W207" s="132">
        <f t="shared" si="3"/>
        <v>3.0762857536432479E-3</v>
      </c>
      <c r="X207" s="132">
        <v>1.0361956008015532E-4</v>
      </c>
    </row>
    <row r="208" spans="1:24">
      <c r="A208" t="s">
        <v>1213</v>
      </c>
      <c r="B208" s="4">
        <v>13498</v>
      </c>
      <c r="C208" t="s">
        <v>1820</v>
      </c>
      <c r="D208" t="s">
        <v>1821</v>
      </c>
      <c r="E208" t="s">
        <v>309</v>
      </c>
      <c r="F208" t="s">
        <v>3632</v>
      </c>
      <c r="G208" t="s">
        <v>3633</v>
      </c>
      <c r="H208" t="s">
        <v>321</v>
      </c>
      <c r="I208" t="s">
        <v>917</v>
      </c>
      <c r="J208" t="s">
        <v>204</v>
      </c>
      <c r="K208" t="s">
        <v>204</v>
      </c>
      <c r="L208" t="s">
        <v>325</v>
      </c>
      <c r="M208" t="s">
        <v>340</v>
      </c>
      <c r="N208" t="s">
        <v>464</v>
      </c>
      <c r="O208" t="s">
        <v>339</v>
      </c>
      <c r="P208" t="s">
        <v>1212</v>
      </c>
      <c r="Q208" s="131">
        <v>1356</v>
      </c>
      <c r="R208" s="131">
        <v>1</v>
      </c>
      <c r="S208" s="131">
        <v>5594</v>
      </c>
      <c r="U208" s="131">
        <v>75.855000000000004</v>
      </c>
      <c r="V208" s="132">
        <v>1.0000000000000001E-5</v>
      </c>
      <c r="W208" s="132">
        <f t="shared" si="3"/>
        <v>2.8263808512706645E-3</v>
      </c>
      <c r="X208" s="132">
        <v>9.5201929820985234E-5</v>
      </c>
    </row>
    <row r="209" spans="1:24">
      <c r="A209" t="s">
        <v>1213</v>
      </c>
      <c r="B209" s="4">
        <v>13498</v>
      </c>
      <c r="C209" t="s">
        <v>2566</v>
      </c>
      <c r="D209" t="s">
        <v>2567</v>
      </c>
      <c r="E209" t="s">
        <v>309</v>
      </c>
      <c r="F209" t="s">
        <v>2566</v>
      </c>
      <c r="G209" t="s">
        <v>3511</v>
      </c>
      <c r="H209" t="s">
        <v>321</v>
      </c>
      <c r="I209" t="s">
        <v>917</v>
      </c>
      <c r="J209" t="s">
        <v>204</v>
      </c>
      <c r="K209" t="s">
        <v>204</v>
      </c>
      <c r="L209" t="s">
        <v>325</v>
      </c>
      <c r="M209" t="s">
        <v>340</v>
      </c>
      <c r="N209" t="s">
        <v>476</v>
      </c>
      <c r="O209" t="s">
        <v>339</v>
      </c>
      <c r="P209" t="s">
        <v>1212</v>
      </c>
      <c r="Q209" s="131">
        <v>1005</v>
      </c>
      <c r="R209" s="131">
        <v>1</v>
      </c>
      <c r="S209" s="131">
        <v>7125</v>
      </c>
      <c r="T209" s="131">
        <v>0.82399999999999995</v>
      </c>
      <c r="U209" s="131">
        <v>72.430000000000007</v>
      </c>
      <c r="V209" s="132">
        <v>2.0000000000000002E-5</v>
      </c>
      <c r="W209" s="132">
        <f t="shared" si="3"/>
        <v>2.6987642878852315E-3</v>
      </c>
      <c r="X209" s="132">
        <v>9.090337851076343E-5</v>
      </c>
    </row>
    <row r="210" spans="1:24">
      <c r="A210" t="s">
        <v>1213</v>
      </c>
      <c r="B210" s="4">
        <v>13498</v>
      </c>
      <c r="C210" t="s">
        <v>3634</v>
      </c>
      <c r="D210" t="s">
        <v>3635</v>
      </c>
      <c r="E210" t="s">
        <v>309</v>
      </c>
      <c r="F210" t="s">
        <v>3634</v>
      </c>
      <c r="G210" t="s">
        <v>3636</v>
      </c>
      <c r="H210" t="s">
        <v>321</v>
      </c>
      <c r="I210" t="s">
        <v>917</v>
      </c>
      <c r="J210" t="s">
        <v>204</v>
      </c>
      <c r="K210" t="s">
        <v>204</v>
      </c>
      <c r="L210" t="s">
        <v>325</v>
      </c>
      <c r="M210" t="s">
        <v>340</v>
      </c>
      <c r="N210" t="s">
        <v>462</v>
      </c>
      <c r="O210" t="s">
        <v>339</v>
      </c>
      <c r="P210" t="s">
        <v>1212</v>
      </c>
      <c r="Q210" s="131">
        <v>3292</v>
      </c>
      <c r="R210" s="131">
        <v>1</v>
      </c>
      <c r="S210" s="131">
        <v>2141</v>
      </c>
      <c r="U210" s="131">
        <v>70.481999999999999</v>
      </c>
      <c r="V210" s="132">
        <v>3.0000000000000001E-5</v>
      </c>
      <c r="W210" s="132">
        <f t="shared" si="3"/>
        <v>2.6261812030750637E-3</v>
      </c>
      <c r="X210" s="132">
        <v>8.8458538232716113E-5</v>
      </c>
    </row>
    <row r="211" spans="1:24">
      <c r="A211" t="s">
        <v>1213</v>
      </c>
      <c r="B211" s="4">
        <v>13498</v>
      </c>
      <c r="C211" t="s">
        <v>2298</v>
      </c>
      <c r="D211" t="s">
        <v>2299</v>
      </c>
      <c r="E211" t="s">
        <v>309</v>
      </c>
      <c r="F211" t="s">
        <v>3481</v>
      </c>
      <c r="G211" t="s">
        <v>3482</v>
      </c>
      <c r="H211" t="s">
        <v>321</v>
      </c>
      <c r="I211" t="s">
        <v>917</v>
      </c>
      <c r="J211" t="s">
        <v>204</v>
      </c>
      <c r="K211" t="s">
        <v>204</v>
      </c>
      <c r="L211" t="s">
        <v>325</v>
      </c>
      <c r="M211" t="s">
        <v>340</v>
      </c>
      <c r="N211" t="s">
        <v>462</v>
      </c>
      <c r="O211" t="s">
        <v>339</v>
      </c>
      <c r="P211" t="s">
        <v>1212</v>
      </c>
      <c r="Q211" s="131">
        <v>3468</v>
      </c>
      <c r="R211" s="131">
        <v>1</v>
      </c>
      <c r="S211" s="131">
        <v>1991</v>
      </c>
      <c r="U211" s="131">
        <v>69.048000000000002</v>
      </c>
      <c r="V211" s="132">
        <v>4.0000000000000003E-5</v>
      </c>
      <c r="W211" s="132">
        <f t="shared" si="3"/>
        <v>2.5727499178503305E-3</v>
      </c>
      <c r="X211" s="132">
        <v>8.6658794414071427E-5</v>
      </c>
    </row>
    <row r="212" spans="1:24">
      <c r="A212" t="s">
        <v>1213</v>
      </c>
      <c r="B212" s="4">
        <v>13498</v>
      </c>
      <c r="C212" t="s">
        <v>2812</v>
      </c>
      <c r="D212" t="s">
        <v>2813</v>
      </c>
      <c r="E212" t="s">
        <v>309</v>
      </c>
      <c r="F212" t="s">
        <v>2812</v>
      </c>
      <c r="G212" t="s">
        <v>3637</v>
      </c>
      <c r="H212" t="s">
        <v>321</v>
      </c>
      <c r="I212" t="s">
        <v>917</v>
      </c>
      <c r="J212" t="s">
        <v>204</v>
      </c>
      <c r="K212" t="s">
        <v>204</v>
      </c>
      <c r="L212" t="s">
        <v>325</v>
      </c>
      <c r="M212" t="s">
        <v>340</v>
      </c>
      <c r="N212" t="s">
        <v>447</v>
      </c>
      <c r="O212" t="s">
        <v>339</v>
      </c>
      <c r="P212" t="s">
        <v>1212</v>
      </c>
      <c r="Q212" s="131">
        <v>257</v>
      </c>
      <c r="R212" s="131">
        <v>1</v>
      </c>
      <c r="S212" s="131">
        <v>24250</v>
      </c>
      <c r="U212" s="131">
        <v>62.323</v>
      </c>
      <c r="V212" s="132">
        <v>2.0000000000000002E-5</v>
      </c>
      <c r="W212" s="132">
        <f t="shared" si="3"/>
        <v>2.3221743298891518E-3</v>
      </c>
      <c r="X212" s="132">
        <v>7.8218573228307461E-5</v>
      </c>
    </row>
    <row r="213" spans="1:24">
      <c r="A213" t="s">
        <v>1213</v>
      </c>
      <c r="B213" s="4">
        <v>13498</v>
      </c>
      <c r="C213" t="s">
        <v>2595</v>
      </c>
      <c r="D213" t="s">
        <v>2596</v>
      </c>
      <c r="E213" t="s">
        <v>309</v>
      </c>
      <c r="F213" t="s">
        <v>2595</v>
      </c>
      <c r="G213" t="s">
        <v>3638</v>
      </c>
      <c r="H213" t="s">
        <v>321</v>
      </c>
      <c r="I213" t="s">
        <v>917</v>
      </c>
      <c r="J213" t="s">
        <v>204</v>
      </c>
      <c r="K213" t="s">
        <v>204</v>
      </c>
      <c r="L213" t="s">
        <v>325</v>
      </c>
      <c r="M213" t="s">
        <v>340</v>
      </c>
      <c r="N213" t="s">
        <v>484</v>
      </c>
      <c r="O213" t="s">
        <v>339</v>
      </c>
      <c r="P213" t="s">
        <v>1212</v>
      </c>
      <c r="Q213" s="131">
        <v>3864</v>
      </c>
      <c r="R213" s="131">
        <v>1</v>
      </c>
      <c r="S213" s="131">
        <v>1606</v>
      </c>
      <c r="U213" s="131">
        <v>62.055999999999997</v>
      </c>
      <c r="V213" s="132">
        <v>2.0000000000000002E-5</v>
      </c>
      <c r="W213" s="132">
        <f t="shared" si="3"/>
        <v>2.3122258269916594E-3</v>
      </c>
      <c r="X213" s="132">
        <v>7.7883474483831768E-5</v>
      </c>
    </row>
    <row r="214" spans="1:24">
      <c r="A214" t="s">
        <v>1213</v>
      </c>
      <c r="B214" s="4">
        <v>13498</v>
      </c>
      <c r="C214" t="s">
        <v>2328</v>
      </c>
      <c r="D214" t="s">
        <v>2329</v>
      </c>
      <c r="E214" t="s">
        <v>309</v>
      </c>
      <c r="F214" t="s">
        <v>2328</v>
      </c>
      <c r="G214" t="s">
        <v>3639</v>
      </c>
      <c r="H214" t="s">
        <v>321</v>
      </c>
      <c r="I214" t="s">
        <v>917</v>
      </c>
      <c r="J214" t="s">
        <v>204</v>
      </c>
      <c r="K214" t="s">
        <v>204</v>
      </c>
      <c r="L214" t="s">
        <v>325</v>
      </c>
      <c r="M214" t="s">
        <v>340</v>
      </c>
      <c r="N214" t="s">
        <v>465</v>
      </c>
      <c r="O214" t="s">
        <v>339</v>
      </c>
      <c r="P214" t="s">
        <v>1212</v>
      </c>
      <c r="Q214" s="131">
        <v>986</v>
      </c>
      <c r="R214" s="131">
        <v>1</v>
      </c>
      <c r="S214" s="131">
        <v>5570</v>
      </c>
      <c r="U214" s="131">
        <v>54.92</v>
      </c>
      <c r="V214" s="132">
        <v>1.0000000000000001E-5</v>
      </c>
      <c r="W214" s="132">
        <f t="shared" si="3"/>
        <v>2.0463362514242288E-3</v>
      </c>
      <c r="X214" s="132">
        <v>6.8927427140841197E-5</v>
      </c>
    </row>
    <row r="215" spans="1:24">
      <c r="A215" t="s">
        <v>1213</v>
      </c>
      <c r="B215" s="4">
        <v>13498</v>
      </c>
      <c r="C215" t="s">
        <v>2558</v>
      </c>
      <c r="D215" t="s">
        <v>2559</v>
      </c>
      <c r="E215" t="s">
        <v>309</v>
      </c>
      <c r="F215" t="s">
        <v>3640</v>
      </c>
      <c r="G215" t="s">
        <v>3641</v>
      </c>
      <c r="H215" t="s">
        <v>321</v>
      </c>
      <c r="I215" t="s">
        <v>917</v>
      </c>
      <c r="J215" t="s">
        <v>204</v>
      </c>
      <c r="K215" t="s">
        <v>204</v>
      </c>
      <c r="L215" t="s">
        <v>325</v>
      </c>
      <c r="M215" t="s">
        <v>340</v>
      </c>
      <c r="N215" t="s">
        <v>464</v>
      </c>
      <c r="O215" t="s">
        <v>339</v>
      </c>
      <c r="P215" t="s">
        <v>1212</v>
      </c>
      <c r="Q215" s="131">
        <v>6776</v>
      </c>
      <c r="R215" s="131">
        <v>1</v>
      </c>
      <c r="S215" s="131">
        <v>768.4</v>
      </c>
      <c r="U215" s="131">
        <v>52.067</v>
      </c>
      <c r="V215" s="132">
        <v>5.0000000000000002E-5</v>
      </c>
      <c r="W215" s="132">
        <f t="shared" si="3"/>
        <v>1.9400325856319251E-3</v>
      </c>
      <c r="X215" s="132">
        <v>6.5346765275713372E-5</v>
      </c>
    </row>
    <row r="216" spans="1:24">
      <c r="A216" t="s">
        <v>1213</v>
      </c>
      <c r="B216" s="4">
        <v>13498</v>
      </c>
      <c r="C216" t="s">
        <v>1691</v>
      </c>
      <c r="D216" t="s">
        <v>1692</v>
      </c>
      <c r="E216" t="s">
        <v>309</v>
      </c>
      <c r="F216" t="s">
        <v>3478</v>
      </c>
      <c r="G216" t="s">
        <v>3479</v>
      </c>
      <c r="H216" t="s">
        <v>321</v>
      </c>
      <c r="I216" t="s">
        <v>917</v>
      </c>
      <c r="J216" t="s">
        <v>204</v>
      </c>
      <c r="K216" t="s">
        <v>204</v>
      </c>
      <c r="L216" t="s">
        <v>325</v>
      </c>
      <c r="M216" t="s">
        <v>340</v>
      </c>
      <c r="N216" t="s">
        <v>464</v>
      </c>
      <c r="O216" t="s">
        <v>339</v>
      </c>
      <c r="P216" t="s">
        <v>1212</v>
      </c>
      <c r="Q216" s="131">
        <v>3408</v>
      </c>
      <c r="R216" s="131">
        <v>1</v>
      </c>
      <c r="S216" s="131">
        <v>1513</v>
      </c>
      <c r="U216" s="131">
        <v>51.563000000000002</v>
      </c>
      <c r="V216" s="132">
        <v>2.0000000000000002E-5</v>
      </c>
      <c r="W216" s="132">
        <f t="shared" si="3"/>
        <v>1.9212533891512658E-3</v>
      </c>
      <c r="X216" s="132">
        <v>6.4714219331085118E-5</v>
      </c>
    </row>
    <row r="217" spans="1:24">
      <c r="A217" t="s">
        <v>1213</v>
      </c>
      <c r="B217" s="4">
        <v>13498</v>
      </c>
      <c r="C217" t="s">
        <v>3642</v>
      </c>
      <c r="D217" t="s">
        <v>3643</v>
      </c>
      <c r="E217" t="s">
        <v>309</v>
      </c>
      <c r="F217" t="s">
        <v>3642</v>
      </c>
      <c r="G217" t="s">
        <v>3644</v>
      </c>
      <c r="H217" t="s">
        <v>321</v>
      </c>
      <c r="I217" t="s">
        <v>917</v>
      </c>
      <c r="J217" t="s">
        <v>204</v>
      </c>
      <c r="K217" t="s">
        <v>204</v>
      </c>
      <c r="L217" t="s">
        <v>325</v>
      </c>
      <c r="M217" t="s">
        <v>340</v>
      </c>
      <c r="N217" t="s">
        <v>445</v>
      </c>
      <c r="O217" t="s">
        <v>339</v>
      </c>
      <c r="P217" t="s">
        <v>1212</v>
      </c>
      <c r="Q217" s="131">
        <v>9955</v>
      </c>
      <c r="R217" s="131">
        <v>1</v>
      </c>
      <c r="S217" s="131">
        <v>508.2</v>
      </c>
      <c r="U217" s="131">
        <v>50.591000000000001</v>
      </c>
      <c r="V217" s="132">
        <v>1.0000000000000001E-5</v>
      </c>
      <c r="W217" s="132">
        <f t="shared" si="3"/>
        <v>1.885036367367137E-3</v>
      </c>
      <c r="X217" s="132">
        <v>6.3494309295016328E-5</v>
      </c>
    </row>
    <row r="218" spans="1:24">
      <c r="A218" t="s">
        <v>1213</v>
      </c>
      <c r="B218" s="4">
        <v>13498</v>
      </c>
      <c r="C218" t="s">
        <v>2356</v>
      </c>
      <c r="D218" t="s">
        <v>2357</v>
      </c>
      <c r="E218" t="s">
        <v>309</v>
      </c>
      <c r="F218" t="s">
        <v>2356</v>
      </c>
      <c r="G218" t="s">
        <v>3645</v>
      </c>
      <c r="H218" t="s">
        <v>321</v>
      </c>
      <c r="I218" t="s">
        <v>917</v>
      </c>
      <c r="J218" t="s">
        <v>204</v>
      </c>
      <c r="K218" t="s">
        <v>204</v>
      </c>
      <c r="L218" t="s">
        <v>325</v>
      </c>
      <c r="M218" t="s">
        <v>340</v>
      </c>
      <c r="N218" t="s">
        <v>447</v>
      </c>
      <c r="O218" t="s">
        <v>339</v>
      </c>
      <c r="P218" t="s">
        <v>1212</v>
      </c>
      <c r="Q218" s="131">
        <v>5239.7</v>
      </c>
      <c r="R218" s="131">
        <v>1</v>
      </c>
      <c r="S218" s="131">
        <v>898.1</v>
      </c>
      <c r="U218" s="131">
        <v>47.058</v>
      </c>
      <c r="V218" s="132">
        <v>1.0000000000000001E-5</v>
      </c>
      <c r="W218" s="132">
        <f t="shared" si="3"/>
        <v>1.753395690450134E-3</v>
      </c>
      <c r="X218" s="132">
        <v>5.9060212425231329E-5</v>
      </c>
    </row>
    <row r="219" spans="1:24">
      <c r="A219" t="s">
        <v>1213</v>
      </c>
      <c r="B219" s="4">
        <v>13498</v>
      </c>
      <c r="C219" t="s">
        <v>3646</v>
      </c>
      <c r="D219" t="s">
        <v>3647</v>
      </c>
      <c r="E219" t="s">
        <v>309</v>
      </c>
      <c r="F219" t="s">
        <v>3648</v>
      </c>
      <c r="G219" t="s">
        <v>3649</v>
      </c>
      <c r="H219" t="s">
        <v>321</v>
      </c>
      <c r="I219" t="s">
        <v>917</v>
      </c>
      <c r="J219" t="s">
        <v>204</v>
      </c>
      <c r="K219" t="s">
        <v>204</v>
      </c>
      <c r="L219" t="s">
        <v>325</v>
      </c>
      <c r="M219" t="s">
        <v>340</v>
      </c>
      <c r="N219" t="s">
        <v>477</v>
      </c>
      <c r="O219" t="s">
        <v>339</v>
      </c>
      <c r="P219" t="s">
        <v>1212</v>
      </c>
      <c r="Q219" s="131">
        <v>122</v>
      </c>
      <c r="R219" s="131">
        <v>1</v>
      </c>
      <c r="S219" s="131">
        <v>34100</v>
      </c>
      <c r="U219" s="131">
        <v>41.601999999999997</v>
      </c>
      <c r="V219" s="132">
        <v>2.0000000000000002E-5</v>
      </c>
      <c r="W219" s="132">
        <f t="shared" si="3"/>
        <v>1.5501034364849009E-3</v>
      </c>
      <c r="X219" s="132">
        <v>5.2212651564334944E-5</v>
      </c>
    </row>
    <row r="220" spans="1:24">
      <c r="A220" t="s">
        <v>1213</v>
      </c>
      <c r="B220" s="4">
        <v>13498</v>
      </c>
      <c r="C220" t="s">
        <v>3650</v>
      </c>
      <c r="D220" t="s">
        <v>3651</v>
      </c>
      <c r="E220" t="s">
        <v>309</v>
      </c>
      <c r="F220" t="s">
        <v>3650</v>
      </c>
      <c r="G220" t="s">
        <v>3652</v>
      </c>
      <c r="H220" t="s">
        <v>321</v>
      </c>
      <c r="I220" t="s">
        <v>917</v>
      </c>
      <c r="J220" t="s">
        <v>204</v>
      </c>
      <c r="K220" t="s">
        <v>204</v>
      </c>
      <c r="L220" t="s">
        <v>325</v>
      </c>
      <c r="M220" t="s">
        <v>340</v>
      </c>
      <c r="N220" t="s">
        <v>443</v>
      </c>
      <c r="O220" t="s">
        <v>339</v>
      </c>
      <c r="P220" t="s">
        <v>1212</v>
      </c>
      <c r="Q220" s="131">
        <v>20000</v>
      </c>
      <c r="R220" s="131">
        <v>1</v>
      </c>
      <c r="S220" s="131">
        <v>163.80000000000001</v>
      </c>
      <c r="U220" s="131">
        <v>32.76</v>
      </c>
      <c r="V220" s="132">
        <v>8.0000000000000007E-5</v>
      </c>
      <c r="W220" s="132">
        <f t="shared" si="3"/>
        <v>1.2206477712428576E-3</v>
      </c>
      <c r="X220" s="132">
        <v>4.1115486400836805E-5</v>
      </c>
    </row>
    <row r="221" spans="1:24">
      <c r="A221" t="s">
        <v>1213</v>
      </c>
      <c r="B221" s="4">
        <v>13498</v>
      </c>
      <c r="C221" t="s">
        <v>1893</v>
      </c>
      <c r="D221" t="s">
        <v>1894</v>
      </c>
      <c r="E221" t="s">
        <v>309</v>
      </c>
      <c r="F221" t="s">
        <v>1893</v>
      </c>
      <c r="G221" t="s">
        <v>3599</v>
      </c>
      <c r="H221" t="s">
        <v>321</v>
      </c>
      <c r="I221" t="s">
        <v>917</v>
      </c>
      <c r="J221" t="s">
        <v>204</v>
      </c>
      <c r="K221" t="s">
        <v>204</v>
      </c>
      <c r="L221" t="s">
        <v>325</v>
      </c>
      <c r="M221" t="s">
        <v>340</v>
      </c>
      <c r="N221" t="s">
        <v>464</v>
      </c>
      <c r="O221" t="s">
        <v>339</v>
      </c>
      <c r="P221" t="s">
        <v>1212</v>
      </c>
      <c r="Q221" s="131">
        <v>300</v>
      </c>
      <c r="R221" s="131">
        <v>1</v>
      </c>
      <c r="S221" s="131">
        <v>9550</v>
      </c>
      <c r="U221" s="131">
        <v>28.65</v>
      </c>
      <c r="V221" s="132">
        <v>1.0000000000000001E-5</v>
      </c>
      <c r="W221" s="132">
        <f t="shared" si="3"/>
        <v>1.0675078951803379E-3</v>
      </c>
      <c r="X221" s="132">
        <v>3.5957224828570645E-5</v>
      </c>
    </row>
    <row r="222" spans="1:24">
      <c r="A222" t="s">
        <v>1213</v>
      </c>
      <c r="B222" s="4">
        <v>13498</v>
      </c>
      <c r="C222" t="s">
        <v>3653</v>
      </c>
      <c r="D222" t="s">
        <v>3654</v>
      </c>
      <c r="E222" t="s">
        <v>309</v>
      </c>
      <c r="F222" t="s">
        <v>3653</v>
      </c>
      <c r="G222" t="s">
        <v>3655</v>
      </c>
      <c r="H222" t="s">
        <v>321</v>
      </c>
      <c r="I222" t="s">
        <v>917</v>
      </c>
      <c r="J222" t="s">
        <v>204</v>
      </c>
      <c r="K222" t="s">
        <v>204</v>
      </c>
      <c r="L222" t="s">
        <v>325</v>
      </c>
      <c r="M222" t="s">
        <v>340</v>
      </c>
      <c r="N222" t="s">
        <v>475</v>
      </c>
      <c r="O222" t="s">
        <v>339</v>
      </c>
      <c r="P222" t="s">
        <v>1212</v>
      </c>
      <c r="Q222" s="131">
        <v>122</v>
      </c>
      <c r="R222" s="131">
        <v>1</v>
      </c>
      <c r="S222" s="131">
        <v>20800</v>
      </c>
      <c r="U222" s="131">
        <v>25.376000000000001</v>
      </c>
      <c r="V222" s="132">
        <v>1.0000000000000001E-5</v>
      </c>
      <c r="W222" s="132">
        <f t="shared" si="3"/>
        <v>9.4551763867700722E-4</v>
      </c>
      <c r="X222" s="132">
        <v>3.1848186291441844E-5</v>
      </c>
    </row>
    <row r="223" spans="1:24">
      <c r="A223" t="s">
        <v>1213</v>
      </c>
      <c r="B223" s="4">
        <v>13498</v>
      </c>
      <c r="C223" t="s">
        <v>3656</v>
      </c>
      <c r="D223" t="s">
        <v>3657</v>
      </c>
      <c r="E223" t="s">
        <v>309</v>
      </c>
      <c r="F223" t="s">
        <v>3656</v>
      </c>
      <c r="G223" t="s">
        <v>3658</v>
      </c>
      <c r="H223" t="s">
        <v>321</v>
      </c>
      <c r="I223" t="s">
        <v>917</v>
      </c>
      <c r="J223" t="s">
        <v>204</v>
      </c>
      <c r="K223" t="s">
        <v>204</v>
      </c>
      <c r="L223" t="s">
        <v>325</v>
      </c>
      <c r="M223" t="s">
        <v>340</v>
      </c>
      <c r="N223" t="s">
        <v>462</v>
      </c>
      <c r="O223" t="s">
        <v>339</v>
      </c>
      <c r="P223" t="s">
        <v>1212</v>
      </c>
      <c r="Q223" s="131">
        <v>5000</v>
      </c>
      <c r="R223" s="131">
        <v>1</v>
      </c>
      <c r="S223" s="131">
        <v>445.1</v>
      </c>
      <c r="U223" s="131">
        <v>22.254999999999999</v>
      </c>
      <c r="V223" s="132">
        <v>9.0000000000000006E-5</v>
      </c>
      <c r="W223" s="132">
        <f t="shared" si="3"/>
        <v>8.2922820967673365E-4</v>
      </c>
      <c r="X223" s="132">
        <v>2.7931170630360899E-5</v>
      </c>
    </row>
    <row r="224" spans="1:24">
      <c r="A224" t="s">
        <v>1213</v>
      </c>
      <c r="B224" s="4">
        <v>13498</v>
      </c>
      <c r="C224" t="s">
        <v>2396</v>
      </c>
      <c r="D224" t="s">
        <v>2397</v>
      </c>
      <c r="E224" t="s">
        <v>309</v>
      </c>
      <c r="F224" t="s">
        <v>2396</v>
      </c>
      <c r="G224" t="s">
        <v>3659</v>
      </c>
      <c r="H224" t="s">
        <v>321</v>
      </c>
      <c r="I224" t="s">
        <v>917</v>
      </c>
      <c r="J224" t="s">
        <v>204</v>
      </c>
      <c r="K224" t="s">
        <v>204</v>
      </c>
      <c r="L224" t="s">
        <v>325</v>
      </c>
      <c r="M224" t="s">
        <v>340</v>
      </c>
      <c r="N224" t="s">
        <v>451</v>
      </c>
      <c r="O224" t="s">
        <v>339</v>
      </c>
      <c r="P224" t="s">
        <v>1212</v>
      </c>
      <c r="Q224" s="131">
        <v>28770</v>
      </c>
      <c r="R224" s="131">
        <v>1</v>
      </c>
      <c r="S224" s="131">
        <v>64.8</v>
      </c>
      <c r="U224" s="131">
        <v>18.643000000000001</v>
      </c>
      <c r="V224" s="132">
        <v>2.0000000000000002E-5</v>
      </c>
      <c r="W224" s="132">
        <f t="shared" si="3"/>
        <v>6.9464396823200835E-4</v>
      </c>
      <c r="X224" s="132">
        <v>2.3397924693858383E-5</v>
      </c>
    </row>
    <row r="225" spans="1:24">
      <c r="A225" t="s">
        <v>1213</v>
      </c>
      <c r="B225" s="4">
        <v>13498</v>
      </c>
      <c r="C225" t="s">
        <v>3660</v>
      </c>
      <c r="D225" t="s">
        <v>3661</v>
      </c>
      <c r="E225" t="s">
        <v>309</v>
      </c>
      <c r="F225" t="s">
        <v>3660</v>
      </c>
      <c r="G225" t="s">
        <v>3662</v>
      </c>
      <c r="H225" t="s">
        <v>321</v>
      </c>
      <c r="I225" t="s">
        <v>917</v>
      </c>
      <c r="J225" t="s">
        <v>204</v>
      </c>
      <c r="K225" t="s">
        <v>204</v>
      </c>
      <c r="L225" t="s">
        <v>325</v>
      </c>
      <c r="M225" t="s">
        <v>340</v>
      </c>
      <c r="N225" t="s">
        <v>459</v>
      </c>
      <c r="O225" t="s">
        <v>339</v>
      </c>
      <c r="P225" t="s">
        <v>1212</v>
      </c>
      <c r="Q225" s="131">
        <v>1000</v>
      </c>
      <c r="R225" s="131">
        <v>1</v>
      </c>
      <c r="S225" s="131">
        <v>1757</v>
      </c>
      <c r="U225" s="131">
        <v>17.57</v>
      </c>
      <c r="V225" s="132">
        <v>1.0000000000000001E-5</v>
      </c>
      <c r="W225" s="132">
        <f t="shared" si="3"/>
        <v>6.5466365508965222E-4</v>
      </c>
      <c r="X225" s="132">
        <v>2.205125445856846E-5</v>
      </c>
    </row>
    <row r="226" spans="1:24">
      <c r="A226" t="s">
        <v>1213</v>
      </c>
      <c r="B226" s="4">
        <v>13498</v>
      </c>
      <c r="C226" t="s">
        <v>3498</v>
      </c>
      <c r="D226" t="s">
        <v>3499</v>
      </c>
      <c r="E226" t="s">
        <v>309</v>
      </c>
      <c r="F226" t="s">
        <v>3500</v>
      </c>
      <c r="G226" t="s">
        <v>3501</v>
      </c>
      <c r="H226" t="s">
        <v>321</v>
      </c>
      <c r="I226" t="s">
        <v>917</v>
      </c>
      <c r="J226" t="s">
        <v>204</v>
      </c>
      <c r="K226" t="s">
        <v>204</v>
      </c>
      <c r="L226" t="s">
        <v>325</v>
      </c>
      <c r="M226" t="s">
        <v>340</v>
      </c>
      <c r="N226" t="s">
        <v>476</v>
      </c>
      <c r="O226" t="s">
        <v>339</v>
      </c>
      <c r="P226" t="s">
        <v>1212</v>
      </c>
      <c r="Q226" s="131">
        <v>319</v>
      </c>
      <c r="R226" s="131">
        <v>1</v>
      </c>
      <c r="S226" s="131">
        <v>5029</v>
      </c>
      <c r="U226" s="131">
        <v>16.042999999999999</v>
      </c>
      <c r="V226" s="132">
        <v>0</v>
      </c>
      <c r="W226" s="132">
        <f t="shared" si="3"/>
        <v>5.9776716099051175E-4</v>
      </c>
      <c r="X226" s="132">
        <v>2.0134790852522126E-5</v>
      </c>
    </row>
    <row r="227" spans="1:24">
      <c r="A227" t="s">
        <v>1213</v>
      </c>
      <c r="B227" s="4">
        <v>13498</v>
      </c>
      <c r="C227" t="s">
        <v>2866</v>
      </c>
      <c r="D227" t="s">
        <v>2867</v>
      </c>
      <c r="E227" t="s">
        <v>309</v>
      </c>
      <c r="F227" t="s">
        <v>2866</v>
      </c>
      <c r="G227" t="s">
        <v>3663</v>
      </c>
      <c r="H227" t="s">
        <v>321</v>
      </c>
      <c r="I227" t="s">
        <v>917</v>
      </c>
      <c r="J227" t="s">
        <v>204</v>
      </c>
      <c r="K227" t="s">
        <v>204</v>
      </c>
      <c r="L227" t="s">
        <v>325</v>
      </c>
      <c r="M227" t="s">
        <v>340</v>
      </c>
      <c r="N227" t="s">
        <v>464</v>
      </c>
      <c r="O227" t="s">
        <v>339</v>
      </c>
      <c r="P227" t="s">
        <v>1212</v>
      </c>
      <c r="Q227" s="131">
        <v>2777.78</v>
      </c>
      <c r="R227" s="131">
        <v>1</v>
      </c>
      <c r="S227" s="131">
        <v>399.6</v>
      </c>
      <c r="U227" s="131">
        <v>11.1</v>
      </c>
      <c r="V227" s="132">
        <v>2.0000000000000002E-5</v>
      </c>
      <c r="W227" s="132">
        <f t="shared" si="3"/>
        <v>4.1358944630023561E-4</v>
      </c>
      <c r="X227" s="132">
        <v>1.3931071399550932E-5</v>
      </c>
    </row>
    <row r="228" spans="1:24">
      <c r="A228" t="s">
        <v>1213</v>
      </c>
      <c r="B228" s="4">
        <v>13498</v>
      </c>
      <c r="C228" t="s">
        <v>2735</v>
      </c>
      <c r="D228" t="s">
        <v>2736</v>
      </c>
      <c r="E228" t="s">
        <v>309</v>
      </c>
      <c r="F228" t="s">
        <v>3514</v>
      </c>
      <c r="G228" t="s">
        <v>3515</v>
      </c>
      <c r="H228" t="s">
        <v>321</v>
      </c>
      <c r="I228" t="s">
        <v>917</v>
      </c>
      <c r="J228" t="s">
        <v>204</v>
      </c>
      <c r="K228" t="s">
        <v>204</v>
      </c>
      <c r="L228" t="s">
        <v>325</v>
      </c>
      <c r="M228" t="s">
        <v>340</v>
      </c>
      <c r="N228" t="s">
        <v>462</v>
      </c>
      <c r="O228" t="s">
        <v>339</v>
      </c>
      <c r="P228" t="s">
        <v>1212</v>
      </c>
      <c r="Q228" s="131">
        <v>42</v>
      </c>
      <c r="R228" s="131">
        <v>1</v>
      </c>
      <c r="S228" s="131">
        <v>19990</v>
      </c>
      <c r="U228" s="131">
        <v>8.3960000000000008</v>
      </c>
      <c r="V228" s="132">
        <v>0</v>
      </c>
      <c r="W228" s="132">
        <f t="shared" si="3"/>
        <v>3.1283756676907915E-4</v>
      </c>
      <c r="X228" s="132">
        <v>1.053741220456123E-5</v>
      </c>
    </row>
    <row r="229" spans="1:24">
      <c r="A229" t="s">
        <v>1213</v>
      </c>
      <c r="B229" s="4">
        <v>13498</v>
      </c>
      <c r="C229" t="s">
        <v>1718</v>
      </c>
      <c r="D229" t="s">
        <v>1719</v>
      </c>
      <c r="E229" t="s">
        <v>309</v>
      </c>
      <c r="F229" t="s">
        <v>3664</v>
      </c>
      <c r="G229" t="s">
        <v>3665</v>
      </c>
      <c r="H229" t="s">
        <v>321</v>
      </c>
      <c r="I229" t="s">
        <v>917</v>
      </c>
      <c r="J229" t="s">
        <v>204</v>
      </c>
      <c r="K229" t="s">
        <v>204</v>
      </c>
      <c r="L229" t="s">
        <v>325</v>
      </c>
      <c r="M229" t="s">
        <v>340</v>
      </c>
      <c r="N229" t="s">
        <v>440</v>
      </c>
      <c r="O229" t="s">
        <v>339</v>
      </c>
      <c r="P229" t="s">
        <v>1212</v>
      </c>
      <c r="Q229" s="131">
        <v>80</v>
      </c>
      <c r="R229" s="131">
        <v>1</v>
      </c>
      <c r="S229" s="131">
        <v>5597</v>
      </c>
      <c r="U229" s="131">
        <v>4.4779999999999998</v>
      </c>
      <c r="V229" s="132">
        <v>1.0000000000000001E-5</v>
      </c>
      <c r="W229" s="132">
        <f t="shared" si="3"/>
        <v>1.6685167031823918E-4</v>
      </c>
      <c r="X229" s="132">
        <v>5.6201205159629797E-6</v>
      </c>
    </row>
    <row r="230" spans="1:24">
      <c r="A230" t="s">
        <v>1213</v>
      </c>
      <c r="B230" s="4">
        <v>13498</v>
      </c>
      <c r="C230" t="s">
        <v>2839</v>
      </c>
      <c r="D230" t="s">
        <v>2840</v>
      </c>
      <c r="E230" t="s">
        <v>309</v>
      </c>
      <c r="F230" t="s">
        <v>3666</v>
      </c>
      <c r="G230" t="s">
        <v>3667</v>
      </c>
      <c r="H230" t="s">
        <v>321</v>
      </c>
      <c r="I230" t="s">
        <v>917</v>
      </c>
      <c r="J230" t="s">
        <v>204</v>
      </c>
      <c r="K230" t="s">
        <v>204</v>
      </c>
      <c r="L230" t="s">
        <v>325</v>
      </c>
      <c r="M230" t="s">
        <v>340</v>
      </c>
      <c r="N230" t="s">
        <v>437</v>
      </c>
      <c r="O230" t="s">
        <v>339</v>
      </c>
      <c r="P230" t="s">
        <v>1212</v>
      </c>
      <c r="Q230" s="131">
        <v>24</v>
      </c>
      <c r="R230" s="131">
        <v>1</v>
      </c>
      <c r="S230" s="131">
        <v>16850</v>
      </c>
      <c r="U230" s="131">
        <v>4.0439999999999996</v>
      </c>
      <c r="V230" s="132">
        <v>0</v>
      </c>
      <c r="W230" s="132">
        <f t="shared" si="3"/>
        <v>1.5068069557100475E-4</v>
      </c>
      <c r="X230" s="132">
        <v>5.0754281747553125E-6</v>
      </c>
    </row>
    <row r="231" spans="1:24">
      <c r="A231" t="s">
        <v>1213</v>
      </c>
      <c r="B231" s="4">
        <v>13500</v>
      </c>
      <c r="C231" t="s">
        <v>2089</v>
      </c>
      <c r="D231" t="s">
        <v>2090</v>
      </c>
      <c r="E231" t="s">
        <v>309</v>
      </c>
      <c r="F231" t="s">
        <v>2089</v>
      </c>
      <c r="G231" t="s">
        <v>3405</v>
      </c>
      <c r="H231" t="s">
        <v>321</v>
      </c>
      <c r="I231" t="s">
        <v>917</v>
      </c>
      <c r="J231" t="s">
        <v>204</v>
      </c>
      <c r="K231" t="s">
        <v>204</v>
      </c>
      <c r="L231" t="s">
        <v>325</v>
      </c>
      <c r="M231" t="s">
        <v>340</v>
      </c>
      <c r="N231" t="s">
        <v>467</v>
      </c>
      <c r="O231" t="s">
        <v>339</v>
      </c>
      <c r="P231" t="s">
        <v>1212</v>
      </c>
      <c r="Q231" s="131">
        <v>30728</v>
      </c>
      <c r="R231" s="131">
        <v>1</v>
      </c>
      <c r="S231" s="131">
        <v>6629</v>
      </c>
      <c r="U231" s="131">
        <v>2036.9590000000001</v>
      </c>
      <c r="V231" s="132">
        <v>2.0000000000000002E-5</v>
      </c>
      <c r="W231" s="132">
        <f t="shared" si="3"/>
        <v>6.9914563850305769E-2</v>
      </c>
      <c r="X231" s="132">
        <v>6.8509647250624868E-3</v>
      </c>
    </row>
    <row r="232" spans="1:24">
      <c r="A232" t="s">
        <v>1213</v>
      </c>
      <c r="B232" s="4">
        <v>13500</v>
      </c>
      <c r="C232" t="s">
        <v>1573</v>
      </c>
      <c r="D232" t="s">
        <v>1574</v>
      </c>
      <c r="E232" t="s">
        <v>309</v>
      </c>
      <c r="F232" t="s">
        <v>1573</v>
      </c>
      <c r="G232" t="s">
        <v>3404</v>
      </c>
      <c r="H232" t="s">
        <v>321</v>
      </c>
      <c r="I232" t="s">
        <v>917</v>
      </c>
      <c r="J232" t="s">
        <v>204</v>
      </c>
      <c r="K232" t="s">
        <v>204</v>
      </c>
      <c r="L232" t="s">
        <v>325</v>
      </c>
      <c r="M232" t="s">
        <v>340</v>
      </c>
      <c r="N232" t="s">
        <v>448</v>
      </c>
      <c r="O232" t="s">
        <v>339</v>
      </c>
      <c r="P232" t="s">
        <v>1212</v>
      </c>
      <c r="Q232" s="131">
        <v>52491</v>
      </c>
      <c r="R232" s="131">
        <v>1</v>
      </c>
      <c r="S232" s="131">
        <v>3644</v>
      </c>
      <c r="U232" s="131">
        <v>1912.7719999999999</v>
      </c>
      <c r="V232" s="132">
        <v>3.0000000000000001E-5</v>
      </c>
      <c r="W232" s="132">
        <f t="shared" si="3"/>
        <v>6.5652092224279951E-2</v>
      </c>
      <c r="X232" s="132">
        <v>6.4332828982258464E-3</v>
      </c>
    </row>
    <row r="233" spans="1:24">
      <c r="A233" t="s">
        <v>1213</v>
      </c>
      <c r="B233" s="4">
        <v>13500</v>
      </c>
      <c r="C233" t="s">
        <v>1600</v>
      </c>
      <c r="D233" t="s">
        <v>1601</v>
      </c>
      <c r="E233" t="s">
        <v>309</v>
      </c>
      <c r="F233" t="s">
        <v>1600</v>
      </c>
      <c r="G233" t="s">
        <v>3406</v>
      </c>
      <c r="H233" t="s">
        <v>321</v>
      </c>
      <c r="I233" t="s">
        <v>917</v>
      </c>
      <c r="J233" t="s">
        <v>204</v>
      </c>
      <c r="K233" t="s">
        <v>204</v>
      </c>
      <c r="L233" t="s">
        <v>325</v>
      </c>
      <c r="M233" t="s">
        <v>340</v>
      </c>
      <c r="N233" t="s">
        <v>448</v>
      </c>
      <c r="O233" t="s">
        <v>339</v>
      </c>
      <c r="P233" t="s">
        <v>1212</v>
      </c>
      <c r="Q233" s="131">
        <v>48655</v>
      </c>
      <c r="R233" s="131">
        <v>1</v>
      </c>
      <c r="S233" s="131">
        <v>3729</v>
      </c>
      <c r="U233" s="131">
        <v>1814.345</v>
      </c>
      <c r="V233" s="132">
        <v>4.0000000000000003E-5</v>
      </c>
      <c r="W233" s="132">
        <f t="shared" si="3"/>
        <v>6.2273781332360167E-2</v>
      </c>
      <c r="X233" s="132">
        <v>6.1022404447480276E-3</v>
      </c>
    </row>
    <row r="234" spans="1:24">
      <c r="A234" t="s">
        <v>1213</v>
      </c>
      <c r="B234" s="4">
        <v>13500</v>
      </c>
      <c r="C234" t="s">
        <v>3113</v>
      </c>
      <c r="D234" t="s">
        <v>3114</v>
      </c>
      <c r="E234" t="s">
        <v>309</v>
      </c>
      <c r="F234" t="s">
        <v>3113</v>
      </c>
      <c r="G234" t="s">
        <v>3413</v>
      </c>
      <c r="H234" t="s">
        <v>321</v>
      </c>
      <c r="I234" t="s">
        <v>917</v>
      </c>
      <c r="J234" t="s">
        <v>204</v>
      </c>
      <c r="K234" t="s">
        <v>204</v>
      </c>
      <c r="L234" t="s">
        <v>325</v>
      </c>
      <c r="M234" t="s">
        <v>340</v>
      </c>
      <c r="N234" t="s">
        <v>448</v>
      </c>
      <c r="O234" t="s">
        <v>339</v>
      </c>
      <c r="P234" t="s">
        <v>1212</v>
      </c>
      <c r="Q234" s="131">
        <v>78444</v>
      </c>
      <c r="R234" s="131">
        <v>1</v>
      </c>
      <c r="S234" s="131">
        <v>2085</v>
      </c>
      <c r="U234" s="131">
        <v>1635.557</v>
      </c>
      <c r="V234" s="132">
        <v>6.0000000000000002E-5</v>
      </c>
      <c r="W234" s="132">
        <f t="shared" si="3"/>
        <v>5.613723904473019E-2</v>
      </c>
      <c r="X234" s="132">
        <v>5.5009174523537423E-3</v>
      </c>
    </row>
    <row r="235" spans="1:24">
      <c r="A235" t="s">
        <v>1213</v>
      </c>
      <c r="B235" s="4">
        <v>13500</v>
      </c>
      <c r="C235" t="s">
        <v>2361</v>
      </c>
      <c r="D235" t="s">
        <v>2362</v>
      </c>
      <c r="E235" t="s">
        <v>309</v>
      </c>
      <c r="F235" t="s">
        <v>2361</v>
      </c>
      <c r="G235" t="s">
        <v>3440</v>
      </c>
      <c r="H235" t="s">
        <v>321</v>
      </c>
      <c r="I235" t="s">
        <v>917</v>
      </c>
      <c r="J235" t="s">
        <v>204</v>
      </c>
      <c r="K235" t="s">
        <v>204</v>
      </c>
      <c r="L235" t="s">
        <v>325</v>
      </c>
      <c r="M235" t="s">
        <v>340</v>
      </c>
      <c r="N235" t="s">
        <v>446</v>
      </c>
      <c r="O235" t="s">
        <v>339</v>
      </c>
      <c r="P235" t="s">
        <v>1212</v>
      </c>
      <c r="Q235" s="131">
        <v>2091</v>
      </c>
      <c r="R235" s="131">
        <v>1</v>
      </c>
      <c r="S235" s="131">
        <v>74080</v>
      </c>
      <c r="U235" s="131">
        <v>1549.0129999999999</v>
      </c>
      <c r="V235" s="132">
        <v>5.0000000000000002E-5</v>
      </c>
      <c r="W235" s="132">
        <f t="shared" si="3"/>
        <v>5.3166788479028636E-2</v>
      </c>
      <c r="X235" s="132">
        <v>5.2098414458333318E-3</v>
      </c>
    </row>
    <row r="236" spans="1:24">
      <c r="A236" t="s">
        <v>1213</v>
      </c>
      <c r="B236" s="4">
        <v>13500</v>
      </c>
      <c r="C236" t="s">
        <v>1881</v>
      </c>
      <c r="D236" t="s">
        <v>1882</v>
      </c>
      <c r="E236" t="s">
        <v>309</v>
      </c>
      <c r="F236" t="s">
        <v>3407</v>
      </c>
      <c r="G236" t="s">
        <v>3408</v>
      </c>
      <c r="H236" t="s">
        <v>321</v>
      </c>
      <c r="I236" t="s">
        <v>917</v>
      </c>
      <c r="J236" t="s">
        <v>204</v>
      </c>
      <c r="K236" t="s">
        <v>204</v>
      </c>
      <c r="L236" t="s">
        <v>325</v>
      </c>
      <c r="M236" t="s">
        <v>340</v>
      </c>
      <c r="N236" t="s">
        <v>448</v>
      </c>
      <c r="O236" t="s">
        <v>339</v>
      </c>
      <c r="P236" t="s">
        <v>1212</v>
      </c>
      <c r="Q236" s="131">
        <v>10158</v>
      </c>
      <c r="R236" s="131">
        <v>1</v>
      </c>
      <c r="S236" s="131">
        <v>14550</v>
      </c>
      <c r="U236" s="131">
        <v>1477.989</v>
      </c>
      <c r="V236" s="132">
        <v>4.0000000000000003E-5</v>
      </c>
      <c r="W236" s="132">
        <f t="shared" si="3"/>
        <v>5.0729031026422025E-2</v>
      </c>
      <c r="X236" s="132">
        <v>4.9709643164297266E-3</v>
      </c>
    </row>
    <row r="237" spans="1:24">
      <c r="A237" t="s">
        <v>1213</v>
      </c>
      <c r="B237" s="4">
        <v>13500</v>
      </c>
      <c r="C237" t="s">
        <v>3415</v>
      </c>
      <c r="D237" t="s">
        <v>3416</v>
      </c>
      <c r="E237" t="s">
        <v>309</v>
      </c>
      <c r="F237" t="s">
        <v>3415</v>
      </c>
      <c r="G237" t="s">
        <v>3417</v>
      </c>
      <c r="H237" t="s">
        <v>321</v>
      </c>
      <c r="I237" t="s">
        <v>917</v>
      </c>
      <c r="J237" t="s">
        <v>204</v>
      </c>
      <c r="K237" t="s">
        <v>204</v>
      </c>
      <c r="L237" t="s">
        <v>325</v>
      </c>
      <c r="M237" t="s">
        <v>340</v>
      </c>
      <c r="N237" t="s">
        <v>458</v>
      </c>
      <c r="O237" t="s">
        <v>339</v>
      </c>
      <c r="P237" t="s">
        <v>1212</v>
      </c>
      <c r="Q237" s="131">
        <v>1751</v>
      </c>
      <c r="R237" s="131">
        <v>1</v>
      </c>
      <c r="S237" s="131">
        <v>77890</v>
      </c>
      <c r="U237" s="131">
        <v>1363.854</v>
      </c>
      <c r="V237" s="132">
        <v>6.0000000000000002E-5</v>
      </c>
      <c r="W237" s="132">
        <f t="shared" si="3"/>
        <v>4.6811574295552799E-2</v>
      </c>
      <c r="X237" s="132">
        <v>4.5870906798494097E-3</v>
      </c>
    </row>
    <row r="238" spans="1:24">
      <c r="A238" t="s">
        <v>1213</v>
      </c>
      <c r="B238" s="4">
        <v>13500</v>
      </c>
      <c r="C238" t="s">
        <v>3410</v>
      </c>
      <c r="D238" t="s">
        <v>3411</v>
      </c>
      <c r="E238" t="s">
        <v>309</v>
      </c>
      <c r="F238" t="s">
        <v>3410</v>
      </c>
      <c r="G238" t="s">
        <v>3412</v>
      </c>
      <c r="H238" t="s">
        <v>321</v>
      </c>
      <c r="I238" t="s">
        <v>917</v>
      </c>
      <c r="J238" t="s">
        <v>204</v>
      </c>
      <c r="K238" t="s">
        <v>204</v>
      </c>
      <c r="L238" t="s">
        <v>325</v>
      </c>
      <c r="M238" t="s">
        <v>340</v>
      </c>
      <c r="N238" t="s">
        <v>480</v>
      </c>
      <c r="O238" t="s">
        <v>339</v>
      </c>
      <c r="P238" t="s">
        <v>1212</v>
      </c>
      <c r="Q238" s="131">
        <v>1749</v>
      </c>
      <c r="R238" s="131">
        <v>1</v>
      </c>
      <c r="S238" s="131">
        <v>64880</v>
      </c>
      <c r="U238" s="131">
        <v>1134.751</v>
      </c>
      <c r="V238" s="132">
        <v>2.0000000000000002E-5</v>
      </c>
      <c r="W238" s="132">
        <f t="shared" si="3"/>
        <v>3.8948069766597329E-2</v>
      </c>
      <c r="X238" s="132">
        <v>3.8165417530393992E-3</v>
      </c>
    </row>
    <row r="239" spans="1:24">
      <c r="A239" t="s">
        <v>1213</v>
      </c>
      <c r="B239" s="4">
        <v>13500</v>
      </c>
      <c r="C239" t="s">
        <v>3423</v>
      </c>
      <c r="D239" t="s">
        <v>3424</v>
      </c>
      <c r="E239" t="s">
        <v>309</v>
      </c>
      <c r="F239" t="s">
        <v>3423</v>
      </c>
      <c r="G239" t="s">
        <v>3425</v>
      </c>
      <c r="H239" t="s">
        <v>321</v>
      </c>
      <c r="I239" t="s">
        <v>917</v>
      </c>
      <c r="J239" t="s">
        <v>204</v>
      </c>
      <c r="K239" t="s">
        <v>204</v>
      </c>
      <c r="L239" t="s">
        <v>325</v>
      </c>
      <c r="M239" t="s">
        <v>340</v>
      </c>
      <c r="N239" t="s">
        <v>458</v>
      </c>
      <c r="O239" t="s">
        <v>339</v>
      </c>
      <c r="P239" t="s">
        <v>1212</v>
      </c>
      <c r="Q239" s="131">
        <v>6721</v>
      </c>
      <c r="R239" s="131">
        <v>1</v>
      </c>
      <c r="S239" s="131">
        <v>16470</v>
      </c>
      <c r="U239" s="131">
        <v>1106.9490000000001</v>
      </c>
      <c r="V239" s="132">
        <v>6.0000000000000002E-5</v>
      </c>
      <c r="W239" s="132">
        <f t="shared" si="3"/>
        <v>3.7993821446348275E-2</v>
      </c>
      <c r="X239" s="132">
        <v>3.7230344604104429E-3</v>
      </c>
    </row>
    <row r="240" spans="1:24">
      <c r="A240" t="s">
        <v>1213</v>
      </c>
      <c r="B240" s="4">
        <v>13500</v>
      </c>
      <c r="C240" t="s">
        <v>1986</v>
      </c>
      <c r="D240" t="s">
        <v>1987</v>
      </c>
      <c r="E240" t="s">
        <v>309</v>
      </c>
      <c r="F240" t="s">
        <v>1986</v>
      </c>
      <c r="G240" t="s">
        <v>3445</v>
      </c>
      <c r="H240" t="s">
        <v>321</v>
      </c>
      <c r="I240" t="s">
        <v>917</v>
      </c>
      <c r="J240" t="s">
        <v>204</v>
      </c>
      <c r="K240" t="s">
        <v>204</v>
      </c>
      <c r="L240" t="s">
        <v>325</v>
      </c>
      <c r="M240" t="s">
        <v>340</v>
      </c>
      <c r="N240" t="s">
        <v>484</v>
      </c>
      <c r="O240" t="s">
        <v>339</v>
      </c>
      <c r="P240" t="s">
        <v>1212</v>
      </c>
      <c r="Q240" s="131">
        <v>217581</v>
      </c>
      <c r="R240" s="131">
        <v>1</v>
      </c>
      <c r="S240" s="131">
        <v>428.6</v>
      </c>
      <c r="T240" s="131">
        <v>31.992999999999999</v>
      </c>
      <c r="U240" s="131">
        <v>964.54499999999996</v>
      </c>
      <c r="V240" s="132">
        <v>8.0000000000000007E-5</v>
      </c>
      <c r="W240" s="132">
        <f t="shared" si="3"/>
        <v>3.3106087549623325E-2</v>
      </c>
      <c r="X240" s="132">
        <v>3.2440828562260685E-3</v>
      </c>
    </row>
    <row r="241" spans="1:24">
      <c r="A241" t="s">
        <v>1213</v>
      </c>
      <c r="B241" s="4">
        <v>13500</v>
      </c>
      <c r="C241" t="s">
        <v>2348</v>
      </c>
      <c r="D241" t="s">
        <v>2349</v>
      </c>
      <c r="E241" t="s">
        <v>309</v>
      </c>
      <c r="F241" t="s">
        <v>2348</v>
      </c>
      <c r="G241" t="s">
        <v>3446</v>
      </c>
      <c r="H241" t="s">
        <v>321</v>
      </c>
      <c r="I241" t="s">
        <v>917</v>
      </c>
      <c r="J241" t="s">
        <v>204</v>
      </c>
      <c r="K241" t="s">
        <v>204</v>
      </c>
      <c r="L241" t="s">
        <v>325</v>
      </c>
      <c r="M241" t="s">
        <v>340</v>
      </c>
      <c r="N241" t="s">
        <v>456</v>
      </c>
      <c r="O241" t="s">
        <v>339</v>
      </c>
      <c r="P241" t="s">
        <v>1212</v>
      </c>
      <c r="Q241" s="131">
        <v>57198</v>
      </c>
      <c r="R241" s="131">
        <v>1</v>
      </c>
      <c r="S241" s="131">
        <v>1588</v>
      </c>
      <c r="U241" s="131">
        <v>908.30399999999997</v>
      </c>
      <c r="V241" s="132">
        <v>4.0000000000000003E-5</v>
      </c>
      <c r="W241" s="132">
        <f t="shared" si="3"/>
        <v>3.1175727151841609E-2</v>
      </c>
      <c r="X241" s="132">
        <v>3.0549258299421623E-3</v>
      </c>
    </row>
    <row r="242" spans="1:24">
      <c r="A242" t="s">
        <v>1213</v>
      </c>
      <c r="B242" s="4">
        <v>13500</v>
      </c>
      <c r="C242" t="s">
        <v>1807</v>
      </c>
      <c r="D242" t="s">
        <v>1808</v>
      </c>
      <c r="E242" t="s">
        <v>309</v>
      </c>
      <c r="F242" t="s">
        <v>1807</v>
      </c>
      <c r="G242" t="s">
        <v>3409</v>
      </c>
      <c r="H242" t="s">
        <v>321</v>
      </c>
      <c r="I242" t="s">
        <v>917</v>
      </c>
      <c r="J242" t="s">
        <v>204</v>
      </c>
      <c r="K242" t="s">
        <v>204</v>
      </c>
      <c r="L242" t="s">
        <v>325</v>
      </c>
      <c r="M242" t="s">
        <v>340</v>
      </c>
      <c r="N242" t="s">
        <v>464</v>
      </c>
      <c r="O242" t="s">
        <v>339</v>
      </c>
      <c r="P242" t="s">
        <v>1212</v>
      </c>
      <c r="Q242" s="131">
        <v>3386</v>
      </c>
      <c r="R242" s="131">
        <v>1</v>
      </c>
      <c r="S242" s="131">
        <v>25940</v>
      </c>
      <c r="U242" s="131">
        <v>878.32799999999997</v>
      </c>
      <c r="V242" s="132">
        <v>3.0000000000000001E-5</v>
      </c>
      <c r="W242" s="132">
        <f t="shared" si="3"/>
        <v>3.0146860608147422E-2</v>
      </c>
      <c r="X242" s="132">
        <v>2.9541066585211991E-3</v>
      </c>
    </row>
    <row r="243" spans="1:24">
      <c r="A243" t="s">
        <v>1213</v>
      </c>
      <c r="B243" s="4">
        <v>13500</v>
      </c>
      <c r="C243" t="s">
        <v>3451</v>
      </c>
      <c r="D243" t="s">
        <v>3452</v>
      </c>
      <c r="E243" t="s">
        <v>309</v>
      </c>
      <c r="F243" t="s">
        <v>3453</v>
      </c>
      <c r="G243" t="s">
        <v>3454</v>
      </c>
      <c r="H243" t="s">
        <v>321</v>
      </c>
      <c r="I243" t="s">
        <v>917</v>
      </c>
      <c r="J243" t="s">
        <v>204</v>
      </c>
      <c r="K243" t="s">
        <v>204</v>
      </c>
      <c r="L243" t="s">
        <v>325</v>
      </c>
      <c r="M243" t="s">
        <v>340</v>
      </c>
      <c r="N243" t="s">
        <v>448</v>
      </c>
      <c r="O243" t="s">
        <v>339</v>
      </c>
      <c r="P243" t="s">
        <v>1212</v>
      </c>
      <c r="Q243" s="131">
        <v>5226</v>
      </c>
      <c r="R243" s="131">
        <v>1</v>
      </c>
      <c r="S243" s="131">
        <v>15410</v>
      </c>
      <c r="U243" s="131">
        <v>805.327</v>
      </c>
      <c r="V243" s="132">
        <v>5.0000000000000002E-5</v>
      </c>
      <c r="W243" s="132">
        <f t="shared" si="3"/>
        <v>2.7641246565038961E-2</v>
      </c>
      <c r="X243" s="132">
        <v>2.7085802262786819E-3</v>
      </c>
    </row>
    <row r="244" spans="1:24">
      <c r="A244" t="s">
        <v>1213</v>
      </c>
      <c r="B244" s="4">
        <v>13500</v>
      </c>
      <c r="C244" t="s">
        <v>3125</v>
      </c>
      <c r="D244" t="s">
        <v>3126</v>
      </c>
      <c r="E244" t="s">
        <v>309</v>
      </c>
      <c r="F244" t="s">
        <v>3125</v>
      </c>
      <c r="G244" t="s">
        <v>3489</v>
      </c>
      <c r="H244" t="s">
        <v>321</v>
      </c>
      <c r="I244" t="s">
        <v>917</v>
      </c>
      <c r="J244" t="s">
        <v>204</v>
      </c>
      <c r="K244" t="s">
        <v>204</v>
      </c>
      <c r="L244" t="s">
        <v>325</v>
      </c>
      <c r="M244" t="s">
        <v>340</v>
      </c>
      <c r="N244" t="s">
        <v>441</v>
      </c>
      <c r="O244" t="s">
        <v>339</v>
      </c>
      <c r="P244" t="s">
        <v>1212</v>
      </c>
      <c r="Q244" s="131">
        <v>2746</v>
      </c>
      <c r="R244" s="131">
        <v>1</v>
      </c>
      <c r="S244" s="131">
        <v>28560</v>
      </c>
      <c r="U244" s="131">
        <v>784.25800000000004</v>
      </c>
      <c r="V244" s="132">
        <v>5.0000000000000002E-5</v>
      </c>
      <c r="W244" s="132">
        <f t="shared" si="3"/>
        <v>2.691809507020667E-2</v>
      </c>
      <c r="X244" s="132">
        <v>2.6377182325947927E-3</v>
      </c>
    </row>
    <row r="245" spans="1:24">
      <c r="A245" t="s">
        <v>1213</v>
      </c>
      <c r="B245" s="4">
        <v>13500</v>
      </c>
      <c r="C245" t="s">
        <v>2436</v>
      </c>
      <c r="D245" t="s">
        <v>2437</v>
      </c>
      <c r="E245" t="s">
        <v>309</v>
      </c>
      <c r="F245" t="s">
        <v>2436</v>
      </c>
      <c r="G245" t="s">
        <v>3426</v>
      </c>
      <c r="H245" t="s">
        <v>321</v>
      </c>
      <c r="I245" t="s">
        <v>917</v>
      </c>
      <c r="J245" t="s">
        <v>204</v>
      </c>
      <c r="K245" t="s">
        <v>204</v>
      </c>
      <c r="L245" t="s">
        <v>325</v>
      </c>
      <c r="M245" t="s">
        <v>340</v>
      </c>
      <c r="N245" t="s">
        <v>475</v>
      </c>
      <c r="O245" t="s">
        <v>339</v>
      </c>
      <c r="P245" t="s">
        <v>1212</v>
      </c>
      <c r="Q245" s="131">
        <v>22503</v>
      </c>
      <c r="R245" s="131">
        <v>1</v>
      </c>
      <c r="S245" s="131">
        <v>3310</v>
      </c>
      <c r="U245" s="131">
        <v>744.84900000000005</v>
      </c>
      <c r="V245" s="132">
        <v>8.0000000000000007E-5</v>
      </c>
      <c r="W245" s="132">
        <f t="shared" si="3"/>
        <v>2.5565459574461935E-2</v>
      </c>
      <c r="X245" s="132">
        <v>2.5051727720086995E-3</v>
      </c>
    </row>
    <row r="246" spans="1:24">
      <c r="A246" t="s">
        <v>1213</v>
      </c>
      <c r="B246" s="4">
        <v>13500</v>
      </c>
      <c r="C246" t="s">
        <v>1861</v>
      </c>
      <c r="D246" t="s">
        <v>1862</v>
      </c>
      <c r="E246" t="s">
        <v>309</v>
      </c>
      <c r="F246" t="s">
        <v>1861</v>
      </c>
      <c r="G246" t="s">
        <v>3460</v>
      </c>
      <c r="H246" t="s">
        <v>321</v>
      </c>
      <c r="I246" t="s">
        <v>917</v>
      </c>
      <c r="J246" t="s">
        <v>204</v>
      </c>
      <c r="K246" t="s">
        <v>204</v>
      </c>
      <c r="L246" t="s">
        <v>325</v>
      </c>
      <c r="M246" t="s">
        <v>340</v>
      </c>
      <c r="N246" t="s">
        <v>464</v>
      </c>
      <c r="O246" t="s">
        <v>339</v>
      </c>
      <c r="P246" t="s">
        <v>1212</v>
      </c>
      <c r="Q246" s="131">
        <v>1863</v>
      </c>
      <c r="R246" s="131">
        <v>1</v>
      </c>
      <c r="S246" s="131">
        <v>28210</v>
      </c>
      <c r="U246" s="131">
        <v>525.55200000000002</v>
      </c>
      <c r="V246" s="132">
        <v>4.0000000000000003E-5</v>
      </c>
      <c r="W246" s="132">
        <f t="shared" si="3"/>
        <v>1.8038526480236423E-2</v>
      </c>
      <c r="X246" s="132">
        <v>1.7676046563460729E-3</v>
      </c>
    </row>
    <row r="247" spans="1:24">
      <c r="A247" t="s">
        <v>1213</v>
      </c>
      <c r="B247" s="4">
        <v>13500</v>
      </c>
      <c r="C247" t="s">
        <v>1674</v>
      </c>
      <c r="D247" t="s">
        <v>1675</v>
      </c>
      <c r="E247" t="s">
        <v>309</v>
      </c>
      <c r="F247" t="s">
        <v>1674</v>
      </c>
      <c r="G247" t="s">
        <v>3464</v>
      </c>
      <c r="H247" t="s">
        <v>321</v>
      </c>
      <c r="I247" t="s">
        <v>917</v>
      </c>
      <c r="J247" t="s">
        <v>204</v>
      </c>
      <c r="K247" t="s">
        <v>204</v>
      </c>
      <c r="L247" t="s">
        <v>325</v>
      </c>
      <c r="M247" t="s">
        <v>340</v>
      </c>
      <c r="N247" t="s">
        <v>464</v>
      </c>
      <c r="O247" t="s">
        <v>339</v>
      </c>
      <c r="P247" t="s">
        <v>1212</v>
      </c>
      <c r="Q247" s="131">
        <v>1264</v>
      </c>
      <c r="R247" s="131">
        <v>1</v>
      </c>
      <c r="S247" s="131">
        <v>41490</v>
      </c>
      <c r="U247" s="131">
        <v>524.43399999999997</v>
      </c>
      <c r="V247" s="132">
        <v>5.0000000000000002E-5</v>
      </c>
      <c r="W247" s="132">
        <f t="shared" si="3"/>
        <v>1.8000153355208059E-2</v>
      </c>
      <c r="X247" s="132">
        <v>1.7638444537290245E-3</v>
      </c>
    </row>
    <row r="248" spans="1:24">
      <c r="A248" t="s">
        <v>1213</v>
      </c>
      <c r="B248" s="4">
        <v>13500</v>
      </c>
      <c r="C248" t="s">
        <v>2128</v>
      </c>
      <c r="D248" t="s">
        <v>2129</v>
      </c>
      <c r="E248" t="s">
        <v>309</v>
      </c>
      <c r="F248" t="s">
        <v>3419</v>
      </c>
      <c r="G248" t="s">
        <v>3420</v>
      </c>
      <c r="H248" t="s">
        <v>321</v>
      </c>
      <c r="I248" t="s">
        <v>917</v>
      </c>
      <c r="J248" t="s">
        <v>204</v>
      </c>
      <c r="K248" t="s">
        <v>204</v>
      </c>
      <c r="L248" t="s">
        <v>325</v>
      </c>
      <c r="M248" t="s">
        <v>340</v>
      </c>
      <c r="N248" t="s">
        <v>445</v>
      </c>
      <c r="O248" t="s">
        <v>339</v>
      </c>
      <c r="P248" t="s">
        <v>1212</v>
      </c>
      <c r="Q248" s="131">
        <v>12166</v>
      </c>
      <c r="R248" s="131">
        <v>1</v>
      </c>
      <c r="S248" s="131">
        <v>4200</v>
      </c>
      <c r="U248" s="131">
        <v>510.97199999999998</v>
      </c>
      <c r="V248" s="132">
        <v>5.0000000000000002E-5</v>
      </c>
      <c r="W248" s="132">
        <f t="shared" si="3"/>
        <v>1.7538096996413989E-2</v>
      </c>
      <c r="X248" s="132">
        <v>1.718567309157734E-3</v>
      </c>
    </row>
    <row r="249" spans="1:24">
      <c r="A249" t="s">
        <v>1213</v>
      </c>
      <c r="B249" s="4">
        <v>13500</v>
      </c>
      <c r="C249" t="s">
        <v>2228</v>
      </c>
      <c r="D249" t="s">
        <v>2229</v>
      </c>
      <c r="E249" t="s">
        <v>309</v>
      </c>
      <c r="F249" t="s">
        <v>2228</v>
      </c>
      <c r="G249" t="s">
        <v>3439</v>
      </c>
      <c r="H249" t="s">
        <v>321</v>
      </c>
      <c r="I249" t="s">
        <v>917</v>
      </c>
      <c r="J249" t="s">
        <v>204</v>
      </c>
      <c r="K249" t="s">
        <v>204</v>
      </c>
      <c r="L249" t="s">
        <v>325</v>
      </c>
      <c r="M249" t="s">
        <v>340</v>
      </c>
      <c r="N249" t="s">
        <v>441</v>
      </c>
      <c r="O249" t="s">
        <v>339</v>
      </c>
      <c r="P249" t="s">
        <v>1212</v>
      </c>
      <c r="Q249" s="131">
        <v>7569.1</v>
      </c>
      <c r="R249" s="131">
        <v>1</v>
      </c>
      <c r="S249" s="131">
        <v>6254</v>
      </c>
      <c r="U249" s="131">
        <v>473.37200000000001</v>
      </c>
      <c r="V249" s="132">
        <v>6.0000000000000002E-5</v>
      </c>
      <c r="W249" s="132">
        <f t="shared" si="3"/>
        <v>1.6247551825513889E-2</v>
      </c>
      <c r="X249" s="132">
        <v>1.5921061120190831E-3</v>
      </c>
    </row>
    <row r="250" spans="1:24">
      <c r="A250" t="s">
        <v>1213</v>
      </c>
      <c r="B250" s="4">
        <v>13500</v>
      </c>
      <c r="C250" t="s">
        <v>3433</v>
      </c>
      <c r="D250" t="s">
        <v>3434</v>
      </c>
      <c r="E250" t="s">
        <v>309</v>
      </c>
      <c r="F250" t="s">
        <v>3433</v>
      </c>
      <c r="G250" t="s">
        <v>3435</v>
      </c>
      <c r="H250" t="s">
        <v>321</v>
      </c>
      <c r="I250" t="s">
        <v>917</v>
      </c>
      <c r="J250" t="s">
        <v>204</v>
      </c>
      <c r="K250" t="s">
        <v>204</v>
      </c>
      <c r="L250" t="s">
        <v>325</v>
      </c>
      <c r="M250" t="s">
        <v>340</v>
      </c>
      <c r="N250" t="s">
        <v>458</v>
      </c>
      <c r="O250" t="s">
        <v>339</v>
      </c>
      <c r="P250" t="s">
        <v>1212</v>
      </c>
      <c r="Q250" s="131">
        <v>1424</v>
      </c>
      <c r="R250" s="131">
        <v>1</v>
      </c>
      <c r="S250" s="131">
        <v>29980</v>
      </c>
      <c r="U250" s="131">
        <v>426.91500000000002</v>
      </c>
      <c r="V250" s="132">
        <v>3.0000000000000001E-5</v>
      </c>
      <c r="W250" s="132">
        <f t="shared" si="3"/>
        <v>1.4653007756245114E-2</v>
      </c>
      <c r="X250" s="132">
        <v>1.4358559036289154E-3</v>
      </c>
    </row>
    <row r="251" spans="1:24">
      <c r="A251" t="s">
        <v>1213</v>
      </c>
      <c r="B251" s="4">
        <v>13500</v>
      </c>
      <c r="C251" t="s">
        <v>3469</v>
      </c>
      <c r="D251" t="s">
        <v>3470</v>
      </c>
      <c r="E251" t="s">
        <v>309</v>
      </c>
      <c r="F251" t="s">
        <v>3471</v>
      </c>
      <c r="G251" t="s">
        <v>3472</v>
      </c>
      <c r="H251" t="s">
        <v>321</v>
      </c>
      <c r="I251" t="s">
        <v>917</v>
      </c>
      <c r="J251" t="s">
        <v>204</v>
      </c>
      <c r="K251" t="s">
        <v>204</v>
      </c>
      <c r="L251" t="s">
        <v>325</v>
      </c>
      <c r="M251" t="s">
        <v>340</v>
      </c>
      <c r="N251" t="s">
        <v>454</v>
      </c>
      <c r="O251" t="s">
        <v>339</v>
      </c>
      <c r="P251" t="s">
        <v>1212</v>
      </c>
      <c r="Q251" s="131">
        <v>41000</v>
      </c>
      <c r="R251" s="131">
        <v>1</v>
      </c>
      <c r="S251" s="131">
        <v>1025</v>
      </c>
      <c r="U251" s="131">
        <v>420.25</v>
      </c>
      <c r="V251" s="132">
        <v>3.0000000000000001E-5</v>
      </c>
      <c r="W251" s="132">
        <f t="shared" si="3"/>
        <v>1.4424244895499124E-2</v>
      </c>
      <c r="X251" s="132">
        <v>1.413439311104205E-3</v>
      </c>
    </row>
    <row r="252" spans="1:24">
      <c r="A252" t="s">
        <v>1213</v>
      </c>
      <c r="B252" s="4">
        <v>13500</v>
      </c>
      <c r="C252" t="s">
        <v>1973</v>
      </c>
      <c r="D252" t="s">
        <v>1974</v>
      </c>
      <c r="E252" t="s">
        <v>309</v>
      </c>
      <c r="F252" t="s">
        <v>3512</v>
      </c>
      <c r="G252" t="s">
        <v>3513</v>
      </c>
      <c r="H252" t="s">
        <v>321</v>
      </c>
      <c r="I252" t="s">
        <v>917</v>
      </c>
      <c r="J252" t="s">
        <v>204</v>
      </c>
      <c r="K252" t="s">
        <v>204</v>
      </c>
      <c r="L252" t="s">
        <v>325</v>
      </c>
      <c r="M252" t="s">
        <v>340</v>
      </c>
      <c r="N252" t="s">
        <v>464</v>
      </c>
      <c r="O252" t="s">
        <v>339</v>
      </c>
      <c r="P252" t="s">
        <v>1212</v>
      </c>
      <c r="Q252" s="131">
        <v>42754</v>
      </c>
      <c r="R252" s="131">
        <v>1</v>
      </c>
      <c r="S252" s="131">
        <v>954</v>
      </c>
      <c r="U252" s="131">
        <v>407.87299999999999</v>
      </c>
      <c r="V252" s="132">
        <v>6.0000000000000002E-5</v>
      </c>
      <c r="W252" s="132">
        <f t="shared" si="3"/>
        <v>1.3999429002407887E-2</v>
      </c>
      <c r="X252" s="132">
        <v>1.3718113792694951E-3</v>
      </c>
    </row>
    <row r="253" spans="1:24">
      <c r="A253" t="s">
        <v>1213</v>
      </c>
      <c r="B253" s="4">
        <v>13500</v>
      </c>
      <c r="C253" t="s">
        <v>2195</v>
      </c>
      <c r="D253" t="s">
        <v>2196</v>
      </c>
      <c r="E253" t="s">
        <v>309</v>
      </c>
      <c r="F253" t="s">
        <v>3610</v>
      </c>
      <c r="G253" t="s">
        <v>3611</v>
      </c>
      <c r="H253" t="s">
        <v>321</v>
      </c>
      <c r="I253" t="s">
        <v>917</v>
      </c>
      <c r="J253" t="s">
        <v>204</v>
      </c>
      <c r="K253" t="s">
        <v>204</v>
      </c>
      <c r="L253" t="s">
        <v>325</v>
      </c>
      <c r="M253" t="s">
        <v>340</v>
      </c>
      <c r="N253" t="s">
        <v>445</v>
      </c>
      <c r="O253" t="s">
        <v>339</v>
      </c>
      <c r="P253" t="s">
        <v>1212</v>
      </c>
      <c r="Q253" s="131">
        <v>10189</v>
      </c>
      <c r="R253" s="131">
        <v>1</v>
      </c>
      <c r="S253" s="131">
        <v>3619</v>
      </c>
      <c r="U253" s="131">
        <v>368.74</v>
      </c>
      <c r="V253" s="132">
        <v>5.0000000000000002E-5</v>
      </c>
      <c r="W253" s="132">
        <f t="shared" si="3"/>
        <v>1.2656266657385716E-2</v>
      </c>
      <c r="X253" s="132">
        <v>1.2401941976836752E-3</v>
      </c>
    </row>
    <row r="254" spans="1:24">
      <c r="A254" t="s">
        <v>1213</v>
      </c>
      <c r="B254" s="4">
        <v>13500</v>
      </c>
      <c r="C254" t="s">
        <v>1620</v>
      </c>
      <c r="D254" t="s">
        <v>1621</v>
      </c>
      <c r="E254" t="s">
        <v>309</v>
      </c>
      <c r="F254" t="s">
        <v>1620</v>
      </c>
      <c r="G254" t="s">
        <v>3608</v>
      </c>
      <c r="H254" t="s">
        <v>321</v>
      </c>
      <c r="I254" t="s">
        <v>917</v>
      </c>
      <c r="J254" t="s">
        <v>204</v>
      </c>
      <c r="K254" t="s">
        <v>204</v>
      </c>
      <c r="L254" t="s">
        <v>325</v>
      </c>
      <c r="M254" t="s">
        <v>340</v>
      </c>
      <c r="N254" t="s">
        <v>447</v>
      </c>
      <c r="O254" t="s">
        <v>339</v>
      </c>
      <c r="P254" t="s">
        <v>1212</v>
      </c>
      <c r="Q254" s="131">
        <v>13000</v>
      </c>
      <c r="R254" s="131">
        <v>1</v>
      </c>
      <c r="S254" s="131">
        <v>2761</v>
      </c>
      <c r="U254" s="131">
        <v>358.93</v>
      </c>
      <c r="V254" s="132">
        <v>1.7000000000000001E-4</v>
      </c>
      <c r="W254" s="132">
        <f t="shared" si="3"/>
        <v>1.2319557930616301E-2</v>
      </c>
      <c r="X254" s="132">
        <v>1.2071999332174475E-3</v>
      </c>
    </row>
    <row r="255" spans="1:24">
      <c r="A255" t="s">
        <v>1213</v>
      </c>
      <c r="B255" s="4">
        <v>13500</v>
      </c>
      <c r="C255" t="s">
        <v>2203</v>
      </c>
      <c r="D255" t="s">
        <v>2204</v>
      </c>
      <c r="E255" t="s">
        <v>309</v>
      </c>
      <c r="F255" t="s">
        <v>3606</v>
      </c>
      <c r="G255" t="s">
        <v>3607</v>
      </c>
      <c r="H255" t="s">
        <v>321</v>
      </c>
      <c r="I255" t="s">
        <v>917</v>
      </c>
      <c r="J255" t="s">
        <v>204</v>
      </c>
      <c r="K255" t="s">
        <v>204</v>
      </c>
      <c r="L255" t="s">
        <v>325</v>
      </c>
      <c r="M255" t="s">
        <v>340</v>
      </c>
      <c r="N255" t="s">
        <v>459</v>
      </c>
      <c r="O255" t="s">
        <v>339</v>
      </c>
      <c r="P255" t="s">
        <v>1212</v>
      </c>
      <c r="Q255" s="131">
        <v>5806</v>
      </c>
      <c r="R255" s="131">
        <v>1</v>
      </c>
      <c r="S255" s="131">
        <v>5930</v>
      </c>
      <c r="U255" s="131">
        <v>344.29599999999999</v>
      </c>
      <c r="V255" s="132">
        <v>5.0000000000000002E-5</v>
      </c>
      <c r="W255" s="132">
        <f t="shared" si="3"/>
        <v>1.1817275004261192E-2</v>
      </c>
      <c r="X255" s="132">
        <v>1.1579809662247075E-3</v>
      </c>
    </row>
    <row r="256" spans="1:24">
      <c r="A256" t="s">
        <v>1213</v>
      </c>
      <c r="B256" s="4">
        <v>13500</v>
      </c>
      <c r="C256" t="s">
        <v>2136</v>
      </c>
      <c r="D256" t="s">
        <v>2137</v>
      </c>
      <c r="E256" t="s">
        <v>309</v>
      </c>
      <c r="F256" t="s">
        <v>2136</v>
      </c>
      <c r="G256" t="s">
        <v>3616</v>
      </c>
      <c r="H256" t="s">
        <v>321</v>
      </c>
      <c r="I256" t="s">
        <v>917</v>
      </c>
      <c r="J256" t="s">
        <v>204</v>
      </c>
      <c r="K256" t="s">
        <v>204</v>
      </c>
      <c r="L256" t="s">
        <v>325</v>
      </c>
      <c r="M256" t="s">
        <v>340</v>
      </c>
      <c r="N256" t="s">
        <v>440</v>
      </c>
      <c r="O256" t="s">
        <v>339</v>
      </c>
      <c r="P256" t="s">
        <v>1212</v>
      </c>
      <c r="Q256" s="131">
        <v>824</v>
      </c>
      <c r="R256" s="131">
        <v>1</v>
      </c>
      <c r="S256" s="131">
        <v>39190</v>
      </c>
      <c r="T256" s="131">
        <v>18.132999999999999</v>
      </c>
      <c r="U256" s="131">
        <v>341.05799999999999</v>
      </c>
      <c r="V256" s="132">
        <v>6.0000000000000002E-5</v>
      </c>
      <c r="W256" s="132">
        <f t="shared" si="3"/>
        <v>1.1706137098320381E-2</v>
      </c>
      <c r="X256" s="132">
        <v>1.1470905046200544E-3</v>
      </c>
    </row>
    <row r="257" spans="1:24">
      <c r="A257" t="s">
        <v>1213</v>
      </c>
      <c r="B257" s="4">
        <v>13500</v>
      </c>
      <c r="C257" t="s">
        <v>1534</v>
      </c>
      <c r="D257" t="s">
        <v>1535</v>
      </c>
      <c r="E257" t="s">
        <v>309</v>
      </c>
      <c r="F257" t="s">
        <v>1534</v>
      </c>
      <c r="G257" t="s">
        <v>3509</v>
      </c>
      <c r="H257" t="s">
        <v>321</v>
      </c>
      <c r="I257" t="s">
        <v>917</v>
      </c>
      <c r="J257" t="s">
        <v>204</v>
      </c>
      <c r="K257" t="s">
        <v>204</v>
      </c>
      <c r="L257" t="s">
        <v>325</v>
      </c>
      <c r="M257" t="s">
        <v>340</v>
      </c>
      <c r="N257" t="s">
        <v>464</v>
      </c>
      <c r="O257" t="s">
        <v>339</v>
      </c>
      <c r="P257" t="s">
        <v>1212</v>
      </c>
      <c r="Q257" s="131">
        <v>20872</v>
      </c>
      <c r="R257" s="131">
        <v>1</v>
      </c>
      <c r="S257" s="131">
        <v>1609</v>
      </c>
      <c r="U257" s="131">
        <v>335.83</v>
      </c>
      <c r="V257" s="132">
        <v>4.0000000000000003E-5</v>
      </c>
      <c r="W257" s="132">
        <f t="shared" si="3"/>
        <v>1.1526696402749484E-2</v>
      </c>
      <c r="X257" s="132">
        <v>1.1295070168902441E-3</v>
      </c>
    </row>
    <row r="258" spans="1:24">
      <c r="A258" t="s">
        <v>1213</v>
      </c>
      <c r="B258" s="4">
        <v>13500</v>
      </c>
      <c r="C258" t="s">
        <v>2145</v>
      </c>
      <c r="D258" t="s">
        <v>2146</v>
      </c>
      <c r="E258" t="s">
        <v>309</v>
      </c>
      <c r="F258" t="s">
        <v>3612</v>
      </c>
      <c r="G258" t="s">
        <v>3613</v>
      </c>
      <c r="H258" t="s">
        <v>321</v>
      </c>
      <c r="I258" t="s">
        <v>917</v>
      </c>
      <c r="J258" t="s">
        <v>204</v>
      </c>
      <c r="K258" t="s">
        <v>204</v>
      </c>
      <c r="L258" t="s">
        <v>325</v>
      </c>
      <c r="M258" t="s">
        <v>340</v>
      </c>
      <c r="N258" t="s">
        <v>445</v>
      </c>
      <c r="O258" t="s">
        <v>339</v>
      </c>
      <c r="P258" t="s">
        <v>1212</v>
      </c>
      <c r="Q258" s="131">
        <v>5112</v>
      </c>
      <c r="R258" s="131">
        <v>1</v>
      </c>
      <c r="S258" s="131">
        <v>6329</v>
      </c>
      <c r="U258" s="131">
        <v>323.53800000000001</v>
      </c>
      <c r="V258" s="132">
        <v>6.0000000000000002E-5</v>
      </c>
      <c r="W258" s="132">
        <f t="shared" si="3"/>
        <v>1.1104797965496719E-2</v>
      </c>
      <c r="X258" s="132">
        <v>1.088164968080981E-3</v>
      </c>
    </row>
    <row r="259" spans="1:24">
      <c r="A259" t="s">
        <v>1213</v>
      </c>
      <c r="B259" s="4">
        <v>13500</v>
      </c>
      <c r="C259" t="s">
        <v>2178</v>
      </c>
      <c r="D259" t="s">
        <v>2179</v>
      </c>
      <c r="E259" t="s">
        <v>309</v>
      </c>
      <c r="F259" t="s">
        <v>2178</v>
      </c>
      <c r="G259" t="s">
        <v>3609</v>
      </c>
      <c r="H259" t="s">
        <v>321</v>
      </c>
      <c r="I259" t="s">
        <v>917</v>
      </c>
      <c r="J259" t="s">
        <v>204</v>
      </c>
      <c r="K259" t="s">
        <v>204</v>
      </c>
      <c r="L259" t="s">
        <v>325</v>
      </c>
      <c r="M259" t="s">
        <v>340</v>
      </c>
      <c r="N259" t="s">
        <v>464</v>
      </c>
      <c r="O259" t="s">
        <v>339</v>
      </c>
      <c r="P259" t="s">
        <v>1212</v>
      </c>
      <c r="Q259" s="131">
        <v>9951</v>
      </c>
      <c r="R259" s="131">
        <v>1</v>
      </c>
      <c r="S259" s="131">
        <v>2855</v>
      </c>
      <c r="U259" s="131">
        <v>284.101</v>
      </c>
      <c r="V259" s="132">
        <v>5.0000000000000002E-5</v>
      </c>
      <c r="W259" s="132">
        <f t="shared" ref="W259:W322" si="4">U259/SUMIF(B:B,B259,U:U)</f>
        <v>9.7512014254757806E-3</v>
      </c>
      <c r="X259" s="132">
        <v>9.5552533426297606E-4</v>
      </c>
    </row>
    <row r="260" spans="1:24">
      <c r="A260" t="s">
        <v>1213</v>
      </c>
      <c r="B260" s="4">
        <v>13500</v>
      </c>
      <c r="C260" t="s">
        <v>2789</v>
      </c>
      <c r="D260" t="s">
        <v>2790</v>
      </c>
      <c r="E260" t="s">
        <v>309</v>
      </c>
      <c r="F260" t="s">
        <v>2789</v>
      </c>
      <c r="G260" t="s">
        <v>3480</v>
      </c>
      <c r="H260" t="s">
        <v>321</v>
      </c>
      <c r="I260" t="s">
        <v>917</v>
      </c>
      <c r="J260" t="s">
        <v>204</v>
      </c>
      <c r="K260" t="s">
        <v>204</v>
      </c>
      <c r="L260" t="s">
        <v>325</v>
      </c>
      <c r="M260" t="s">
        <v>340</v>
      </c>
      <c r="N260" t="s">
        <v>441</v>
      </c>
      <c r="O260" t="s">
        <v>339</v>
      </c>
      <c r="P260" t="s">
        <v>1212</v>
      </c>
      <c r="Q260" s="131">
        <v>19892</v>
      </c>
      <c r="R260" s="131">
        <v>1</v>
      </c>
      <c r="S260" s="131">
        <v>1348</v>
      </c>
      <c r="U260" s="131">
        <v>268.14400000000001</v>
      </c>
      <c r="V260" s="132">
        <v>4.0000000000000003E-5</v>
      </c>
      <c r="W260" s="132">
        <f t="shared" si="4"/>
        <v>9.2035091570701194E-3</v>
      </c>
      <c r="X260" s="132">
        <v>9.018566820624055E-4</v>
      </c>
    </row>
    <row r="261" spans="1:24">
      <c r="A261" t="s">
        <v>1213</v>
      </c>
      <c r="B261" s="4">
        <v>13500</v>
      </c>
      <c r="C261" t="s">
        <v>2211</v>
      </c>
      <c r="D261" t="s">
        <v>2212</v>
      </c>
      <c r="E261" t="s">
        <v>309</v>
      </c>
      <c r="F261" t="s">
        <v>2211</v>
      </c>
      <c r="G261" t="s">
        <v>3617</v>
      </c>
      <c r="H261" t="s">
        <v>321</v>
      </c>
      <c r="I261" t="s">
        <v>917</v>
      </c>
      <c r="J261" t="s">
        <v>204</v>
      </c>
      <c r="K261" t="s">
        <v>204</v>
      </c>
      <c r="L261" t="s">
        <v>325</v>
      </c>
      <c r="M261" t="s">
        <v>340</v>
      </c>
      <c r="N261" t="s">
        <v>454</v>
      </c>
      <c r="O261" t="s">
        <v>339</v>
      </c>
      <c r="P261" t="s">
        <v>1212</v>
      </c>
      <c r="Q261" s="131">
        <v>580</v>
      </c>
      <c r="R261" s="131">
        <v>1</v>
      </c>
      <c r="S261" s="131">
        <v>43600</v>
      </c>
      <c r="U261" s="131">
        <v>252.88</v>
      </c>
      <c r="V261" s="132">
        <v>3.0000000000000001E-5</v>
      </c>
      <c r="W261" s="132">
        <f t="shared" si="4"/>
        <v>8.6796027345004603E-3</v>
      </c>
      <c r="X261" s="132">
        <v>8.5051881735165097E-4</v>
      </c>
    </row>
    <row r="262" spans="1:24">
      <c r="A262" t="s">
        <v>1213</v>
      </c>
      <c r="B262" s="4">
        <v>13500</v>
      </c>
      <c r="C262" t="s">
        <v>2883</v>
      </c>
      <c r="D262" t="s">
        <v>2884</v>
      </c>
      <c r="E262" t="s">
        <v>311</v>
      </c>
      <c r="F262" t="s">
        <v>3614</v>
      </c>
      <c r="G262" t="s">
        <v>3615</v>
      </c>
      <c r="H262" t="s">
        <v>321</v>
      </c>
      <c r="I262" t="s">
        <v>917</v>
      </c>
      <c r="J262" t="s">
        <v>204</v>
      </c>
      <c r="K262" t="s">
        <v>204</v>
      </c>
      <c r="L262" t="s">
        <v>325</v>
      </c>
      <c r="M262" t="s">
        <v>340</v>
      </c>
      <c r="N262" t="s">
        <v>480</v>
      </c>
      <c r="O262" t="s">
        <v>339</v>
      </c>
      <c r="P262" t="s">
        <v>1212</v>
      </c>
      <c r="Q262" s="131">
        <v>1650</v>
      </c>
      <c r="R262" s="131">
        <v>1</v>
      </c>
      <c r="S262" s="131">
        <v>13820</v>
      </c>
      <c r="U262" s="131">
        <v>228.03</v>
      </c>
      <c r="V262" s="132">
        <v>3.0000000000000001E-5</v>
      </c>
      <c r="W262" s="132">
        <f t="shared" si="4"/>
        <v>7.8266759393710063E-3</v>
      </c>
      <c r="X262" s="132">
        <v>7.6694007402996274E-4</v>
      </c>
    </row>
    <row r="263" spans="1:24">
      <c r="A263" t="s">
        <v>1213</v>
      </c>
      <c r="B263" s="4">
        <v>13500</v>
      </c>
      <c r="C263" t="s">
        <v>2343</v>
      </c>
      <c r="D263" t="s">
        <v>2344</v>
      </c>
      <c r="E263" t="s">
        <v>309</v>
      </c>
      <c r="F263" t="s">
        <v>3619</v>
      </c>
      <c r="G263" t="s">
        <v>3620</v>
      </c>
      <c r="H263" t="s">
        <v>321</v>
      </c>
      <c r="I263" t="s">
        <v>917</v>
      </c>
      <c r="J263" t="s">
        <v>204</v>
      </c>
      <c r="K263" t="s">
        <v>204</v>
      </c>
      <c r="L263" t="s">
        <v>325</v>
      </c>
      <c r="M263" t="s">
        <v>340</v>
      </c>
      <c r="N263" t="s">
        <v>476</v>
      </c>
      <c r="O263" t="s">
        <v>339</v>
      </c>
      <c r="P263" t="s">
        <v>1212</v>
      </c>
      <c r="Q263" s="131">
        <v>761</v>
      </c>
      <c r="R263" s="131">
        <v>1</v>
      </c>
      <c r="S263" s="131">
        <v>29830</v>
      </c>
      <c r="U263" s="131">
        <v>227.006</v>
      </c>
      <c r="V263" s="132">
        <v>5.0000000000000002E-5</v>
      </c>
      <c r="W263" s="132">
        <f t="shared" si="4"/>
        <v>7.7915291772698968E-3</v>
      </c>
      <c r="X263" s="132">
        <v>7.6349602440576117E-4</v>
      </c>
    </row>
    <row r="264" spans="1:24">
      <c r="A264" t="s">
        <v>1213</v>
      </c>
      <c r="B264" s="4">
        <v>13500</v>
      </c>
      <c r="C264" t="s">
        <v>3490</v>
      </c>
      <c r="D264" t="s">
        <v>3491</v>
      </c>
      <c r="E264" t="s">
        <v>309</v>
      </c>
      <c r="F264" t="s">
        <v>3490</v>
      </c>
      <c r="G264" t="s">
        <v>3492</v>
      </c>
      <c r="H264" t="s">
        <v>321</v>
      </c>
      <c r="I264" t="s">
        <v>917</v>
      </c>
      <c r="J264" t="s">
        <v>204</v>
      </c>
      <c r="K264" t="s">
        <v>204</v>
      </c>
      <c r="L264" t="s">
        <v>325</v>
      </c>
      <c r="M264" t="s">
        <v>340</v>
      </c>
      <c r="N264" t="s">
        <v>476</v>
      </c>
      <c r="O264" t="s">
        <v>339</v>
      </c>
      <c r="P264" t="s">
        <v>1212</v>
      </c>
      <c r="Q264" s="131">
        <v>1029</v>
      </c>
      <c r="R264" s="131">
        <v>1</v>
      </c>
      <c r="S264" s="131">
        <v>19560</v>
      </c>
      <c r="U264" s="131">
        <v>201.27199999999999</v>
      </c>
      <c r="V264" s="132">
        <v>4.0000000000000003E-5</v>
      </c>
      <c r="W264" s="132">
        <f t="shared" si="4"/>
        <v>6.9082608414203443E-3</v>
      </c>
      <c r="X264" s="132">
        <v>6.7694409761943008E-4</v>
      </c>
    </row>
    <row r="265" spans="1:24">
      <c r="A265" t="s">
        <v>1213</v>
      </c>
      <c r="B265" s="4">
        <v>13500</v>
      </c>
      <c r="C265" t="s">
        <v>3474</v>
      </c>
      <c r="D265" t="s">
        <v>3475</v>
      </c>
      <c r="E265" t="s">
        <v>309</v>
      </c>
      <c r="F265" t="s">
        <v>3476</v>
      </c>
      <c r="G265" t="s">
        <v>3477</v>
      </c>
      <c r="H265" t="s">
        <v>321</v>
      </c>
      <c r="I265" t="s">
        <v>917</v>
      </c>
      <c r="J265" t="s">
        <v>204</v>
      </c>
      <c r="K265" t="s">
        <v>204</v>
      </c>
      <c r="L265" t="s">
        <v>325</v>
      </c>
      <c r="M265" t="s">
        <v>340</v>
      </c>
      <c r="N265" t="s">
        <v>454</v>
      </c>
      <c r="O265" t="s">
        <v>339</v>
      </c>
      <c r="P265" t="s">
        <v>1212</v>
      </c>
      <c r="Q265" s="131">
        <v>65084</v>
      </c>
      <c r="R265" s="131">
        <v>1</v>
      </c>
      <c r="S265" s="131">
        <v>303</v>
      </c>
      <c r="U265" s="131">
        <v>197.20500000000001</v>
      </c>
      <c r="V265" s="132">
        <v>6.0000000000000002E-5</v>
      </c>
      <c r="W265" s="132">
        <f t="shared" si="4"/>
        <v>6.7686691603019754E-3</v>
      </c>
      <c r="X265" s="132">
        <v>6.6326543568424683E-4</v>
      </c>
    </row>
    <row r="266" spans="1:24">
      <c r="A266" t="s">
        <v>1213</v>
      </c>
      <c r="B266" s="4">
        <v>13500</v>
      </c>
      <c r="C266" t="s">
        <v>2428</v>
      </c>
      <c r="D266" t="s">
        <v>2429</v>
      </c>
      <c r="E266" t="s">
        <v>309</v>
      </c>
      <c r="F266" t="s">
        <v>2428</v>
      </c>
      <c r="G266" t="s">
        <v>3459</v>
      </c>
      <c r="H266" t="s">
        <v>321</v>
      </c>
      <c r="I266" t="s">
        <v>917</v>
      </c>
      <c r="J266" t="s">
        <v>204</v>
      </c>
      <c r="K266" t="s">
        <v>204</v>
      </c>
      <c r="L266" t="s">
        <v>325</v>
      </c>
      <c r="M266" t="s">
        <v>340</v>
      </c>
      <c r="N266" t="s">
        <v>454</v>
      </c>
      <c r="O266" t="s">
        <v>339</v>
      </c>
      <c r="P266" t="s">
        <v>1212</v>
      </c>
      <c r="Q266" s="131">
        <v>121336</v>
      </c>
      <c r="R266" s="131">
        <v>1</v>
      </c>
      <c r="S266" s="131">
        <v>161.9</v>
      </c>
      <c r="U266" s="131">
        <v>196.44300000000001</v>
      </c>
      <c r="V266" s="132">
        <v>5.0000000000000002E-5</v>
      </c>
      <c r="W266" s="132">
        <f t="shared" si="4"/>
        <v>6.7425150267853293E-3</v>
      </c>
      <c r="X266" s="132">
        <v>6.607025784443625E-4</v>
      </c>
    </row>
    <row r="267" spans="1:24">
      <c r="A267" t="s">
        <v>1213</v>
      </c>
      <c r="B267" s="4">
        <v>13500</v>
      </c>
      <c r="C267" t="s">
        <v>1691</v>
      </c>
      <c r="D267" t="s">
        <v>1692</v>
      </c>
      <c r="E267" t="s">
        <v>309</v>
      </c>
      <c r="F267" t="s">
        <v>3478</v>
      </c>
      <c r="G267" t="s">
        <v>3479</v>
      </c>
      <c r="H267" t="s">
        <v>321</v>
      </c>
      <c r="I267" t="s">
        <v>917</v>
      </c>
      <c r="J267" t="s">
        <v>204</v>
      </c>
      <c r="K267" t="s">
        <v>204</v>
      </c>
      <c r="L267" t="s">
        <v>325</v>
      </c>
      <c r="M267" t="s">
        <v>340</v>
      </c>
      <c r="N267" t="s">
        <v>464</v>
      </c>
      <c r="O267" t="s">
        <v>339</v>
      </c>
      <c r="P267" t="s">
        <v>1212</v>
      </c>
      <c r="Q267" s="131">
        <v>11697</v>
      </c>
      <c r="R267" s="131">
        <v>1</v>
      </c>
      <c r="S267" s="131">
        <v>1513</v>
      </c>
      <c r="U267" s="131">
        <v>176.976</v>
      </c>
      <c r="V267" s="132">
        <v>6.0000000000000002E-5</v>
      </c>
      <c r="W267" s="132">
        <f t="shared" si="4"/>
        <v>6.0743489937557481E-3</v>
      </c>
      <c r="X267" s="132">
        <v>5.9522863895771036E-4</v>
      </c>
    </row>
    <row r="268" spans="1:24">
      <c r="A268" t="s">
        <v>1213</v>
      </c>
      <c r="B268" s="4">
        <v>13500</v>
      </c>
      <c r="C268" t="s">
        <v>3526</v>
      </c>
      <c r="D268" t="s">
        <v>3527</v>
      </c>
      <c r="E268" t="s">
        <v>309</v>
      </c>
      <c r="F268" t="s">
        <v>3528</v>
      </c>
      <c r="G268" t="s">
        <v>3529</v>
      </c>
      <c r="H268" t="s">
        <v>321</v>
      </c>
      <c r="I268" t="s">
        <v>917</v>
      </c>
      <c r="J268" t="s">
        <v>204</v>
      </c>
      <c r="K268" t="s">
        <v>204</v>
      </c>
      <c r="L268" t="s">
        <v>325</v>
      </c>
      <c r="M268" t="s">
        <v>340</v>
      </c>
      <c r="N268" t="s">
        <v>463</v>
      </c>
      <c r="O268" t="s">
        <v>339</v>
      </c>
      <c r="P268" t="s">
        <v>1212</v>
      </c>
      <c r="Q268" s="131">
        <v>12899</v>
      </c>
      <c r="R268" s="131">
        <v>1</v>
      </c>
      <c r="S268" s="131">
        <v>1271</v>
      </c>
      <c r="U268" s="131">
        <v>163.946</v>
      </c>
      <c r="V268" s="132">
        <v>9.0000000000000006E-5</v>
      </c>
      <c r="W268" s="132">
        <f t="shared" si="4"/>
        <v>5.6271201752230802E-3</v>
      </c>
      <c r="X268" s="132">
        <v>5.5140445282162993E-4</v>
      </c>
    </row>
    <row r="269" spans="1:24">
      <c r="A269" t="s">
        <v>1213</v>
      </c>
      <c r="B269" s="4">
        <v>13500</v>
      </c>
      <c r="C269" t="s">
        <v>3498</v>
      </c>
      <c r="D269" t="s">
        <v>3499</v>
      </c>
      <c r="E269" t="s">
        <v>309</v>
      </c>
      <c r="F269" t="s">
        <v>3500</v>
      </c>
      <c r="G269" t="s">
        <v>3501</v>
      </c>
      <c r="H269" t="s">
        <v>321</v>
      </c>
      <c r="I269" t="s">
        <v>917</v>
      </c>
      <c r="J269" t="s">
        <v>204</v>
      </c>
      <c r="K269" t="s">
        <v>204</v>
      </c>
      <c r="L269" t="s">
        <v>325</v>
      </c>
      <c r="M269" t="s">
        <v>340</v>
      </c>
      <c r="N269" t="s">
        <v>476</v>
      </c>
      <c r="O269" t="s">
        <v>339</v>
      </c>
      <c r="P269" t="s">
        <v>1212</v>
      </c>
      <c r="Q269" s="131">
        <v>3198</v>
      </c>
      <c r="R269" s="131">
        <v>1</v>
      </c>
      <c r="S269" s="131">
        <v>5029</v>
      </c>
      <c r="U269" s="131">
        <v>160.827</v>
      </c>
      <c r="V269" s="132">
        <v>4.0000000000000003E-5</v>
      </c>
      <c r="W269" s="132">
        <f t="shared" si="4"/>
        <v>5.5200667074561281E-3</v>
      </c>
      <c r="X269" s="132">
        <v>5.4091422745260187E-4</v>
      </c>
    </row>
    <row r="270" spans="1:24">
      <c r="A270" t="s">
        <v>1213</v>
      </c>
      <c r="B270" s="4">
        <v>13500</v>
      </c>
      <c r="C270" t="s">
        <v>1546</v>
      </c>
      <c r="D270" t="s">
        <v>1547</v>
      </c>
      <c r="E270" t="s">
        <v>309</v>
      </c>
      <c r="F270" t="s">
        <v>3622</v>
      </c>
      <c r="G270" t="s">
        <v>3623</v>
      </c>
      <c r="H270" t="s">
        <v>321</v>
      </c>
      <c r="I270" t="s">
        <v>917</v>
      </c>
      <c r="J270" t="s">
        <v>204</v>
      </c>
      <c r="K270" t="s">
        <v>204</v>
      </c>
      <c r="L270" t="s">
        <v>325</v>
      </c>
      <c r="M270" t="s">
        <v>340</v>
      </c>
      <c r="N270" t="s">
        <v>443</v>
      </c>
      <c r="O270" t="s">
        <v>339</v>
      </c>
      <c r="P270" t="s">
        <v>1212</v>
      </c>
      <c r="Q270" s="131">
        <v>282</v>
      </c>
      <c r="R270" s="131">
        <v>1</v>
      </c>
      <c r="S270" s="131">
        <v>52740</v>
      </c>
      <c r="U270" s="131">
        <v>148.727</v>
      </c>
      <c r="V270" s="132">
        <v>1E-4</v>
      </c>
      <c r="W270" s="132">
        <f t="shared" si="4"/>
        <v>5.1047582880973195E-3</v>
      </c>
      <c r="X270" s="132">
        <v>5.0021793794787644E-4</v>
      </c>
    </row>
    <row r="271" spans="1:24">
      <c r="A271" t="s">
        <v>1213</v>
      </c>
      <c r="B271" s="4">
        <v>13500</v>
      </c>
      <c r="C271" t="s">
        <v>2155</v>
      </c>
      <c r="D271" t="s">
        <v>2156</v>
      </c>
      <c r="E271" t="s">
        <v>309</v>
      </c>
      <c r="F271" t="s">
        <v>2155</v>
      </c>
      <c r="G271" t="s">
        <v>3473</v>
      </c>
      <c r="H271" t="s">
        <v>321</v>
      </c>
      <c r="I271" t="s">
        <v>917</v>
      </c>
      <c r="J271" t="s">
        <v>204</v>
      </c>
      <c r="K271" t="s">
        <v>204</v>
      </c>
      <c r="L271" t="s">
        <v>325</v>
      </c>
      <c r="M271" t="s">
        <v>340</v>
      </c>
      <c r="N271" t="s">
        <v>451</v>
      </c>
      <c r="O271" t="s">
        <v>339</v>
      </c>
      <c r="P271" t="s">
        <v>1212</v>
      </c>
      <c r="Q271" s="131">
        <v>92</v>
      </c>
      <c r="R271" s="131">
        <v>1</v>
      </c>
      <c r="S271" s="131">
        <v>148500</v>
      </c>
      <c r="T271" s="131">
        <v>1.0309999999999999</v>
      </c>
      <c r="U271" s="131">
        <v>137.65100000000001</v>
      </c>
      <c r="V271" s="132">
        <v>2.0000000000000002E-5</v>
      </c>
      <c r="W271" s="132">
        <f t="shared" si="4"/>
        <v>4.7245966308396194E-3</v>
      </c>
      <c r="X271" s="132">
        <v>4.6296569806735259E-4</v>
      </c>
    </row>
    <row r="272" spans="1:24">
      <c r="A272" t="s">
        <v>1213</v>
      </c>
      <c r="B272" s="4">
        <v>13500</v>
      </c>
      <c r="C272" t="s">
        <v>2566</v>
      </c>
      <c r="D272" t="s">
        <v>2567</v>
      </c>
      <c r="E272" t="s">
        <v>309</v>
      </c>
      <c r="F272" t="s">
        <v>2566</v>
      </c>
      <c r="G272" t="s">
        <v>3511</v>
      </c>
      <c r="H272" t="s">
        <v>321</v>
      </c>
      <c r="I272" t="s">
        <v>917</v>
      </c>
      <c r="J272" t="s">
        <v>204</v>
      </c>
      <c r="K272" t="s">
        <v>204</v>
      </c>
      <c r="L272" t="s">
        <v>325</v>
      </c>
      <c r="M272" t="s">
        <v>340</v>
      </c>
      <c r="N272" t="s">
        <v>476</v>
      </c>
      <c r="O272" t="s">
        <v>339</v>
      </c>
      <c r="P272" t="s">
        <v>1212</v>
      </c>
      <c r="Q272" s="131">
        <v>1699</v>
      </c>
      <c r="R272" s="131">
        <v>1</v>
      </c>
      <c r="S272" s="131">
        <v>7125</v>
      </c>
      <c r="T272" s="131">
        <v>1.393</v>
      </c>
      <c r="U272" s="131">
        <v>122.447</v>
      </c>
      <c r="V272" s="132">
        <v>3.0000000000000001E-5</v>
      </c>
      <c r="W272" s="132">
        <f t="shared" si="4"/>
        <v>4.2027495888618234E-3</v>
      </c>
      <c r="X272" s="132">
        <v>4.1182963313926612E-4</v>
      </c>
    </row>
    <row r="273" spans="1:24">
      <c r="A273" t="s">
        <v>1213</v>
      </c>
      <c r="B273" s="4">
        <v>13500</v>
      </c>
      <c r="C273" t="s">
        <v>2454</v>
      </c>
      <c r="D273" t="s">
        <v>2455</v>
      </c>
      <c r="E273" t="s">
        <v>309</v>
      </c>
      <c r="F273" t="s">
        <v>2454</v>
      </c>
      <c r="G273" t="s">
        <v>3618</v>
      </c>
      <c r="H273" t="s">
        <v>321</v>
      </c>
      <c r="I273" t="s">
        <v>917</v>
      </c>
      <c r="J273" t="s">
        <v>204</v>
      </c>
      <c r="K273" t="s">
        <v>204</v>
      </c>
      <c r="L273" t="s">
        <v>325</v>
      </c>
      <c r="M273" t="s">
        <v>340</v>
      </c>
      <c r="N273" t="s">
        <v>478</v>
      </c>
      <c r="O273" t="s">
        <v>339</v>
      </c>
      <c r="P273" t="s">
        <v>1212</v>
      </c>
      <c r="Q273" s="131">
        <v>8874</v>
      </c>
      <c r="R273" s="131">
        <v>1</v>
      </c>
      <c r="S273" s="131">
        <v>1373</v>
      </c>
      <c r="U273" s="131">
        <v>121.84</v>
      </c>
      <c r="V273" s="132">
        <v>4.0000000000000003E-5</v>
      </c>
      <c r="W273" s="132">
        <f t="shared" si="4"/>
        <v>4.1819155218741546E-3</v>
      </c>
      <c r="X273" s="132">
        <v>4.0978809200460756E-4</v>
      </c>
    </row>
    <row r="274" spans="1:24">
      <c r="A274" t="s">
        <v>1213</v>
      </c>
      <c r="B274" s="4">
        <v>13500</v>
      </c>
      <c r="C274" t="s">
        <v>2576</v>
      </c>
      <c r="D274" t="s">
        <v>2577</v>
      </c>
      <c r="E274" t="s">
        <v>309</v>
      </c>
      <c r="F274" t="s">
        <v>2576</v>
      </c>
      <c r="G274" t="s">
        <v>3621</v>
      </c>
      <c r="H274" t="s">
        <v>321</v>
      </c>
      <c r="I274" t="s">
        <v>917</v>
      </c>
      <c r="J274" t="s">
        <v>204</v>
      </c>
      <c r="K274" t="s">
        <v>204</v>
      </c>
      <c r="L274" t="s">
        <v>325</v>
      </c>
      <c r="M274" t="s">
        <v>340</v>
      </c>
      <c r="N274" t="s">
        <v>451</v>
      </c>
      <c r="O274" t="s">
        <v>339</v>
      </c>
      <c r="P274" t="s">
        <v>1212</v>
      </c>
      <c r="Q274" s="131">
        <v>150</v>
      </c>
      <c r="R274" s="131">
        <v>1</v>
      </c>
      <c r="S274" s="131">
        <v>81100</v>
      </c>
      <c r="U274" s="131">
        <v>121.65</v>
      </c>
      <c r="V274" s="132">
        <v>2.0000000000000002E-5</v>
      </c>
      <c r="W274" s="132">
        <f t="shared" si="4"/>
        <v>4.1753941499999255E-3</v>
      </c>
      <c r="X274" s="132">
        <v>4.0914905935949202E-4</v>
      </c>
    </row>
    <row r="275" spans="1:24">
      <c r="A275" t="s">
        <v>1213</v>
      </c>
      <c r="B275" s="4">
        <v>13500</v>
      </c>
      <c r="C275" t="s">
        <v>3447</v>
      </c>
      <c r="D275" t="s">
        <v>3448</v>
      </c>
      <c r="E275" t="s">
        <v>309</v>
      </c>
      <c r="F275" t="s">
        <v>3449</v>
      </c>
      <c r="G275" t="s">
        <v>3450</v>
      </c>
      <c r="H275" t="s">
        <v>321</v>
      </c>
      <c r="I275" t="s">
        <v>917</v>
      </c>
      <c r="J275" t="s">
        <v>204</v>
      </c>
      <c r="K275" t="s">
        <v>204</v>
      </c>
      <c r="L275" t="s">
        <v>325</v>
      </c>
      <c r="M275" t="s">
        <v>340</v>
      </c>
      <c r="N275" t="s">
        <v>445</v>
      </c>
      <c r="O275" t="s">
        <v>339</v>
      </c>
      <c r="P275" t="s">
        <v>1212</v>
      </c>
      <c r="Q275" s="131">
        <v>1071</v>
      </c>
      <c r="R275" s="131">
        <v>1</v>
      </c>
      <c r="S275" s="131">
        <v>10880</v>
      </c>
      <c r="U275" s="131">
        <v>116.52500000000001</v>
      </c>
      <c r="V275" s="132">
        <v>2.0000000000000002E-5</v>
      </c>
      <c r="W275" s="132">
        <f t="shared" si="4"/>
        <v>3.9994887244450576E-3</v>
      </c>
      <c r="X275" s="132">
        <v>3.9191199458992859E-4</v>
      </c>
    </row>
    <row r="276" spans="1:24">
      <c r="A276" t="s">
        <v>1213</v>
      </c>
      <c r="B276" s="4">
        <v>13500</v>
      </c>
      <c r="C276" t="s">
        <v>3653</v>
      </c>
      <c r="D276" t="s">
        <v>3654</v>
      </c>
      <c r="E276" t="s">
        <v>309</v>
      </c>
      <c r="F276" t="s">
        <v>3653</v>
      </c>
      <c r="G276" t="s">
        <v>3655</v>
      </c>
      <c r="H276" t="s">
        <v>321</v>
      </c>
      <c r="I276" t="s">
        <v>917</v>
      </c>
      <c r="J276" t="s">
        <v>204</v>
      </c>
      <c r="K276" t="s">
        <v>204</v>
      </c>
      <c r="L276" t="s">
        <v>325</v>
      </c>
      <c r="M276" t="s">
        <v>340</v>
      </c>
      <c r="N276" t="s">
        <v>475</v>
      </c>
      <c r="O276" t="s">
        <v>339</v>
      </c>
      <c r="P276" t="s">
        <v>1212</v>
      </c>
      <c r="Q276" s="131">
        <v>553</v>
      </c>
      <c r="R276" s="131">
        <v>1</v>
      </c>
      <c r="S276" s="131">
        <v>20800</v>
      </c>
      <c r="U276" s="131">
        <v>115.024</v>
      </c>
      <c r="V276" s="132">
        <v>4.0000000000000003E-5</v>
      </c>
      <c r="W276" s="132">
        <f t="shared" si="4"/>
        <v>3.947969886638647E-3</v>
      </c>
      <c r="X276" s="132">
        <v>3.8686363669351593E-4</v>
      </c>
    </row>
    <row r="277" spans="1:24">
      <c r="A277" t="s">
        <v>1213</v>
      </c>
      <c r="B277" s="4">
        <v>13500</v>
      </c>
      <c r="C277" t="s">
        <v>2404</v>
      </c>
      <c r="D277" t="s">
        <v>2405</v>
      </c>
      <c r="E277" t="s">
        <v>309</v>
      </c>
      <c r="F277" t="s">
        <v>2404</v>
      </c>
      <c r="G277" t="s">
        <v>3418</v>
      </c>
      <c r="H277" t="s">
        <v>321</v>
      </c>
      <c r="I277" t="s">
        <v>917</v>
      </c>
      <c r="J277" t="s">
        <v>204</v>
      </c>
      <c r="K277" t="s">
        <v>204</v>
      </c>
      <c r="L277" t="s">
        <v>325</v>
      </c>
      <c r="M277" t="s">
        <v>340</v>
      </c>
      <c r="N277" t="s">
        <v>440</v>
      </c>
      <c r="O277" t="s">
        <v>339</v>
      </c>
      <c r="P277" t="s">
        <v>1212</v>
      </c>
      <c r="Q277" s="131">
        <v>3759</v>
      </c>
      <c r="R277" s="131">
        <v>1</v>
      </c>
      <c r="S277" s="131">
        <v>3016</v>
      </c>
      <c r="U277" s="131">
        <v>113.371</v>
      </c>
      <c r="V277" s="132">
        <v>1.0000000000000001E-5</v>
      </c>
      <c r="W277" s="132">
        <f t="shared" si="4"/>
        <v>3.8912339513328524E-3</v>
      </c>
      <c r="X277" s="132">
        <v>3.8130405268101082E-4</v>
      </c>
    </row>
    <row r="278" spans="1:24">
      <c r="A278" t="s">
        <v>1213</v>
      </c>
      <c r="B278" s="4">
        <v>13500</v>
      </c>
      <c r="C278" t="s">
        <v>1634</v>
      </c>
      <c r="D278" t="s">
        <v>1635</v>
      </c>
      <c r="E278" t="s">
        <v>309</v>
      </c>
      <c r="F278" t="s">
        <v>3437</v>
      </c>
      <c r="G278" t="s">
        <v>3438</v>
      </c>
      <c r="H278" t="s">
        <v>321</v>
      </c>
      <c r="I278" t="s">
        <v>917</v>
      </c>
      <c r="J278" t="s">
        <v>204</v>
      </c>
      <c r="K278" t="s">
        <v>204</v>
      </c>
      <c r="L278" t="s">
        <v>325</v>
      </c>
      <c r="M278" t="s">
        <v>340</v>
      </c>
      <c r="N278" t="s">
        <v>454</v>
      </c>
      <c r="O278" t="s">
        <v>339</v>
      </c>
      <c r="P278" t="s">
        <v>1212</v>
      </c>
      <c r="Q278" s="131">
        <v>2176</v>
      </c>
      <c r="R278" s="131">
        <v>1</v>
      </c>
      <c r="S278" s="131">
        <v>5205</v>
      </c>
      <c r="U278" s="131">
        <v>113.261</v>
      </c>
      <c r="V278" s="132">
        <v>2.0000000000000002E-5</v>
      </c>
      <c r="W278" s="132">
        <f t="shared" si="4"/>
        <v>3.8874584202477722E-3</v>
      </c>
      <c r="X278" s="132">
        <v>3.8093408641278603E-4</v>
      </c>
    </row>
    <row r="279" spans="1:24">
      <c r="A279" t="s">
        <v>1213</v>
      </c>
      <c r="B279" s="4">
        <v>13500</v>
      </c>
      <c r="C279" t="s">
        <v>1728</v>
      </c>
      <c r="D279" t="s">
        <v>1729</v>
      </c>
      <c r="E279" t="s">
        <v>309</v>
      </c>
      <c r="F279" t="s">
        <v>1728</v>
      </c>
      <c r="G279" t="s">
        <v>3496</v>
      </c>
      <c r="H279" t="s">
        <v>321</v>
      </c>
      <c r="I279" t="s">
        <v>917</v>
      </c>
      <c r="J279" t="s">
        <v>204</v>
      </c>
      <c r="K279" t="s">
        <v>204</v>
      </c>
      <c r="L279" t="s">
        <v>325</v>
      </c>
      <c r="M279" t="s">
        <v>340</v>
      </c>
      <c r="N279" t="s">
        <v>461</v>
      </c>
      <c r="O279" t="s">
        <v>339</v>
      </c>
      <c r="P279" t="s">
        <v>1212</v>
      </c>
      <c r="Q279" s="131">
        <v>249</v>
      </c>
      <c r="R279" s="131">
        <v>1</v>
      </c>
      <c r="S279" s="131">
        <v>42630</v>
      </c>
      <c r="U279" s="131">
        <v>106.149</v>
      </c>
      <c r="V279" s="132">
        <v>2.0000000000000002E-5</v>
      </c>
      <c r="W279" s="132">
        <f t="shared" si="4"/>
        <v>3.643353174092413E-3</v>
      </c>
      <c r="X279" s="132">
        <v>3.5701408550719866E-4</v>
      </c>
    </row>
    <row r="280" spans="1:24">
      <c r="A280" t="s">
        <v>1213</v>
      </c>
      <c r="B280" s="4">
        <v>13500</v>
      </c>
      <c r="C280" t="s">
        <v>3634</v>
      </c>
      <c r="D280" t="s">
        <v>3635</v>
      </c>
      <c r="E280" t="s">
        <v>309</v>
      </c>
      <c r="F280" t="s">
        <v>3634</v>
      </c>
      <c r="G280" t="s">
        <v>3636</v>
      </c>
      <c r="H280" t="s">
        <v>321</v>
      </c>
      <c r="I280" t="s">
        <v>917</v>
      </c>
      <c r="J280" t="s">
        <v>204</v>
      </c>
      <c r="K280" t="s">
        <v>204</v>
      </c>
      <c r="L280" t="s">
        <v>325</v>
      </c>
      <c r="M280" t="s">
        <v>340</v>
      </c>
      <c r="N280" t="s">
        <v>462</v>
      </c>
      <c r="O280" t="s">
        <v>339</v>
      </c>
      <c r="P280" t="s">
        <v>1212</v>
      </c>
      <c r="Q280" s="131">
        <v>4268</v>
      </c>
      <c r="R280" s="131">
        <v>1</v>
      </c>
      <c r="S280" s="131">
        <v>2141</v>
      </c>
      <c r="U280" s="131">
        <v>91.378</v>
      </c>
      <c r="V280" s="132">
        <v>4.0000000000000003E-5</v>
      </c>
      <c r="W280" s="132">
        <f t="shared" si="4"/>
        <v>3.1363679953858871E-3</v>
      </c>
      <c r="X280" s="132">
        <v>3.0733434234403337E-4</v>
      </c>
    </row>
    <row r="281" spans="1:24">
      <c r="A281" t="s">
        <v>1213</v>
      </c>
      <c r="B281" s="4">
        <v>13500</v>
      </c>
      <c r="C281" t="s">
        <v>3461</v>
      </c>
      <c r="D281" t="s">
        <v>3462</v>
      </c>
      <c r="E281" t="s">
        <v>309</v>
      </c>
      <c r="F281" t="s">
        <v>3461</v>
      </c>
      <c r="G281" t="s">
        <v>3463</v>
      </c>
      <c r="H281" t="s">
        <v>321</v>
      </c>
      <c r="I281" t="s">
        <v>917</v>
      </c>
      <c r="J281" t="s">
        <v>204</v>
      </c>
      <c r="K281" t="s">
        <v>204</v>
      </c>
      <c r="L281" t="s">
        <v>325</v>
      </c>
      <c r="M281" t="s">
        <v>340</v>
      </c>
      <c r="N281" t="s">
        <v>475</v>
      </c>
      <c r="O281" t="s">
        <v>339</v>
      </c>
      <c r="P281" t="s">
        <v>1212</v>
      </c>
      <c r="Q281" s="131">
        <v>309</v>
      </c>
      <c r="R281" s="131">
        <v>1</v>
      </c>
      <c r="S281" s="131">
        <v>28150</v>
      </c>
      <c r="U281" s="131">
        <v>86.983999999999995</v>
      </c>
      <c r="V281" s="132">
        <v>2.0000000000000002E-5</v>
      </c>
      <c r="W281" s="132">
        <f t="shared" si="4"/>
        <v>2.9855526900418698E-3</v>
      </c>
      <c r="X281" s="132">
        <v>2.9255587159330909E-4</v>
      </c>
    </row>
    <row r="282" spans="1:24">
      <c r="A282" t="s">
        <v>1213</v>
      </c>
      <c r="B282" s="4">
        <v>13500</v>
      </c>
      <c r="C282" t="s">
        <v>3642</v>
      </c>
      <c r="D282" t="s">
        <v>3643</v>
      </c>
      <c r="E282" t="s">
        <v>309</v>
      </c>
      <c r="F282" t="s">
        <v>3642</v>
      </c>
      <c r="G282" t="s">
        <v>3644</v>
      </c>
      <c r="H282" t="s">
        <v>321</v>
      </c>
      <c r="I282" t="s">
        <v>917</v>
      </c>
      <c r="J282" t="s">
        <v>204</v>
      </c>
      <c r="K282" t="s">
        <v>204</v>
      </c>
      <c r="L282" t="s">
        <v>325</v>
      </c>
      <c r="M282" t="s">
        <v>340</v>
      </c>
      <c r="N282" t="s">
        <v>445</v>
      </c>
      <c r="O282" t="s">
        <v>339</v>
      </c>
      <c r="P282" t="s">
        <v>1212</v>
      </c>
      <c r="Q282" s="131">
        <v>15083</v>
      </c>
      <c r="R282" s="131">
        <v>1</v>
      </c>
      <c r="S282" s="131">
        <v>508.2</v>
      </c>
      <c r="U282" s="131">
        <v>76.652000000000001</v>
      </c>
      <c r="V282" s="132">
        <v>1.0000000000000001E-5</v>
      </c>
      <c r="W282" s="132">
        <f t="shared" si="4"/>
        <v>2.6309273521232576E-3</v>
      </c>
      <c r="X282" s="132">
        <v>2.5780594901786917E-4</v>
      </c>
    </row>
    <row r="283" spans="1:24">
      <c r="A283" t="s">
        <v>1213</v>
      </c>
      <c r="B283" s="4">
        <v>13500</v>
      </c>
      <c r="C283" t="s">
        <v>2328</v>
      </c>
      <c r="D283" t="s">
        <v>2329</v>
      </c>
      <c r="E283" t="s">
        <v>309</v>
      </c>
      <c r="F283" t="s">
        <v>2328</v>
      </c>
      <c r="G283" t="s">
        <v>3639</v>
      </c>
      <c r="H283" t="s">
        <v>321</v>
      </c>
      <c r="I283" t="s">
        <v>917</v>
      </c>
      <c r="J283" t="s">
        <v>204</v>
      </c>
      <c r="K283" t="s">
        <v>204</v>
      </c>
      <c r="L283" t="s">
        <v>325</v>
      </c>
      <c r="M283" t="s">
        <v>340</v>
      </c>
      <c r="N283" t="s">
        <v>465</v>
      </c>
      <c r="O283" t="s">
        <v>339</v>
      </c>
      <c r="P283" t="s">
        <v>1212</v>
      </c>
      <c r="Q283" s="131">
        <v>1361</v>
      </c>
      <c r="R283" s="131">
        <v>1</v>
      </c>
      <c r="S283" s="131">
        <v>5570</v>
      </c>
      <c r="U283" s="131">
        <v>75.808000000000007</v>
      </c>
      <c r="V283" s="132">
        <v>2.0000000000000002E-5</v>
      </c>
      <c r="W283" s="132">
        <f t="shared" si="4"/>
        <v>2.6019587317977341E-3</v>
      </c>
      <c r="X283" s="132">
        <v>2.5496729874167179E-4</v>
      </c>
    </row>
    <row r="284" spans="1:24">
      <c r="A284" t="s">
        <v>1213</v>
      </c>
      <c r="B284" s="4">
        <v>13500</v>
      </c>
      <c r="C284" t="s">
        <v>2595</v>
      </c>
      <c r="D284" t="s">
        <v>2596</v>
      </c>
      <c r="E284" t="s">
        <v>309</v>
      </c>
      <c r="F284" t="s">
        <v>2595</v>
      </c>
      <c r="G284" t="s">
        <v>3638</v>
      </c>
      <c r="H284" t="s">
        <v>321</v>
      </c>
      <c r="I284" t="s">
        <v>917</v>
      </c>
      <c r="J284" t="s">
        <v>204</v>
      </c>
      <c r="K284" t="s">
        <v>204</v>
      </c>
      <c r="L284" t="s">
        <v>325</v>
      </c>
      <c r="M284" t="s">
        <v>340</v>
      </c>
      <c r="N284" t="s">
        <v>484</v>
      </c>
      <c r="O284" t="s">
        <v>339</v>
      </c>
      <c r="P284" t="s">
        <v>1212</v>
      </c>
      <c r="Q284" s="131">
        <v>4080</v>
      </c>
      <c r="R284" s="131">
        <v>1</v>
      </c>
      <c r="S284" s="131">
        <v>1606</v>
      </c>
      <c r="U284" s="131">
        <v>65.525000000000006</v>
      </c>
      <c r="V284" s="132">
        <v>2.0000000000000002E-5</v>
      </c>
      <c r="W284" s="132">
        <f t="shared" si="4"/>
        <v>2.2490152213624753E-3</v>
      </c>
      <c r="X284" s="132">
        <v>2.203821793220774E-4</v>
      </c>
    </row>
    <row r="285" spans="1:24">
      <c r="A285" t="s">
        <v>1213</v>
      </c>
      <c r="B285" s="4">
        <v>13500</v>
      </c>
      <c r="C285" t="s">
        <v>3668</v>
      </c>
      <c r="D285" t="s">
        <v>3669</v>
      </c>
      <c r="E285" t="s">
        <v>309</v>
      </c>
      <c r="F285" t="s">
        <v>3668</v>
      </c>
      <c r="G285" t="s">
        <v>3670</v>
      </c>
      <c r="H285" t="s">
        <v>321</v>
      </c>
      <c r="I285" t="s">
        <v>917</v>
      </c>
      <c r="J285" t="s">
        <v>204</v>
      </c>
      <c r="K285" t="s">
        <v>204</v>
      </c>
      <c r="L285" t="s">
        <v>325</v>
      </c>
      <c r="M285" t="s">
        <v>340</v>
      </c>
      <c r="N285" t="s">
        <v>445</v>
      </c>
      <c r="O285" t="s">
        <v>339</v>
      </c>
      <c r="P285" t="s">
        <v>1212</v>
      </c>
      <c r="Q285" s="131">
        <v>9800</v>
      </c>
      <c r="R285" s="131">
        <v>1</v>
      </c>
      <c r="S285" s="131">
        <v>620.79999999999995</v>
      </c>
      <c r="U285" s="131">
        <v>60.838000000000001</v>
      </c>
      <c r="V285" s="132">
        <v>2.2000000000000001E-4</v>
      </c>
      <c r="W285" s="132">
        <f t="shared" si="4"/>
        <v>2.0881432741281991E-3</v>
      </c>
      <c r="X285" s="132">
        <v>2.0461825296599076E-4</v>
      </c>
    </row>
    <row r="286" spans="1:24">
      <c r="A286" t="s">
        <v>1213</v>
      </c>
      <c r="B286" s="4">
        <v>13500</v>
      </c>
      <c r="C286" t="s">
        <v>2315</v>
      </c>
      <c r="D286" t="s">
        <v>2316</v>
      </c>
      <c r="E286" t="s">
        <v>309</v>
      </c>
      <c r="F286" t="s">
        <v>3624</v>
      </c>
      <c r="G286" t="s">
        <v>3625</v>
      </c>
      <c r="H286" t="s">
        <v>321</v>
      </c>
      <c r="I286" t="s">
        <v>917</v>
      </c>
      <c r="J286" t="s">
        <v>204</v>
      </c>
      <c r="K286" t="s">
        <v>204</v>
      </c>
      <c r="L286" t="s">
        <v>325</v>
      </c>
      <c r="M286" t="s">
        <v>340</v>
      </c>
      <c r="N286" t="s">
        <v>484</v>
      </c>
      <c r="O286" t="s">
        <v>339</v>
      </c>
      <c r="P286" t="s">
        <v>1212</v>
      </c>
      <c r="Q286" s="131">
        <v>5000</v>
      </c>
      <c r="R286" s="131">
        <v>1</v>
      </c>
      <c r="S286" s="131">
        <v>1175</v>
      </c>
      <c r="U286" s="131">
        <v>58.75</v>
      </c>
      <c r="V286" s="132">
        <v>4.0000000000000003E-5</v>
      </c>
      <c r="W286" s="132">
        <f t="shared" si="4"/>
        <v>2.0164768295314064E-3</v>
      </c>
      <c r="X286" s="132">
        <v>1.9759562052914227E-4</v>
      </c>
    </row>
    <row r="287" spans="1:24">
      <c r="A287" t="s">
        <v>1213</v>
      </c>
      <c r="B287" s="4">
        <v>13500</v>
      </c>
      <c r="C287" t="s">
        <v>1820</v>
      </c>
      <c r="D287" t="s">
        <v>1821</v>
      </c>
      <c r="E287" t="s">
        <v>309</v>
      </c>
      <c r="F287" t="s">
        <v>3632</v>
      </c>
      <c r="G287" t="s">
        <v>3633</v>
      </c>
      <c r="H287" t="s">
        <v>321</v>
      </c>
      <c r="I287" t="s">
        <v>917</v>
      </c>
      <c r="J287" t="s">
        <v>204</v>
      </c>
      <c r="K287" t="s">
        <v>204</v>
      </c>
      <c r="L287" t="s">
        <v>325</v>
      </c>
      <c r="M287" t="s">
        <v>340</v>
      </c>
      <c r="N287" t="s">
        <v>464</v>
      </c>
      <c r="O287" t="s">
        <v>339</v>
      </c>
      <c r="P287" t="s">
        <v>1212</v>
      </c>
      <c r="Q287" s="131">
        <v>1050</v>
      </c>
      <c r="R287" s="131">
        <v>1</v>
      </c>
      <c r="S287" s="131">
        <v>5594</v>
      </c>
      <c r="U287" s="131">
        <v>58.737000000000002</v>
      </c>
      <c r="V287" s="132">
        <v>1.0000000000000001E-5</v>
      </c>
      <c r="W287" s="132">
        <f t="shared" si="4"/>
        <v>2.0160306304031696E-3</v>
      </c>
      <c r="X287" s="132">
        <v>1.9755189724289751E-4</v>
      </c>
    </row>
    <row r="288" spans="1:24">
      <c r="A288" t="s">
        <v>1213</v>
      </c>
      <c r="B288" s="4">
        <v>13500</v>
      </c>
      <c r="C288" t="s">
        <v>2824</v>
      </c>
      <c r="D288" t="s">
        <v>2825</v>
      </c>
      <c r="E288" t="s">
        <v>309</v>
      </c>
      <c r="F288" t="s">
        <v>3626</v>
      </c>
      <c r="G288" t="s">
        <v>3627</v>
      </c>
      <c r="H288" t="s">
        <v>321</v>
      </c>
      <c r="I288" t="s">
        <v>917</v>
      </c>
      <c r="J288" t="s">
        <v>204</v>
      </c>
      <c r="K288" t="s">
        <v>204</v>
      </c>
      <c r="L288" t="s">
        <v>325</v>
      </c>
      <c r="M288" t="s">
        <v>340</v>
      </c>
      <c r="N288" t="s">
        <v>463</v>
      </c>
      <c r="O288" t="s">
        <v>339</v>
      </c>
      <c r="P288" t="s">
        <v>1212</v>
      </c>
      <c r="Q288" s="131">
        <v>2685</v>
      </c>
      <c r="R288" s="131">
        <v>1</v>
      </c>
      <c r="S288" s="131">
        <v>2140</v>
      </c>
      <c r="U288" s="131">
        <v>57.459000000000003</v>
      </c>
      <c r="V288" s="132">
        <v>1.0000000000000001E-5</v>
      </c>
      <c r="W288" s="132">
        <f t="shared" si="4"/>
        <v>1.972165823796512E-3</v>
      </c>
      <c r="X288" s="132">
        <v>1.9325356187206784E-4</v>
      </c>
    </row>
    <row r="289" spans="1:24">
      <c r="A289" t="s">
        <v>1213</v>
      </c>
      <c r="B289" s="4">
        <v>13500</v>
      </c>
      <c r="C289" t="s">
        <v>3628</v>
      </c>
      <c r="D289" t="s">
        <v>3629</v>
      </c>
      <c r="E289" t="s">
        <v>309</v>
      </c>
      <c r="F289" t="s">
        <v>3630</v>
      </c>
      <c r="G289" t="s">
        <v>3631</v>
      </c>
      <c r="H289" t="s">
        <v>321</v>
      </c>
      <c r="I289" t="s">
        <v>917</v>
      </c>
      <c r="J289" t="s">
        <v>204</v>
      </c>
      <c r="K289" t="s">
        <v>204</v>
      </c>
      <c r="L289" t="s">
        <v>325</v>
      </c>
      <c r="M289" t="s">
        <v>340</v>
      </c>
      <c r="N289" t="s">
        <v>478</v>
      </c>
      <c r="O289" t="s">
        <v>339</v>
      </c>
      <c r="P289" t="s">
        <v>1212</v>
      </c>
      <c r="Q289" s="131">
        <v>9741</v>
      </c>
      <c r="R289" s="131">
        <v>1</v>
      </c>
      <c r="S289" s="131">
        <v>561</v>
      </c>
      <c r="U289" s="131">
        <v>54.646999999999998</v>
      </c>
      <c r="V289" s="132">
        <v>5.0000000000000002E-5</v>
      </c>
      <c r="W289" s="132">
        <f t="shared" si="4"/>
        <v>1.8756495200579193E-3</v>
      </c>
      <c r="X289" s="132">
        <v>1.8379587872435809E-4</v>
      </c>
    </row>
    <row r="290" spans="1:24">
      <c r="A290" t="s">
        <v>1213</v>
      </c>
      <c r="B290" s="4">
        <v>13500</v>
      </c>
      <c r="C290" t="s">
        <v>3671</v>
      </c>
      <c r="D290" t="s">
        <v>3672</v>
      </c>
      <c r="E290" t="s">
        <v>309</v>
      </c>
      <c r="F290" t="s">
        <v>3673</v>
      </c>
      <c r="G290" t="s">
        <v>3674</v>
      </c>
      <c r="H290" t="s">
        <v>321</v>
      </c>
      <c r="I290" t="s">
        <v>917</v>
      </c>
      <c r="J290" t="s">
        <v>204</v>
      </c>
      <c r="K290" t="s">
        <v>204</v>
      </c>
      <c r="L290" t="s">
        <v>325</v>
      </c>
      <c r="M290" t="s">
        <v>340</v>
      </c>
      <c r="N290" t="s">
        <v>476</v>
      </c>
      <c r="O290" t="s">
        <v>339</v>
      </c>
      <c r="P290" t="s">
        <v>1212</v>
      </c>
      <c r="Q290" s="131">
        <v>19266</v>
      </c>
      <c r="R290" s="131">
        <v>1</v>
      </c>
      <c r="S290" s="131">
        <v>267.8</v>
      </c>
      <c r="U290" s="131">
        <v>51.594000000000001</v>
      </c>
      <c r="V290" s="132">
        <v>1.6000000000000001E-4</v>
      </c>
      <c r="W290" s="132">
        <f t="shared" si="4"/>
        <v>1.770861370942015E-3</v>
      </c>
      <c r="X290" s="132">
        <v>1.7352763311626496E-4</v>
      </c>
    </row>
    <row r="291" spans="1:24">
      <c r="A291" t="s">
        <v>1213</v>
      </c>
      <c r="B291" s="4">
        <v>13500</v>
      </c>
      <c r="C291" t="s">
        <v>3427</v>
      </c>
      <c r="D291" t="s">
        <v>3428</v>
      </c>
      <c r="E291" t="s">
        <v>309</v>
      </c>
      <c r="F291" t="s">
        <v>3427</v>
      </c>
      <c r="G291" t="s">
        <v>3429</v>
      </c>
      <c r="H291" t="s">
        <v>321</v>
      </c>
      <c r="I291" t="s">
        <v>917</v>
      </c>
      <c r="J291" t="s">
        <v>204</v>
      </c>
      <c r="K291" t="s">
        <v>204</v>
      </c>
      <c r="L291" t="s">
        <v>325</v>
      </c>
      <c r="M291" t="s">
        <v>340</v>
      </c>
      <c r="N291" t="s">
        <v>439</v>
      </c>
      <c r="O291" t="s">
        <v>339</v>
      </c>
      <c r="P291" t="s">
        <v>1212</v>
      </c>
      <c r="Q291" s="131">
        <v>1300</v>
      </c>
      <c r="R291" s="131">
        <v>1</v>
      </c>
      <c r="S291" s="131">
        <v>3950</v>
      </c>
      <c r="U291" s="131">
        <v>51.35</v>
      </c>
      <c r="V291" s="132">
        <v>2.0000000000000002E-5</v>
      </c>
      <c r="W291" s="132">
        <f t="shared" si="4"/>
        <v>1.7624865565351103E-3</v>
      </c>
      <c r="X291" s="132">
        <v>1.7270698066674817E-4</v>
      </c>
    </row>
    <row r="292" spans="1:24">
      <c r="A292" t="s">
        <v>1213</v>
      </c>
      <c r="B292" s="4">
        <v>13500</v>
      </c>
      <c r="C292" t="s">
        <v>2298</v>
      </c>
      <c r="D292" t="s">
        <v>2299</v>
      </c>
      <c r="E292" t="s">
        <v>309</v>
      </c>
      <c r="F292" t="s">
        <v>3481</v>
      </c>
      <c r="G292" t="s">
        <v>3482</v>
      </c>
      <c r="H292" t="s">
        <v>321</v>
      </c>
      <c r="I292" t="s">
        <v>917</v>
      </c>
      <c r="J292" t="s">
        <v>204</v>
      </c>
      <c r="K292" t="s">
        <v>204</v>
      </c>
      <c r="L292" t="s">
        <v>325</v>
      </c>
      <c r="M292" t="s">
        <v>340</v>
      </c>
      <c r="N292" t="s">
        <v>462</v>
      </c>
      <c r="O292" t="s">
        <v>339</v>
      </c>
      <c r="P292" t="s">
        <v>1212</v>
      </c>
      <c r="Q292" s="131">
        <v>2507</v>
      </c>
      <c r="R292" s="131">
        <v>1</v>
      </c>
      <c r="S292" s="131">
        <v>1991</v>
      </c>
      <c r="U292" s="131">
        <v>49.914000000000001</v>
      </c>
      <c r="V292" s="132">
        <v>3.0000000000000001E-5</v>
      </c>
      <c r="W292" s="132">
        <f t="shared" si="4"/>
        <v>1.7131987143698829E-3</v>
      </c>
      <c r="X292" s="132">
        <v>1.6787723920155928E-4</v>
      </c>
    </row>
    <row r="293" spans="1:24">
      <c r="A293" t="s">
        <v>1213</v>
      </c>
      <c r="B293" s="4">
        <v>13500</v>
      </c>
      <c r="C293" t="s">
        <v>2812</v>
      </c>
      <c r="D293" t="s">
        <v>2813</v>
      </c>
      <c r="E293" t="s">
        <v>309</v>
      </c>
      <c r="F293" t="s">
        <v>2812</v>
      </c>
      <c r="G293" t="s">
        <v>3637</v>
      </c>
      <c r="H293" t="s">
        <v>321</v>
      </c>
      <c r="I293" t="s">
        <v>917</v>
      </c>
      <c r="J293" t="s">
        <v>204</v>
      </c>
      <c r="K293" t="s">
        <v>204</v>
      </c>
      <c r="L293" t="s">
        <v>325</v>
      </c>
      <c r="M293" t="s">
        <v>340</v>
      </c>
      <c r="N293" t="s">
        <v>447</v>
      </c>
      <c r="O293" t="s">
        <v>339</v>
      </c>
      <c r="P293" t="s">
        <v>1212</v>
      </c>
      <c r="Q293" s="131">
        <v>200</v>
      </c>
      <c r="R293" s="131">
        <v>1</v>
      </c>
      <c r="S293" s="131">
        <v>24250</v>
      </c>
      <c r="U293" s="131">
        <v>48.5</v>
      </c>
      <c r="V293" s="132">
        <v>2.0000000000000002E-5</v>
      </c>
      <c r="W293" s="132">
        <f t="shared" si="4"/>
        <v>1.6646659784216717E-3</v>
      </c>
      <c r="X293" s="132">
        <v>1.6312149099001531E-4</v>
      </c>
    </row>
    <row r="294" spans="1:24">
      <c r="A294" t="s">
        <v>1213</v>
      </c>
      <c r="B294" s="4">
        <v>13500</v>
      </c>
      <c r="C294" t="s">
        <v>2356</v>
      </c>
      <c r="D294" t="s">
        <v>2357</v>
      </c>
      <c r="E294" t="s">
        <v>309</v>
      </c>
      <c r="F294" t="s">
        <v>2356</v>
      </c>
      <c r="G294" t="s">
        <v>3645</v>
      </c>
      <c r="H294" t="s">
        <v>321</v>
      </c>
      <c r="I294" t="s">
        <v>917</v>
      </c>
      <c r="J294" t="s">
        <v>204</v>
      </c>
      <c r="K294" t="s">
        <v>204</v>
      </c>
      <c r="L294" t="s">
        <v>325</v>
      </c>
      <c r="M294" t="s">
        <v>340</v>
      </c>
      <c r="N294" t="s">
        <v>447</v>
      </c>
      <c r="O294" t="s">
        <v>339</v>
      </c>
      <c r="P294" t="s">
        <v>1212</v>
      </c>
      <c r="Q294" s="131">
        <v>4023.3</v>
      </c>
      <c r="R294" s="131">
        <v>1</v>
      </c>
      <c r="S294" s="131">
        <v>898.1</v>
      </c>
      <c r="U294" s="131">
        <v>36.133000000000003</v>
      </c>
      <c r="V294" s="132">
        <v>1.0000000000000001E-5</v>
      </c>
      <c r="W294" s="132">
        <f t="shared" si="4"/>
        <v>1.2401933154290777E-3</v>
      </c>
      <c r="X294" s="132">
        <v>1.2152719245241699E-4</v>
      </c>
    </row>
    <row r="295" spans="1:24">
      <c r="A295" t="s">
        <v>1213</v>
      </c>
      <c r="B295" s="4">
        <v>13500</v>
      </c>
      <c r="C295" t="s">
        <v>3646</v>
      </c>
      <c r="D295" t="s">
        <v>3647</v>
      </c>
      <c r="E295" t="s">
        <v>309</v>
      </c>
      <c r="F295" t="s">
        <v>3648</v>
      </c>
      <c r="G295" t="s">
        <v>3649</v>
      </c>
      <c r="H295" t="s">
        <v>321</v>
      </c>
      <c r="I295" t="s">
        <v>917</v>
      </c>
      <c r="J295" t="s">
        <v>204</v>
      </c>
      <c r="K295" t="s">
        <v>204</v>
      </c>
      <c r="L295" t="s">
        <v>325</v>
      </c>
      <c r="M295" t="s">
        <v>340</v>
      </c>
      <c r="N295" t="s">
        <v>477</v>
      </c>
      <c r="O295" t="s">
        <v>339</v>
      </c>
      <c r="P295" t="s">
        <v>1212</v>
      </c>
      <c r="Q295" s="131">
        <v>100</v>
      </c>
      <c r="R295" s="131">
        <v>1</v>
      </c>
      <c r="S295" s="131">
        <v>34100</v>
      </c>
      <c r="U295" s="131">
        <v>34.1</v>
      </c>
      <c r="V295" s="132">
        <v>2.0000000000000002E-5</v>
      </c>
      <c r="W295" s="132">
        <f t="shared" si="4"/>
        <v>1.1704146363748248E-3</v>
      </c>
      <c r="X295" s="132">
        <v>1.1468954314968087E-4</v>
      </c>
    </row>
    <row r="296" spans="1:24">
      <c r="A296" t="s">
        <v>1213</v>
      </c>
      <c r="B296" s="4">
        <v>13500</v>
      </c>
      <c r="C296" t="s">
        <v>2839</v>
      </c>
      <c r="D296" t="s">
        <v>2840</v>
      </c>
      <c r="E296" t="s">
        <v>309</v>
      </c>
      <c r="F296" t="s">
        <v>3666</v>
      </c>
      <c r="G296" t="s">
        <v>3667</v>
      </c>
      <c r="H296" t="s">
        <v>321</v>
      </c>
      <c r="I296" t="s">
        <v>917</v>
      </c>
      <c r="J296" t="s">
        <v>204</v>
      </c>
      <c r="K296" t="s">
        <v>204</v>
      </c>
      <c r="L296" t="s">
        <v>325</v>
      </c>
      <c r="M296" t="s">
        <v>340</v>
      </c>
      <c r="N296" t="s">
        <v>437</v>
      </c>
      <c r="O296" t="s">
        <v>339</v>
      </c>
      <c r="P296" t="s">
        <v>1212</v>
      </c>
      <c r="Q296" s="131">
        <v>174</v>
      </c>
      <c r="R296" s="131">
        <v>1</v>
      </c>
      <c r="S296" s="131">
        <v>16850</v>
      </c>
      <c r="U296" s="131">
        <v>29.318999999999999</v>
      </c>
      <c r="V296" s="132">
        <v>1.0000000000000001E-5</v>
      </c>
      <c r="W296" s="132">
        <f t="shared" si="4"/>
        <v>1.0063163262132987E-3</v>
      </c>
      <c r="X296" s="132">
        <v>9.8609463800747608E-5</v>
      </c>
    </row>
    <row r="297" spans="1:24">
      <c r="A297" t="s">
        <v>1213</v>
      </c>
      <c r="B297" s="4">
        <v>13500</v>
      </c>
      <c r="C297" t="s">
        <v>1718</v>
      </c>
      <c r="D297" t="s">
        <v>1719</v>
      </c>
      <c r="E297" t="s">
        <v>309</v>
      </c>
      <c r="F297" t="s">
        <v>3664</v>
      </c>
      <c r="G297" t="s">
        <v>3665</v>
      </c>
      <c r="H297" t="s">
        <v>321</v>
      </c>
      <c r="I297" t="s">
        <v>917</v>
      </c>
      <c r="J297" t="s">
        <v>204</v>
      </c>
      <c r="K297" t="s">
        <v>204</v>
      </c>
      <c r="L297" t="s">
        <v>325</v>
      </c>
      <c r="M297" t="s">
        <v>340</v>
      </c>
      <c r="N297" t="s">
        <v>440</v>
      </c>
      <c r="O297" t="s">
        <v>339</v>
      </c>
      <c r="P297" t="s">
        <v>1212</v>
      </c>
      <c r="Q297" s="131">
        <v>468</v>
      </c>
      <c r="R297" s="131">
        <v>1</v>
      </c>
      <c r="S297" s="131">
        <v>5597</v>
      </c>
      <c r="U297" s="131">
        <v>26.193999999999999</v>
      </c>
      <c r="V297" s="132">
        <v>4.0000000000000003E-5</v>
      </c>
      <c r="W297" s="132">
        <f t="shared" si="4"/>
        <v>8.9905692038716011E-4</v>
      </c>
      <c r="X297" s="132">
        <v>8.809905845345281E-5</v>
      </c>
    </row>
    <row r="298" spans="1:24">
      <c r="A298" t="s">
        <v>1213</v>
      </c>
      <c r="B298" s="4">
        <v>13500</v>
      </c>
      <c r="C298" t="s">
        <v>2897</v>
      </c>
      <c r="D298" t="s">
        <v>2898</v>
      </c>
      <c r="E298" t="s">
        <v>309</v>
      </c>
      <c r="F298" t="s">
        <v>2897</v>
      </c>
      <c r="G298" t="s">
        <v>3675</v>
      </c>
      <c r="H298" t="s">
        <v>321</v>
      </c>
      <c r="I298" t="s">
        <v>917</v>
      </c>
      <c r="J298" t="s">
        <v>204</v>
      </c>
      <c r="K298" t="s">
        <v>204</v>
      </c>
      <c r="L298" t="s">
        <v>325</v>
      </c>
      <c r="M298" t="s">
        <v>340</v>
      </c>
      <c r="N298" t="s">
        <v>447</v>
      </c>
      <c r="O298" t="s">
        <v>339</v>
      </c>
      <c r="P298" t="s">
        <v>1212</v>
      </c>
      <c r="Q298" s="131">
        <v>163</v>
      </c>
      <c r="R298" s="131">
        <v>1</v>
      </c>
      <c r="S298" s="131">
        <v>9062</v>
      </c>
      <c r="U298" s="131">
        <v>14.771000000000001</v>
      </c>
      <c r="V298" s="132">
        <v>1.0000000000000001E-5</v>
      </c>
      <c r="W298" s="132">
        <f t="shared" si="4"/>
        <v>5.0698517870652608E-4</v>
      </c>
      <c r="X298" s="132">
        <v>4.9679743163165287E-5</v>
      </c>
    </row>
    <row r="299" spans="1:24">
      <c r="A299" t="s">
        <v>1213</v>
      </c>
      <c r="B299" s="4">
        <v>13500</v>
      </c>
      <c r="C299" t="s">
        <v>2558</v>
      </c>
      <c r="D299" t="s">
        <v>2559</v>
      </c>
      <c r="E299" t="s">
        <v>309</v>
      </c>
      <c r="F299" t="s">
        <v>3640</v>
      </c>
      <c r="G299" t="s">
        <v>3641</v>
      </c>
      <c r="H299" t="s">
        <v>321</v>
      </c>
      <c r="I299" t="s">
        <v>917</v>
      </c>
      <c r="J299" t="s">
        <v>204</v>
      </c>
      <c r="K299" t="s">
        <v>204</v>
      </c>
      <c r="L299" t="s">
        <v>325</v>
      </c>
      <c r="M299" t="s">
        <v>340</v>
      </c>
      <c r="N299" t="s">
        <v>464</v>
      </c>
      <c r="O299" t="s">
        <v>339</v>
      </c>
      <c r="P299" t="s">
        <v>1212</v>
      </c>
      <c r="Q299" s="131">
        <v>1600</v>
      </c>
      <c r="R299" s="131">
        <v>1</v>
      </c>
      <c r="S299" s="131">
        <v>768.4</v>
      </c>
      <c r="U299" s="131">
        <v>12.294</v>
      </c>
      <c r="V299" s="132">
        <v>1.0000000000000001E-5</v>
      </c>
      <c r="W299" s="132">
        <f t="shared" si="4"/>
        <v>4.2196708327249554E-4</v>
      </c>
      <c r="X299" s="132">
        <v>4.1348775468685533E-5</v>
      </c>
    </row>
    <row r="300" spans="1:24">
      <c r="A300" t="s">
        <v>1213</v>
      </c>
      <c r="B300" s="4">
        <v>13500</v>
      </c>
      <c r="C300" t="s">
        <v>3656</v>
      </c>
      <c r="D300" t="s">
        <v>3657</v>
      </c>
      <c r="E300" t="s">
        <v>309</v>
      </c>
      <c r="F300" t="s">
        <v>3656</v>
      </c>
      <c r="G300" t="s">
        <v>3658</v>
      </c>
      <c r="H300" t="s">
        <v>321</v>
      </c>
      <c r="I300" t="s">
        <v>917</v>
      </c>
      <c r="J300" t="s">
        <v>204</v>
      </c>
      <c r="K300" t="s">
        <v>204</v>
      </c>
      <c r="L300" t="s">
        <v>325</v>
      </c>
      <c r="M300" t="s">
        <v>340</v>
      </c>
      <c r="N300" t="s">
        <v>462</v>
      </c>
      <c r="O300" t="s">
        <v>339</v>
      </c>
      <c r="P300" t="s">
        <v>1212</v>
      </c>
      <c r="Q300" s="131">
        <v>2500</v>
      </c>
      <c r="R300" s="131">
        <v>1</v>
      </c>
      <c r="S300" s="131">
        <v>445.1</v>
      </c>
      <c r="U300" s="131">
        <v>11.128</v>
      </c>
      <c r="V300" s="132">
        <v>4.0000000000000003E-5</v>
      </c>
      <c r="W300" s="132">
        <f t="shared" si="4"/>
        <v>3.8194645377064669E-4</v>
      </c>
      <c r="X300" s="132">
        <v>3.7427133025502898E-5</v>
      </c>
    </row>
    <row r="301" spans="1:24">
      <c r="A301" t="s">
        <v>1213</v>
      </c>
      <c r="B301" s="4">
        <v>13500</v>
      </c>
      <c r="C301" t="s">
        <v>3650</v>
      </c>
      <c r="D301" t="s">
        <v>3651</v>
      </c>
      <c r="E301" t="s">
        <v>309</v>
      </c>
      <c r="F301" t="s">
        <v>3650</v>
      </c>
      <c r="G301" t="s">
        <v>3652</v>
      </c>
      <c r="H301" t="s">
        <v>321</v>
      </c>
      <c r="I301" t="s">
        <v>917</v>
      </c>
      <c r="J301" t="s">
        <v>204</v>
      </c>
      <c r="K301" t="s">
        <v>204</v>
      </c>
      <c r="L301" t="s">
        <v>325</v>
      </c>
      <c r="M301" t="s">
        <v>340</v>
      </c>
      <c r="N301" t="s">
        <v>443</v>
      </c>
      <c r="O301" t="s">
        <v>339</v>
      </c>
      <c r="P301" t="s">
        <v>1212</v>
      </c>
      <c r="Q301" s="131">
        <v>6000</v>
      </c>
      <c r="R301" s="131">
        <v>1</v>
      </c>
      <c r="S301" s="131">
        <v>163.80000000000001</v>
      </c>
      <c r="U301" s="131">
        <v>9.8279999999999994</v>
      </c>
      <c r="V301" s="132">
        <v>3.0000000000000001E-5</v>
      </c>
      <c r="W301" s="132">
        <f t="shared" si="4"/>
        <v>3.3732654094697297E-4</v>
      </c>
      <c r="X301" s="132">
        <v>3.3054804401028255E-5</v>
      </c>
    </row>
    <row r="302" spans="1:24">
      <c r="A302" t="s">
        <v>1213</v>
      </c>
      <c r="B302" s="4">
        <v>13500</v>
      </c>
      <c r="C302" t="s">
        <v>2866</v>
      </c>
      <c r="D302" t="s">
        <v>2867</v>
      </c>
      <c r="E302" t="s">
        <v>309</v>
      </c>
      <c r="F302" t="s">
        <v>2866</v>
      </c>
      <c r="G302" t="s">
        <v>3663</v>
      </c>
      <c r="H302" t="s">
        <v>321</v>
      </c>
      <c r="I302" t="s">
        <v>917</v>
      </c>
      <c r="J302" t="s">
        <v>204</v>
      </c>
      <c r="K302" t="s">
        <v>204</v>
      </c>
      <c r="L302" t="s">
        <v>325</v>
      </c>
      <c r="M302" t="s">
        <v>340</v>
      </c>
      <c r="N302" t="s">
        <v>464</v>
      </c>
      <c r="O302" t="s">
        <v>339</v>
      </c>
      <c r="P302" t="s">
        <v>1212</v>
      </c>
      <c r="Q302" s="131">
        <v>2222.2199999999998</v>
      </c>
      <c r="R302" s="131">
        <v>1</v>
      </c>
      <c r="S302" s="131">
        <v>399.6</v>
      </c>
      <c r="U302" s="131">
        <v>8.8800000000000008</v>
      </c>
      <c r="V302" s="132">
        <v>2.0000000000000002E-5</v>
      </c>
      <c r="W302" s="132">
        <f t="shared" si="4"/>
        <v>3.0478832759555556E-4</v>
      </c>
      <c r="X302" s="132">
        <v>2.9866367834872911E-5</v>
      </c>
    </row>
    <row r="303" spans="1:24">
      <c r="A303" t="s">
        <v>1213</v>
      </c>
      <c r="B303" s="4">
        <v>13500</v>
      </c>
      <c r="C303" t="s">
        <v>2735</v>
      </c>
      <c r="D303" t="s">
        <v>2736</v>
      </c>
      <c r="E303" t="s">
        <v>309</v>
      </c>
      <c r="F303" t="s">
        <v>3514</v>
      </c>
      <c r="G303" t="s">
        <v>3515</v>
      </c>
      <c r="H303" t="s">
        <v>321</v>
      </c>
      <c r="I303" t="s">
        <v>917</v>
      </c>
      <c r="J303" t="s">
        <v>204</v>
      </c>
      <c r="K303" t="s">
        <v>204</v>
      </c>
      <c r="L303" t="s">
        <v>325</v>
      </c>
      <c r="M303" t="s">
        <v>340</v>
      </c>
      <c r="N303" t="s">
        <v>462</v>
      </c>
      <c r="O303" t="s">
        <v>339</v>
      </c>
      <c r="P303" t="s">
        <v>1212</v>
      </c>
      <c r="Q303" s="131">
        <v>37</v>
      </c>
      <c r="R303" s="131">
        <v>1</v>
      </c>
      <c r="S303" s="131">
        <v>19990</v>
      </c>
      <c r="U303" s="131">
        <v>7.3959999999999999</v>
      </c>
      <c r="V303" s="132">
        <v>0</v>
      </c>
      <c r="W303" s="132">
        <f t="shared" si="4"/>
        <v>2.5385298095683887E-4</v>
      </c>
      <c r="X303" s="132">
        <v>2.487518654354955E-5</v>
      </c>
    </row>
    <row r="304" spans="1:24">
      <c r="A304" t="s">
        <v>1213</v>
      </c>
      <c r="B304" s="4">
        <v>13500</v>
      </c>
      <c r="C304" t="s">
        <v>3660</v>
      </c>
      <c r="D304" t="s">
        <v>3661</v>
      </c>
      <c r="E304" t="s">
        <v>309</v>
      </c>
      <c r="F304" t="s">
        <v>3660</v>
      </c>
      <c r="G304" t="s">
        <v>3662</v>
      </c>
      <c r="H304" t="s">
        <v>321</v>
      </c>
      <c r="I304" t="s">
        <v>917</v>
      </c>
      <c r="J304" t="s">
        <v>204</v>
      </c>
      <c r="K304" t="s">
        <v>204</v>
      </c>
      <c r="L304" t="s">
        <v>325</v>
      </c>
      <c r="M304" t="s">
        <v>340</v>
      </c>
      <c r="N304" t="s">
        <v>459</v>
      </c>
      <c r="O304" t="s">
        <v>339</v>
      </c>
      <c r="P304" t="s">
        <v>1212</v>
      </c>
      <c r="Q304" s="131">
        <v>214</v>
      </c>
      <c r="R304" s="131">
        <v>1</v>
      </c>
      <c r="S304" s="131">
        <v>1757</v>
      </c>
      <c r="U304" s="131">
        <v>3.76</v>
      </c>
      <c r="V304" s="132">
        <v>0</v>
      </c>
      <c r="W304" s="132">
        <f t="shared" si="4"/>
        <v>1.2905451709001E-4</v>
      </c>
      <c r="X304" s="132">
        <v>1.2646119713865103E-5</v>
      </c>
    </row>
    <row r="305" spans="1:24">
      <c r="A305" t="s">
        <v>1213</v>
      </c>
      <c r="B305" s="4">
        <v>142</v>
      </c>
      <c r="C305" t="s">
        <v>1573</v>
      </c>
      <c r="D305" t="s">
        <v>1574</v>
      </c>
      <c r="E305" t="s">
        <v>309</v>
      </c>
      <c r="F305" t="s">
        <v>1573</v>
      </c>
      <c r="G305" t="s">
        <v>3404</v>
      </c>
      <c r="H305" t="s">
        <v>321</v>
      </c>
      <c r="I305" t="s">
        <v>917</v>
      </c>
      <c r="J305" t="s">
        <v>204</v>
      </c>
      <c r="K305" t="s">
        <v>204</v>
      </c>
      <c r="L305" t="s">
        <v>325</v>
      </c>
      <c r="M305" t="s">
        <v>340</v>
      </c>
      <c r="N305" t="s">
        <v>448</v>
      </c>
      <c r="O305" t="s">
        <v>339</v>
      </c>
      <c r="P305" t="s">
        <v>1212</v>
      </c>
      <c r="Q305" s="131">
        <v>445000</v>
      </c>
      <c r="R305" s="131">
        <v>1</v>
      </c>
      <c r="S305" s="131">
        <v>3644</v>
      </c>
      <c r="U305" s="131">
        <v>16215.8</v>
      </c>
      <c r="V305" s="132">
        <v>2.7999999999999998E-4</v>
      </c>
      <c r="W305" s="132">
        <f t="shared" si="4"/>
        <v>7.6058209028118787E-2</v>
      </c>
      <c r="X305" s="132">
        <v>2.4837896544733108E-2</v>
      </c>
    </row>
    <row r="306" spans="1:24">
      <c r="A306" t="s">
        <v>1213</v>
      </c>
      <c r="B306" s="4">
        <v>142</v>
      </c>
      <c r="C306" t="s">
        <v>1600</v>
      </c>
      <c r="D306" t="s">
        <v>1601</v>
      </c>
      <c r="E306" t="s">
        <v>309</v>
      </c>
      <c r="F306" t="s">
        <v>1600</v>
      </c>
      <c r="G306" t="s">
        <v>3406</v>
      </c>
      <c r="H306" t="s">
        <v>321</v>
      </c>
      <c r="I306" t="s">
        <v>917</v>
      </c>
      <c r="J306" t="s">
        <v>204</v>
      </c>
      <c r="K306" t="s">
        <v>204</v>
      </c>
      <c r="L306" t="s">
        <v>325</v>
      </c>
      <c r="M306" t="s">
        <v>340</v>
      </c>
      <c r="N306" t="s">
        <v>448</v>
      </c>
      <c r="O306" t="s">
        <v>339</v>
      </c>
      <c r="P306" t="s">
        <v>1212</v>
      </c>
      <c r="Q306" s="131">
        <v>375000</v>
      </c>
      <c r="R306" s="131">
        <v>1</v>
      </c>
      <c r="S306" s="131">
        <v>3729</v>
      </c>
      <c r="U306" s="131">
        <v>13983.75</v>
      </c>
      <c r="V306" s="132">
        <v>2.7999999999999998E-4</v>
      </c>
      <c r="W306" s="132">
        <f t="shared" si="4"/>
        <v>6.5589053916362813E-2</v>
      </c>
      <c r="X306" s="132">
        <v>2.1419044130256394E-2</v>
      </c>
    </row>
    <row r="307" spans="1:24">
      <c r="A307" t="s">
        <v>1213</v>
      </c>
      <c r="B307" s="4">
        <v>142</v>
      </c>
      <c r="C307" t="s">
        <v>3113</v>
      </c>
      <c r="D307" t="s">
        <v>3114</v>
      </c>
      <c r="E307" t="s">
        <v>309</v>
      </c>
      <c r="F307" t="s">
        <v>3113</v>
      </c>
      <c r="G307" t="s">
        <v>3413</v>
      </c>
      <c r="H307" t="s">
        <v>321</v>
      </c>
      <c r="I307" t="s">
        <v>917</v>
      </c>
      <c r="J307" t="s">
        <v>204</v>
      </c>
      <c r="K307" t="s">
        <v>204</v>
      </c>
      <c r="L307" t="s">
        <v>325</v>
      </c>
      <c r="M307" t="s">
        <v>340</v>
      </c>
      <c r="N307" t="s">
        <v>448</v>
      </c>
      <c r="O307" t="s">
        <v>339</v>
      </c>
      <c r="P307" t="s">
        <v>1212</v>
      </c>
      <c r="Q307" s="131">
        <v>350000</v>
      </c>
      <c r="R307" s="131">
        <v>1</v>
      </c>
      <c r="S307" s="131">
        <v>2085</v>
      </c>
      <c r="U307" s="131">
        <v>7297.5</v>
      </c>
      <c r="V307" s="132">
        <v>2.7999999999999998E-4</v>
      </c>
      <c r="W307" s="132">
        <f t="shared" si="4"/>
        <v>3.4228023309531251E-2</v>
      </c>
      <c r="X307" s="132">
        <v>1.1177650811874213E-2</v>
      </c>
    </row>
    <row r="308" spans="1:24">
      <c r="A308" t="s">
        <v>1213</v>
      </c>
      <c r="B308" s="4">
        <v>142</v>
      </c>
      <c r="C308" t="s">
        <v>2348</v>
      </c>
      <c r="D308" t="s">
        <v>2349</v>
      </c>
      <c r="E308" t="s">
        <v>309</v>
      </c>
      <c r="F308" t="s">
        <v>2348</v>
      </c>
      <c r="G308" t="s">
        <v>3446</v>
      </c>
      <c r="H308" t="s">
        <v>321</v>
      </c>
      <c r="I308" t="s">
        <v>917</v>
      </c>
      <c r="J308" t="s">
        <v>204</v>
      </c>
      <c r="K308" t="s">
        <v>204</v>
      </c>
      <c r="L308" t="s">
        <v>325</v>
      </c>
      <c r="M308" t="s">
        <v>340</v>
      </c>
      <c r="N308" t="s">
        <v>456</v>
      </c>
      <c r="O308" t="s">
        <v>339</v>
      </c>
      <c r="P308" t="s">
        <v>1212</v>
      </c>
      <c r="Q308" s="131">
        <v>355000</v>
      </c>
      <c r="R308" s="131">
        <v>1</v>
      </c>
      <c r="S308" s="131">
        <v>1588</v>
      </c>
      <c r="U308" s="131">
        <v>5637.4</v>
      </c>
      <c r="V308" s="132">
        <v>2.7E-4</v>
      </c>
      <c r="W308" s="132">
        <f t="shared" si="4"/>
        <v>2.6441529099712431E-2</v>
      </c>
      <c r="X308" s="132">
        <v>8.6348597035778955E-3</v>
      </c>
    </row>
    <row r="309" spans="1:24">
      <c r="A309" t="s">
        <v>1213</v>
      </c>
      <c r="B309" s="4">
        <v>142</v>
      </c>
      <c r="C309" t="s">
        <v>2361</v>
      </c>
      <c r="D309" t="s">
        <v>2362</v>
      </c>
      <c r="E309" t="s">
        <v>309</v>
      </c>
      <c r="F309" t="s">
        <v>2361</v>
      </c>
      <c r="G309" t="s">
        <v>3440</v>
      </c>
      <c r="H309" t="s">
        <v>321</v>
      </c>
      <c r="I309" t="s">
        <v>917</v>
      </c>
      <c r="J309" t="s">
        <v>204</v>
      </c>
      <c r="K309" t="s">
        <v>204</v>
      </c>
      <c r="L309" t="s">
        <v>325</v>
      </c>
      <c r="M309" t="s">
        <v>340</v>
      </c>
      <c r="N309" t="s">
        <v>446</v>
      </c>
      <c r="O309" t="s">
        <v>339</v>
      </c>
      <c r="P309" t="s">
        <v>1212</v>
      </c>
      <c r="Q309" s="131">
        <v>6270</v>
      </c>
      <c r="R309" s="131">
        <v>1</v>
      </c>
      <c r="S309" s="131">
        <v>74080</v>
      </c>
      <c r="U309" s="131">
        <v>4644.8159999999998</v>
      </c>
      <c r="V309" s="132">
        <v>1.3999999999999999E-4</v>
      </c>
      <c r="W309" s="132">
        <f t="shared" si="4"/>
        <v>2.1785936322916574E-2</v>
      </c>
      <c r="X309" s="132">
        <v>7.1145092611725018E-3</v>
      </c>
    </row>
    <row r="310" spans="1:24">
      <c r="A310" t="s">
        <v>1213</v>
      </c>
      <c r="B310" s="4">
        <v>142</v>
      </c>
      <c r="C310" t="s">
        <v>2436</v>
      </c>
      <c r="D310" t="s">
        <v>2437</v>
      </c>
      <c r="E310" t="s">
        <v>309</v>
      </c>
      <c r="F310" t="s">
        <v>2436</v>
      </c>
      <c r="G310" t="s">
        <v>3426</v>
      </c>
      <c r="H310" t="s">
        <v>321</v>
      </c>
      <c r="I310" t="s">
        <v>917</v>
      </c>
      <c r="J310" t="s">
        <v>204</v>
      </c>
      <c r="K310" t="s">
        <v>204</v>
      </c>
      <c r="L310" t="s">
        <v>325</v>
      </c>
      <c r="M310" t="s">
        <v>340</v>
      </c>
      <c r="N310" t="s">
        <v>475</v>
      </c>
      <c r="O310" t="s">
        <v>339</v>
      </c>
      <c r="P310" t="s">
        <v>1212</v>
      </c>
      <c r="Q310" s="131">
        <v>133000</v>
      </c>
      <c r="R310" s="131">
        <v>1</v>
      </c>
      <c r="S310" s="131">
        <v>3310</v>
      </c>
      <c r="U310" s="131">
        <v>4402.3</v>
      </c>
      <c r="V310" s="132">
        <v>4.8000000000000001E-4</v>
      </c>
      <c r="W310" s="132">
        <f t="shared" si="4"/>
        <v>2.0648444949030412E-2</v>
      </c>
      <c r="X310" s="132">
        <v>6.7430451756236862E-3</v>
      </c>
    </row>
    <row r="311" spans="1:24">
      <c r="A311" t="s">
        <v>1213</v>
      </c>
      <c r="B311" s="4">
        <v>142</v>
      </c>
      <c r="C311" t="s">
        <v>3451</v>
      </c>
      <c r="D311" t="s">
        <v>3452</v>
      </c>
      <c r="E311" t="s">
        <v>309</v>
      </c>
      <c r="F311" t="s">
        <v>3453</v>
      </c>
      <c r="G311" t="s">
        <v>3454</v>
      </c>
      <c r="H311" t="s">
        <v>321</v>
      </c>
      <c r="I311" t="s">
        <v>917</v>
      </c>
      <c r="J311" t="s">
        <v>204</v>
      </c>
      <c r="K311" t="s">
        <v>204</v>
      </c>
      <c r="L311" t="s">
        <v>325</v>
      </c>
      <c r="M311" t="s">
        <v>340</v>
      </c>
      <c r="N311" t="s">
        <v>448</v>
      </c>
      <c r="O311" t="s">
        <v>339</v>
      </c>
      <c r="P311" t="s">
        <v>1212</v>
      </c>
      <c r="Q311" s="131">
        <v>22750</v>
      </c>
      <c r="R311" s="131">
        <v>1</v>
      </c>
      <c r="S311" s="131">
        <v>15410</v>
      </c>
      <c r="U311" s="131">
        <v>3505.7750000000001</v>
      </c>
      <c r="V311" s="132">
        <v>2.3000000000000001E-4</v>
      </c>
      <c r="W311" s="132">
        <f t="shared" si="4"/>
        <v>1.6443405058988957E-2</v>
      </c>
      <c r="X311" s="132">
        <v>5.3698292257620172E-3</v>
      </c>
    </row>
    <row r="312" spans="1:24">
      <c r="A312" t="s">
        <v>1213</v>
      </c>
      <c r="B312" s="4">
        <v>142</v>
      </c>
      <c r="C312" t="s">
        <v>3461</v>
      </c>
      <c r="D312" t="s">
        <v>3462</v>
      </c>
      <c r="E312" t="s">
        <v>309</v>
      </c>
      <c r="F312" t="s">
        <v>3461</v>
      </c>
      <c r="G312" t="s">
        <v>3463</v>
      </c>
      <c r="H312" t="s">
        <v>321</v>
      </c>
      <c r="I312" t="s">
        <v>917</v>
      </c>
      <c r="J312" t="s">
        <v>204</v>
      </c>
      <c r="K312" t="s">
        <v>204</v>
      </c>
      <c r="L312" t="s">
        <v>325</v>
      </c>
      <c r="M312" t="s">
        <v>340</v>
      </c>
      <c r="N312" t="s">
        <v>475</v>
      </c>
      <c r="O312" t="s">
        <v>339</v>
      </c>
      <c r="P312" t="s">
        <v>1212</v>
      </c>
      <c r="Q312" s="131">
        <v>10000</v>
      </c>
      <c r="R312" s="131">
        <v>1</v>
      </c>
      <c r="S312" s="131">
        <v>28150</v>
      </c>
      <c r="U312" s="131">
        <v>2815</v>
      </c>
      <c r="V312" s="132">
        <v>7.2000000000000005E-4</v>
      </c>
      <c r="W312" s="132">
        <f t="shared" si="4"/>
        <v>1.3203410156400202E-2</v>
      </c>
      <c r="X312" s="132">
        <v>4.3117625262659694E-3</v>
      </c>
    </row>
    <row r="313" spans="1:24">
      <c r="A313" t="s">
        <v>1213</v>
      </c>
      <c r="B313" s="4">
        <v>142</v>
      </c>
      <c r="C313" t="s">
        <v>3064</v>
      </c>
      <c r="D313" t="s">
        <v>3065</v>
      </c>
      <c r="E313" t="s">
        <v>309</v>
      </c>
      <c r="F313" t="s">
        <v>3676</v>
      </c>
      <c r="G313" t="s">
        <v>3677</v>
      </c>
      <c r="H313" t="s">
        <v>321</v>
      </c>
      <c r="I313" t="s">
        <v>917</v>
      </c>
      <c r="J313" t="s">
        <v>204</v>
      </c>
      <c r="K313" t="s">
        <v>204</v>
      </c>
      <c r="L313" t="s">
        <v>325</v>
      </c>
      <c r="M313" t="s">
        <v>340</v>
      </c>
      <c r="N313" t="s">
        <v>451</v>
      </c>
      <c r="O313" t="s">
        <v>339</v>
      </c>
      <c r="P313" t="s">
        <v>1212</v>
      </c>
      <c r="Q313" s="131">
        <v>46619</v>
      </c>
      <c r="R313" s="131">
        <v>1</v>
      </c>
      <c r="S313" s="131">
        <v>5852</v>
      </c>
      <c r="U313" s="131">
        <v>2728.1439999999998</v>
      </c>
      <c r="V313" s="132">
        <v>7.2000000000000005E-4</v>
      </c>
      <c r="W313" s="132">
        <f t="shared" si="4"/>
        <v>1.2796022805585176E-2</v>
      </c>
      <c r="X313" s="132">
        <v>4.1787243571784535E-3</v>
      </c>
    </row>
    <row r="314" spans="1:24">
      <c r="A314" t="s">
        <v>1213</v>
      </c>
      <c r="B314" s="4">
        <v>142</v>
      </c>
      <c r="C314" t="s">
        <v>2178</v>
      </c>
      <c r="D314" t="s">
        <v>2179</v>
      </c>
      <c r="E314" t="s">
        <v>309</v>
      </c>
      <c r="F314" t="s">
        <v>2178</v>
      </c>
      <c r="G314" t="s">
        <v>3609</v>
      </c>
      <c r="H314" t="s">
        <v>321</v>
      </c>
      <c r="I314" t="s">
        <v>917</v>
      </c>
      <c r="J314" t="s">
        <v>204</v>
      </c>
      <c r="K314" t="s">
        <v>204</v>
      </c>
      <c r="L314" t="s">
        <v>325</v>
      </c>
      <c r="M314" t="s">
        <v>340</v>
      </c>
      <c r="N314" t="s">
        <v>464</v>
      </c>
      <c r="O314" t="s">
        <v>339</v>
      </c>
      <c r="P314" t="s">
        <v>1212</v>
      </c>
      <c r="Q314" s="131">
        <v>95500</v>
      </c>
      <c r="R314" s="131">
        <v>1</v>
      </c>
      <c r="S314" s="131">
        <v>2855</v>
      </c>
      <c r="U314" s="131">
        <v>2726.5250000000001</v>
      </c>
      <c r="V314" s="132">
        <v>4.8999999999999998E-4</v>
      </c>
      <c r="W314" s="132">
        <f t="shared" si="4"/>
        <v>1.2788429085854019E-2</v>
      </c>
      <c r="X314" s="132">
        <v>4.1762445193347505E-3</v>
      </c>
    </row>
    <row r="315" spans="1:24">
      <c r="A315" t="s">
        <v>1213</v>
      </c>
      <c r="B315" s="4">
        <v>142</v>
      </c>
      <c r="C315" t="s">
        <v>1691</v>
      </c>
      <c r="D315" t="s">
        <v>1692</v>
      </c>
      <c r="E315" t="s">
        <v>309</v>
      </c>
      <c r="F315" t="s">
        <v>3478</v>
      </c>
      <c r="G315" t="s">
        <v>3479</v>
      </c>
      <c r="H315" t="s">
        <v>321</v>
      </c>
      <c r="I315" t="s">
        <v>917</v>
      </c>
      <c r="J315" t="s">
        <v>204</v>
      </c>
      <c r="K315" t="s">
        <v>204</v>
      </c>
      <c r="L315" t="s">
        <v>325</v>
      </c>
      <c r="M315" t="s">
        <v>340</v>
      </c>
      <c r="N315" t="s">
        <v>464</v>
      </c>
      <c r="O315" t="s">
        <v>339</v>
      </c>
      <c r="P315" t="s">
        <v>1212</v>
      </c>
      <c r="Q315" s="131">
        <v>170000</v>
      </c>
      <c r="R315" s="131">
        <v>1</v>
      </c>
      <c r="S315" s="131">
        <v>1513</v>
      </c>
      <c r="U315" s="131">
        <v>2572.1</v>
      </c>
      <c r="V315" s="132">
        <v>8.7000000000000001E-4</v>
      </c>
      <c r="W315" s="132">
        <f t="shared" si="4"/>
        <v>1.20641176778959E-2</v>
      </c>
      <c r="X315" s="132">
        <v>3.9397102642304439E-3</v>
      </c>
    </row>
    <row r="316" spans="1:24">
      <c r="A316" t="s">
        <v>1213</v>
      </c>
      <c r="B316" s="4">
        <v>142</v>
      </c>
      <c r="C316" t="s">
        <v>2404</v>
      </c>
      <c r="D316" t="s">
        <v>2405</v>
      </c>
      <c r="E316" t="s">
        <v>309</v>
      </c>
      <c r="F316" t="s">
        <v>2404</v>
      </c>
      <c r="G316" t="s">
        <v>3418</v>
      </c>
      <c r="H316" t="s">
        <v>321</v>
      </c>
      <c r="I316" t="s">
        <v>917</v>
      </c>
      <c r="J316" t="s">
        <v>204</v>
      </c>
      <c r="K316" t="s">
        <v>204</v>
      </c>
      <c r="L316" t="s">
        <v>325</v>
      </c>
      <c r="M316" t="s">
        <v>340</v>
      </c>
      <c r="N316" t="s">
        <v>440</v>
      </c>
      <c r="O316" t="s">
        <v>339</v>
      </c>
      <c r="P316" t="s">
        <v>1212</v>
      </c>
      <c r="Q316" s="131">
        <v>76276.570000000007</v>
      </c>
      <c r="R316" s="131">
        <v>1</v>
      </c>
      <c r="S316" s="131">
        <v>3016</v>
      </c>
      <c r="U316" s="131">
        <v>2300.5010000000002</v>
      </c>
      <c r="V316" s="132">
        <v>2.9999999999999997E-4</v>
      </c>
      <c r="W316" s="132">
        <f t="shared" si="4"/>
        <v>1.0790216081068853E-2</v>
      </c>
      <c r="X316" s="132">
        <v>3.5236994683614173E-3</v>
      </c>
    </row>
    <row r="317" spans="1:24">
      <c r="A317" t="s">
        <v>1213</v>
      </c>
      <c r="B317" s="4">
        <v>142</v>
      </c>
      <c r="C317" t="s">
        <v>2223</v>
      </c>
      <c r="D317" t="s">
        <v>2224</v>
      </c>
      <c r="E317" t="s">
        <v>309</v>
      </c>
      <c r="F317" t="s">
        <v>2223</v>
      </c>
      <c r="G317" t="s">
        <v>3678</v>
      </c>
      <c r="H317" t="s">
        <v>321</v>
      </c>
      <c r="I317" t="s">
        <v>917</v>
      </c>
      <c r="J317" t="s">
        <v>204</v>
      </c>
      <c r="K317" t="s">
        <v>204</v>
      </c>
      <c r="L317" t="s">
        <v>325</v>
      </c>
      <c r="M317" t="s">
        <v>340</v>
      </c>
      <c r="N317" t="s">
        <v>464</v>
      </c>
      <c r="O317" t="s">
        <v>339</v>
      </c>
      <c r="P317" t="s">
        <v>1212</v>
      </c>
      <c r="Q317" s="131">
        <v>13656</v>
      </c>
      <c r="R317" s="131">
        <v>1</v>
      </c>
      <c r="S317" s="131">
        <v>15900</v>
      </c>
      <c r="U317" s="131">
        <v>2171.3040000000001</v>
      </c>
      <c r="V317" s="132">
        <v>7.6999999999999996E-4</v>
      </c>
      <c r="W317" s="132">
        <f t="shared" si="4"/>
        <v>1.0184233494221095E-2</v>
      </c>
      <c r="X317" s="132">
        <v>3.3258071830662185E-3</v>
      </c>
    </row>
    <row r="318" spans="1:24">
      <c r="A318" t="s">
        <v>1213</v>
      </c>
      <c r="B318" s="4">
        <v>142</v>
      </c>
      <c r="C318" t="s">
        <v>3634</v>
      </c>
      <c r="D318" t="s">
        <v>3635</v>
      </c>
      <c r="E318" t="s">
        <v>309</v>
      </c>
      <c r="F318" t="s">
        <v>3634</v>
      </c>
      <c r="G318" t="s">
        <v>3636</v>
      </c>
      <c r="H318" t="s">
        <v>321</v>
      </c>
      <c r="I318" t="s">
        <v>917</v>
      </c>
      <c r="J318" t="s">
        <v>204</v>
      </c>
      <c r="K318" t="s">
        <v>204</v>
      </c>
      <c r="L318" t="s">
        <v>325</v>
      </c>
      <c r="M318" t="s">
        <v>340</v>
      </c>
      <c r="N318" t="s">
        <v>462</v>
      </c>
      <c r="O318" t="s">
        <v>339</v>
      </c>
      <c r="P318" t="s">
        <v>1212</v>
      </c>
      <c r="Q318" s="131">
        <v>98300</v>
      </c>
      <c r="R318" s="131">
        <v>1</v>
      </c>
      <c r="S318" s="131">
        <v>2141</v>
      </c>
      <c r="U318" s="131">
        <v>2104.6030000000001</v>
      </c>
      <c r="V318" s="132">
        <v>1.01E-3</v>
      </c>
      <c r="W318" s="132">
        <f t="shared" si="4"/>
        <v>9.8713806839752522E-3</v>
      </c>
      <c r="X318" s="132">
        <v>3.2236406209829264E-3</v>
      </c>
    </row>
    <row r="319" spans="1:24">
      <c r="A319" t="s">
        <v>1213</v>
      </c>
      <c r="B319" s="4">
        <v>142</v>
      </c>
      <c r="C319" t="s">
        <v>2228</v>
      </c>
      <c r="D319" t="s">
        <v>2229</v>
      </c>
      <c r="E319" t="s">
        <v>309</v>
      </c>
      <c r="F319" t="s">
        <v>2228</v>
      </c>
      <c r="G319" t="s">
        <v>3439</v>
      </c>
      <c r="H319" t="s">
        <v>321</v>
      </c>
      <c r="I319" t="s">
        <v>917</v>
      </c>
      <c r="J319" t="s">
        <v>204</v>
      </c>
      <c r="K319" t="s">
        <v>204</v>
      </c>
      <c r="L319" t="s">
        <v>325</v>
      </c>
      <c r="M319" t="s">
        <v>340</v>
      </c>
      <c r="N319" t="s">
        <v>441</v>
      </c>
      <c r="O319" t="s">
        <v>339</v>
      </c>
      <c r="P319" t="s">
        <v>1212</v>
      </c>
      <c r="Q319" s="131">
        <v>30500</v>
      </c>
      <c r="R319" s="131">
        <v>1</v>
      </c>
      <c r="S319" s="131">
        <v>6254</v>
      </c>
      <c r="U319" s="131">
        <v>1907.47</v>
      </c>
      <c r="V319" s="132">
        <v>2.5999999999999998E-4</v>
      </c>
      <c r="W319" s="132">
        <f t="shared" si="4"/>
        <v>8.9467526717686291E-3</v>
      </c>
      <c r="X319" s="132">
        <v>2.9216901122474416E-3</v>
      </c>
    </row>
    <row r="320" spans="1:24">
      <c r="A320" t="s">
        <v>1213</v>
      </c>
      <c r="B320" s="4">
        <v>142</v>
      </c>
      <c r="C320" t="s">
        <v>3679</v>
      </c>
      <c r="D320" t="s">
        <v>3680</v>
      </c>
      <c r="E320" t="s">
        <v>309</v>
      </c>
      <c r="F320" t="s">
        <v>3681</v>
      </c>
      <c r="G320" t="s">
        <v>3682</v>
      </c>
      <c r="H320" t="s">
        <v>321</v>
      </c>
      <c r="I320" t="s">
        <v>917</v>
      </c>
      <c r="J320" t="s">
        <v>204</v>
      </c>
      <c r="K320" t="s">
        <v>204</v>
      </c>
      <c r="L320" t="s">
        <v>325</v>
      </c>
      <c r="M320" t="s">
        <v>340</v>
      </c>
      <c r="N320" t="s">
        <v>451</v>
      </c>
      <c r="O320" t="s">
        <v>339</v>
      </c>
      <c r="P320" t="s">
        <v>1212</v>
      </c>
      <c r="Q320" s="131">
        <v>16100</v>
      </c>
      <c r="R320" s="131">
        <v>1</v>
      </c>
      <c r="S320" s="131">
        <v>10500</v>
      </c>
      <c r="U320" s="131">
        <v>1690.5</v>
      </c>
      <c r="V320" s="132">
        <v>3.1E-4</v>
      </c>
      <c r="W320" s="132">
        <f t="shared" si="4"/>
        <v>7.9290816587547219E-3</v>
      </c>
      <c r="X320" s="132">
        <v>2.5893550801607888E-3</v>
      </c>
    </row>
    <row r="321" spans="1:24">
      <c r="A321" t="s">
        <v>1213</v>
      </c>
      <c r="B321" s="4">
        <v>142</v>
      </c>
      <c r="C321" t="s">
        <v>1674</v>
      </c>
      <c r="D321" t="s">
        <v>1675</v>
      </c>
      <c r="E321" t="s">
        <v>309</v>
      </c>
      <c r="F321" t="s">
        <v>1674</v>
      </c>
      <c r="G321" t="s">
        <v>3464</v>
      </c>
      <c r="H321" t="s">
        <v>321</v>
      </c>
      <c r="I321" t="s">
        <v>917</v>
      </c>
      <c r="J321" t="s">
        <v>204</v>
      </c>
      <c r="K321" t="s">
        <v>204</v>
      </c>
      <c r="L321" t="s">
        <v>325</v>
      </c>
      <c r="M321" t="s">
        <v>340</v>
      </c>
      <c r="N321" t="s">
        <v>464</v>
      </c>
      <c r="O321" t="s">
        <v>339</v>
      </c>
      <c r="P321" t="s">
        <v>1212</v>
      </c>
      <c r="Q321" s="131">
        <v>4000</v>
      </c>
      <c r="R321" s="131">
        <v>1</v>
      </c>
      <c r="S321" s="131">
        <v>41490</v>
      </c>
      <c r="U321" s="131">
        <v>1659.6</v>
      </c>
      <c r="V321" s="132">
        <v>1.6000000000000001E-4</v>
      </c>
      <c r="W321" s="132">
        <f t="shared" si="4"/>
        <v>7.7841490215139518E-3</v>
      </c>
      <c r="X321" s="132">
        <v>2.5420252534959155E-3</v>
      </c>
    </row>
    <row r="322" spans="1:24">
      <c r="A322" t="s">
        <v>1213</v>
      </c>
      <c r="B322" s="4">
        <v>142</v>
      </c>
      <c r="C322" t="s">
        <v>3683</v>
      </c>
      <c r="D322" t="s">
        <v>3684</v>
      </c>
      <c r="E322" t="s">
        <v>309</v>
      </c>
      <c r="F322" t="s">
        <v>3683</v>
      </c>
      <c r="G322" t="s">
        <v>3685</v>
      </c>
      <c r="H322" t="s">
        <v>321</v>
      </c>
      <c r="I322" t="s">
        <v>917</v>
      </c>
      <c r="J322" t="s">
        <v>204</v>
      </c>
      <c r="K322" t="s">
        <v>204</v>
      </c>
      <c r="L322" t="s">
        <v>325</v>
      </c>
      <c r="M322" t="s">
        <v>340</v>
      </c>
      <c r="N322" t="s">
        <v>451</v>
      </c>
      <c r="O322" t="s">
        <v>339</v>
      </c>
      <c r="P322" t="s">
        <v>1212</v>
      </c>
      <c r="Q322" s="131">
        <v>322254.5</v>
      </c>
      <c r="R322" s="131">
        <v>1</v>
      </c>
      <c r="S322" s="131">
        <v>512</v>
      </c>
      <c r="U322" s="131">
        <v>1649.943</v>
      </c>
      <c r="V322" s="132">
        <v>1.72E-3</v>
      </c>
      <c r="W322" s="132">
        <f t="shared" si="4"/>
        <v>7.7388540545937539E-3</v>
      </c>
      <c r="X322" s="132">
        <v>2.5272335338809423E-3</v>
      </c>
    </row>
    <row r="323" spans="1:24">
      <c r="A323" t="s">
        <v>1213</v>
      </c>
      <c r="B323" s="4">
        <v>142</v>
      </c>
      <c r="C323" t="s">
        <v>3642</v>
      </c>
      <c r="D323" t="s">
        <v>3643</v>
      </c>
      <c r="E323" t="s">
        <v>309</v>
      </c>
      <c r="F323" t="s">
        <v>3642</v>
      </c>
      <c r="G323" t="s">
        <v>3644</v>
      </c>
      <c r="H323" t="s">
        <v>321</v>
      </c>
      <c r="I323" t="s">
        <v>917</v>
      </c>
      <c r="J323" t="s">
        <v>204</v>
      </c>
      <c r="K323" t="s">
        <v>204</v>
      </c>
      <c r="L323" t="s">
        <v>325</v>
      </c>
      <c r="M323" t="s">
        <v>340</v>
      </c>
      <c r="N323" t="s">
        <v>445</v>
      </c>
      <c r="O323" t="s">
        <v>339</v>
      </c>
      <c r="P323" t="s">
        <v>1212</v>
      </c>
      <c r="Q323" s="131">
        <v>315000</v>
      </c>
      <c r="R323" s="131">
        <v>1</v>
      </c>
      <c r="S323" s="131">
        <v>508.2</v>
      </c>
      <c r="U323" s="131">
        <v>1600.83</v>
      </c>
      <c r="V323" s="132">
        <v>2.9999999999999997E-4</v>
      </c>
      <c r="W323" s="132">
        <f t="shared" ref="W323:W386" si="5">U323/SUMIF(B:B,B323,U:U)</f>
        <v>7.5084955881599058E-3</v>
      </c>
      <c r="X323" s="132">
        <v>2.4520066802566081E-3</v>
      </c>
    </row>
    <row r="324" spans="1:24">
      <c r="A324" t="s">
        <v>1213</v>
      </c>
      <c r="B324" s="4">
        <v>142</v>
      </c>
      <c r="C324" t="s">
        <v>2576</v>
      </c>
      <c r="D324" t="s">
        <v>2577</v>
      </c>
      <c r="E324" t="s">
        <v>309</v>
      </c>
      <c r="F324" t="s">
        <v>2576</v>
      </c>
      <c r="G324" t="s">
        <v>3621</v>
      </c>
      <c r="H324" t="s">
        <v>321</v>
      </c>
      <c r="I324" t="s">
        <v>917</v>
      </c>
      <c r="J324" t="s">
        <v>204</v>
      </c>
      <c r="K324" t="s">
        <v>204</v>
      </c>
      <c r="L324" t="s">
        <v>325</v>
      </c>
      <c r="M324" t="s">
        <v>340</v>
      </c>
      <c r="N324" t="s">
        <v>451</v>
      </c>
      <c r="O324" t="s">
        <v>339</v>
      </c>
      <c r="P324" t="s">
        <v>1212</v>
      </c>
      <c r="Q324" s="131">
        <v>1950</v>
      </c>
      <c r="R324" s="131">
        <v>1</v>
      </c>
      <c r="S324" s="131">
        <v>81100</v>
      </c>
      <c r="U324" s="131">
        <v>1581.45</v>
      </c>
      <c r="V324" s="132">
        <v>2.5000000000000001E-4</v>
      </c>
      <c r="W324" s="132">
        <f t="shared" si="5"/>
        <v>7.4175960894632678E-3</v>
      </c>
      <c r="X324" s="132">
        <v>2.422322148193008E-3</v>
      </c>
    </row>
    <row r="325" spans="1:24">
      <c r="A325" t="s">
        <v>1213</v>
      </c>
      <c r="B325" s="4">
        <v>142</v>
      </c>
      <c r="C325" t="s">
        <v>1973</v>
      </c>
      <c r="D325" t="s">
        <v>1974</v>
      </c>
      <c r="E325" t="s">
        <v>309</v>
      </c>
      <c r="F325" t="s">
        <v>3512</v>
      </c>
      <c r="G325" t="s">
        <v>3513</v>
      </c>
      <c r="H325" t="s">
        <v>321</v>
      </c>
      <c r="I325" t="s">
        <v>917</v>
      </c>
      <c r="J325" t="s">
        <v>204</v>
      </c>
      <c r="K325" t="s">
        <v>204</v>
      </c>
      <c r="L325" t="s">
        <v>325</v>
      </c>
      <c r="M325" t="s">
        <v>340</v>
      </c>
      <c r="N325" t="s">
        <v>464</v>
      </c>
      <c r="O325" t="s">
        <v>339</v>
      </c>
      <c r="P325" t="s">
        <v>1212</v>
      </c>
      <c r="Q325" s="131">
        <v>163693</v>
      </c>
      <c r="R325" s="131">
        <v>1</v>
      </c>
      <c r="S325" s="131">
        <v>954</v>
      </c>
      <c r="U325" s="131">
        <v>1561.6310000000001</v>
      </c>
      <c r="V325" s="132">
        <v>2.2000000000000001E-4</v>
      </c>
      <c r="W325" s="132">
        <f t="shared" si="5"/>
        <v>7.324637515434957E-3</v>
      </c>
      <c r="X325" s="132">
        <v>2.3919651956146545E-3</v>
      </c>
    </row>
    <row r="326" spans="1:24">
      <c r="A326" t="s">
        <v>1213</v>
      </c>
      <c r="B326" s="4">
        <v>142</v>
      </c>
      <c r="C326" t="s">
        <v>2789</v>
      </c>
      <c r="D326" t="s">
        <v>2790</v>
      </c>
      <c r="E326" t="s">
        <v>309</v>
      </c>
      <c r="F326" t="s">
        <v>2789</v>
      </c>
      <c r="G326" t="s">
        <v>3480</v>
      </c>
      <c r="H326" t="s">
        <v>321</v>
      </c>
      <c r="I326" t="s">
        <v>917</v>
      </c>
      <c r="J326" t="s">
        <v>204</v>
      </c>
      <c r="K326" t="s">
        <v>204</v>
      </c>
      <c r="L326" t="s">
        <v>325</v>
      </c>
      <c r="M326" t="s">
        <v>340</v>
      </c>
      <c r="N326" t="s">
        <v>441</v>
      </c>
      <c r="O326" t="s">
        <v>339</v>
      </c>
      <c r="P326" t="s">
        <v>1212</v>
      </c>
      <c r="Q326" s="131">
        <v>107500</v>
      </c>
      <c r="R326" s="131">
        <v>1</v>
      </c>
      <c r="S326" s="131">
        <v>1348</v>
      </c>
      <c r="U326" s="131">
        <v>1449.1</v>
      </c>
      <c r="V326" s="132">
        <v>2.0000000000000001E-4</v>
      </c>
      <c r="W326" s="132">
        <f t="shared" si="5"/>
        <v>6.7968247451650199E-3</v>
      </c>
      <c r="X326" s="132">
        <v>2.219600382526471E-3</v>
      </c>
    </row>
    <row r="327" spans="1:24">
      <c r="A327" t="s">
        <v>1213</v>
      </c>
      <c r="B327" s="4">
        <v>142</v>
      </c>
      <c r="C327" t="s">
        <v>3490</v>
      </c>
      <c r="D327" t="s">
        <v>3491</v>
      </c>
      <c r="E327" t="s">
        <v>309</v>
      </c>
      <c r="F327" t="s">
        <v>3490</v>
      </c>
      <c r="G327" t="s">
        <v>3492</v>
      </c>
      <c r="H327" t="s">
        <v>321</v>
      </c>
      <c r="I327" t="s">
        <v>917</v>
      </c>
      <c r="J327" t="s">
        <v>204</v>
      </c>
      <c r="K327" t="s">
        <v>204</v>
      </c>
      <c r="L327" t="s">
        <v>325</v>
      </c>
      <c r="M327" t="s">
        <v>340</v>
      </c>
      <c r="N327" t="s">
        <v>476</v>
      </c>
      <c r="O327" t="s">
        <v>339</v>
      </c>
      <c r="P327" t="s">
        <v>1212</v>
      </c>
      <c r="Q327" s="131">
        <v>7098</v>
      </c>
      <c r="R327" s="131">
        <v>1</v>
      </c>
      <c r="S327" s="131">
        <v>19560</v>
      </c>
      <c r="U327" s="131">
        <v>1388.3689999999999</v>
      </c>
      <c r="V327" s="132">
        <v>3.1E-4</v>
      </c>
      <c r="W327" s="132">
        <f t="shared" si="5"/>
        <v>6.5119734832792863E-3</v>
      </c>
      <c r="X327" s="132">
        <v>2.1265781267599849E-3</v>
      </c>
    </row>
    <row r="328" spans="1:24">
      <c r="A328" t="s">
        <v>1213</v>
      </c>
      <c r="B328" s="4">
        <v>142</v>
      </c>
      <c r="C328" t="s">
        <v>1820</v>
      </c>
      <c r="D328" t="s">
        <v>1821</v>
      </c>
      <c r="E328" t="s">
        <v>309</v>
      </c>
      <c r="F328" t="s">
        <v>3632</v>
      </c>
      <c r="G328" t="s">
        <v>3633</v>
      </c>
      <c r="H328" t="s">
        <v>321</v>
      </c>
      <c r="I328" t="s">
        <v>917</v>
      </c>
      <c r="J328" t="s">
        <v>204</v>
      </c>
      <c r="K328" t="s">
        <v>204</v>
      </c>
      <c r="L328" t="s">
        <v>325</v>
      </c>
      <c r="M328" t="s">
        <v>340</v>
      </c>
      <c r="N328" t="s">
        <v>464</v>
      </c>
      <c r="O328" t="s">
        <v>339</v>
      </c>
      <c r="P328" t="s">
        <v>1212</v>
      </c>
      <c r="Q328" s="131">
        <v>21750</v>
      </c>
      <c r="R328" s="131">
        <v>1</v>
      </c>
      <c r="S328" s="131">
        <v>5594</v>
      </c>
      <c r="U328" s="131">
        <v>1216.6949999999999</v>
      </c>
      <c r="V328" s="132">
        <v>1.7000000000000001E-4</v>
      </c>
      <c r="W328" s="132">
        <f t="shared" si="5"/>
        <v>5.7067577691798732E-3</v>
      </c>
      <c r="X328" s="132">
        <v>1.8636234127513936E-3</v>
      </c>
    </row>
    <row r="329" spans="1:24">
      <c r="A329" t="s">
        <v>1213</v>
      </c>
      <c r="B329" s="4">
        <v>142</v>
      </c>
      <c r="C329" t="s">
        <v>3686</v>
      </c>
      <c r="D329" t="s">
        <v>3687</v>
      </c>
      <c r="E329" t="s">
        <v>309</v>
      </c>
      <c r="F329" t="s">
        <v>3688</v>
      </c>
      <c r="G329" t="s">
        <v>3689</v>
      </c>
      <c r="H329" t="s">
        <v>321</v>
      </c>
      <c r="I329" t="s">
        <v>917</v>
      </c>
      <c r="J329" t="s">
        <v>204</v>
      </c>
      <c r="K329" t="s">
        <v>204</v>
      </c>
      <c r="L329" t="s">
        <v>325</v>
      </c>
      <c r="M329" t="s">
        <v>340</v>
      </c>
      <c r="N329" t="s">
        <v>446</v>
      </c>
      <c r="O329" t="s">
        <v>339</v>
      </c>
      <c r="P329" t="s">
        <v>1212</v>
      </c>
      <c r="Q329" s="131">
        <v>81880</v>
      </c>
      <c r="R329" s="131">
        <v>1</v>
      </c>
      <c r="S329" s="131">
        <v>1358</v>
      </c>
      <c r="U329" s="131">
        <v>1111.93</v>
      </c>
      <c r="V329" s="132">
        <v>1.34E-3</v>
      </c>
      <c r="W329" s="132">
        <f t="shared" si="5"/>
        <v>5.215370463661129E-3</v>
      </c>
      <c r="X329" s="132">
        <v>1.703153856423062E-3</v>
      </c>
    </row>
    <row r="330" spans="1:24">
      <c r="A330" t="s">
        <v>1213</v>
      </c>
      <c r="B330" s="4">
        <v>142</v>
      </c>
      <c r="C330" t="s">
        <v>2454</v>
      </c>
      <c r="D330" t="s">
        <v>2455</v>
      </c>
      <c r="E330" t="s">
        <v>309</v>
      </c>
      <c r="F330" t="s">
        <v>2454</v>
      </c>
      <c r="G330" t="s">
        <v>3618</v>
      </c>
      <c r="H330" t="s">
        <v>321</v>
      </c>
      <c r="I330" t="s">
        <v>917</v>
      </c>
      <c r="J330" t="s">
        <v>204</v>
      </c>
      <c r="K330" t="s">
        <v>204</v>
      </c>
      <c r="L330" t="s">
        <v>325</v>
      </c>
      <c r="M330" t="s">
        <v>340</v>
      </c>
      <c r="N330" t="s">
        <v>478</v>
      </c>
      <c r="O330" t="s">
        <v>339</v>
      </c>
      <c r="P330" t="s">
        <v>1212</v>
      </c>
      <c r="Q330" s="131">
        <v>65000.62</v>
      </c>
      <c r="R330" s="131">
        <v>1</v>
      </c>
      <c r="S330" s="131">
        <v>1373</v>
      </c>
      <c r="U330" s="131">
        <v>892.45899999999995</v>
      </c>
      <c r="V330" s="132">
        <v>3.2000000000000003E-4</v>
      </c>
      <c r="W330" s="132">
        <f t="shared" si="5"/>
        <v>4.1859688187462756E-3</v>
      </c>
      <c r="X330" s="132">
        <v>1.3669880186247959E-3</v>
      </c>
    </row>
    <row r="331" spans="1:24">
      <c r="A331" t="s">
        <v>1213</v>
      </c>
      <c r="B331" s="4">
        <v>142</v>
      </c>
      <c r="C331" t="s">
        <v>3502</v>
      </c>
      <c r="D331" t="s">
        <v>3503</v>
      </c>
      <c r="E331" t="s">
        <v>309</v>
      </c>
      <c r="F331" t="s">
        <v>3502</v>
      </c>
      <c r="G331" t="s">
        <v>3504</v>
      </c>
      <c r="H331" t="s">
        <v>321</v>
      </c>
      <c r="I331" t="s">
        <v>917</v>
      </c>
      <c r="J331" t="s">
        <v>204</v>
      </c>
      <c r="K331" t="s">
        <v>204</v>
      </c>
      <c r="L331" t="s">
        <v>325</v>
      </c>
      <c r="M331" t="s">
        <v>340</v>
      </c>
      <c r="N331" t="s">
        <v>475</v>
      </c>
      <c r="O331" t="s">
        <v>339</v>
      </c>
      <c r="P331" t="s">
        <v>1212</v>
      </c>
      <c r="Q331" s="131">
        <v>14000</v>
      </c>
      <c r="R331" s="131">
        <v>1</v>
      </c>
      <c r="S331" s="131">
        <v>6219</v>
      </c>
      <c r="U331" s="131">
        <v>870.66</v>
      </c>
      <c r="V331" s="132">
        <v>5.5999999999999995E-4</v>
      </c>
      <c r="W331" s="132">
        <f t="shared" si="5"/>
        <v>4.0837232990306926E-3</v>
      </c>
      <c r="X331" s="132">
        <v>1.3335982810368486E-3</v>
      </c>
    </row>
    <row r="332" spans="1:24">
      <c r="A332" t="s">
        <v>1213</v>
      </c>
      <c r="B332" s="4">
        <v>142</v>
      </c>
      <c r="C332" t="s">
        <v>3690</v>
      </c>
      <c r="D332" t="s">
        <v>3691</v>
      </c>
      <c r="E332" t="s">
        <v>309</v>
      </c>
      <c r="F332" t="s">
        <v>3692</v>
      </c>
      <c r="G332" t="s">
        <v>3693</v>
      </c>
      <c r="H332" t="s">
        <v>321</v>
      </c>
      <c r="I332" t="s">
        <v>917</v>
      </c>
      <c r="J332" t="s">
        <v>204</v>
      </c>
      <c r="K332" t="s">
        <v>204</v>
      </c>
      <c r="L332" t="s">
        <v>325</v>
      </c>
      <c r="M332" t="s">
        <v>340</v>
      </c>
      <c r="N332" t="s">
        <v>463</v>
      </c>
      <c r="O332" t="s">
        <v>339</v>
      </c>
      <c r="P332" t="s">
        <v>1212</v>
      </c>
      <c r="Q332" s="131">
        <v>1355163</v>
      </c>
      <c r="R332" s="131">
        <v>1</v>
      </c>
      <c r="S332" s="131">
        <v>58.7</v>
      </c>
      <c r="U332" s="131">
        <v>795.48099999999999</v>
      </c>
      <c r="V332" s="132">
        <v>3.5599999999999998E-3</v>
      </c>
      <c r="W332" s="132">
        <f t="shared" si="5"/>
        <v>3.7311054758875271E-3</v>
      </c>
      <c r="X332" s="132">
        <v>1.2184458849579323E-3</v>
      </c>
    </row>
    <row r="333" spans="1:24">
      <c r="A333" t="s">
        <v>1213</v>
      </c>
      <c r="B333" s="4">
        <v>142</v>
      </c>
      <c r="C333" t="s">
        <v>3694</v>
      </c>
      <c r="D333" t="s">
        <v>3695</v>
      </c>
      <c r="E333" t="s">
        <v>309</v>
      </c>
      <c r="F333" t="s">
        <v>3694</v>
      </c>
      <c r="G333" t="s">
        <v>3696</v>
      </c>
      <c r="H333" t="s">
        <v>321</v>
      </c>
      <c r="I333" t="s">
        <v>917</v>
      </c>
      <c r="J333" t="s">
        <v>204</v>
      </c>
      <c r="K333" t="s">
        <v>204</v>
      </c>
      <c r="L333" t="s">
        <v>325</v>
      </c>
      <c r="M333" t="s">
        <v>340</v>
      </c>
      <c r="N333" t="s">
        <v>451</v>
      </c>
      <c r="O333" t="s">
        <v>339</v>
      </c>
      <c r="P333" t="s">
        <v>1212</v>
      </c>
      <c r="Q333" s="131">
        <v>6800</v>
      </c>
      <c r="R333" s="131">
        <v>1</v>
      </c>
      <c r="S333" s="131">
        <v>11080</v>
      </c>
      <c r="U333" s="131">
        <v>753.44</v>
      </c>
      <c r="V333" s="132">
        <v>2.0000000000000001E-4</v>
      </c>
      <c r="W333" s="132">
        <f t="shared" si="5"/>
        <v>3.5339173528377153E-3</v>
      </c>
      <c r="X333" s="132">
        <v>1.154051281630491E-3</v>
      </c>
    </row>
    <row r="334" spans="1:24">
      <c r="A334" t="s">
        <v>1213</v>
      </c>
      <c r="B334" s="4">
        <v>142</v>
      </c>
      <c r="C334" t="s">
        <v>3697</v>
      </c>
      <c r="D334" t="s">
        <v>3698</v>
      </c>
      <c r="E334" t="s">
        <v>309</v>
      </c>
      <c r="F334" t="s">
        <v>3697</v>
      </c>
      <c r="G334" t="s">
        <v>3699</v>
      </c>
      <c r="H334" t="s">
        <v>321</v>
      </c>
      <c r="I334" t="s">
        <v>917</v>
      </c>
      <c r="J334" t="s">
        <v>204</v>
      </c>
      <c r="K334" t="s">
        <v>204</v>
      </c>
      <c r="L334" t="s">
        <v>325</v>
      </c>
      <c r="M334" t="s">
        <v>340</v>
      </c>
      <c r="N334" t="s">
        <v>464</v>
      </c>
      <c r="O334" t="s">
        <v>339</v>
      </c>
      <c r="P334" t="s">
        <v>1212</v>
      </c>
      <c r="Q334" s="131">
        <v>11000</v>
      </c>
      <c r="R334" s="131">
        <v>1</v>
      </c>
      <c r="S334" s="131">
        <v>5722</v>
      </c>
      <c r="U334" s="131">
        <v>629.41999999999996</v>
      </c>
      <c r="V334" s="132">
        <v>7.6000000000000004E-4</v>
      </c>
      <c r="W334" s="132">
        <f t="shared" si="5"/>
        <v>2.9522168456985486E-3</v>
      </c>
      <c r="X334" s="132">
        <v>9.6408865693865939E-4</v>
      </c>
    </row>
    <row r="335" spans="1:24">
      <c r="A335" t="s">
        <v>1213</v>
      </c>
      <c r="B335" s="4">
        <v>142</v>
      </c>
      <c r="C335" t="s">
        <v>2145</v>
      </c>
      <c r="D335" t="s">
        <v>2146</v>
      </c>
      <c r="E335" t="s">
        <v>309</v>
      </c>
      <c r="F335" t="s">
        <v>3612</v>
      </c>
      <c r="G335" t="s">
        <v>3613</v>
      </c>
      <c r="H335" t="s">
        <v>321</v>
      </c>
      <c r="I335" t="s">
        <v>917</v>
      </c>
      <c r="J335" t="s">
        <v>204</v>
      </c>
      <c r="K335" t="s">
        <v>204</v>
      </c>
      <c r="L335" t="s">
        <v>325</v>
      </c>
      <c r="M335" t="s">
        <v>340</v>
      </c>
      <c r="N335" t="s">
        <v>445</v>
      </c>
      <c r="O335" t="s">
        <v>339</v>
      </c>
      <c r="P335" t="s">
        <v>1212</v>
      </c>
      <c r="Q335" s="131">
        <v>9750</v>
      </c>
      <c r="R335" s="131">
        <v>1</v>
      </c>
      <c r="S335" s="131">
        <v>6329</v>
      </c>
      <c r="U335" s="131">
        <v>617.07799999999997</v>
      </c>
      <c r="V335" s="132">
        <v>1.2E-4</v>
      </c>
      <c r="W335" s="132">
        <f t="shared" si="5"/>
        <v>2.8943282175812159E-3</v>
      </c>
      <c r="X335" s="132">
        <v>9.4518429704552463E-4</v>
      </c>
    </row>
    <row r="336" spans="1:24">
      <c r="A336" t="s">
        <v>1213</v>
      </c>
      <c r="B336" s="4">
        <v>142</v>
      </c>
      <c r="C336" t="s">
        <v>1534</v>
      </c>
      <c r="D336" t="s">
        <v>1535</v>
      </c>
      <c r="E336" t="s">
        <v>309</v>
      </c>
      <c r="F336" t="s">
        <v>1534</v>
      </c>
      <c r="G336" t="s">
        <v>3509</v>
      </c>
      <c r="H336" t="s">
        <v>321</v>
      </c>
      <c r="I336" t="s">
        <v>917</v>
      </c>
      <c r="J336" t="s">
        <v>204</v>
      </c>
      <c r="K336" t="s">
        <v>204</v>
      </c>
      <c r="L336" t="s">
        <v>325</v>
      </c>
      <c r="M336" t="s">
        <v>340</v>
      </c>
      <c r="N336" t="s">
        <v>464</v>
      </c>
      <c r="O336" t="s">
        <v>339</v>
      </c>
      <c r="P336" t="s">
        <v>1212</v>
      </c>
      <c r="Q336" s="131">
        <v>35000</v>
      </c>
      <c r="R336" s="131">
        <v>1</v>
      </c>
      <c r="S336" s="131">
        <v>1609</v>
      </c>
      <c r="U336" s="131">
        <v>563.15</v>
      </c>
      <c r="V336" s="132">
        <v>6.9999999999999994E-5</v>
      </c>
      <c r="W336" s="132">
        <f t="shared" si="5"/>
        <v>2.6413855877715003E-3</v>
      </c>
      <c r="X336" s="132">
        <v>8.6258226169331456E-4</v>
      </c>
    </row>
    <row r="337" spans="1:24">
      <c r="A337" t="s">
        <v>1213</v>
      </c>
      <c r="B337" s="4">
        <v>142</v>
      </c>
      <c r="C337" t="s">
        <v>3700</v>
      </c>
      <c r="D337" t="s">
        <v>3701</v>
      </c>
      <c r="E337" t="s">
        <v>309</v>
      </c>
      <c r="F337" t="s">
        <v>3700</v>
      </c>
      <c r="G337" t="s">
        <v>3702</v>
      </c>
      <c r="H337" t="s">
        <v>321</v>
      </c>
      <c r="I337" t="s">
        <v>917</v>
      </c>
      <c r="J337" t="s">
        <v>204</v>
      </c>
      <c r="K337" t="s">
        <v>204</v>
      </c>
      <c r="L337" t="s">
        <v>325</v>
      </c>
      <c r="M337" t="s">
        <v>340</v>
      </c>
      <c r="N337" t="s">
        <v>447</v>
      </c>
      <c r="O337" t="s">
        <v>339</v>
      </c>
      <c r="P337" t="s">
        <v>1212</v>
      </c>
      <c r="Q337" s="131">
        <v>6200</v>
      </c>
      <c r="R337" s="131">
        <v>1</v>
      </c>
      <c r="S337" s="131">
        <v>8590</v>
      </c>
      <c r="U337" s="131">
        <v>532.58000000000004</v>
      </c>
      <c r="V337" s="132">
        <v>2.0000000000000001E-4</v>
      </c>
      <c r="W337" s="132">
        <f t="shared" si="5"/>
        <v>2.4980007748119431E-3</v>
      </c>
      <c r="X337" s="132">
        <v>8.1575789919670696E-4</v>
      </c>
    </row>
    <row r="338" spans="1:24">
      <c r="A338" t="s">
        <v>1213</v>
      </c>
      <c r="B338" s="4">
        <v>142</v>
      </c>
      <c r="C338" t="s">
        <v>3703</v>
      </c>
      <c r="D338" t="s">
        <v>3704</v>
      </c>
      <c r="E338" t="s">
        <v>309</v>
      </c>
      <c r="F338" t="s">
        <v>3703</v>
      </c>
      <c r="G338" t="s">
        <v>3705</v>
      </c>
      <c r="H338" t="s">
        <v>321</v>
      </c>
      <c r="I338" t="s">
        <v>917</v>
      </c>
      <c r="J338" t="s">
        <v>204</v>
      </c>
      <c r="K338" t="s">
        <v>204</v>
      </c>
      <c r="L338" t="s">
        <v>325</v>
      </c>
      <c r="M338" t="s">
        <v>340</v>
      </c>
      <c r="N338" t="s">
        <v>451</v>
      </c>
      <c r="O338" t="s">
        <v>339</v>
      </c>
      <c r="P338" t="s">
        <v>1212</v>
      </c>
      <c r="Q338" s="131">
        <v>5067</v>
      </c>
      <c r="R338" s="131">
        <v>1</v>
      </c>
      <c r="S338" s="131">
        <v>6352</v>
      </c>
      <c r="U338" s="131">
        <v>321.85599999999999</v>
      </c>
      <c r="V338" s="132">
        <v>2.0000000000000001E-4</v>
      </c>
      <c r="W338" s="132">
        <f t="shared" si="5"/>
        <v>1.509625854102431E-3</v>
      </c>
      <c r="X338" s="132">
        <v>4.9298992527668198E-4</v>
      </c>
    </row>
    <row r="339" spans="1:24">
      <c r="A339" t="s">
        <v>1213</v>
      </c>
      <c r="B339" s="4">
        <v>142</v>
      </c>
      <c r="C339" t="s">
        <v>3653</v>
      </c>
      <c r="D339" t="s">
        <v>3654</v>
      </c>
      <c r="E339" t="s">
        <v>309</v>
      </c>
      <c r="F339" t="s">
        <v>3653</v>
      </c>
      <c r="G339" t="s">
        <v>3655</v>
      </c>
      <c r="H339" t="s">
        <v>321</v>
      </c>
      <c r="I339" t="s">
        <v>917</v>
      </c>
      <c r="J339" t="s">
        <v>204</v>
      </c>
      <c r="K339" t="s">
        <v>204</v>
      </c>
      <c r="L339" t="s">
        <v>325</v>
      </c>
      <c r="M339" t="s">
        <v>340</v>
      </c>
      <c r="N339" t="s">
        <v>475</v>
      </c>
      <c r="O339" t="s">
        <v>339</v>
      </c>
      <c r="P339" t="s">
        <v>1212</v>
      </c>
      <c r="Q339" s="131">
        <v>1400</v>
      </c>
      <c r="R339" s="131">
        <v>1</v>
      </c>
      <c r="S339" s="131">
        <v>20800</v>
      </c>
      <c r="U339" s="131">
        <v>291.2</v>
      </c>
      <c r="V339" s="132">
        <v>1E-4</v>
      </c>
      <c r="W339" s="132">
        <f t="shared" si="5"/>
        <v>1.3658376687544365E-3</v>
      </c>
      <c r="X339" s="132">
        <v>4.4603383575440506E-4</v>
      </c>
    </row>
    <row r="340" spans="1:24">
      <c r="A340" t="s">
        <v>1213</v>
      </c>
      <c r="B340" s="4">
        <v>142</v>
      </c>
      <c r="C340" t="s">
        <v>3706</v>
      </c>
      <c r="D340" t="s">
        <v>3707</v>
      </c>
      <c r="E340" t="s">
        <v>309</v>
      </c>
      <c r="F340" t="s">
        <v>3706</v>
      </c>
      <c r="G340" t="s">
        <v>3708</v>
      </c>
      <c r="H340" t="s">
        <v>321</v>
      </c>
      <c r="I340" t="s">
        <v>917</v>
      </c>
      <c r="J340" t="s">
        <v>204</v>
      </c>
      <c r="K340" t="s">
        <v>204</v>
      </c>
      <c r="L340" t="s">
        <v>325</v>
      </c>
      <c r="M340" t="s">
        <v>340</v>
      </c>
      <c r="N340" t="s">
        <v>477</v>
      </c>
      <c r="O340" t="s">
        <v>339</v>
      </c>
      <c r="P340" t="s">
        <v>1212</v>
      </c>
      <c r="Q340" s="131">
        <v>50995</v>
      </c>
      <c r="R340" s="131">
        <v>1</v>
      </c>
      <c r="S340" s="131">
        <v>507.8</v>
      </c>
      <c r="T340" s="131">
        <v>8.3520000000000003</v>
      </c>
      <c r="U340" s="131">
        <v>267.30399999999997</v>
      </c>
      <c r="V340" s="132">
        <v>5.5999999999999995E-4</v>
      </c>
      <c r="W340" s="132">
        <f t="shared" si="5"/>
        <v>1.2537564292882412E-3</v>
      </c>
      <c r="X340" s="132">
        <v>4.0943210313356966E-4</v>
      </c>
    </row>
    <row r="341" spans="1:24">
      <c r="A341" t="s">
        <v>1213</v>
      </c>
      <c r="B341" s="4">
        <v>142</v>
      </c>
      <c r="C341" t="s">
        <v>2128</v>
      </c>
      <c r="D341" t="s">
        <v>2129</v>
      </c>
      <c r="E341" t="s">
        <v>309</v>
      </c>
      <c r="F341" t="s">
        <v>3419</v>
      </c>
      <c r="G341" t="s">
        <v>3420</v>
      </c>
      <c r="H341" t="s">
        <v>321</v>
      </c>
      <c r="I341" t="s">
        <v>917</v>
      </c>
      <c r="J341" t="s">
        <v>204</v>
      </c>
      <c r="K341" t="s">
        <v>204</v>
      </c>
      <c r="L341" t="s">
        <v>325</v>
      </c>
      <c r="M341" t="s">
        <v>340</v>
      </c>
      <c r="N341" t="s">
        <v>445</v>
      </c>
      <c r="O341" t="s">
        <v>339</v>
      </c>
      <c r="P341" t="s">
        <v>1212</v>
      </c>
      <c r="Q341" s="131">
        <v>6000</v>
      </c>
      <c r="R341" s="131">
        <v>1</v>
      </c>
      <c r="S341" s="131">
        <v>4200</v>
      </c>
      <c r="U341" s="131">
        <v>252</v>
      </c>
      <c r="V341" s="132">
        <v>2.0000000000000002E-5</v>
      </c>
      <c r="W341" s="132">
        <f t="shared" si="5"/>
        <v>1.1819749056528777E-3</v>
      </c>
      <c r="X341" s="132">
        <v>3.8599081940285054E-4</v>
      </c>
    </row>
    <row r="342" spans="1:24">
      <c r="A342" t="s">
        <v>1213</v>
      </c>
      <c r="B342" s="4">
        <v>142</v>
      </c>
      <c r="C342" t="s">
        <v>3709</v>
      </c>
      <c r="D342" t="s">
        <v>3710</v>
      </c>
      <c r="E342" t="s">
        <v>309</v>
      </c>
      <c r="F342" t="s">
        <v>3709</v>
      </c>
      <c r="G342" t="s">
        <v>3711</v>
      </c>
      <c r="H342" t="s">
        <v>321</v>
      </c>
      <c r="I342" t="s">
        <v>917</v>
      </c>
      <c r="J342" t="s">
        <v>204</v>
      </c>
      <c r="K342" t="s">
        <v>204</v>
      </c>
      <c r="L342" t="s">
        <v>325</v>
      </c>
      <c r="M342" t="s">
        <v>340</v>
      </c>
      <c r="N342" t="s">
        <v>462</v>
      </c>
      <c r="O342" t="s">
        <v>339</v>
      </c>
      <c r="P342" t="s">
        <v>1212</v>
      </c>
      <c r="Q342" s="131">
        <v>1860</v>
      </c>
      <c r="R342" s="131">
        <v>1</v>
      </c>
      <c r="S342" s="131">
        <v>10710</v>
      </c>
      <c r="U342" s="131">
        <v>199.20599999999999</v>
      </c>
      <c r="V342" s="132">
        <v>1.4999999999999999E-4</v>
      </c>
      <c r="W342" s="132">
        <f t="shared" si="5"/>
        <v>9.3435116291859977E-4</v>
      </c>
      <c r="X342" s="132">
        <v>3.0512574273795334E-4</v>
      </c>
    </row>
    <row r="343" spans="1:24">
      <c r="A343" t="s">
        <v>1213</v>
      </c>
      <c r="B343" s="4">
        <v>142</v>
      </c>
      <c r="C343" t="s">
        <v>3712</v>
      </c>
      <c r="D343" t="s">
        <v>3713</v>
      </c>
      <c r="E343" t="s">
        <v>309</v>
      </c>
      <c r="F343" t="s">
        <v>3712</v>
      </c>
      <c r="G343" t="s">
        <v>3714</v>
      </c>
      <c r="H343" t="s">
        <v>321</v>
      </c>
      <c r="I343" t="s">
        <v>917</v>
      </c>
      <c r="J343" t="s">
        <v>204</v>
      </c>
      <c r="K343" t="s">
        <v>204</v>
      </c>
      <c r="L343" t="s">
        <v>325</v>
      </c>
      <c r="M343" t="s">
        <v>340</v>
      </c>
      <c r="N343" t="s">
        <v>459</v>
      </c>
      <c r="O343" t="s">
        <v>339</v>
      </c>
      <c r="P343" t="s">
        <v>1212</v>
      </c>
      <c r="Q343" s="131">
        <v>8700</v>
      </c>
      <c r="R343" s="131">
        <v>1</v>
      </c>
      <c r="S343" s="131">
        <v>1803</v>
      </c>
      <c r="U343" s="131">
        <v>156.86099999999999</v>
      </c>
      <c r="V343" s="132">
        <v>4.2999999999999999E-4</v>
      </c>
      <c r="W343" s="132">
        <f t="shared" si="5"/>
        <v>7.3573716537942877E-4</v>
      </c>
      <c r="X343" s="132">
        <v>2.4026549969186721E-4</v>
      </c>
    </row>
    <row r="344" spans="1:24">
      <c r="A344" t="s">
        <v>1213</v>
      </c>
      <c r="B344" s="4">
        <v>142</v>
      </c>
      <c r="C344" t="s">
        <v>3715</v>
      </c>
      <c r="D344" t="s">
        <v>3716</v>
      </c>
      <c r="E344" t="s">
        <v>309</v>
      </c>
      <c r="F344" t="s">
        <v>3715</v>
      </c>
      <c r="G344" t="s">
        <v>3717</v>
      </c>
      <c r="H344" t="s">
        <v>321</v>
      </c>
      <c r="I344" t="s">
        <v>917</v>
      </c>
      <c r="J344" t="s">
        <v>204</v>
      </c>
      <c r="K344" t="s">
        <v>204</v>
      </c>
      <c r="L344" t="s">
        <v>325</v>
      </c>
      <c r="M344" t="s">
        <v>340</v>
      </c>
      <c r="N344" t="s">
        <v>447</v>
      </c>
      <c r="O344" t="s">
        <v>339</v>
      </c>
      <c r="P344" t="s">
        <v>1212</v>
      </c>
      <c r="Q344" s="131">
        <v>154285.71</v>
      </c>
      <c r="R344" s="131">
        <v>1</v>
      </c>
      <c r="S344" s="131">
        <v>40</v>
      </c>
      <c r="U344" s="131">
        <v>61.713999999999999</v>
      </c>
      <c r="V344" s="132">
        <v>8.5999999999999998E-4</v>
      </c>
      <c r="W344" s="132">
        <f t="shared" si="5"/>
        <v>2.8946190209310196E-4</v>
      </c>
      <c r="X344" s="132">
        <v>9.4527926304077453E-5</v>
      </c>
    </row>
    <row r="345" spans="1:24">
      <c r="A345" t="s">
        <v>1213</v>
      </c>
      <c r="B345" s="4">
        <v>142</v>
      </c>
      <c r="C345" t="s">
        <v>3550</v>
      </c>
      <c r="D345" t="s">
        <v>3551</v>
      </c>
      <c r="E345" t="s">
        <v>80</v>
      </c>
      <c r="F345" t="s">
        <v>3552</v>
      </c>
      <c r="G345" t="s">
        <v>3553</v>
      </c>
      <c r="H345" t="s">
        <v>321</v>
      </c>
      <c r="I345" t="s">
        <v>917</v>
      </c>
      <c r="J345" t="s">
        <v>205</v>
      </c>
      <c r="K345" t="s">
        <v>224</v>
      </c>
      <c r="L345" t="s">
        <v>325</v>
      </c>
      <c r="M345" t="s">
        <v>344</v>
      </c>
      <c r="N345" t="s">
        <v>544</v>
      </c>
      <c r="O345" t="s">
        <v>339</v>
      </c>
      <c r="P345" t="s">
        <v>1216</v>
      </c>
      <c r="Q345" s="131">
        <v>9600</v>
      </c>
      <c r="R345" s="131">
        <v>3.71</v>
      </c>
      <c r="S345" s="131">
        <v>43030</v>
      </c>
      <c r="U345" s="131">
        <v>15325.565000000001</v>
      </c>
      <c r="V345" s="132">
        <v>0</v>
      </c>
      <c r="W345" s="132">
        <f t="shared" si="5"/>
        <v>7.1882671606952567E-2</v>
      </c>
      <c r="X345" s="132">
        <v>2.3474315048260506E-2</v>
      </c>
    </row>
    <row r="346" spans="1:24">
      <c r="A346" t="s">
        <v>1213</v>
      </c>
      <c r="B346" s="4">
        <v>142</v>
      </c>
      <c r="C346" t="s">
        <v>3119</v>
      </c>
      <c r="D346" t="s">
        <v>3120</v>
      </c>
      <c r="E346" t="s">
        <v>80</v>
      </c>
      <c r="F346" t="s">
        <v>3718</v>
      </c>
      <c r="G346" t="s">
        <v>3719</v>
      </c>
      <c r="H346" t="s">
        <v>321</v>
      </c>
      <c r="I346" t="s">
        <v>917</v>
      </c>
      <c r="J346" t="s">
        <v>205</v>
      </c>
      <c r="K346" t="s">
        <v>224</v>
      </c>
      <c r="L346" t="s">
        <v>325</v>
      </c>
      <c r="M346" t="s">
        <v>344</v>
      </c>
      <c r="N346" t="s">
        <v>544</v>
      </c>
      <c r="O346" t="s">
        <v>339</v>
      </c>
      <c r="P346" t="s">
        <v>1216</v>
      </c>
      <c r="Q346" s="131">
        <v>20350</v>
      </c>
      <c r="R346" s="131">
        <v>3.71</v>
      </c>
      <c r="S346" s="131">
        <v>18633</v>
      </c>
      <c r="U346" s="131">
        <v>14067.636</v>
      </c>
      <c r="V346" s="132">
        <v>0</v>
      </c>
      <c r="W346" s="132">
        <f t="shared" si="5"/>
        <v>6.5982510848646939E-2</v>
      </c>
      <c r="X346" s="132">
        <v>2.1547533121829519E-2</v>
      </c>
    </row>
    <row r="347" spans="1:24">
      <c r="A347" t="s">
        <v>1213</v>
      </c>
      <c r="B347" s="4">
        <v>142</v>
      </c>
      <c r="C347" t="s">
        <v>3227</v>
      </c>
      <c r="D347" t="s">
        <v>3228</v>
      </c>
      <c r="E347" t="s">
        <v>80</v>
      </c>
      <c r="F347" t="s">
        <v>3548</v>
      </c>
      <c r="G347" t="s">
        <v>3549</v>
      </c>
      <c r="H347" t="s">
        <v>321</v>
      </c>
      <c r="I347" t="s">
        <v>917</v>
      </c>
      <c r="J347" t="s">
        <v>205</v>
      </c>
      <c r="K347" t="s">
        <v>301</v>
      </c>
      <c r="L347" t="s">
        <v>325</v>
      </c>
      <c r="M347" t="s">
        <v>344</v>
      </c>
      <c r="N347" t="s">
        <v>548</v>
      </c>
      <c r="O347" t="s">
        <v>339</v>
      </c>
      <c r="P347" t="s">
        <v>1216</v>
      </c>
      <c r="Q347" s="131">
        <v>16150</v>
      </c>
      <c r="R347" s="131">
        <v>3.71</v>
      </c>
      <c r="S347" s="131">
        <v>17367</v>
      </c>
      <c r="T347" s="131">
        <f>5.644+6022.0200001/1000/R347</f>
        <v>7.2671859838544481</v>
      </c>
      <c r="U347" s="131">
        <f>10426.638+6022.0200001/1000</f>
        <v>10432.660020000101</v>
      </c>
      <c r="V347" s="132">
        <v>0</v>
      </c>
      <c r="W347" s="132">
        <f t="shared" si="5"/>
        <v>4.8933104535111779E-2</v>
      </c>
      <c r="X347" s="132">
        <v>1.5979805514568245E-2</v>
      </c>
    </row>
    <row r="348" spans="1:24">
      <c r="A348" t="s">
        <v>1213</v>
      </c>
      <c r="B348" s="4">
        <v>142</v>
      </c>
      <c r="C348" t="s">
        <v>3246</v>
      </c>
      <c r="D348" t="s">
        <v>3247</v>
      </c>
      <c r="E348" t="s">
        <v>80</v>
      </c>
      <c r="F348" t="s">
        <v>3720</v>
      </c>
      <c r="G348" t="s">
        <v>3721</v>
      </c>
      <c r="H348" t="s">
        <v>321</v>
      </c>
      <c r="I348" t="s">
        <v>917</v>
      </c>
      <c r="J348" t="s">
        <v>205</v>
      </c>
      <c r="K348" t="s">
        <v>224</v>
      </c>
      <c r="L348" t="s">
        <v>325</v>
      </c>
      <c r="M348" t="s">
        <v>344</v>
      </c>
      <c r="N348" t="s">
        <v>544</v>
      </c>
      <c r="O348" t="s">
        <v>339</v>
      </c>
      <c r="P348" t="s">
        <v>1216</v>
      </c>
      <c r="Q348" s="131">
        <v>14540</v>
      </c>
      <c r="R348" s="131">
        <v>3.71</v>
      </c>
      <c r="S348" s="131">
        <v>17040</v>
      </c>
      <c r="U348" s="131">
        <v>9191.9549999999999</v>
      </c>
      <c r="V348" s="132">
        <v>1.0000000000000001E-5</v>
      </c>
      <c r="W348" s="132">
        <f t="shared" si="5"/>
        <v>4.3113730729724194E-2</v>
      </c>
      <c r="X348" s="132">
        <v>1.4079405723667178E-2</v>
      </c>
    </row>
    <row r="349" spans="1:24">
      <c r="A349" t="s">
        <v>1213</v>
      </c>
      <c r="B349" s="4">
        <v>142</v>
      </c>
      <c r="C349" t="s">
        <v>3722</v>
      </c>
      <c r="D349" t="s">
        <v>3723</v>
      </c>
      <c r="E349" t="s">
        <v>80</v>
      </c>
      <c r="F349" t="s">
        <v>3724</v>
      </c>
      <c r="G349" t="s">
        <v>3725</v>
      </c>
      <c r="H349" t="s">
        <v>321</v>
      </c>
      <c r="I349" t="s">
        <v>917</v>
      </c>
      <c r="J349" t="s">
        <v>205</v>
      </c>
      <c r="K349" t="s">
        <v>224</v>
      </c>
      <c r="L349" t="s">
        <v>325</v>
      </c>
      <c r="M349" t="s">
        <v>344</v>
      </c>
      <c r="N349" t="s">
        <v>488</v>
      </c>
      <c r="O349" t="s">
        <v>339</v>
      </c>
      <c r="P349" t="s">
        <v>1216</v>
      </c>
      <c r="Q349" s="131">
        <v>46650</v>
      </c>
      <c r="R349" s="131">
        <v>3.71</v>
      </c>
      <c r="S349" s="131">
        <v>4806</v>
      </c>
      <c r="T349" s="131">
        <f>17.471+1114.5599998/1000/R349</f>
        <v>17.771420485121293</v>
      </c>
      <c r="U349" s="131">
        <f>8382.635+1114.5599998/1000</f>
        <v>8383.7495599998001</v>
      </c>
      <c r="V349" s="132">
        <v>9.0000000000000006E-5</v>
      </c>
      <c r="W349" s="132">
        <f t="shared" si="5"/>
        <v>3.9322942838087772E-2</v>
      </c>
      <c r="X349" s="132">
        <v>1.2841469691796073E-2</v>
      </c>
    </row>
    <row r="350" spans="1:24">
      <c r="A350" t="s">
        <v>1213</v>
      </c>
      <c r="B350" s="4">
        <v>142</v>
      </c>
      <c r="C350" t="s">
        <v>3726</v>
      </c>
      <c r="D350" t="s">
        <v>3727</v>
      </c>
      <c r="E350" t="s">
        <v>311</v>
      </c>
      <c r="F350" t="s">
        <v>3728</v>
      </c>
      <c r="G350" t="s">
        <v>3729</v>
      </c>
      <c r="H350" t="s">
        <v>321</v>
      </c>
      <c r="I350" t="s">
        <v>917</v>
      </c>
      <c r="J350" t="s">
        <v>205</v>
      </c>
      <c r="K350" t="s">
        <v>224</v>
      </c>
      <c r="L350" t="s">
        <v>325</v>
      </c>
      <c r="M350" t="s">
        <v>344</v>
      </c>
      <c r="N350" t="s">
        <v>448</v>
      </c>
      <c r="O350" t="s">
        <v>339</v>
      </c>
      <c r="P350" t="s">
        <v>1227</v>
      </c>
      <c r="Q350" s="131">
        <v>570000.42000000004</v>
      </c>
      <c r="R350" s="131">
        <v>4.9748000000000001</v>
      </c>
      <c r="S350" s="131">
        <v>224.55</v>
      </c>
      <c r="U350" s="131">
        <v>6367.4250000000002</v>
      </c>
      <c r="V350" s="132">
        <v>4.0000000000000003E-5</v>
      </c>
      <c r="W350" s="132">
        <f t="shared" si="5"/>
        <v>2.9865621284233236E-2</v>
      </c>
      <c r="X350" s="132">
        <v>9.7530460049055391E-3</v>
      </c>
    </row>
    <row r="351" spans="1:24">
      <c r="A351" t="s">
        <v>1213</v>
      </c>
      <c r="B351" s="4">
        <v>142</v>
      </c>
      <c r="C351" t="s">
        <v>3730</v>
      </c>
      <c r="D351" t="s">
        <v>3731</v>
      </c>
      <c r="E351" t="s">
        <v>80</v>
      </c>
      <c r="F351" t="s">
        <v>3732</v>
      </c>
      <c r="G351" t="s">
        <v>3733</v>
      </c>
      <c r="H351" t="s">
        <v>321</v>
      </c>
      <c r="I351" t="s">
        <v>917</v>
      </c>
      <c r="J351" t="s">
        <v>205</v>
      </c>
      <c r="K351" t="s">
        <v>224</v>
      </c>
      <c r="L351" t="s">
        <v>325</v>
      </c>
      <c r="M351" t="s">
        <v>344</v>
      </c>
      <c r="N351" t="s">
        <v>548</v>
      </c>
      <c r="O351" t="s">
        <v>339</v>
      </c>
      <c r="P351" t="s">
        <v>1216</v>
      </c>
      <c r="Q351" s="131">
        <v>14150</v>
      </c>
      <c r="R351" s="131">
        <v>3.71</v>
      </c>
      <c r="S351" s="131">
        <v>10371</v>
      </c>
      <c r="U351" s="131">
        <v>5444.4120000000003</v>
      </c>
      <c r="V351" s="132">
        <v>1.0000000000000001E-5</v>
      </c>
      <c r="W351" s="132">
        <f t="shared" si="5"/>
        <v>2.5536342698553156E-2</v>
      </c>
      <c r="X351" s="132">
        <v>8.3392581311377469E-3</v>
      </c>
    </row>
    <row r="352" spans="1:24">
      <c r="A352" t="s">
        <v>1213</v>
      </c>
      <c r="B352" s="4">
        <v>142</v>
      </c>
      <c r="C352" t="s">
        <v>3734</v>
      </c>
      <c r="D352" t="s">
        <v>3735</v>
      </c>
      <c r="E352" t="s">
        <v>80</v>
      </c>
      <c r="F352" t="s">
        <v>3734</v>
      </c>
      <c r="G352" t="s">
        <v>3736</v>
      </c>
      <c r="H352" t="s">
        <v>321</v>
      </c>
      <c r="I352" t="s">
        <v>917</v>
      </c>
      <c r="J352" t="s">
        <v>205</v>
      </c>
      <c r="K352" t="s">
        <v>224</v>
      </c>
      <c r="L352" t="s">
        <v>325</v>
      </c>
      <c r="M352" t="s">
        <v>346</v>
      </c>
      <c r="N352" t="s">
        <v>548</v>
      </c>
      <c r="O352" t="s">
        <v>339</v>
      </c>
      <c r="P352" t="s">
        <v>1216</v>
      </c>
      <c r="Q352" s="131">
        <v>8450</v>
      </c>
      <c r="R352" s="131">
        <v>3.71</v>
      </c>
      <c r="S352" s="131">
        <v>17005</v>
      </c>
      <c r="U352" s="131">
        <v>5330.982</v>
      </c>
      <c r="V352" s="132">
        <v>1.0000000000000001E-5</v>
      </c>
      <c r="W352" s="132">
        <f t="shared" si="5"/>
        <v>2.5004313279711071E-2</v>
      </c>
      <c r="X352" s="132">
        <v>8.1655163111184394E-3</v>
      </c>
    </row>
    <row r="353" spans="1:24">
      <c r="A353" t="s">
        <v>1213</v>
      </c>
      <c r="B353" s="4">
        <v>142</v>
      </c>
      <c r="C353" t="s">
        <v>3575</v>
      </c>
      <c r="D353" t="s">
        <v>3576</v>
      </c>
      <c r="E353" t="s">
        <v>80</v>
      </c>
      <c r="F353" t="s">
        <v>3577</v>
      </c>
      <c r="G353" t="s">
        <v>3578</v>
      </c>
      <c r="H353" t="s">
        <v>321</v>
      </c>
      <c r="I353" t="s">
        <v>917</v>
      </c>
      <c r="J353" t="s">
        <v>205</v>
      </c>
      <c r="K353" t="s">
        <v>224</v>
      </c>
      <c r="L353" t="s">
        <v>325</v>
      </c>
      <c r="M353" t="s">
        <v>344</v>
      </c>
      <c r="N353" t="s">
        <v>544</v>
      </c>
      <c r="O353" t="s">
        <v>339</v>
      </c>
      <c r="P353" t="s">
        <v>1216</v>
      </c>
      <c r="Q353" s="131">
        <v>4200</v>
      </c>
      <c r="R353" s="131">
        <v>3.71</v>
      </c>
      <c r="S353" s="131">
        <v>34180</v>
      </c>
      <c r="U353" s="131">
        <v>5325.9279999999999</v>
      </c>
      <c r="V353" s="132">
        <v>1.0000000000000001E-5</v>
      </c>
      <c r="W353" s="132">
        <f t="shared" si="5"/>
        <v>2.4980608116325475E-2</v>
      </c>
      <c r="X353" s="132">
        <v>8.1577750507959724E-3</v>
      </c>
    </row>
    <row r="354" spans="1:24">
      <c r="A354" t="s">
        <v>1213</v>
      </c>
      <c r="B354" s="4">
        <v>142</v>
      </c>
      <c r="C354" t="s">
        <v>3737</v>
      </c>
      <c r="D354" t="s">
        <v>3738</v>
      </c>
      <c r="E354" t="s">
        <v>80</v>
      </c>
      <c r="F354" t="s">
        <v>3737</v>
      </c>
      <c r="G354" t="s">
        <v>3739</v>
      </c>
      <c r="H354" t="s">
        <v>321</v>
      </c>
      <c r="I354" t="s">
        <v>917</v>
      </c>
      <c r="J354" t="s">
        <v>205</v>
      </c>
      <c r="K354" t="s">
        <v>238</v>
      </c>
      <c r="L354" t="s">
        <v>325</v>
      </c>
      <c r="M354" t="s">
        <v>314</v>
      </c>
      <c r="N354" t="s">
        <v>548</v>
      </c>
      <c r="O354" t="s">
        <v>339</v>
      </c>
      <c r="P354" t="s">
        <v>1218</v>
      </c>
      <c r="Q354" s="131">
        <v>39000</v>
      </c>
      <c r="R354" s="131">
        <v>4.1524000000000001</v>
      </c>
      <c r="S354" s="131">
        <v>3146</v>
      </c>
      <c r="U354" s="131">
        <v>5094.7460000000001</v>
      </c>
      <c r="V354" s="132">
        <v>3.0000000000000001E-5</v>
      </c>
      <c r="W354" s="132">
        <f t="shared" si="5"/>
        <v>2.3896277470934032E-2</v>
      </c>
      <c r="X354" s="132">
        <v>7.8036713618626794E-3</v>
      </c>
    </row>
    <row r="355" spans="1:24">
      <c r="A355" t="s">
        <v>1213</v>
      </c>
      <c r="B355" s="4">
        <v>142</v>
      </c>
      <c r="C355" t="s">
        <v>3740</v>
      </c>
      <c r="D355" t="s">
        <v>3741</v>
      </c>
      <c r="E355" t="s">
        <v>80</v>
      </c>
      <c r="F355" t="s">
        <v>3742</v>
      </c>
      <c r="G355" t="s">
        <v>3743</v>
      </c>
      <c r="H355" t="s">
        <v>321</v>
      </c>
      <c r="I355" t="s">
        <v>917</v>
      </c>
      <c r="J355" t="s">
        <v>205</v>
      </c>
      <c r="K355" t="s">
        <v>281</v>
      </c>
      <c r="L355" t="s">
        <v>325</v>
      </c>
      <c r="M355" t="s">
        <v>314</v>
      </c>
      <c r="N355" t="s">
        <v>537</v>
      </c>
      <c r="O355" t="s">
        <v>339</v>
      </c>
      <c r="P355" t="s">
        <v>1218</v>
      </c>
      <c r="Q355" s="131">
        <v>19350</v>
      </c>
      <c r="R355" s="131">
        <v>4.1524000000000001</v>
      </c>
      <c r="S355" s="131">
        <v>6155</v>
      </c>
      <c r="U355" s="131">
        <v>4945.4769999999999</v>
      </c>
      <c r="V355" s="132">
        <v>2.0000000000000002E-5</v>
      </c>
      <c r="W355" s="132">
        <f t="shared" si="5"/>
        <v>2.3196149644775701E-2</v>
      </c>
      <c r="X355" s="132">
        <v>7.5750346014601235E-3</v>
      </c>
    </row>
    <row r="356" spans="1:24">
      <c r="A356" t="s">
        <v>1213</v>
      </c>
      <c r="B356" s="4">
        <v>142</v>
      </c>
      <c r="C356" t="s">
        <v>3744</v>
      </c>
      <c r="D356" t="s">
        <v>3745</v>
      </c>
      <c r="E356" t="s">
        <v>80</v>
      </c>
      <c r="F356" t="s">
        <v>3744</v>
      </c>
      <c r="G356" t="s">
        <v>3746</v>
      </c>
      <c r="H356" t="s">
        <v>321</v>
      </c>
      <c r="I356" t="s">
        <v>917</v>
      </c>
      <c r="J356" t="s">
        <v>205</v>
      </c>
      <c r="K356" t="s">
        <v>281</v>
      </c>
      <c r="L356" t="s">
        <v>325</v>
      </c>
      <c r="M356" t="s">
        <v>314</v>
      </c>
      <c r="N356" t="s">
        <v>537</v>
      </c>
      <c r="O356" t="s">
        <v>339</v>
      </c>
      <c r="P356" t="s">
        <v>1218</v>
      </c>
      <c r="Q356" s="131">
        <v>64500</v>
      </c>
      <c r="R356" s="131">
        <v>4.1524000000000001</v>
      </c>
      <c r="S356" s="131">
        <v>1372.5</v>
      </c>
      <c r="U356" s="131">
        <v>3675.9639999999999</v>
      </c>
      <c r="V356" s="132">
        <v>2.0000000000000002E-5</v>
      </c>
      <c r="W356" s="132">
        <f t="shared" si="5"/>
        <v>1.7241655563822917E-2</v>
      </c>
      <c r="X356" s="132">
        <v>5.6305093510134133E-3</v>
      </c>
    </row>
    <row r="357" spans="1:24">
      <c r="A357" t="s">
        <v>1213</v>
      </c>
      <c r="B357" s="4">
        <v>142</v>
      </c>
      <c r="C357" t="s">
        <v>3747</v>
      </c>
      <c r="D357" t="s">
        <v>3748</v>
      </c>
      <c r="E357" t="s">
        <v>80</v>
      </c>
      <c r="F357" t="s">
        <v>3749</v>
      </c>
      <c r="G357" t="s">
        <v>3750</v>
      </c>
      <c r="H357" t="s">
        <v>321</v>
      </c>
      <c r="I357" t="s">
        <v>917</v>
      </c>
      <c r="J357" t="s">
        <v>205</v>
      </c>
      <c r="K357" t="s">
        <v>293</v>
      </c>
      <c r="L357" t="s">
        <v>325</v>
      </c>
      <c r="M357" t="s">
        <v>314</v>
      </c>
      <c r="N357" t="s">
        <v>525</v>
      </c>
      <c r="O357" t="s">
        <v>339</v>
      </c>
      <c r="P357" t="s">
        <v>1226</v>
      </c>
      <c r="Q357" s="131">
        <v>47500</v>
      </c>
      <c r="R357" s="131">
        <v>0.35239999999999999</v>
      </c>
      <c r="S357" s="131">
        <v>18975</v>
      </c>
      <c r="U357" s="131">
        <v>3176.2249999999999</v>
      </c>
      <c r="V357" s="132">
        <v>9.0000000000000006E-5</v>
      </c>
      <c r="W357" s="132">
        <f t="shared" si="5"/>
        <v>1.4897691447251235E-2</v>
      </c>
      <c r="X357" s="132">
        <v>4.8650543268167418E-3</v>
      </c>
    </row>
    <row r="358" spans="1:24">
      <c r="A358" t="s">
        <v>1213</v>
      </c>
      <c r="B358" s="4">
        <v>142</v>
      </c>
      <c r="C358" t="s">
        <v>3751</v>
      </c>
      <c r="D358" t="s">
        <v>3752</v>
      </c>
      <c r="E358" t="s">
        <v>80</v>
      </c>
      <c r="F358" t="s">
        <v>3753</v>
      </c>
      <c r="G358" t="s">
        <v>3754</v>
      </c>
      <c r="H358" t="s">
        <v>321</v>
      </c>
      <c r="I358" t="s">
        <v>917</v>
      </c>
      <c r="J358" t="s">
        <v>205</v>
      </c>
      <c r="K358" t="s">
        <v>281</v>
      </c>
      <c r="L358" t="s">
        <v>325</v>
      </c>
      <c r="M358" t="s">
        <v>314</v>
      </c>
      <c r="N358" t="s">
        <v>440</v>
      </c>
      <c r="O358" t="s">
        <v>339</v>
      </c>
      <c r="P358" t="s">
        <v>1218</v>
      </c>
      <c r="Q358" s="131">
        <v>12550</v>
      </c>
      <c r="R358" s="131">
        <v>4.1524000000000001</v>
      </c>
      <c r="S358" s="131">
        <v>5850</v>
      </c>
      <c r="T358" s="131">
        <v>9.2829999999999995</v>
      </c>
      <c r="U358" s="131">
        <v>3087.1329999999998</v>
      </c>
      <c r="V358" s="132">
        <v>1.0000000000000001E-5</v>
      </c>
      <c r="W358" s="132">
        <f t="shared" si="5"/>
        <v>1.4479816414336846E-2</v>
      </c>
      <c r="X358" s="132">
        <v>4.7285912550618257E-3</v>
      </c>
    </row>
    <row r="359" spans="1:24">
      <c r="A359" t="s">
        <v>1213</v>
      </c>
      <c r="B359" s="4">
        <v>142</v>
      </c>
      <c r="C359" t="s">
        <v>3755</v>
      </c>
      <c r="D359" t="s">
        <v>3756</v>
      </c>
      <c r="E359" t="s">
        <v>80</v>
      </c>
      <c r="F359" t="s">
        <v>3757</v>
      </c>
      <c r="G359" t="s">
        <v>3758</v>
      </c>
      <c r="H359" t="s">
        <v>321</v>
      </c>
      <c r="I359" t="s">
        <v>917</v>
      </c>
      <c r="J359" t="s">
        <v>205</v>
      </c>
      <c r="K359" t="s">
        <v>243</v>
      </c>
      <c r="L359" t="s">
        <v>325</v>
      </c>
      <c r="M359" t="s">
        <v>314</v>
      </c>
      <c r="N359" t="s">
        <v>546</v>
      </c>
      <c r="O359" t="s">
        <v>339</v>
      </c>
      <c r="P359" t="s">
        <v>1216</v>
      </c>
      <c r="Q359" s="131">
        <v>700</v>
      </c>
      <c r="R359" s="131">
        <v>3.71</v>
      </c>
      <c r="S359" s="131">
        <v>116900</v>
      </c>
      <c r="U359" s="131">
        <v>3035.893</v>
      </c>
      <c r="V359" s="132">
        <v>0</v>
      </c>
      <c r="W359" s="132">
        <f t="shared" si="5"/>
        <v>1.4239481516854096E-2</v>
      </c>
      <c r="X359" s="132">
        <v>4.65010645511658E-3</v>
      </c>
    </row>
    <row r="360" spans="1:24">
      <c r="A360" t="s">
        <v>1213</v>
      </c>
      <c r="B360" s="4">
        <v>142</v>
      </c>
      <c r="C360" t="s">
        <v>3759</v>
      </c>
      <c r="D360" t="s">
        <v>3760</v>
      </c>
      <c r="E360" t="s">
        <v>80</v>
      </c>
      <c r="F360" t="s">
        <v>3761</v>
      </c>
      <c r="G360" t="s">
        <v>3762</v>
      </c>
      <c r="H360" t="s">
        <v>321</v>
      </c>
      <c r="I360" t="s">
        <v>917</v>
      </c>
      <c r="J360" t="s">
        <v>205</v>
      </c>
      <c r="K360" t="s">
        <v>251</v>
      </c>
      <c r="L360" t="s">
        <v>325</v>
      </c>
      <c r="M360" t="s">
        <v>314</v>
      </c>
      <c r="N360" t="s">
        <v>497</v>
      </c>
      <c r="O360" t="s">
        <v>339</v>
      </c>
      <c r="P360" t="s">
        <v>1228</v>
      </c>
      <c r="Q360" s="131">
        <v>54000</v>
      </c>
      <c r="R360" s="131">
        <v>2.6029E-2</v>
      </c>
      <c r="S360" s="131">
        <v>203100</v>
      </c>
      <c r="U360" s="131">
        <v>2854.7049999999999</v>
      </c>
      <c r="V360" s="132">
        <v>5.0000000000000002E-5</v>
      </c>
      <c r="W360" s="132">
        <f t="shared" si="5"/>
        <v>1.3389641559689676E-2</v>
      </c>
      <c r="X360" s="132">
        <v>4.3725790559659304E-3</v>
      </c>
    </row>
    <row r="361" spans="1:24">
      <c r="A361" t="s">
        <v>1213</v>
      </c>
      <c r="B361" s="4">
        <v>142</v>
      </c>
      <c r="C361" t="s">
        <v>3763</v>
      </c>
      <c r="D361" t="s">
        <v>3764</v>
      </c>
      <c r="E361" t="s">
        <v>80</v>
      </c>
      <c r="F361" t="s">
        <v>3765</v>
      </c>
      <c r="G361" t="s">
        <v>3766</v>
      </c>
      <c r="H361" t="s">
        <v>321</v>
      </c>
      <c r="I361" t="s">
        <v>917</v>
      </c>
      <c r="J361" t="s">
        <v>205</v>
      </c>
      <c r="K361" t="s">
        <v>293</v>
      </c>
      <c r="L361" t="s">
        <v>325</v>
      </c>
      <c r="M361" t="s">
        <v>314</v>
      </c>
      <c r="N361" t="s">
        <v>497</v>
      </c>
      <c r="O361" t="s">
        <v>339</v>
      </c>
      <c r="P361" t="s">
        <v>3767</v>
      </c>
      <c r="Q361" s="131">
        <v>390</v>
      </c>
      <c r="R361" s="131">
        <v>0.55689999999999995</v>
      </c>
      <c r="S361" s="131">
        <v>1126000</v>
      </c>
      <c r="U361" s="131">
        <v>2445.5709999999999</v>
      </c>
      <c r="V361" s="132">
        <v>6.0000000000000002E-5</v>
      </c>
      <c r="W361" s="132">
        <f t="shared" si="5"/>
        <v>1.1470649015842911E-2</v>
      </c>
      <c r="X361" s="132">
        <v>3.7459045801501926E-3</v>
      </c>
    </row>
    <row r="362" spans="1:24">
      <c r="A362" t="s">
        <v>1213</v>
      </c>
      <c r="B362" s="4">
        <v>142</v>
      </c>
      <c r="C362" t="s">
        <v>3255</v>
      </c>
      <c r="D362" t="s">
        <v>3256</v>
      </c>
      <c r="E362" t="s">
        <v>80</v>
      </c>
      <c r="F362" t="s">
        <v>3768</v>
      </c>
      <c r="G362" t="s">
        <v>3769</v>
      </c>
      <c r="H362" t="s">
        <v>321</v>
      </c>
      <c r="I362" t="s">
        <v>917</v>
      </c>
      <c r="J362" t="s">
        <v>205</v>
      </c>
      <c r="K362" t="s">
        <v>224</v>
      </c>
      <c r="L362" t="s">
        <v>325</v>
      </c>
      <c r="M362" t="s">
        <v>346</v>
      </c>
      <c r="N362" t="s">
        <v>500</v>
      </c>
      <c r="O362" t="s">
        <v>339</v>
      </c>
      <c r="P362" t="s">
        <v>1216</v>
      </c>
      <c r="Q362" s="131">
        <v>10100</v>
      </c>
      <c r="R362" s="131">
        <v>3.71</v>
      </c>
      <c r="S362" s="131">
        <v>6511</v>
      </c>
      <c r="U362" s="131">
        <v>2439.7370000000001</v>
      </c>
      <c r="V362" s="132">
        <v>2.0000000000000002E-5</v>
      </c>
      <c r="W362" s="132">
        <f t="shared" si="5"/>
        <v>1.1443285358701727E-2</v>
      </c>
      <c r="X362" s="132">
        <v>3.7369685863390969E-3</v>
      </c>
    </row>
    <row r="363" spans="1:24">
      <c r="A363" t="s">
        <v>1213</v>
      </c>
      <c r="B363" s="4">
        <v>142</v>
      </c>
      <c r="C363" t="s">
        <v>3770</v>
      </c>
      <c r="D363" t="s">
        <v>3771</v>
      </c>
      <c r="E363" t="s">
        <v>312</v>
      </c>
      <c r="F363" t="s">
        <v>3772</v>
      </c>
      <c r="G363" t="s">
        <v>3773</v>
      </c>
      <c r="H363" t="s">
        <v>321</v>
      </c>
      <c r="I363" t="s">
        <v>917</v>
      </c>
      <c r="J363" t="s">
        <v>205</v>
      </c>
      <c r="K363" t="s">
        <v>224</v>
      </c>
      <c r="L363" t="s">
        <v>325</v>
      </c>
      <c r="M363" t="s">
        <v>346</v>
      </c>
      <c r="N363" t="s">
        <v>544</v>
      </c>
      <c r="O363" t="s">
        <v>339</v>
      </c>
      <c r="P363" t="s">
        <v>1216</v>
      </c>
      <c r="Q363" s="131">
        <v>9250</v>
      </c>
      <c r="R363" s="131">
        <v>3.71</v>
      </c>
      <c r="S363" s="131">
        <v>6974</v>
      </c>
      <c r="U363" s="131">
        <v>2393.3020000000001</v>
      </c>
      <c r="V363" s="132">
        <v>4.0000000000000003E-5</v>
      </c>
      <c r="W363" s="132">
        <f t="shared" si="5"/>
        <v>1.1225487720828745E-2</v>
      </c>
      <c r="X363" s="132">
        <v>3.6658436510257184E-3</v>
      </c>
    </row>
    <row r="364" spans="1:24">
      <c r="A364" t="s">
        <v>1213</v>
      </c>
      <c r="B364" s="4">
        <v>142</v>
      </c>
      <c r="C364" t="s">
        <v>3774</v>
      </c>
      <c r="D364" t="s">
        <v>3775</v>
      </c>
      <c r="E364" t="s">
        <v>80</v>
      </c>
      <c r="F364" t="s">
        <v>3774</v>
      </c>
      <c r="G364" t="s">
        <v>3776</v>
      </c>
      <c r="H364" t="s">
        <v>321</v>
      </c>
      <c r="I364" t="s">
        <v>917</v>
      </c>
      <c r="J364" t="s">
        <v>205</v>
      </c>
      <c r="K364" t="s">
        <v>251</v>
      </c>
      <c r="L364" t="s">
        <v>325</v>
      </c>
      <c r="M364" t="s">
        <v>314</v>
      </c>
      <c r="N364" t="s">
        <v>497</v>
      </c>
      <c r="O364" t="s">
        <v>339</v>
      </c>
      <c r="P364" t="s">
        <v>1228</v>
      </c>
      <c r="Q364" s="131">
        <v>22500</v>
      </c>
      <c r="R364" s="131">
        <v>2.6029E-2</v>
      </c>
      <c r="S364" s="131">
        <v>396600</v>
      </c>
      <c r="T364" s="131">
        <f>1574.505-575.66/1000/R364</f>
        <v>1552.3888987283415</v>
      </c>
      <c r="U364" s="131">
        <f>2363.681-575.66/1000</f>
        <v>2363.1053400000001</v>
      </c>
      <c r="V364" s="132">
        <v>2.0000000000000002E-5</v>
      </c>
      <c r="W364" s="132">
        <f t="shared" si="5"/>
        <v>1.1083854013072665E-2</v>
      </c>
      <c r="X364" s="132">
        <v>3.6195911369914751E-3</v>
      </c>
    </row>
    <row r="365" spans="1:24">
      <c r="A365" t="s">
        <v>1213</v>
      </c>
      <c r="B365" s="4">
        <v>142</v>
      </c>
      <c r="C365" t="s">
        <v>3777</v>
      </c>
      <c r="D365" t="s">
        <v>3778</v>
      </c>
      <c r="E365" t="s">
        <v>80</v>
      </c>
      <c r="F365" t="s">
        <v>3779</v>
      </c>
      <c r="G365" t="s">
        <v>3780</v>
      </c>
      <c r="H365" t="s">
        <v>321</v>
      </c>
      <c r="I365" t="s">
        <v>917</v>
      </c>
      <c r="J365" t="s">
        <v>205</v>
      </c>
      <c r="K365" t="s">
        <v>224</v>
      </c>
      <c r="L365" t="s">
        <v>325</v>
      </c>
      <c r="M365" t="s">
        <v>344</v>
      </c>
      <c r="N365" t="s">
        <v>537</v>
      </c>
      <c r="O365" t="s">
        <v>339</v>
      </c>
      <c r="P365" t="s">
        <v>1216</v>
      </c>
      <c r="Q365" s="131">
        <v>16000</v>
      </c>
      <c r="R365" s="131">
        <v>3.71</v>
      </c>
      <c r="S365" s="131">
        <v>1157</v>
      </c>
      <c r="T365" s="131">
        <v>1.64</v>
      </c>
      <c r="U365" s="131">
        <v>692.88</v>
      </c>
      <c r="V365" s="132">
        <v>2.2000000000000001E-4</v>
      </c>
      <c r="W365" s="132">
        <f t="shared" si="5"/>
        <v>3.2498681453522458E-3</v>
      </c>
      <c r="X365" s="132">
        <v>1.0612909482057423E-3</v>
      </c>
    </row>
    <row r="366" spans="1:24">
      <c r="A366" t="s">
        <v>1213</v>
      </c>
      <c r="B366" s="4">
        <v>142</v>
      </c>
      <c r="C366" t="s">
        <v>3781</v>
      </c>
      <c r="D366" t="s">
        <v>3782</v>
      </c>
      <c r="E366" t="s">
        <v>80</v>
      </c>
      <c r="F366" t="s">
        <v>3783</v>
      </c>
      <c r="G366" t="s">
        <v>3784</v>
      </c>
      <c r="H366" t="s">
        <v>321</v>
      </c>
      <c r="I366" t="s">
        <v>917</v>
      </c>
      <c r="J366" t="s">
        <v>205</v>
      </c>
      <c r="K366" t="s">
        <v>224</v>
      </c>
      <c r="L366" t="s">
        <v>325</v>
      </c>
      <c r="M366" t="s">
        <v>346</v>
      </c>
      <c r="N366" t="s">
        <v>534</v>
      </c>
      <c r="O366" t="s">
        <v>339</v>
      </c>
      <c r="P366" t="s">
        <v>1216</v>
      </c>
      <c r="Q366" s="131">
        <v>214.65</v>
      </c>
      <c r="R366" s="131">
        <v>3.71</v>
      </c>
      <c r="S366" s="131">
        <v>0.06</v>
      </c>
      <c r="U366" s="131">
        <v>0</v>
      </c>
      <c r="V366" s="132">
        <v>6.9999999999999994E-5</v>
      </c>
      <c r="W366" s="132">
        <f t="shared" si="5"/>
        <v>0</v>
      </c>
      <c r="X366" s="132">
        <v>0</v>
      </c>
    </row>
    <row r="367" spans="1:24">
      <c r="A367" t="s">
        <v>1213</v>
      </c>
      <c r="B367" s="4">
        <v>143</v>
      </c>
      <c r="C367" t="s">
        <v>1573</v>
      </c>
      <c r="D367" t="s">
        <v>1574</v>
      </c>
      <c r="E367" t="s">
        <v>309</v>
      </c>
      <c r="F367" t="s">
        <v>1573</v>
      </c>
      <c r="G367" t="s">
        <v>3404</v>
      </c>
      <c r="H367" t="s">
        <v>321</v>
      </c>
      <c r="I367" t="s">
        <v>917</v>
      </c>
      <c r="J367" t="s">
        <v>204</v>
      </c>
      <c r="K367" t="s">
        <v>204</v>
      </c>
      <c r="L367" t="s">
        <v>325</v>
      </c>
      <c r="M367" t="s">
        <v>340</v>
      </c>
      <c r="N367" t="s">
        <v>448</v>
      </c>
      <c r="O367" t="s">
        <v>339</v>
      </c>
      <c r="P367" t="s">
        <v>1212</v>
      </c>
      <c r="Q367" s="131">
        <v>990000</v>
      </c>
      <c r="R367" s="131">
        <v>1</v>
      </c>
      <c r="S367" s="131">
        <v>3644</v>
      </c>
      <c r="U367" s="131">
        <v>36075.599999999999</v>
      </c>
      <c r="V367" s="132">
        <v>6.0999999999999997E-4</v>
      </c>
      <c r="W367" s="132">
        <f t="shared" si="5"/>
        <v>7.4609394082938499E-2</v>
      </c>
      <c r="X367" s="132">
        <v>1.2867373766794241E-2</v>
      </c>
    </row>
    <row r="368" spans="1:24">
      <c r="A368" t="s">
        <v>1213</v>
      </c>
      <c r="B368" s="4">
        <v>143</v>
      </c>
      <c r="C368" t="s">
        <v>1600</v>
      </c>
      <c r="D368" t="s">
        <v>1601</v>
      </c>
      <c r="E368" t="s">
        <v>309</v>
      </c>
      <c r="F368" t="s">
        <v>1600</v>
      </c>
      <c r="G368" t="s">
        <v>3406</v>
      </c>
      <c r="H368" t="s">
        <v>321</v>
      </c>
      <c r="I368" t="s">
        <v>917</v>
      </c>
      <c r="J368" t="s">
        <v>204</v>
      </c>
      <c r="K368" t="s">
        <v>204</v>
      </c>
      <c r="L368" t="s">
        <v>325</v>
      </c>
      <c r="M368" t="s">
        <v>340</v>
      </c>
      <c r="N368" t="s">
        <v>448</v>
      </c>
      <c r="O368" t="s">
        <v>339</v>
      </c>
      <c r="P368" t="s">
        <v>1212</v>
      </c>
      <c r="Q368" s="131">
        <v>835000</v>
      </c>
      <c r="R368" s="131">
        <v>1</v>
      </c>
      <c r="S368" s="131">
        <v>3729</v>
      </c>
      <c r="U368" s="131">
        <v>31137.15</v>
      </c>
      <c r="V368" s="132">
        <v>6.2E-4</v>
      </c>
      <c r="W368" s="132">
        <f t="shared" si="5"/>
        <v>6.4395987730476237E-2</v>
      </c>
      <c r="X368" s="132">
        <v>1.1105937173123588E-2</v>
      </c>
    </row>
    <row r="369" spans="1:24">
      <c r="A369" t="s">
        <v>1213</v>
      </c>
      <c r="B369" s="4">
        <v>143</v>
      </c>
      <c r="C369" t="s">
        <v>3113</v>
      </c>
      <c r="D369" t="s">
        <v>3114</v>
      </c>
      <c r="E369" t="s">
        <v>309</v>
      </c>
      <c r="F369" t="s">
        <v>3113</v>
      </c>
      <c r="G369" t="s">
        <v>3413</v>
      </c>
      <c r="H369" t="s">
        <v>321</v>
      </c>
      <c r="I369" t="s">
        <v>917</v>
      </c>
      <c r="J369" t="s">
        <v>204</v>
      </c>
      <c r="K369" t="s">
        <v>204</v>
      </c>
      <c r="L369" t="s">
        <v>325</v>
      </c>
      <c r="M369" t="s">
        <v>340</v>
      </c>
      <c r="N369" t="s">
        <v>448</v>
      </c>
      <c r="O369" t="s">
        <v>339</v>
      </c>
      <c r="P369" t="s">
        <v>1212</v>
      </c>
      <c r="Q369" s="131">
        <v>788500</v>
      </c>
      <c r="R369" s="131">
        <v>1</v>
      </c>
      <c r="S369" s="131">
        <v>2085</v>
      </c>
      <c r="U369" s="131">
        <v>16440.224999999999</v>
      </c>
      <c r="V369" s="132">
        <v>6.4000000000000005E-4</v>
      </c>
      <c r="W369" s="132">
        <f t="shared" si="5"/>
        <v>3.4000688161449223E-2</v>
      </c>
      <c r="X369" s="132">
        <v>5.8638669872488561E-3</v>
      </c>
    </row>
    <row r="370" spans="1:24">
      <c r="A370" t="s">
        <v>1213</v>
      </c>
      <c r="B370" s="4">
        <v>143</v>
      </c>
      <c r="C370" t="s">
        <v>2348</v>
      </c>
      <c r="D370" t="s">
        <v>2349</v>
      </c>
      <c r="E370" t="s">
        <v>309</v>
      </c>
      <c r="F370" t="s">
        <v>2348</v>
      </c>
      <c r="G370" t="s">
        <v>3446</v>
      </c>
      <c r="H370" t="s">
        <v>321</v>
      </c>
      <c r="I370" t="s">
        <v>917</v>
      </c>
      <c r="J370" t="s">
        <v>204</v>
      </c>
      <c r="K370" t="s">
        <v>204</v>
      </c>
      <c r="L370" t="s">
        <v>325</v>
      </c>
      <c r="M370" t="s">
        <v>340</v>
      </c>
      <c r="N370" t="s">
        <v>456</v>
      </c>
      <c r="O370" t="s">
        <v>339</v>
      </c>
      <c r="P370" t="s">
        <v>1212</v>
      </c>
      <c r="Q370" s="131">
        <v>825000</v>
      </c>
      <c r="R370" s="131">
        <v>1</v>
      </c>
      <c r="S370" s="131">
        <v>1588</v>
      </c>
      <c r="U370" s="131">
        <v>13101</v>
      </c>
      <c r="V370" s="132">
        <v>6.3000000000000003E-4</v>
      </c>
      <c r="W370" s="132">
        <f t="shared" si="5"/>
        <v>2.7094703120130428E-2</v>
      </c>
      <c r="X370" s="132">
        <v>4.672838808468088E-3</v>
      </c>
    </row>
    <row r="371" spans="1:24">
      <c r="A371" t="s">
        <v>1213</v>
      </c>
      <c r="B371" s="4">
        <v>143</v>
      </c>
      <c r="C371" t="s">
        <v>2361</v>
      </c>
      <c r="D371" t="s">
        <v>2362</v>
      </c>
      <c r="E371" t="s">
        <v>309</v>
      </c>
      <c r="F371" t="s">
        <v>2361</v>
      </c>
      <c r="G371" t="s">
        <v>3440</v>
      </c>
      <c r="H371" t="s">
        <v>321</v>
      </c>
      <c r="I371" t="s">
        <v>917</v>
      </c>
      <c r="J371" t="s">
        <v>204</v>
      </c>
      <c r="K371" t="s">
        <v>204</v>
      </c>
      <c r="L371" t="s">
        <v>325</v>
      </c>
      <c r="M371" t="s">
        <v>340</v>
      </c>
      <c r="N371" t="s">
        <v>446</v>
      </c>
      <c r="O371" t="s">
        <v>339</v>
      </c>
      <c r="P371" t="s">
        <v>1212</v>
      </c>
      <c r="Q371" s="131">
        <v>14175</v>
      </c>
      <c r="R371" s="131">
        <v>1</v>
      </c>
      <c r="S371" s="131">
        <v>74080</v>
      </c>
      <c r="U371" s="131">
        <v>10500.84</v>
      </c>
      <c r="V371" s="132">
        <v>3.2000000000000003E-4</v>
      </c>
      <c r="W371" s="132">
        <f t="shared" si="5"/>
        <v>2.1717208023203604E-2</v>
      </c>
      <c r="X371" s="132">
        <v>3.7454188743999721E-3</v>
      </c>
    </row>
    <row r="372" spans="1:24">
      <c r="A372" t="s">
        <v>1213</v>
      </c>
      <c r="B372" s="4">
        <v>143</v>
      </c>
      <c r="C372" t="s">
        <v>2436</v>
      </c>
      <c r="D372" t="s">
        <v>2437</v>
      </c>
      <c r="E372" t="s">
        <v>309</v>
      </c>
      <c r="F372" t="s">
        <v>2436</v>
      </c>
      <c r="G372" t="s">
        <v>3426</v>
      </c>
      <c r="H372" t="s">
        <v>321</v>
      </c>
      <c r="I372" t="s">
        <v>917</v>
      </c>
      <c r="J372" t="s">
        <v>204</v>
      </c>
      <c r="K372" t="s">
        <v>204</v>
      </c>
      <c r="L372" t="s">
        <v>325</v>
      </c>
      <c r="M372" t="s">
        <v>340</v>
      </c>
      <c r="N372" t="s">
        <v>475</v>
      </c>
      <c r="O372" t="s">
        <v>339</v>
      </c>
      <c r="P372" t="s">
        <v>1212</v>
      </c>
      <c r="Q372" s="131">
        <v>302500</v>
      </c>
      <c r="R372" s="131">
        <v>1</v>
      </c>
      <c r="S372" s="131">
        <v>3310</v>
      </c>
      <c r="U372" s="131">
        <v>10012.75</v>
      </c>
      <c r="V372" s="132">
        <v>1.1000000000000001E-3</v>
      </c>
      <c r="W372" s="132">
        <f t="shared" si="5"/>
        <v>2.0707769534087928E-2</v>
      </c>
      <c r="X372" s="132">
        <v>3.5713278970680748E-3</v>
      </c>
    </row>
    <row r="373" spans="1:24">
      <c r="A373" t="s">
        <v>1213</v>
      </c>
      <c r="B373" s="4">
        <v>143</v>
      </c>
      <c r="C373" t="s">
        <v>3451</v>
      </c>
      <c r="D373" t="s">
        <v>3452</v>
      </c>
      <c r="E373" t="s">
        <v>309</v>
      </c>
      <c r="F373" t="s">
        <v>3453</v>
      </c>
      <c r="G373" t="s">
        <v>3454</v>
      </c>
      <c r="H373" t="s">
        <v>321</v>
      </c>
      <c r="I373" t="s">
        <v>917</v>
      </c>
      <c r="J373" t="s">
        <v>204</v>
      </c>
      <c r="K373" t="s">
        <v>204</v>
      </c>
      <c r="L373" t="s">
        <v>325</v>
      </c>
      <c r="M373" t="s">
        <v>340</v>
      </c>
      <c r="N373" t="s">
        <v>448</v>
      </c>
      <c r="O373" t="s">
        <v>339</v>
      </c>
      <c r="P373" t="s">
        <v>1212</v>
      </c>
      <c r="Q373" s="131">
        <v>51750</v>
      </c>
      <c r="R373" s="131">
        <v>1</v>
      </c>
      <c r="S373" s="131">
        <v>15410</v>
      </c>
      <c r="U373" s="131">
        <v>7974.6750000000002</v>
      </c>
      <c r="V373" s="132">
        <v>5.1999999999999995E-4</v>
      </c>
      <c r="W373" s="132">
        <f t="shared" si="5"/>
        <v>1.6492744951112595E-2</v>
      </c>
      <c r="X373" s="132">
        <v>2.8443913308083542E-3</v>
      </c>
    </row>
    <row r="374" spans="1:24">
      <c r="A374" t="s">
        <v>1213</v>
      </c>
      <c r="B374" s="4">
        <v>143</v>
      </c>
      <c r="C374" t="s">
        <v>3634</v>
      </c>
      <c r="D374" t="s">
        <v>3635</v>
      </c>
      <c r="E374" t="s">
        <v>309</v>
      </c>
      <c r="F374" t="s">
        <v>3634</v>
      </c>
      <c r="G374" t="s">
        <v>3636</v>
      </c>
      <c r="H374" t="s">
        <v>321</v>
      </c>
      <c r="I374" t="s">
        <v>917</v>
      </c>
      <c r="J374" t="s">
        <v>204</v>
      </c>
      <c r="K374" t="s">
        <v>204</v>
      </c>
      <c r="L374" t="s">
        <v>325</v>
      </c>
      <c r="M374" t="s">
        <v>340</v>
      </c>
      <c r="N374" t="s">
        <v>462</v>
      </c>
      <c r="O374" t="s">
        <v>339</v>
      </c>
      <c r="P374" t="s">
        <v>1212</v>
      </c>
      <c r="Q374" s="131">
        <v>313000</v>
      </c>
      <c r="R374" s="131">
        <v>1</v>
      </c>
      <c r="S374" s="131">
        <v>2141</v>
      </c>
      <c r="U374" s="131">
        <v>6701.33</v>
      </c>
      <c r="V374" s="132">
        <v>3.2299999999999998E-3</v>
      </c>
      <c r="W374" s="132">
        <f t="shared" si="5"/>
        <v>1.385928912754932E-2</v>
      </c>
      <c r="X374" s="132">
        <v>2.3902171507786773E-3</v>
      </c>
    </row>
    <row r="375" spans="1:24">
      <c r="A375" t="s">
        <v>1213</v>
      </c>
      <c r="B375" s="4">
        <v>143</v>
      </c>
      <c r="C375" t="s">
        <v>3064</v>
      </c>
      <c r="D375" t="s">
        <v>3065</v>
      </c>
      <c r="E375" t="s">
        <v>309</v>
      </c>
      <c r="F375" t="s">
        <v>3676</v>
      </c>
      <c r="G375" t="s">
        <v>3677</v>
      </c>
      <c r="H375" t="s">
        <v>321</v>
      </c>
      <c r="I375" t="s">
        <v>917</v>
      </c>
      <c r="J375" t="s">
        <v>204</v>
      </c>
      <c r="K375" t="s">
        <v>204</v>
      </c>
      <c r="L375" t="s">
        <v>325</v>
      </c>
      <c r="M375" t="s">
        <v>340</v>
      </c>
      <c r="N375" t="s">
        <v>451</v>
      </c>
      <c r="O375" t="s">
        <v>339</v>
      </c>
      <c r="P375" t="s">
        <v>1212</v>
      </c>
      <c r="Q375" s="131">
        <v>109339</v>
      </c>
      <c r="R375" s="131">
        <v>1</v>
      </c>
      <c r="S375" s="131">
        <v>5852</v>
      </c>
      <c r="U375" s="131">
        <v>6398.518</v>
      </c>
      <c r="V375" s="132">
        <v>1.6999999999999999E-3</v>
      </c>
      <c r="W375" s="132">
        <f t="shared" si="5"/>
        <v>1.3233031495214924E-2</v>
      </c>
      <c r="X375" s="132">
        <v>2.2822107646043518E-3</v>
      </c>
    </row>
    <row r="376" spans="1:24">
      <c r="A376" t="s">
        <v>1213</v>
      </c>
      <c r="B376" s="4">
        <v>143</v>
      </c>
      <c r="C376" t="s">
        <v>3461</v>
      </c>
      <c r="D376" t="s">
        <v>3462</v>
      </c>
      <c r="E376" t="s">
        <v>309</v>
      </c>
      <c r="F376" t="s">
        <v>3461</v>
      </c>
      <c r="G376" t="s">
        <v>3463</v>
      </c>
      <c r="H376" t="s">
        <v>321</v>
      </c>
      <c r="I376" t="s">
        <v>917</v>
      </c>
      <c r="J376" t="s">
        <v>204</v>
      </c>
      <c r="K376" t="s">
        <v>204</v>
      </c>
      <c r="L376" t="s">
        <v>325</v>
      </c>
      <c r="M376" t="s">
        <v>340</v>
      </c>
      <c r="N376" t="s">
        <v>475</v>
      </c>
      <c r="O376" t="s">
        <v>339</v>
      </c>
      <c r="P376" t="s">
        <v>1212</v>
      </c>
      <c r="Q376" s="131">
        <v>22000</v>
      </c>
      <c r="R376" s="131">
        <v>1</v>
      </c>
      <c r="S376" s="131">
        <v>28150</v>
      </c>
      <c r="U376" s="131">
        <v>6193</v>
      </c>
      <c r="V376" s="132">
        <v>1.5900000000000001E-3</v>
      </c>
      <c r="W376" s="132">
        <f t="shared" si="5"/>
        <v>1.2807991483319422E-2</v>
      </c>
      <c r="X376" s="132">
        <v>2.2089070102162328E-3</v>
      </c>
    </row>
    <row r="377" spans="1:24">
      <c r="A377" t="s">
        <v>1213</v>
      </c>
      <c r="B377" s="4">
        <v>143</v>
      </c>
      <c r="C377" t="s">
        <v>1691</v>
      </c>
      <c r="D377" t="s">
        <v>1692</v>
      </c>
      <c r="E377" t="s">
        <v>309</v>
      </c>
      <c r="F377" t="s">
        <v>3478</v>
      </c>
      <c r="G377" t="s">
        <v>3479</v>
      </c>
      <c r="H377" t="s">
        <v>321</v>
      </c>
      <c r="I377" t="s">
        <v>917</v>
      </c>
      <c r="J377" t="s">
        <v>204</v>
      </c>
      <c r="K377" t="s">
        <v>204</v>
      </c>
      <c r="L377" t="s">
        <v>325</v>
      </c>
      <c r="M377" t="s">
        <v>340</v>
      </c>
      <c r="N377" t="s">
        <v>464</v>
      </c>
      <c r="O377" t="s">
        <v>339</v>
      </c>
      <c r="P377" t="s">
        <v>1212</v>
      </c>
      <c r="Q377" s="131">
        <v>400000</v>
      </c>
      <c r="R377" s="131">
        <v>1</v>
      </c>
      <c r="S377" s="131">
        <v>1513</v>
      </c>
      <c r="U377" s="131">
        <v>6052</v>
      </c>
      <c r="V377" s="132">
        <v>2.0600000000000002E-3</v>
      </c>
      <c r="W377" s="132">
        <f t="shared" si="5"/>
        <v>1.2516383732770732E-2</v>
      </c>
      <c r="X377" s="132">
        <v>2.158615408659558E-3</v>
      </c>
    </row>
    <row r="378" spans="1:24">
      <c r="A378" t="s">
        <v>1213</v>
      </c>
      <c r="B378" s="4">
        <v>143</v>
      </c>
      <c r="C378" t="s">
        <v>2178</v>
      </c>
      <c r="D378" t="s">
        <v>2179</v>
      </c>
      <c r="E378" t="s">
        <v>309</v>
      </c>
      <c r="F378" t="s">
        <v>2178</v>
      </c>
      <c r="G378" t="s">
        <v>3609</v>
      </c>
      <c r="H378" t="s">
        <v>321</v>
      </c>
      <c r="I378" t="s">
        <v>917</v>
      </c>
      <c r="J378" t="s">
        <v>204</v>
      </c>
      <c r="K378" t="s">
        <v>204</v>
      </c>
      <c r="L378" t="s">
        <v>325</v>
      </c>
      <c r="M378" t="s">
        <v>340</v>
      </c>
      <c r="N378" t="s">
        <v>464</v>
      </c>
      <c r="O378" t="s">
        <v>339</v>
      </c>
      <c r="P378" t="s">
        <v>1212</v>
      </c>
      <c r="Q378" s="131">
        <v>206000</v>
      </c>
      <c r="R378" s="131">
        <v>1</v>
      </c>
      <c r="S378" s="131">
        <v>2855</v>
      </c>
      <c r="U378" s="131">
        <v>5881.3</v>
      </c>
      <c r="V378" s="132">
        <v>1.07E-3</v>
      </c>
      <c r="W378" s="132">
        <f t="shared" si="5"/>
        <v>1.2163352222000084E-2</v>
      </c>
      <c r="X378" s="132">
        <v>2.0977304697537107E-3</v>
      </c>
    </row>
    <row r="379" spans="1:24">
      <c r="A379" t="s">
        <v>1213</v>
      </c>
      <c r="B379" s="4">
        <v>143</v>
      </c>
      <c r="C379" t="s">
        <v>2404</v>
      </c>
      <c r="D379" t="s">
        <v>2405</v>
      </c>
      <c r="E379" t="s">
        <v>309</v>
      </c>
      <c r="F379" t="s">
        <v>2404</v>
      </c>
      <c r="G379" t="s">
        <v>3418</v>
      </c>
      <c r="H379" t="s">
        <v>321</v>
      </c>
      <c r="I379" t="s">
        <v>917</v>
      </c>
      <c r="J379" t="s">
        <v>204</v>
      </c>
      <c r="K379" t="s">
        <v>204</v>
      </c>
      <c r="L379" t="s">
        <v>325</v>
      </c>
      <c r="M379" t="s">
        <v>340</v>
      </c>
      <c r="N379" t="s">
        <v>440</v>
      </c>
      <c r="O379" t="s">
        <v>339</v>
      </c>
      <c r="P379" t="s">
        <v>1212</v>
      </c>
      <c r="Q379" s="131">
        <v>168940.37</v>
      </c>
      <c r="R379" s="131">
        <v>1</v>
      </c>
      <c r="S379" s="131">
        <v>3016</v>
      </c>
      <c r="U379" s="131">
        <v>5095.2420000000002</v>
      </c>
      <c r="V379" s="132">
        <v>6.6E-4</v>
      </c>
      <c r="W379" s="132">
        <f t="shared" si="5"/>
        <v>1.0537674171072408E-2</v>
      </c>
      <c r="X379" s="132">
        <v>1.817360854601676E-3</v>
      </c>
    </row>
    <row r="380" spans="1:24">
      <c r="A380" t="s">
        <v>1213</v>
      </c>
      <c r="B380" s="4">
        <v>143</v>
      </c>
      <c r="C380" t="s">
        <v>2223</v>
      </c>
      <c r="D380" t="s">
        <v>2224</v>
      </c>
      <c r="E380" t="s">
        <v>309</v>
      </c>
      <c r="F380" t="s">
        <v>2223</v>
      </c>
      <c r="G380" t="s">
        <v>3678</v>
      </c>
      <c r="H380" t="s">
        <v>321</v>
      </c>
      <c r="I380" t="s">
        <v>917</v>
      </c>
      <c r="J380" t="s">
        <v>204</v>
      </c>
      <c r="K380" t="s">
        <v>204</v>
      </c>
      <c r="L380" t="s">
        <v>325</v>
      </c>
      <c r="M380" t="s">
        <v>340</v>
      </c>
      <c r="N380" t="s">
        <v>464</v>
      </c>
      <c r="O380" t="s">
        <v>339</v>
      </c>
      <c r="P380" t="s">
        <v>1212</v>
      </c>
      <c r="Q380" s="131">
        <v>31749</v>
      </c>
      <c r="R380" s="131">
        <v>1</v>
      </c>
      <c r="S380" s="131">
        <v>15900</v>
      </c>
      <c r="U380" s="131">
        <v>5048.0910000000003</v>
      </c>
      <c r="V380" s="132">
        <v>1.7899999999999999E-3</v>
      </c>
      <c r="W380" s="132">
        <f t="shared" si="5"/>
        <v>1.0440159298404882E-2</v>
      </c>
      <c r="X380" s="132">
        <v>1.8005431290343088E-3</v>
      </c>
    </row>
    <row r="381" spans="1:24">
      <c r="A381" t="s">
        <v>1213</v>
      </c>
      <c r="B381" s="4">
        <v>143</v>
      </c>
      <c r="C381" t="s">
        <v>2228</v>
      </c>
      <c r="D381" t="s">
        <v>2229</v>
      </c>
      <c r="E381" t="s">
        <v>309</v>
      </c>
      <c r="F381" t="s">
        <v>2228</v>
      </c>
      <c r="G381" t="s">
        <v>3439</v>
      </c>
      <c r="H381" t="s">
        <v>321</v>
      </c>
      <c r="I381" t="s">
        <v>917</v>
      </c>
      <c r="J381" t="s">
        <v>204</v>
      </c>
      <c r="K381" t="s">
        <v>204</v>
      </c>
      <c r="L381" t="s">
        <v>325</v>
      </c>
      <c r="M381" t="s">
        <v>340</v>
      </c>
      <c r="N381" t="s">
        <v>441</v>
      </c>
      <c r="O381" t="s">
        <v>339</v>
      </c>
      <c r="P381" t="s">
        <v>1212</v>
      </c>
      <c r="Q381" s="131">
        <v>67500</v>
      </c>
      <c r="R381" s="131">
        <v>1</v>
      </c>
      <c r="S381" s="131">
        <v>6254</v>
      </c>
      <c r="U381" s="131">
        <v>4221.45</v>
      </c>
      <c r="V381" s="132">
        <v>5.6999999999999998E-4</v>
      </c>
      <c r="W381" s="132">
        <f t="shared" si="5"/>
        <v>8.7305499188210511E-3</v>
      </c>
      <c r="X381" s="132">
        <v>1.505698449584582E-3</v>
      </c>
    </row>
    <row r="382" spans="1:24">
      <c r="A382" t="s">
        <v>1213</v>
      </c>
      <c r="B382" s="4">
        <v>143</v>
      </c>
      <c r="C382" t="s">
        <v>1674</v>
      </c>
      <c r="D382" t="s">
        <v>1675</v>
      </c>
      <c r="E382" t="s">
        <v>309</v>
      </c>
      <c r="F382" t="s">
        <v>1674</v>
      </c>
      <c r="G382" t="s">
        <v>3464</v>
      </c>
      <c r="H382" t="s">
        <v>321</v>
      </c>
      <c r="I382" t="s">
        <v>917</v>
      </c>
      <c r="J382" t="s">
        <v>204</v>
      </c>
      <c r="K382" t="s">
        <v>204</v>
      </c>
      <c r="L382" t="s">
        <v>325</v>
      </c>
      <c r="M382" t="s">
        <v>340</v>
      </c>
      <c r="N382" t="s">
        <v>464</v>
      </c>
      <c r="O382" t="s">
        <v>339</v>
      </c>
      <c r="P382" t="s">
        <v>1212</v>
      </c>
      <c r="Q382" s="131">
        <v>9325</v>
      </c>
      <c r="R382" s="131">
        <v>1</v>
      </c>
      <c r="S382" s="131">
        <v>41490</v>
      </c>
      <c r="U382" s="131">
        <v>3868.9430000000002</v>
      </c>
      <c r="V382" s="132">
        <v>3.8000000000000002E-4</v>
      </c>
      <c r="W382" s="132">
        <f t="shared" si="5"/>
        <v>8.0015160654688024E-3</v>
      </c>
      <c r="X382" s="132">
        <v>1.3799669489467179E-3</v>
      </c>
    </row>
    <row r="383" spans="1:24">
      <c r="A383" t="s">
        <v>1213</v>
      </c>
      <c r="B383" s="4">
        <v>143</v>
      </c>
      <c r="C383" t="s">
        <v>3679</v>
      </c>
      <c r="D383" t="s">
        <v>3680</v>
      </c>
      <c r="E383" t="s">
        <v>309</v>
      </c>
      <c r="F383" t="s">
        <v>3681</v>
      </c>
      <c r="G383" t="s">
        <v>3682</v>
      </c>
      <c r="H383" t="s">
        <v>321</v>
      </c>
      <c r="I383" t="s">
        <v>917</v>
      </c>
      <c r="J383" t="s">
        <v>204</v>
      </c>
      <c r="K383" t="s">
        <v>204</v>
      </c>
      <c r="L383" t="s">
        <v>325</v>
      </c>
      <c r="M383" t="s">
        <v>340</v>
      </c>
      <c r="N383" t="s">
        <v>451</v>
      </c>
      <c r="O383" t="s">
        <v>339</v>
      </c>
      <c r="P383" t="s">
        <v>1212</v>
      </c>
      <c r="Q383" s="131">
        <v>35750</v>
      </c>
      <c r="R383" s="131">
        <v>1</v>
      </c>
      <c r="S383" s="131">
        <v>10500</v>
      </c>
      <c r="U383" s="131">
        <v>3753.75</v>
      </c>
      <c r="V383" s="132">
        <v>6.8000000000000005E-4</v>
      </c>
      <c r="W383" s="132">
        <f t="shared" si="5"/>
        <v>7.7632808058308222E-3</v>
      </c>
      <c r="X383" s="132">
        <v>1.3388801371870152E-3</v>
      </c>
    </row>
    <row r="384" spans="1:24">
      <c r="A384" t="s">
        <v>1213</v>
      </c>
      <c r="B384" s="4">
        <v>143</v>
      </c>
      <c r="C384" t="s">
        <v>3642</v>
      </c>
      <c r="D384" t="s">
        <v>3643</v>
      </c>
      <c r="E384" t="s">
        <v>309</v>
      </c>
      <c r="F384" t="s">
        <v>3642</v>
      </c>
      <c r="G384" t="s">
        <v>3644</v>
      </c>
      <c r="H384" t="s">
        <v>321</v>
      </c>
      <c r="I384" t="s">
        <v>917</v>
      </c>
      <c r="J384" t="s">
        <v>204</v>
      </c>
      <c r="K384" t="s">
        <v>204</v>
      </c>
      <c r="L384" t="s">
        <v>325</v>
      </c>
      <c r="M384" t="s">
        <v>340</v>
      </c>
      <c r="N384" t="s">
        <v>445</v>
      </c>
      <c r="O384" t="s">
        <v>339</v>
      </c>
      <c r="P384" t="s">
        <v>1212</v>
      </c>
      <c r="Q384" s="131">
        <v>735000</v>
      </c>
      <c r="R384" s="131">
        <v>1</v>
      </c>
      <c r="S384" s="131">
        <v>508.2</v>
      </c>
      <c r="U384" s="131">
        <v>3735.27</v>
      </c>
      <c r="V384" s="132">
        <v>6.9999999999999999E-4</v>
      </c>
      <c r="W384" s="132">
        <f t="shared" si="5"/>
        <v>7.7250615772482701E-3</v>
      </c>
      <c r="X384" s="132">
        <v>1.3322887272808636E-3</v>
      </c>
    </row>
    <row r="385" spans="1:24">
      <c r="A385" t="s">
        <v>1213</v>
      </c>
      <c r="B385" s="4">
        <v>143</v>
      </c>
      <c r="C385" t="s">
        <v>1973</v>
      </c>
      <c r="D385" t="s">
        <v>1974</v>
      </c>
      <c r="E385" t="s">
        <v>309</v>
      </c>
      <c r="F385" t="s">
        <v>3512</v>
      </c>
      <c r="G385" t="s">
        <v>3513</v>
      </c>
      <c r="H385" t="s">
        <v>321</v>
      </c>
      <c r="I385" t="s">
        <v>917</v>
      </c>
      <c r="J385" t="s">
        <v>204</v>
      </c>
      <c r="K385" t="s">
        <v>204</v>
      </c>
      <c r="L385" t="s">
        <v>325</v>
      </c>
      <c r="M385" t="s">
        <v>340</v>
      </c>
      <c r="N385" t="s">
        <v>464</v>
      </c>
      <c r="O385" t="s">
        <v>339</v>
      </c>
      <c r="P385" t="s">
        <v>1212</v>
      </c>
      <c r="Q385" s="131">
        <v>381307</v>
      </c>
      <c r="R385" s="131">
        <v>1</v>
      </c>
      <c r="S385" s="131">
        <v>954</v>
      </c>
      <c r="U385" s="131">
        <v>3637.6689999999999</v>
      </c>
      <c r="V385" s="132">
        <v>5.1000000000000004E-4</v>
      </c>
      <c r="W385" s="132">
        <f t="shared" si="5"/>
        <v>7.5232090378064068E-3</v>
      </c>
      <c r="X385" s="132">
        <v>1.297476595340913E-3</v>
      </c>
    </row>
    <row r="386" spans="1:24">
      <c r="A386" t="s">
        <v>1213</v>
      </c>
      <c r="B386" s="4">
        <v>143</v>
      </c>
      <c r="C386" t="s">
        <v>2576</v>
      </c>
      <c r="D386" t="s">
        <v>2577</v>
      </c>
      <c r="E386" t="s">
        <v>309</v>
      </c>
      <c r="F386" t="s">
        <v>2576</v>
      </c>
      <c r="G386" t="s">
        <v>3621</v>
      </c>
      <c r="H386" t="s">
        <v>321</v>
      </c>
      <c r="I386" t="s">
        <v>917</v>
      </c>
      <c r="J386" t="s">
        <v>204</v>
      </c>
      <c r="K386" t="s">
        <v>204</v>
      </c>
      <c r="L386" t="s">
        <v>325</v>
      </c>
      <c r="M386" t="s">
        <v>340</v>
      </c>
      <c r="N386" t="s">
        <v>451</v>
      </c>
      <c r="O386" t="s">
        <v>339</v>
      </c>
      <c r="P386" t="s">
        <v>1212</v>
      </c>
      <c r="Q386" s="131">
        <v>4400</v>
      </c>
      <c r="R386" s="131">
        <v>1</v>
      </c>
      <c r="S386" s="131">
        <v>81100</v>
      </c>
      <c r="U386" s="131">
        <v>3568.4</v>
      </c>
      <c r="V386" s="132">
        <v>5.6999999999999998E-4</v>
      </c>
      <c r="W386" s="132">
        <f t="shared" si="5"/>
        <v>7.3799510429641575E-3</v>
      </c>
      <c r="X386" s="132">
        <v>1.2727698652116269E-3</v>
      </c>
    </row>
    <row r="387" spans="1:24">
      <c r="A387" t="s">
        <v>1213</v>
      </c>
      <c r="B387" s="4">
        <v>143</v>
      </c>
      <c r="C387" t="s">
        <v>3686</v>
      </c>
      <c r="D387" t="s">
        <v>3687</v>
      </c>
      <c r="E387" t="s">
        <v>309</v>
      </c>
      <c r="F387" t="s">
        <v>3688</v>
      </c>
      <c r="G387" t="s">
        <v>3689</v>
      </c>
      <c r="H387" t="s">
        <v>321</v>
      </c>
      <c r="I387" t="s">
        <v>917</v>
      </c>
      <c r="J387" t="s">
        <v>204</v>
      </c>
      <c r="K387" t="s">
        <v>204</v>
      </c>
      <c r="L387" t="s">
        <v>325</v>
      </c>
      <c r="M387" t="s">
        <v>340</v>
      </c>
      <c r="N387" t="s">
        <v>446</v>
      </c>
      <c r="O387" t="s">
        <v>339</v>
      </c>
      <c r="P387" t="s">
        <v>1212</v>
      </c>
      <c r="Q387" s="131">
        <v>261281</v>
      </c>
      <c r="R387" s="131">
        <v>1</v>
      </c>
      <c r="S387" s="131">
        <v>1358</v>
      </c>
      <c r="U387" s="131">
        <v>3548.1959999999999</v>
      </c>
      <c r="V387" s="132">
        <v>4.2700000000000004E-3</v>
      </c>
      <c r="W387" s="132">
        <f t="shared" ref="W387:W450" si="6">U387/SUMIF(B:B,B387,U:U)</f>
        <v>7.3381663408926268E-3</v>
      </c>
      <c r="X387" s="132">
        <v>1.2655635423899881E-3</v>
      </c>
    </row>
    <row r="388" spans="1:24">
      <c r="A388" t="s">
        <v>1213</v>
      </c>
      <c r="B388" s="4">
        <v>143</v>
      </c>
      <c r="C388" t="s">
        <v>2789</v>
      </c>
      <c r="D388" t="s">
        <v>2790</v>
      </c>
      <c r="E388" t="s">
        <v>309</v>
      </c>
      <c r="F388" t="s">
        <v>2789</v>
      </c>
      <c r="G388" t="s">
        <v>3480</v>
      </c>
      <c r="H388" t="s">
        <v>321</v>
      </c>
      <c r="I388" t="s">
        <v>917</v>
      </c>
      <c r="J388" t="s">
        <v>204</v>
      </c>
      <c r="K388" t="s">
        <v>204</v>
      </c>
      <c r="L388" t="s">
        <v>325</v>
      </c>
      <c r="M388" t="s">
        <v>340</v>
      </c>
      <c r="N388" t="s">
        <v>441</v>
      </c>
      <c r="O388" t="s">
        <v>339</v>
      </c>
      <c r="P388" t="s">
        <v>1212</v>
      </c>
      <c r="Q388" s="131">
        <v>257000</v>
      </c>
      <c r="R388" s="131">
        <v>1</v>
      </c>
      <c r="S388" s="131">
        <v>1348</v>
      </c>
      <c r="U388" s="131">
        <v>3464.36</v>
      </c>
      <c r="V388" s="132">
        <v>4.6999999999999999E-4</v>
      </c>
      <c r="W388" s="132">
        <f t="shared" si="6"/>
        <v>7.1647817495805706E-3</v>
      </c>
      <c r="X388" s="132">
        <v>1.2356610834672549E-3</v>
      </c>
    </row>
    <row r="389" spans="1:24">
      <c r="A389" t="s">
        <v>1213</v>
      </c>
      <c r="B389" s="4">
        <v>143</v>
      </c>
      <c r="C389" t="s">
        <v>1820</v>
      </c>
      <c r="D389" t="s">
        <v>1821</v>
      </c>
      <c r="E389" t="s">
        <v>309</v>
      </c>
      <c r="F389" t="s">
        <v>3632</v>
      </c>
      <c r="G389" t="s">
        <v>3633</v>
      </c>
      <c r="H389" t="s">
        <v>321</v>
      </c>
      <c r="I389" t="s">
        <v>917</v>
      </c>
      <c r="J389" t="s">
        <v>204</v>
      </c>
      <c r="K389" t="s">
        <v>204</v>
      </c>
      <c r="L389" t="s">
        <v>325</v>
      </c>
      <c r="M389" t="s">
        <v>340</v>
      </c>
      <c r="N389" t="s">
        <v>464</v>
      </c>
      <c r="O389" t="s">
        <v>339</v>
      </c>
      <c r="P389" t="s">
        <v>1212</v>
      </c>
      <c r="Q389" s="131">
        <v>58000</v>
      </c>
      <c r="R389" s="131">
        <v>1</v>
      </c>
      <c r="S389" s="131">
        <v>5594</v>
      </c>
      <c r="U389" s="131">
        <v>3244.52</v>
      </c>
      <c r="V389" s="132">
        <v>4.4000000000000002E-4</v>
      </c>
      <c r="W389" s="132">
        <f t="shared" si="6"/>
        <v>6.7101218355335914E-3</v>
      </c>
      <c r="X389" s="132">
        <v>1.1572489864018686E-3</v>
      </c>
    </row>
    <row r="390" spans="1:24">
      <c r="A390" t="s">
        <v>1213</v>
      </c>
      <c r="B390" s="4">
        <v>143</v>
      </c>
      <c r="C390" t="s">
        <v>3490</v>
      </c>
      <c r="D390" t="s">
        <v>3491</v>
      </c>
      <c r="E390" t="s">
        <v>309</v>
      </c>
      <c r="F390" t="s">
        <v>3490</v>
      </c>
      <c r="G390" t="s">
        <v>3492</v>
      </c>
      <c r="H390" t="s">
        <v>321</v>
      </c>
      <c r="I390" t="s">
        <v>917</v>
      </c>
      <c r="J390" t="s">
        <v>204</v>
      </c>
      <c r="K390" t="s">
        <v>204</v>
      </c>
      <c r="L390" t="s">
        <v>325</v>
      </c>
      <c r="M390" t="s">
        <v>340</v>
      </c>
      <c r="N390" t="s">
        <v>476</v>
      </c>
      <c r="O390" t="s">
        <v>339</v>
      </c>
      <c r="P390" t="s">
        <v>1212</v>
      </c>
      <c r="Q390" s="131">
        <v>15750</v>
      </c>
      <c r="R390" s="131">
        <v>1</v>
      </c>
      <c r="S390" s="131">
        <v>19560</v>
      </c>
      <c r="U390" s="131">
        <v>3080.7</v>
      </c>
      <c r="V390" s="132">
        <v>6.8999999999999997E-4</v>
      </c>
      <c r="W390" s="132">
        <f t="shared" si="6"/>
        <v>6.3713191284776585E-3</v>
      </c>
      <c r="X390" s="132">
        <v>1.098817992309567E-3</v>
      </c>
    </row>
    <row r="391" spans="1:24">
      <c r="A391" t="s">
        <v>1213</v>
      </c>
      <c r="B391" s="4">
        <v>143</v>
      </c>
      <c r="C391" t="s">
        <v>2454</v>
      </c>
      <c r="D391" t="s">
        <v>2455</v>
      </c>
      <c r="E391" t="s">
        <v>309</v>
      </c>
      <c r="F391" t="s">
        <v>2454</v>
      </c>
      <c r="G391" t="s">
        <v>3618</v>
      </c>
      <c r="H391" t="s">
        <v>321</v>
      </c>
      <c r="I391" t="s">
        <v>917</v>
      </c>
      <c r="J391" t="s">
        <v>204</v>
      </c>
      <c r="K391" t="s">
        <v>204</v>
      </c>
      <c r="L391" t="s">
        <v>325</v>
      </c>
      <c r="M391" t="s">
        <v>340</v>
      </c>
      <c r="N391" t="s">
        <v>478</v>
      </c>
      <c r="O391" t="s">
        <v>339</v>
      </c>
      <c r="P391" t="s">
        <v>1212</v>
      </c>
      <c r="Q391" s="131">
        <v>150000.85</v>
      </c>
      <c r="R391" s="131">
        <v>1</v>
      </c>
      <c r="S391" s="131">
        <v>1373</v>
      </c>
      <c r="U391" s="131">
        <v>2059.5120000000002</v>
      </c>
      <c r="V391" s="132">
        <v>7.5000000000000002E-4</v>
      </c>
      <c r="W391" s="132">
        <f t="shared" si="6"/>
        <v>4.2593593017591072E-3</v>
      </c>
      <c r="X391" s="132">
        <v>7.3458267308646125E-4</v>
      </c>
    </row>
    <row r="392" spans="1:24">
      <c r="A392" t="s">
        <v>1213</v>
      </c>
      <c r="B392" s="4">
        <v>143</v>
      </c>
      <c r="C392" t="s">
        <v>3502</v>
      </c>
      <c r="D392" t="s">
        <v>3503</v>
      </c>
      <c r="E392" t="s">
        <v>309</v>
      </c>
      <c r="F392" t="s">
        <v>3502</v>
      </c>
      <c r="G392" t="s">
        <v>3504</v>
      </c>
      <c r="H392" t="s">
        <v>321</v>
      </c>
      <c r="I392" t="s">
        <v>917</v>
      </c>
      <c r="J392" t="s">
        <v>204</v>
      </c>
      <c r="K392" t="s">
        <v>204</v>
      </c>
      <c r="L392" t="s">
        <v>325</v>
      </c>
      <c r="M392" t="s">
        <v>340</v>
      </c>
      <c r="N392" t="s">
        <v>475</v>
      </c>
      <c r="O392" t="s">
        <v>339</v>
      </c>
      <c r="P392" t="s">
        <v>1212</v>
      </c>
      <c r="Q392" s="131">
        <v>33000</v>
      </c>
      <c r="R392" s="131">
        <v>1</v>
      </c>
      <c r="S392" s="131">
        <v>6219</v>
      </c>
      <c r="U392" s="131">
        <v>2052.27</v>
      </c>
      <c r="V392" s="132">
        <v>1.32E-3</v>
      </c>
      <c r="W392" s="132">
        <f t="shared" si="6"/>
        <v>4.2443818313373082E-3</v>
      </c>
      <c r="X392" s="132">
        <v>7.3199961082778429E-4</v>
      </c>
    </row>
    <row r="393" spans="1:24">
      <c r="A393" t="s">
        <v>1213</v>
      </c>
      <c r="B393" s="4">
        <v>143</v>
      </c>
      <c r="C393" t="s">
        <v>3703</v>
      </c>
      <c r="D393" t="s">
        <v>3704</v>
      </c>
      <c r="E393" t="s">
        <v>309</v>
      </c>
      <c r="F393" t="s">
        <v>3703</v>
      </c>
      <c r="G393" t="s">
        <v>3705</v>
      </c>
      <c r="H393" t="s">
        <v>321</v>
      </c>
      <c r="I393" t="s">
        <v>917</v>
      </c>
      <c r="J393" t="s">
        <v>204</v>
      </c>
      <c r="K393" t="s">
        <v>204</v>
      </c>
      <c r="L393" t="s">
        <v>325</v>
      </c>
      <c r="M393" t="s">
        <v>340</v>
      </c>
      <c r="N393" t="s">
        <v>451</v>
      </c>
      <c r="O393" t="s">
        <v>339</v>
      </c>
      <c r="P393" t="s">
        <v>1212</v>
      </c>
      <c r="Q393" s="131">
        <v>31992</v>
      </c>
      <c r="R393" s="131">
        <v>1</v>
      </c>
      <c r="S393" s="131">
        <v>6352</v>
      </c>
      <c r="U393" s="131">
        <v>2032.1320000000001</v>
      </c>
      <c r="V393" s="132">
        <v>1.2800000000000001E-3</v>
      </c>
      <c r="W393" s="132">
        <f t="shared" si="6"/>
        <v>4.2027336265107159E-3</v>
      </c>
      <c r="X393" s="132">
        <v>7.2481682875581049E-4</v>
      </c>
    </row>
    <row r="394" spans="1:24">
      <c r="A394" t="s">
        <v>1213</v>
      </c>
      <c r="B394" s="4">
        <v>143</v>
      </c>
      <c r="C394" t="s">
        <v>3694</v>
      </c>
      <c r="D394" t="s">
        <v>3695</v>
      </c>
      <c r="E394" t="s">
        <v>309</v>
      </c>
      <c r="F394" t="s">
        <v>3694</v>
      </c>
      <c r="G394" t="s">
        <v>3696</v>
      </c>
      <c r="H394" t="s">
        <v>321</v>
      </c>
      <c r="I394" t="s">
        <v>917</v>
      </c>
      <c r="J394" t="s">
        <v>204</v>
      </c>
      <c r="K394" t="s">
        <v>204</v>
      </c>
      <c r="L394" t="s">
        <v>325</v>
      </c>
      <c r="M394" t="s">
        <v>340</v>
      </c>
      <c r="N394" t="s">
        <v>451</v>
      </c>
      <c r="O394" t="s">
        <v>339</v>
      </c>
      <c r="P394" t="s">
        <v>1212</v>
      </c>
      <c r="Q394" s="131">
        <v>17500</v>
      </c>
      <c r="R394" s="131">
        <v>1</v>
      </c>
      <c r="S394" s="131">
        <v>11080</v>
      </c>
      <c r="U394" s="131">
        <v>1939</v>
      </c>
      <c r="V394" s="132">
        <v>5.1000000000000004E-4</v>
      </c>
      <c r="W394" s="132">
        <f t="shared" si="6"/>
        <v>4.010123605063194E-3</v>
      </c>
      <c r="X394" s="132">
        <v>6.915986909105887E-4</v>
      </c>
    </row>
    <row r="395" spans="1:24">
      <c r="A395" t="s">
        <v>1213</v>
      </c>
      <c r="B395" s="4">
        <v>143</v>
      </c>
      <c r="C395" t="s">
        <v>3683</v>
      </c>
      <c r="D395" t="s">
        <v>3684</v>
      </c>
      <c r="E395" t="s">
        <v>309</v>
      </c>
      <c r="F395" t="s">
        <v>3683</v>
      </c>
      <c r="G395" t="s">
        <v>3685</v>
      </c>
      <c r="H395" t="s">
        <v>321</v>
      </c>
      <c r="I395" t="s">
        <v>917</v>
      </c>
      <c r="J395" t="s">
        <v>204</v>
      </c>
      <c r="K395" t="s">
        <v>204</v>
      </c>
      <c r="L395" t="s">
        <v>325</v>
      </c>
      <c r="M395" t="s">
        <v>340</v>
      </c>
      <c r="N395" t="s">
        <v>451</v>
      </c>
      <c r="O395" t="s">
        <v>339</v>
      </c>
      <c r="P395" t="s">
        <v>1212</v>
      </c>
      <c r="Q395" s="131">
        <v>365900</v>
      </c>
      <c r="R395" s="131">
        <v>1</v>
      </c>
      <c r="S395" s="131">
        <v>512</v>
      </c>
      <c r="U395" s="131">
        <v>1873.4079999999999</v>
      </c>
      <c r="V395" s="132">
        <v>1.9599999999999999E-3</v>
      </c>
      <c r="W395" s="132">
        <f t="shared" si="6"/>
        <v>3.8744701612760325E-3</v>
      </c>
      <c r="X395" s="132">
        <v>6.6820346588005364E-4</v>
      </c>
    </row>
    <row r="396" spans="1:24">
      <c r="A396" t="s">
        <v>1213</v>
      </c>
      <c r="B396" s="4">
        <v>143</v>
      </c>
      <c r="C396" t="s">
        <v>3697</v>
      </c>
      <c r="D396" t="s">
        <v>3698</v>
      </c>
      <c r="E396" t="s">
        <v>309</v>
      </c>
      <c r="F396" t="s">
        <v>3697</v>
      </c>
      <c r="G396" t="s">
        <v>3699</v>
      </c>
      <c r="H396" t="s">
        <v>321</v>
      </c>
      <c r="I396" t="s">
        <v>917</v>
      </c>
      <c r="J396" t="s">
        <v>204</v>
      </c>
      <c r="K396" t="s">
        <v>204</v>
      </c>
      <c r="L396" t="s">
        <v>325</v>
      </c>
      <c r="M396" t="s">
        <v>340</v>
      </c>
      <c r="N396" t="s">
        <v>464</v>
      </c>
      <c r="O396" t="s">
        <v>339</v>
      </c>
      <c r="P396" t="s">
        <v>1212</v>
      </c>
      <c r="Q396" s="131">
        <v>27000</v>
      </c>
      <c r="R396" s="131">
        <v>1</v>
      </c>
      <c r="S396" s="131">
        <v>5722</v>
      </c>
      <c r="U396" s="131">
        <v>1544.94</v>
      </c>
      <c r="V396" s="132">
        <v>1.8699999999999999E-3</v>
      </c>
      <c r="W396" s="132">
        <f t="shared" si="6"/>
        <v>3.1951523271822233E-3</v>
      </c>
      <c r="X396" s="132">
        <v>5.5104614829056464E-4</v>
      </c>
    </row>
    <row r="397" spans="1:24">
      <c r="A397" t="s">
        <v>1213</v>
      </c>
      <c r="B397" s="4">
        <v>143</v>
      </c>
      <c r="C397" t="s">
        <v>2145</v>
      </c>
      <c r="D397" t="s">
        <v>2146</v>
      </c>
      <c r="E397" t="s">
        <v>309</v>
      </c>
      <c r="F397" t="s">
        <v>3612</v>
      </c>
      <c r="G397" t="s">
        <v>3613</v>
      </c>
      <c r="H397" t="s">
        <v>321</v>
      </c>
      <c r="I397" t="s">
        <v>917</v>
      </c>
      <c r="J397" t="s">
        <v>204</v>
      </c>
      <c r="K397" t="s">
        <v>204</v>
      </c>
      <c r="L397" t="s">
        <v>325</v>
      </c>
      <c r="M397" t="s">
        <v>340</v>
      </c>
      <c r="N397" t="s">
        <v>445</v>
      </c>
      <c r="O397" t="s">
        <v>339</v>
      </c>
      <c r="P397" t="s">
        <v>1212</v>
      </c>
      <c r="Q397" s="131">
        <v>24000</v>
      </c>
      <c r="R397" s="131">
        <v>1</v>
      </c>
      <c r="S397" s="131">
        <v>6329</v>
      </c>
      <c r="U397" s="131">
        <v>1518.96</v>
      </c>
      <c r="V397" s="132">
        <v>2.9999999999999997E-4</v>
      </c>
      <c r="W397" s="132">
        <f t="shared" si="6"/>
        <v>3.141422048038571E-3</v>
      </c>
      <c r="X397" s="132">
        <v>5.4177965319522842E-4</v>
      </c>
    </row>
    <row r="398" spans="1:24">
      <c r="A398" t="s">
        <v>1213</v>
      </c>
      <c r="B398" s="4">
        <v>143</v>
      </c>
      <c r="C398" t="s">
        <v>3700</v>
      </c>
      <c r="D398" t="s">
        <v>3701</v>
      </c>
      <c r="E398" t="s">
        <v>309</v>
      </c>
      <c r="F398" t="s">
        <v>3700</v>
      </c>
      <c r="G398" t="s">
        <v>3702</v>
      </c>
      <c r="H398" t="s">
        <v>321</v>
      </c>
      <c r="I398" t="s">
        <v>917</v>
      </c>
      <c r="J398" t="s">
        <v>204</v>
      </c>
      <c r="K398" t="s">
        <v>204</v>
      </c>
      <c r="L398" t="s">
        <v>325</v>
      </c>
      <c r="M398" t="s">
        <v>340</v>
      </c>
      <c r="N398" t="s">
        <v>447</v>
      </c>
      <c r="O398" t="s">
        <v>339</v>
      </c>
      <c r="P398" t="s">
        <v>1212</v>
      </c>
      <c r="Q398" s="131">
        <v>17000</v>
      </c>
      <c r="R398" s="131">
        <v>1</v>
      </c>
      <c r="S398" s="131">
        <v>8590</v>
      </c>
      <c r="U398" s="131">
        <v>1460.3</v>
      </c>
      <c r="V398" s="132">
        <v>5.4000000000000001E-4</v>
      </c>
      <c r="W398" s="132">
        <f t="shared" si="6"/>
        <v>3.0201049512500163E-3</v>
      </c>
      <c r="X398" s="132">
        <v>5.2085692023555062E-4</v>
      </c>
    </row>
    <row r="399" spans="1:24">
      <c r="A399" t="s">
        <v>1213</v>
      </c>
      <c r="B399" s="4">
        <v>143</v>
      </c>
      <c r="C399" t="s">
        <v>1534</v>
      </c>
      <c r="D399" t="s">
        <v>1535</v>
      </c>
      <c r="E399" t="s">
        <v>309</v>
      </c>
      <c r="F399" t="s">
        <v>1534</v>
      </c>
      <c r="G399" t="s">
        <v>3509</v>
      </c>
      <c r="H399" t="s">
        <v>321</v>
      </c>
      <c r="I399" t="s">
        <v>917</v>
      </c>
      <c r="J399" t="s">
        <v>204</v>
      </c>
      <c r="K399" t="s">
        <v>204</v>
      </c>
      <c r="L399" t="s">
        <v>325</v>
      </c>
      <c r="M399" t="s">
        <v>340</v>
      </c>
      <c r="N399" t="s">
        <v>464</v>
      </c>
      <c r="O399" t="s">
        <v>339</v>
      </c>
      <c r="P399" t="s">
        <v>1212</v>
      </c>
      <c r="Q399" s="131">
        <v>79000</v>
      </c>
      <c r="R399" s="131">
        <v>1</v>
      </c>
      <c r="S399" s="131">
        <v>1609</v>
      </c>
      <c r="U399" s="131">
        <v>1271.1099999999999</v>
      </c>
      <c r="V399" s="132">
        <v>1.7000000000000001E-4</v>
      </c>
      <c r="W399" s="132">
        <f t="shared" si="6"/>
        <v>2.6288335304960678E-3</v>
      </c>
      <c r="X399" s="132">
        <v>4.5337700464329978E-4</v>
      </c>
    </row>
    <row r="400" spans="1:24">
      <c r="A400" t="s">
        <v>1213</v>
      </c>
      <c r="B400" s="4">
        <v>143</v>
      </c>
      <c r="C400" t="s">
        <v>3706</v>
      </c>
      <c r="D400" t="s">
        <v>3707</v>
      </c>
      <c r="E400" t="s">
        <v>309</v>
      </c>
      <c r="F400" t="s">
        <v>3706</v>
      </c>
      <c r="G400" t="s">
        <v>3708</v>
      </c>
      <c r="H400" t="s">
        <v>321</v>
      </c>
      <c r="I400" t="s">
        <v>917</v>
      </c>
      <c r="J400" t="s">
        <v>204</v>
      </c>
      <c r="K400" t="s">
        <v>204</v>
      </c>
      <c r="L400" t="s">
        <v>325</v>
      </c>
      <c r="M400" t="s">
        <v>340</v>
      </c>
      <c r="N400" t="s">
        <v>477</v>
      </c>
      <c r="O400" t="s">
        <v>339</v>
      </c>
      <c r="P400" t="s">
        <v>1212</v>
      </c>
      <c r="Q400" s="131">
        <v>185000</v>
      </c>
      <c r="R400" s="131">
        <v>1</v>
      </c>
      <c r="S400" s="131">
        <v>507.8</v>
      </c>
      <c r="T400" s="131">
        <v>30.297999999999998</v>
      </c>
      <c r="U400" s="131">
        <v>969.72799999999995</v>
      </c>
      <c r="V400" s="132">
        <v>2.0200000000000001E-3</v>
      </c>
      <c r="W400" s="132">
        <f t="shared" si="6"/>
        <v>2.005533338468654E-3</v>
      </c>
      <c r="X400" s="132">
        <v>3.4588066804504557E-4</v>
      </c>
    </row>
    <row r="401" spans="1:24">
      <c r="A401" t="s">
        <v>1213</v>
      </c>
      <c r="B401" s="4">
        <v>143</v>
      </c>
      <c r="C401" t="s">
        <v>3653</v>
      </c>
      <c r="D401" t="s">
        <v>3654</v>
      </c>
      <c r="E401" t="s">
        <v>309</v>
      </c>
      <c r="F401" t="s">
        <v>3653</v>
      </c>
      <c r="G401" t="s">
        <v>3655</v>
      </c>
      <c r="H401" t="s">
        <v>321</v>
      </c>
      <c r="I401" t="s">
        <v>917</v>
      </c>
      <c r="J401" t="s">
        <v>204</v>
      </c>
      <c r="K401" t="s">
        <v>204</v>
      </c>
      <c r="L401" t="s">
        <v>325</v>
      </c>
      <c r="M401" t="s">
        <v>340</v>
      </c>
      <c r="N401" t="s">
        <v>475</v>
      </c>
      <c r="O401" t="s">
        <v>339</v>
      </c>
      <c r="P401" t="s">
        <v>1212</v>
      </c>
      <c r="Q401" s="131">
        <v>4350</v>
      </c>
      <c r="R401" s="131">
        <v>1</v>
      </c>
      <c r="S401" s="131">
        <v>20800</v>
      </c>
      <c r="U401" s="131">
        <v>904.8</v>
      </c>
      <c r="V401" s="132">
        <v>3.2000000000000003E-4</v>
      </c>
      <c r="W401" s="132">
        <f t="shared" si="6"/>
        <v>1.8712531396911695E-3</v>
      </c>
      <c r="X401" s="132">
        <v>3.2272227722325971E-4</v>
      </c>
    </row>
    <row r="402" spans="1:24">
      <c r="A402" t="s">
        <v>1213</v>
      </c>
      <c r="B402" s="4">
        <v>143</v>
      </c>
      <c r="C402" t="s">
        <v>3709</v>
      </c>
      <c r="D402" t="s">
        <v>3710</v>
      </c>
      <c r="E402" t="s">
        <v>309</v>
      </c>
      <c r="F402" t="s">
        <v>3709</v>
      </c>
      <c r="G402" t="s">
        <v>3711</v>
      </c>
      <c r="H402" t="s">
        <v>321</v>
      </c>
      <c r="I402" t="s">
        <v>917</v>
      </c>
      <c r="J402" t="s">
        <v>204</v>
      </c>
      <c r="K402" t="s">
        <v>204</v>
      </c>
      <c r="L402" t="s">
        <v>325</v>
      </c>
      <c r="M402" t="s">
        <v>340</v>
      </c>
      <c r="N402" t="s">
        <v>462</v>
      </c>
      <c r="O402" t="s">
        <v>339</v>
      </c>
      <c r="P402" t="s">
        <v>1212</v>
      </c>
      <c r="Q402" s="131">
        <v>6379</v>
      </c>
      <c r="R402" s="131">
        <v>1</v>
      </c>
      <c r="S402" s="131">
        <v>10710</v>
      </c>
      <c r="U402" s="131">
        <v>683.19100000000003</v>
      </c>
      <c r="V402" s="132">
        <v>5.1999999999999995E-4</v>
      </c>
      <c r="W402" s="132">
        <f t="shared" si="6"/>
        <v>1.4129346858518456E-3</v>
      </c>
      <c r="X402" s="132">
        <v>2.4367921673125117E-4</v>
      </c>
    </row>
    <row r="403" spans="1:24">
      <c r="A403" t="s">
        <v>1213</v>
      </c>
      <c r="B403" s="4">
        <v>143</v>
      </c>
      <c r="C403" t="s">
        <v>2128</v>
      </c>
      <c r="D403" t="s">
        <v>2129</v>
      </c>
      <c r="E403" t="s">
        <v>309</v>
      </c>
      <c r="F403" t="s">
        <v>3419</v>
      </c>
      <c r="G403" t="s">
        <v>3420</v>
      </c>
      <c r="H403" t="s">
        <v>321</v>
      </c>
      <c r="I403" t="s">
        <v>917</v>
      </c>
      <c r="J403" t="s">
        <v>204</v>
      </c>
      <c r="K403" t="s">
        <v>204</v>
      </c>
      <c r="L403" t="s">
        <v>325</v>
      </c>
      <c r="M403" t="s">
        <v>340</v>
      </c>
      <c r="N403" t="s">
        <v>445</v>
      </c>
      <c r="O403" t="s">
        <v>339</v>
      </c>
      <c r="P403" t="s">
        <v>1212</v>
      </c>
      <c r="Q403" s="131">
        <v>15000</v>
      </c>
      <c r="R403" s="131">
        <v>1</v>
      </c>
      <c r="S403" s="131">
        <v>4200</v>
      </c>
      <c r="U403" s="131">
        <v>630</v>
      </c>
      <c r="V403" s="132">
        <v>6.0000000000000002E-5</v>
      </c>
      <c r="W403" s="132">
        <f t="shared" si="6"/>
        <v>1.3029282471324457E-3</v>
      </c>
      <c r="X403" s="132">
        <v>2.24707155891527E-4</v>
      </c>
    </row>
    <row r="404" spans="1:24">
      <c r="A404" t="s">
        <v>1213</v>
      </c>
      <c r="B404" s="4">
        <v>143</v>
      </c>
      <c r="C404" t="s">
        <v>3712</v>
      </c>
      <c r="D404" t="s">
        <v>3713</v>
      </c>
      <c r="E404" t="s">
        <v>309</v>
      </c>
      <c r="F404" t="s">
        <v>3712</v>
      </c>
      <c r="G404" t="s">
        <v>3714</v>
      </c>
      <c r="H404" t="s">
        <v>321</v>
      </c>
      <c r="I404" t="s">
        <v>917</v>
      </c>
      <c r="J404" t="s">
        <v>204</v>
      </c>
      <c r="K404" t="s">
        <v>204</v>
      </c>
      <c r="L404" t="s">
        <v>325</v>
      </c>
      <c r="M404" t="s">
        <v>340</v>
      </c>
      <c r="N404" t="s">
        <v>459</v>
      </c>
      <c r="O404" t="s">
        <v>339</v>
      </c>
      <c r="P404" t="s">
        <v>1212</v>
      </c>
      <c r="Q404" s="131">
        <v>25240</v>
      </c>
      <c r="R404" s="131">
        <v>1</v>
      </c>
      <c r="S404" s="131">
        <v>1803</v>
      </c>
      <c r="U404" s="131">
        <v>455.077</v>
      </c>
      <c r="V404" s="132">
        <v>1.2600000000000001E-3</v>
      </c>
      <c r="W404" s="132">
        <f t="shared" si="6"/>
        <v>9.4116298082586025E-4</v>
      </c>
      <c r="X404" s="132">
        <v>1.6231596568515625E-4</v>
      </c>
    </row>
    <row r="405" spans="1:24">
      <c r="A405" t="s">
        <v>1213</v>
      </c>
      <c r="B405" s="4">
        <v>143</v>
      </c>
      <c r="C405" t="s">
        <v>3715</v>
      </c>
      <c r="D405" t="s">
        <v>3716</v>
      </c>
      <c r="E405" t="s">
        <v>309</v>
      </c>
      <c r="F405" t="s">
        <v>3715</v>
      </c>
      <c r="G405" t="s">
        <v>3717</v>
      </c>
      <c r="H405" t="s">
        <v>321</v>
      </c>
      <c r="I405" t="s">
        <v>917</v>
      </c>
      <c r="J405" t="s">
        <v>204</v>
      </c>
      <c r="K405" t="s">
        <v>204</v>
      </c>
      <c r="L405" t="s">
        <v>325</v>
      </c>
      <c r="M405" t="s">
        <v>340</v>
      </c>
      <c r="N405" t="s">
        <v>447</v>
      </c>
      <c r="O405" t="s">
        <v>339</v>
      </c>
      <c r="P405" t="s">
        <v>1212</v>
      </c>
      <c r="Q405" s="131">
        <v>409714.29</v>
      </c>
      <c r="R405" s="131">
        <v>1</v>
      </c>
      <c r="S405" s="131">
        <v>40</v>
      </c>
      <c r="U405" s="131">
        <v>163.886</v>
      </c>
      <c r="V405" s="132">
        <v>2.2699999999999999E-3</v>
      </c>
      <c r="W405" s="132">
        <f t="shared" si="6"/>
        <v>3.389392043008698E-4</v>
      </c>
      <c r="X405" s="132">
        <v>5.8454534841966342E-5</v>
      </c>
    </row>
    <row r="406" spans="1:24">
      <c r="A406" t="s">
        <v>1213</v>
      </c>
      <c r="B406" s="4">
        <v>143</v>
      </c>
      <c r="C406" t="s">
        <v>3550</v>
      </c>
      <c r="D406" t="s">
        <v>3551</v>
      </c>
      <c r="E406" t="s">
        <v>80</v>
      </c>
      <c r="F406" t="s">
        <v>3552</v>
      </c>
      <c r="G406" t="s">
        <v>3553</v>
      </c>
      <c r="H406" t="s">
        <v>321</v>
      </c>
      <c r="I406" t="s">
        <v>917</v>
      </c>
      <c r="J406" t="s">
        <v>205</v>
      </c>
      <c r="K406" t="s">
        <v>224</v>
      </c>
      <c r="L406" t="s">
        <v>325</v>
      </c>
      <c r="M406" t="s">
        <v>344</v>
      </c>
      <c r="N406" t="s">
        <v>544</v>
      </c>
      <c r="O406" t="s">
        <v>339</v>
      </c>
      <c r="P406" t="s">
        <v>1216</v>
      </c>
      <c r="Q406" s="131">
        <v>21325</v>
      </c>
      <c r="R406" s="131">
        <v>3.71</v>
      </c>
      <c r="S406" s="131">
        <v>43030</v>
      </c>
      <c r="U406" s="131">
        <v>34043.506999999998</v>
      </c>
      <c r="V406" s="132">
        <v>0</v>
      </c>
      <c r="W406" s="132">
        <f t="shared" si="6"/>
        <v>7.0406741113890697E-2</v>
      </c>
      <c r="X406" s="132">
        <v>1.2142570848481414E-2</v>
      </c>
    </row>
    <row r="407" spans="1:24">
      <c r="A407" t="s">
        <v>1213</v>
      </c>
      <c r="B407" s="4">
        <v>143</v>
      </c>
      <c r="C407" t="s">
        <v>3119</v>
      </c>
      <c r="D407" t="s">
        <v>3120</v>
      </c>
      <c r="E407" t="s">
        <v>80</v>
      </c>
      <c r="F407" t="s">
        <v>3718</v>
      </c>
      <c r="G407" t="s">
        <v>3719</v>
      </c>
      <c r="H407" t="s">
        <v>321</v>
      </c>
      <c r="I407" t="s">
        <v>917</v>
      </c>
      <c r="J407" t="s">
        <v>205</v>
      </c>
      <c r="K407" t="s">
        <v>224</v>
      </c>
      <c r="L407" t="s">
        <v>325</v>
      </c>
      <c r="M407" t="s">
        <v>344</v>
      </c>
      <c r="N407" t="s">
        <v>544</v>
      </c>
      <c r="O407" t="s">
        <v>339</v>
      </c>
      <c r="P407" t="s">
        <v>1216</v>
      </c>
      <c r="Q407" s="131">
        <v>46000</v>
      </c>
      <c r="R407" s="131">
        <v>3.71</v>
      </c>
      <c r="S407" s="131">
        <v>18633</v>
      </c>
      <c r="U407" s="131">
        <v>31799.078000000001</v>
      </c>
      <c r="V407" s="132">
        <v>0</v>
      </c>
      <c r="W407" s="132">
        <f t="shared" si="6"/>
        <v>6.5764947553917333E-2</v>
      </c>
      <c r="X407" s="132">
        <v>1.1342032345004487E-2</v>
      </c>
    </row>
    <row r="408" spans="1:24">
      <c r="A408" t="s">
        <v>1213</v>
      </c>
      <c r="B408" s="4">
        <v>143</v>
      </c>
      <c r="C408" t="s">
        <v>3227</v>
      </c>
      <c r="D408" t="s">
        <v>3228</v>
      </c>
      <c r="E408" t="s">
        <v>80</v>
      </c>
      <c r="F408" t="s">
        <v>3548</v>
      </c>
      <c r="G408" t="s">
        <v>3549</v>
      </c>
      <c r="H408" t="s">
        <v>321</v>
      </c>
      <c r="I408" t="s">
        <v>917</v>
      </c>
      <c r="J408" t="s">
        <v>205</v>
      </c>
      <c r="K408" t="s">
        <v>301</v>
      </c>
      <c r="L408" t="s">
        <v>325</v>
      </c>
      <c r="M408" t="s">
        <v>344</v>
      </c>
      <c r="N408" t="s">
        <v>548</v>
      </c>
      <c r="O408" t="s">
        <v>339</v>
      </c>
      <c r="P408" t="s">
        <v>1216</v>
      </c>
      <c r="Q408" s="131">
        <v>35550</v>
      </c>
      <c r="R408" s="131">
        <v>3.71</v>
      </c>
      <c r="S408" s="131">
        <v>17367</v>
      </c>
      <c r="T408" s="131">
        <f>13.267+14155.8400001/1000/R408</f>
        <v>17.082590296522909</v>
      </c>
      <c r="U408" s="131">
        <f>22954.646+14155.8400001/1000</f>
        <v>22968.801840000102</v>
      </c>
      <c r="V408" s="132">
        <v>1.0000000000000001E-5</v>
      </c>
      <c r="W408" s="132">
        <f t="shared" si="6"/>
        <v>4.75026995557521E-2</v>
      </c>
      <c r="X408" s="132">
        <v>8.1924668820674527E-3</v>
      </c>
    </row>
    <row r="409" spans="1:24">
      <c r="A409" t="s">
        <v>1213</v>
      </c>
      <c r="B409" s="4">
        <v>143</v>
      </c>
      <c r="C409" t="s">
        <v>3246</v>
      </c>
      <c r="D409" t="s">
        <v>3247</v>
      </c>
      <c r="E409" t="s">
        <v>80</v>
      </c>
      <c r="F409" t="s">
        <v>3720</v>
      </c>
      <c r="G409" t="s">
        <v>3721</v>
      </c>
      <c r="H409" t="s">
        <v>321</v>
      </c>
      <c r="I409" t="s">
        <v>917</v>
      </c>
      <c r="J409" t="s">
        <v>205</v>
      </c>
      <c r="K409" t="s">
        <v>224</v>
      </c>
      <c r="L409" t="s">
        <v>325</v>
      </c>
      <c r="M409" t="s">
        <v>344</v>
      </c>
      <c r="N409" t="s">
        <v>544</v>
      </c>
      <c r="O409" t="s">
        <v>339</v>
      </c>
      <c r="P409" t="s">
        <v>1216</v>
      </c>
      <c r="Q409" s="131">
        <v>32750</v>
      </c>
      <c r="R409" s="131">
        <v>3.71</v>
      </c>
      <c r="S409" s="131">
        <v>17040</v>
      </c>
      <c r="U409" s="131">
        <v>20704.026000000002</v>
      </c>
      <c r="V409" s="132">
        <v>1.0000000000000001E-5</v>
      </c>
      <c r="W409" s="132">
        <f t="shared" si="6"/>
        <v>4.2818825880578698E-2</v>
      </c>
      <c r="X409" s="132">
        <v>7.3846711078797284E-3</v>
      </c>
    </row>
    <row r="410" spans="1:24">
      <c r="A410" t="s">
        <v>1213</v>
      </c>
      <c r="B410" s="4">
        <v>143</v>
      </c>
      <c r="C410" t="s">
        <v>3722</v>
      </c>
      <c r="D410" t="s">
        <v>3723</v>
      </c>
      <c r="E410" t="s">
        <v>80</v>
      </c>
      <c r="F410" t="s">
        <v>3724</v>
      </c>
      <c r="G410" t="s">
        <v>3725</v>
      </c>
      <c r="H410" t="s">
        <v>321</v>
      </c>
      <c r="I410" t="s">
        <v>917</v>
      </c>
      <c r="J410" t="s">
        <v>205</v>
      </c>
      <c r="K410" t="s">
        <v>224</v>
      </c>
      <c r="L410" t="s">
        <v>325</v>
      </c>
      <c r="M410" t="s">
        <v>344</v>
      </c>
      <c r="N410" t="s">
        <v>488</v>
      </c>
      <c r="O410" t="s">
        <v>339</v>
      </c>
      <c r="P410" t="s">
        <v>1216</v>
      </c>
      <c r="Q410" s="131">
        <v>103000</v>
      </c>
      <c r="R410" s="131">
        <v>3.71</v>
      </c>
      <c r="S410" s="131">
        <v>4806</v>
      </c>
      <c r="T410" s="131">
        <f>39.818+2540.1600001/1000/R410</f>
        <v>40.50267924530997</v>
      </c>
      <c r="U410" s="131">
        <f>18512.894+2540.1600001/1000</f>
        <v>18515.434160000099</v>
      </c>
      <c r="V410" s="132">
        <v>2.1000000000000001E-4</v>
      </c>
      <c r="W410" s="132">
        <f t="shared" si="6"/>
        <v>3.8292511388865295E-2</v>
      </c>
      <c r="X410" s="132">
        <v>6.6040484923657883E-3</v>
      </c>
    </row>
    <row r="411" spans="1:24">
      <c r="A411" t="s">
        <v>1213</v>
      </c>
      <c r="B411" s="4">
        <v>143</v>
      </c>
      <c r="C411" t="s">
        <v>3726</v>
      </c>
      <c r="D411" t="s">
        <v>3727</v>
      </c>
      <c r="E411" t="s">
        <v>311</v>
      </c>
      <c r="F411" t="s">
        <v>3728</v>
      </c>
      <c r="G411" t="s">
        <v>3729</v>
      </c>
      <c r="H411" t="s">
        <v>321</v>
      </c>
      <c r="I411" t="s">
        <v>917</v>
      </c>
      <c r="J411" t="s">
        <v>205</v>
      </c>
      <c r="K411" t="s">
        <v>224</v>
      </c>
      <c r="L411" t="s">
        <v>325</v>
      </c>
      <c r="M411" t="s">
        <v>344</v>
      </c>
      <c r="N411" t="s">
        <v>448</v>
      </c>
      <c r="O411" t="s">
        <v>339</v>
      </c>
      <c r="P411" t="s">
        <v>1227</v>
      </c>
      <c r="Q411" s="131">
        <v>1270000.26</v>
      </c>
      <c r="R411" s="131">
        <v>4.9748000000000001</v>
      </c>
      <c r="S411" s="131">
        <v>224.55</v>
      </c>
      <c r="U411" s="131">
        <v>14187.063</v>
      </c>
      <c r="V411" s="132">
        <v>9.0000000000000006E-5</v>
      </c>
      <c r="W411" s="132">
        <f t="shared" si="6"/>
        <v>2.9340833534202502E-2</v>
      </c>
      <c r="X411" s="132">
        <v>5.0602136145776423E-3</v>
      </c>
    </row>
    <row r="412" spans="1:24">
      <c r="A412" t="s">
        <v>1213</v>
      </c>
      <c r="B412" s="4">
        <v>143</v>
      </c>
      <c r="C412" t="s">
        <v>3730</v>
      </c>
      <c r="D412" t="s">
        <v>3731</v>
      </c>
      <c r="E412" t="s">
        <v>80</v>
      </c>
      <c r="F412" t="s">
        <v>3732</v>
      </c>
      <c r="G412" t="s">
        <v>3733</v>
      </c>
      <c r="H412" t="s">
        <v>321</v>
      </c>
      <c r="I412" t="s">
        <v>917</v>
      </c>
      <c r="J412" t="s">
        <v>205</v>
      </c>
      <c r="K412" t="s">
        <v>224</v>
      </c>
      <c r="L412" t="s">
        <v>325</v>
      </c>
      <c r="M412" t="s">
        <v>344</v>
      </c>
      <c r="N412" t="s">
        <v>548</v>
      </c>
      <c r="O412" t="s">
        <v>339</v>
      </c>
      <c r="P412" t="s">
        <v>1216</v>
      </c>
      <c r="Q412" s="131">
        <v>32000</v>
      </c>
      <c r="R412" s="131">
        <v>3.71</v>
      </c>
      <c r="S412" s="131">
        <v>10371</v>
      </c>
      <c r="U412" s="131">
        <v>12312.450999999999</v>
      </c>
      <c r="V412" s="132">
        <v>3.0000000000000001E-5</v>
      </c>
      <c r="W412" s="132">
        <f t="shared" si="6"/>
        <v>2.5463873332276392E-2</v>
      </c>
      <c r="X412" s="132">
        <v>4.3915807083552182E-3</v>
      </c>
    </row>
    <row r="413" spans="1:24">
      <c r="A413" t="s">
        <v>1213</v>
      </c>
      <c r="B413" s="4">
        <v>143</v>
      </c>
      <c r="C413" t="s">
        <v>3737</v>
      </c>
      <c r="D413" t="s">
        <v>3738</v>
      </c>
      <c r="E413" t="s">
        <v>80</v>
      </c>
      <c r="F413" t="s">
        <v>3737</v>
      </c>
      <c r="G413" t="s">
        <v>3739</v>
      </c>
      <c r="H413" t="s">
        <v>321</v>
      </c>
      <c r="I413" t="s">
        <v>917</v>
      </c>
      <c r="J413" t="s">
        <v>205</v>
      </c>
      <c r="K413" t="s">
        <v>238</v>
      </c>
      <c r="L413" t="s">
        <v>325</v>
      </c>
      <c r="M413" t="s">
        <v>314</v>
      </c>
      <c r="N413" t="s">
        <v>548</v>
      </c>
      <c r="O413" t="s">
        <v>339</v>
      </c>
      <c r="P413" t="s">
        <v>1218</v>
      </c>
      <c r="Q413" s="131">
        <v>91000</v>
      </c>
      <c r="R413" s="131">
        <v>4.1524000000000001</v>
      </c>
      <c r="S413" s="131">
        <v>3146</v>
      </c>
      <c r="U413" s="131">
        <v>11887.74</v>
      </c>
      <c r="V413" s="132">
        <v>6.9999999999999994E-5</v>
      </c>
      <c r="W413" s="132">
        <f t="shared" si="6"/>
        <v>2.4585511492962314E-2</v>
      </c>
      <c r="X413" s="132">
        <v>4.2400956275840335E-3</v>
      </c>
    </row>
    <row r="414" spans="1:24">
      <c r="A414" t="s">
        <v>1213</v>
      </c>
      <c r="B414" s="4">
        <v>143</v>
      </c>
      <c r="C414" t="s">
        <v>3734</v>
      </c>
      <c r="D414" t="s">
        <v>3735</v>
      </c>
      <c r="E414" t="s">
        <v>80</v>
      </c>
      <c r="F414" t="s">
        <v>3734</v>
      </c>
      <c r="G414" t="s">
        <v>3736</v>
      </c>
      <c r="H414" t="s">
        <v>321</v>
      </c>
      <c r="I414" t="s">
        <v>917</v>
      </c>
      <c r="J414" t="s">
        <v>205</v>
      </c>
      <c r="K414" t="s">
        <v>224</v>
      </c>
      <c r="L414" t="s">
        <v>325</v>
      </c>
      <c r="M414" t="s">
        <v>346</v>
      </c>
      <c r="N414" t="s">
        <v>548</v>
      </c>
      <c r="O414" t="s">
        <v>339</v>
      </c>
      <c r="P414" t="s">
        <v>1216</v>
      </c>
      <c r="Q414" s="131">
        <v>18650</v>
      </c>
      <c r="R414" s="131">
        <v>3.71</v>
      </c>
      <c r="S414" s="131">
        <v>17005</v>
      </c>
      <c r="U414" s="131">
        <v>11766.014999999999</v>
      </c>
      <c r="V414" s="132">
        <v>2.0000000000000002E-5</v>
      </c>
      <c r="W414" s="132">
        <f t="shared" si="6"/>
        <v>2.4333767142355654E-2</v>
      </c>
      <c r="X414" s="132">
        <v>4.1966789949635635E-3</v>
      </c>
    </row>
    <row r="415" spans="1:24">
      <c r="A415" t="s">
        <v>1213</v>
      </c>
      <c r="B415" s="4">
        <v>143</v>
      </c>
      <c r="C415" t="s">
        <v>3575</v>
      </c>
      <c r="D415" t="s">
        <v>3576</v>
      </c>
      <c r="E415" t="s">
        <v>80</v>
      </c>
      <c r="F415" t="s">
        <v>3577</v>
      </c>
      <c r="G415" t="s">
        <v>3578</v>
      </c>
      <c r="H415" t="s">
        <v>321</v>
      </c>
      <c r="I415" t="s">
        <v>917</v>
      </c>
      <c r="J415" t="s">
        <v>205</v>
      </c>
      <c r="K415" t="s">
        <v>224</v>
      </c>
      <c r="L415" t="s">
        <v>325</v>
      </c>
      <c r="M415" t="s">
        <v>344</v>
      </c>
      <c r="N415" t="s">
        <v>544</v>
      </c>
      <c r="O415" t="s">
        <v>339</v>
      </c>
      <c r="P415" t="s">
        <v>1216</v>
      </c>
      <c r="Q415" s="131">
        <v>9175</v>
      </c>
      <c r="R415" s="131">
        <v>3.71</v>
      </c>
      <c r="S415" s="131">
        <v>34180</v>
      </c>
      <c r="U415" s="131">
        <v>11634.616</v>
      </c>
      <c r="V415" s="132">
        <v>3.0000000000000001E-5</v>
      </c>
      <c r="W415" s="132">
        <f t="shared" si="6"/>
        <v>2.4062015604665248E-2</v>
      </c>
      <c r="X415" s="132">
        <v>4.1498118591270705E-3</v>
      </c>
    </row>
    <row r="416" spans="1:24">
      <c r="A416" t="s">
        <v>1213</v>
      </c>
      <c r="B416" s="4">
        <v>143</v>
      </c>
      <c r="C416" t="s">
        <v>3740</v>
      </c>
      <c r="D416" t="s">
        <v>3741</v>
      </c>
      <c r="E416" t="s">
        <v>80</v>
      </c>
      <c r="F416" t="s">
        <v>3742</v>
      </c>
      <c r="G416" t="s">
        <v>3743</v>
      </c>
      <c r="H416" t="s">
        <v>321</v>
      </c>
      <c r="I416" t="s">
        <v>917</v>
      </c>
      <c r="J416" t="s">
        <v>205</v>
      </c>
      <c r="K416" t="s">
        <v>281</v>
      </c>
      <c r="L416" t="s">
        <v>325</v>
      </c>
      <c r="M416" t="s">
        <v>314</v>
      </c>
      <c r="N416" t="s">
        <v>537</v>
      </c>
      <c r="O416" t="s">
        <v>339</v>
      </c>
      <c r="P416" t="s">
        <v>1218</v>
      </c>
      <c r="Q416" s="131">
        <v>43500</v>
      </c>
      <c r="R416" s="131">
        <v>4.1524000000000001</v>
      </c>
      <c r="S416" s="131">
        <v>6155</v>
      </c>
      <c r="U416" s="131">
        <v>11117.74</v>
      </c>
      <c r="V416" s="132">
        <v>4.0000000000000003E-5</v>
      </c>
      <c r="W416" s="132">
        <f t="shared" si="6"/>
        <v>2.2993043635355995E-2</v>
      </c>
      <c r="X416" s="132">
        <v>3.9654535481610563E-3</v>
      </c>
    </row>
    <row r="417" spans="1:24">
      <c r="A417" t="s">
        <v>1213</v>
      </c>
      <c r="B417" s="4">
        <v>143</v>
      </c>
      <c r="C417" t="s">
        <v>3744</v>
      </c>
      <c r="D417" t="s">
        <v>3745</v>
      </c>
      <c r="E417" t="s">
        <v>80</v>
      </c>
      <c r="F417" t="s">
        <v>3744</v>
      </c>
      <c r="G417" t="s">
        <v>3746</v>
      </c>
      <c r="H417" t="s">
        <v>321</v>
      </c>
      <c r="I417" t="s">
        <v>917</v>
      </c>
      <c r="J417" t="s">
        <v>205</v>
      </c>
      <c r="K417" t="s">
        <v>281</v>
      </c>
      <c r="L417" t="s">
        <v>325</v>
      </c>
      <c r="M417" t="s">
        <v>314</v>
      </c>
      <c r="N417" t="s">
        <v>537</v>
      </c>
      <c r="O417" t="s">
        <v>339</v>
      </c>
      <c r="P417" t="s">
        <v>1218</v>
      </c>
      <c r="Q417" s="131">
        <v>146500</v>
      </c>
      <c r="R417" s="131">
        <v>4.1524000000000001</v>
      </c>
      <c r="S417" s="131">
        <v>1372.5</v>
      </c>
      <c r="U417" s="131">
        <v>8349.2829999999994</v>
      </c>
      <c r="V417" s="132">
        <v>5.0000000000000002E-5</v>
      </c>
      <c r="W417" s="132">
        <f t="shared" si="6"/>
        <v>1.7267486768258296E-2</v>
      </c>
      <c r="X417" s="132">
        <v>2.9780057724817081E-3</v>
      </c>
    </row>
    <row r="418" spans="1:24">
      <c r="A418" t="s">
        <v>1213</v>
      </c>
      <c r="B418" s="4">
        <v>143</v>
      </c>
      <c r="C418" t="s">
        <v>3755</v>
      </c>
      <c r="D418" t="s">
        <v>3756</v>
      </c>
      <c r="E418" t="s">
        <v>80</v>
      </c>
      <c r="F418" t="s">
        <v>3757</v>
      </c>
      <c r="G418" t="s">
        <v>3758</v>
      </c>
      <c r="H418" t="s">
        <v>321</v>
      </c>
      <c r="I418" t="s">
        <v>917</v>
      </c>
      <c r="J418" t="s">
        <v>205</v>
      </c>
      <c r="K418" t="s">
        <v>243</v>
      </c>
      <c r="L418" t="s">
        <v>325</v>
      </c>
      <c r="M418" t="s">
        <v>314</v>
      </c>
      <c r="N418" t="s">
        <v>546</v>
      </c>
      <c r="O418" t="s">
        <v>339</v>
      </c>
      <c r="P418" t="s">
        <v>1216</v>
      </c>
      <c r="Q418" s="131">
        <v>1650</v>
      </c>
      <c r="R418" s="131">
        <v>3.71</v>
      </c>
      <c r="S418" s="131">
        <v>116900</v>
      </c>
      <c r="U418" s="131">
        <v>7156.0339999999997</v>
      </c>
      <c r="V418" s="132">
        <v>1.0000000000000001E-5</v>
      </c>
      <c r="W418" s="132">
        <f t="shared" si="6"/>
        <v>1.4799680692127275E-2</v>
      </c>
      <c r="X418" s="132">
        <v>2.5524000755604245E-3</v>
      </c>
    </row>
    <row r="419" spans="1:24">
      <c r="A419" t="s">
        <v>1213</v>
      </c>
      <c r="B419" s="4">
        <v>143</v>
      </c>
      <c r="C419" t="s">
        <v>3747</v>
      </c>
      <c r="D419" t="s">
        <v>3748</v>
      </c>
      <c r="E419" t="s">
        <v>80</v>
      </c>
      <c r="F419" t="s">
        <v>3749</v>
      </c>
      <c r="G419" t="s">
        <v>3750</v>
      </c>
      <c r="H419" t="s">
        <v>321</v>
      </c>
      <c r="I419" t="s">
        <v>917</v>
      </c>
      <c r="J419" t="s">
        <v>205</v>
      </c>
      <c r="K419" t="s">
        <v>293</v>
      </c>
      <c r="L419" t="s">
        <v>325</v>
      </c>
      <c r="M419" t="s">
        <v>314</v>
      </c>
      <c r="N419" t="s">
        <v>525</v>
      </c>
      <c r="O419" t="s">
        <v>339</v>
      </c>
      <c r="P419" t="s">
        <v>1226</v>
      </c>
      <c r="Q419" s="131">
        <v>105000</v>
      </c>
      <c r="R419" s="131">
        <v>0.35239999999999999</v>
      </c>
      <c r="S419" s="131">
        <v>18975</v>
      </c>
      <c r="U419" s="131">
        <v>7021.13</v>
      </c>
      <c r="V419" s="132">
        <v>2.0000000000000001E-4</v>
      </c>
      <c r="W419" s="132">
        <f t="shared" si="6"/>
        <v>1.4520680323474647E-2</v>
      </c>
      <c r="X419" s="132">
        <v>2.5042827832455193E-3</v>
      </c>
    </row>
    <row r="420" spans="1:24">
      <c r="A420" t="s">
        <v>1213</v>
      </c>
      <c r="B420" s="4">
        <v>143</v>
      </c>
      <c r="C420" t="s">
        <v>3751</v>
      </c>
      <c r="D420" t="s">
        <v>3752</v>
      </c>
      <c r="E420" t="s">
        <v>80</v>
      </c>
      <c r="F420" t="s">
        <v>3753</v>
      </c>
      <c r="G420" t="s">
        <v>3754</v>
      </c>
      <c r="H420" t="s">
        <v>321</v>
      </c>
      <c r="I420" t="s">
        <v>917</v>
      </c>
      <c r="J420" t="s">
        <v>205</v>
      </c>
      <c r="K420" t="s">
        <v>281</v>
      </c>
      <c r="L420" t="s">
        <v>325</v>
      </c>
      <c r="M420" t="s">
        <v>314</v>
      </c>
      <c r="N420" t="s">
        <v>440</v>
      </c>
      <c r="O420" t="s">
        <v>339</v>
      </c>
      <c r="P420" t="s">
        <v>1218</v>
      </c>
      <c r="Q420" s="131">
        <v>27900</v>
      </c>
      <c r="R420" s="131">
        <v>4.1524000000000001</v>
      </c>
      <c r="S420" s="131">
        <v>5850</v>
      </c>
      <c r="T420" s="131">
        <v>21.132999999999999</v>
      </c>
      <c r="U420" s="131">
        <v>6865.09</v>
      </c>
      <c r="V420" s="132">
        <v>1.0000000000000001E-5</v>
      </c>
      <c r="W420" s="132">
        <f t="shared" si="6"/>
        <v>1.4197967746200763E-2</v>
      </c>
      <c r="X420" s="132">
        <v>2.4486267441894654E-3</v>
      </c>
    </row>
    <row r="421" spans="1:24">
      <c r="A421" t="s">
        <v>1213</v>
      </c>
      <c r="B421" s="4">
        <v>143</v>
      </c>
      <c r="C421" t="s">
        <v>3759</v>
      </c>
      <c r="D421" t="s">
        <v>3760</v>
      </c>
      <c r="E421" t="s">
        <v>80</v>
      </c>
      <c r="F421" t="s">
        <v>3761</v>
      </c>
      <c r="G421" t="s">
        <v>3762</v>
      </c>
      <c r="H421" t="s">
        <v>321</v>
      </c>
      <c r="I421" t="s">
        <v>917</v>
      </c>
      <c r="J421" t="s">
        <v>205</v>
      </c>
      <c r="K421" t="s">
        <v>251</v>
      </c>
      <c r="L421" t="s">
        <v>325</v>
      </c>
      <c r="M421" t="s">
        <v>314</v>
      </c>
      <c r="N421" t="s">
        <v>497</v>
      </c>
      <c r="O421" t="s">
        <v>339</v>
      </c>
      <c r="P421" t="s">
        <v>1228</v>
      </c>
      <c r="Q421" s="131">
        <v>123000</v>
      </c>
      <c r="R421" s="131">
        <v>2.6029E-2</v>
      </c>
      <c r="S421" s="131">
        <v>203100</v>
      </c>
      <c r="U421" s="131">
        <v>6502.3829999999998</v>
      </c>
      <c r="V421" s="132">
        <v>1E-4</v>
      </c>
      <c r="W421" s="132">
        <f t="shared" si="6"/>
        <v>1.3447838864085418E-2</v>
      </c>
      <c r="X421" s="132">
        <v>2.3192571276943095E-3</v>
      </c>
    </row>
    <row r="422" spans="1:24">
      <c r="A422" t="s">
        <v>1213</v>
      </c>
      <c r="B422" s="4">
        <v>143</v>
      </c>
      <c r="C422" t="s">
        <v>3774</v>
      </c>
      <c r="D422" t="s">
        <v>3775</v>
      </c>
      <c r="E422" t="s">
        <v>80</v>
      </c>
      <c r="F422" t="s">
        <v>3774</v>
      </c>
      <c r="G422" t="s">
        <v>3776</v>
      </c>
      <c r="H422" t="s">
        <v>321</v>
      </c>
      <c r="I422" t="s">
        <v>917</v>
      </c>
      <c r="J422" t="s">
        <v>205</v>
      </c>
      <c r="K422" t="s">
        <v>251</v>
      </c>
      <c r="L422" t="s">
        <v>325</v>
      </c>
      <c r="M422" t="s">
        <v>314</v>
      </c>
      <c r="N422" t="s">
        <v>497</v>
      </c>
      <c r="O422" t="s">
        <v>339</v>
      </c>
      <c r="P422" t="s">
        <v>1228</v>
      </c>
      <c r="Q422" s="131">
        <v>55000</v>
      </c>
      <c r="R422" s="131">
        <v>2.6029E-2</v>
      </c>
      <c r="S422" s="131">
        <v>396600</v>
      </c>
      <c r="T422" s="131">
        <f>3848.79-1407.18/1000/R422</f>
        <v>3794.727992239425</v>
      </c>
      <c r="U422" s="131">
        <f>5777.886-1407.18/1000</f>
        <v>5776.4788200000003</v>
      </c>
      <c r="V422" s="132">
        <v>6.0000000000000002E-5</v>
      </c>
      <c r="W422" s="132">
        <f t="shared" si="6"/>
        <v>1.1946567338952854E-2</v>
      </c>
      <c r="X422" s="132">
        <v>2.0603430582695936E-3</v>
      </c>
    </row>
    <row r="423" spans="1:24">
      <c r="A423" t="s">
        <v>1213</v>
      </c>
      <c r="B423" s="4">
        <v>143</v>
      </c>
      <c r="C423" t="s">
        <v>3763</v>
      </c>
      <c r="D423" t="s">
        <v>3764</v>
      </c>
      <c r="E423" t="s">
        <v>80</v>
      </c>
      <c r="F423" t="s">
        <v>3765</v>
      </c>
      <c r="G423" t="s">
        <v>3766</v>
      </c>
      <c r="H423" t="s">
        <v>321</v>
      </c>
      <c r="I423" t="s">
        <v>917</v>
      </c>
      <c r="J423" t="s">
        <v>205</v>
      </c>
      <c r="K423" t="s">
        <v>293</v>
      </c>
      <c r="L423" t="s">
        <v>325</v>
      </c>
      <c r="M423" t="s">
        <v>314</v>
      </c>
      <c r="N423" t="s">
        <v>497</v>
      </c>
      <c r="O423" t="s">
        <v>339</v>
      </c>
      <c r="P423" t="s">
        <v>3767</v>
      </c>
      <c r="Q423" s="131">
        <v>920</v>
      </c>
      <c r="R423" s="131">
        <v>0.55689999999999995</v>
      </c>
      <c r="S423" s="131">
        <v>1126000</v>
      </c>
      <c r="U423" s="131">
        <v>5769.0379999999996</v>
      </c>
      <c r="V423" s="132">
        <v>1.4999999999999999E-4</v>
      </c>
      <c r="W423" s="132">
        <f t="shared" si="6"/>
        <v>1.1931178680921379E-2</v>
      </c>
      <c r="X423" s="132">
        <v>2.0576890812859412E-3</v>
      </c>
    </row>
    <row r="424" spans="1:24">
      <c r="A424" t="s">
        <v>1213</v>
      </c>
      <c r="B424" s="4">
        <v>143</v>
      </c>
      <c r="C424" t="s">
        <v>3770</v>
      </c>
      <c r="D424" t="s">
        <v>3771</v>
      </c>
      <c r="E424" t="s">
        <v>312</v>
      </c>
      <c r="F424" t="s">
        <v>3772</v>
      </c>
      <c r="G424" t="s">
        <v>3773</v>
      </c>
      <c r="H424" t="s">
        <v>321</v>
      </c>
      <c r="I424" t="s">
        <v>917</v>
      </c>
      <c r="J424" t="s">
        <v>205</v>
      </c>
      <c r="K424" t="s">
        <v>224</v>
      </c>
      <c r="L424" t="s">
        <v>325</v>
      </c>
      <c r="M424" t="s">
        <v>346</v>
      </c>
      <c r="N424" t="s">
        <v>544</v>
      </c>
      <c r="O424" t="s">
        <v>339</v>
      </c>
      <c r="P424" t="s">
        <v>1216</v>
      </c>
      <c r="Q424" s="131">
        <v>21500</v>
      </c>
      <c r="R424" s="131">
        <v>3.71</v>
      </c>
      <c r="S424" s="131">
        <v>6974</v>
      </c>
      <c r="U424" s="131">
        <v>5562.8109999999997</v>
      </c>
      <c r="V424" s="132">
        <v>8.0000000000000007E-5</v>
      </c>
      <c r="W424" s="132">
        <f t="shared" si="6"/>
        <v>1.1504672357712836E-2</v>
      </c>
      <c r="X424" s="132">
        <v>1.9841324421779384E-3</v>
      </c>
    </row>
    <row r="425" spans="1:24">
      <c r="A425" t="s">
        <v>1213</v>
      </c>
      <c r="B425" s="4">
        <v>143</v>
      </c>
      <c r="C425" t="s">
        <v>3255</v>
      </c>
      <c r="D425" t="s">
        <v>3256</v>
      </c>
      <c r="E425" t="s">
        <v>80</v>
      </c>
      <c r="F425" t="s">
        <v>3768</v>
      </c>
      <c r="G425" t="s">
        <v>3769</v>
      </c>
      <c r="H425" t="s">
        <v>321</v>
      </c>
      <c r="I425" t="s">
        <v>917</v>
      </c>
      <c r="J425" t="s">
        <v>205</v>
      </c>
      <c r="K425" t="s">
        <v>224</v>
      </c>
      <c r="L425" t="s">
        <v>325</v>
      </c>
      <c r="M425" t="s">
        <v>346</v>
      </c>
      <c r="N425" t="s">
        <v>500</v>
      </c>
      <c r="O425" t="s">
        <v>339</v>
      </c>
      <c r="P425" t="s">
        <v>1216</v>
      </c>
      <c r="Q425" s="131">
        <v>21950</v>
      </c>
      <c r="R425" s="131">
        <v>3.71</v>
      </c>
      <c r="S425" s="131">
        <v>6511</v>
      </c>
      <c r="U425" s="131">
        <v>5302.2</v>
      </c>
      <c r="V425" s="132">
        <v>4.0000000000000003E-5</v>
      </c>
      <c r="W425" s="132">
        <f t="shared" si="6"/>
        <v>1.096569230467564E-2</v>
      </c>
      <c r="X425" s="132">
        <v>1.8911782253461182E-3</v>
      </c>
    </row>
    <row r="426" spans="1:24">
      <c r="A426" t="s">
        <v>1213</v>
      </c>
      <c r="B426" s="4">
        <v>143</v>
      </c>
      <c r="C426" t="s">
        <v>3777</v>
      </c>
      <c r="D426" t="s">
        <v>3778</v>
      </c>
      <c r="E426" t="s">
        <v>80</v>
      </c>
      <c r="F426" t="s">
        <v>3779</v>
      </c>
      <c r="G426" t="s">
        <v>3780</v>
      </c>
      <c r="H426" t="s">
        <v>321</v>
      </c>
      <c r="I426" t="s">
        <v>917</v>
      </c>
      <c r="J426" t="s">
        <v>205</v>
      </c>
      <c r="K426" t="s">
        <v>224</v>
      </c>
      <c r="L426" t="s">
        <v>325</v>
      </c>
      <c r="M426" t="s">
        <v>344</v>
      </c>
      <c r="N426" t="s">
        <v>537</v>
      </c>
      <c r="O426" t="s">
        <v>339</v>
      </c>
      <c r="P426" t="s">
        <v>1216</v>
      </c>
      <c r="Q426" s="131">
        <v>46000</v>
      </c>
      <c r="R426" s="131">
        <v>3.71</v>
      </c>
      <c r="S426" s="131">
        <v>1157</v>
      </c>
      <c r="T426" s="131">
        <v>4.7149999999999999</v>
      </c>
      <c r="U426" s="131">
        <v>1992.029</v>
      </c>
      <c r="V426" s="132">
        <v>6.3000000000000003E-4</v>
      </c>
      <c r="W426" s="132">
        <f t="shared" si="6"/>
        <v>4.1197950050904739E-3</v>
      </c>
      <c r="X426" s="132">
        <v>7.1051296991022641E-4</v>
      </c>
    </row>
    <row r="427" spans="1:24">
      <c r="A427" t="s">
        <v>1213</v>
      </c>
      <c r="B427" s="4">
        <v>143</v>
      </c>
      <c r="C427" t="s">
        <v>3781</v>
      </c>
      <c r="D427" t="s">
        <v>3782</v>
      </c>
      <c r="E427" t="s">
        <v>80</v>
      </c>
      <c r="F427" t="s">
        <v>3783</v>
      </c>
      <c r="G427" t="s">
        <v>3784</v>
      </c>
      <c r="H427" t="s">
        <v>321</v>
      </c>
      <c r="I427" t="s">
        <v>917</v>
      </c>
      <c r="J427" t="s">
        <v>205</v>
      </c>
      <c r="K427" t="s">
        <v>224</v>
      </c>
      <c r="L427" t="s">
        <v>325</v>
      </c>
      <c r="M427" t="s">
        <v>346</v>
      </c>
      <c r="N427" t="s">
        <v>534</v>
      </c>
      <c r="O427" t="s">
        <v>339</v>
      </c>
      <c r="P427" t="s">
        <v>1216</v>
      </c>
      <c r="Q427" s="131">
        <v>597.25</v>
      </c>
      <c r="R427" s="131">
        <v>3.71</v>
      </c>
      <c r="S427" s="131">
        <v>0.06</v>
      </c>
      <c r="U427" s="131">
        <v>1E-3</v>
      </c>
      <c r="V427" s="132">
        <v>1.9000000000000001E-4</v>
      </c>
      <c r="W427" s="132">
        <f t="shared" si="6"/>
        <v>2.0681400748134057E-9</v>
      </c>
      <c r="X427" s="132">
        <v>3.5667802522464607E-10</v>
      </c>
    </row>
    <row r="428" spans="1:24">
      <c r="A428" t="s">
        <v>1213</v>
      </c>
      <c r="B428" s="4">
        <v>35011</v>
      </c>
      <c r="C428" t="s">
        <v>1573</v>
      </c>
      <c r="D428" t="s">
        <v>1574</v>
      </c>
      <c r="E428" t="s">
        <v>309</v>
      </c>
      <c r="F428" t="s">
        <v>1573</v>
      </c>
      <c r="G428" t="s">
        <v>3404</v>
      </c>
      <c r="H428" t="s">
        <v>321</v>
      </c>
      <c r="I428" t="s">
        <v>917</v>
      </c>
      <c r="J428" t="s">
        <v>204</v>
      </c>
      <c r="K428" t="s">
        <v>204</v>
      </c>
      <c r="L428" t="s">
        <v>325</v>
      </c>
      <c r="M428" t="s">
        <v>340</v>
      </c>
      <c r="N428" t="s">
        <v>448</v>
      </c>
      <c r="O428" t="s">
        <v>339</v>
      </c>
      <c r="P428" t="s">
        <v>1212</v>
      </c>
      <c r="Q428" s="131">
        <v>16445</v>
      </c>
      <c r="R428" s="131">
        <v>1</v>
      </c>
      <c r="S428" s="131">
        <v>3644</v>
      </c>
      <c r="U428" s="131">
        <v>599.25599999999997</v>
      </c>
      <c r="V428" s="132">
        <v>1.0000000000000001E-5</v>
      </c>
      <c r="W428" s="132">
        <f t="shared" si="6"/>
        <v>6.927707488056048E-2</v>
      </c>
      <c r="X428" s="132">
        <v>8.6828239669650923E-3</v>
      </c>
    </row>
    <row r="429" spans="1:24">
      <c r="A429" t="s">
        <v>1213</v>
      </c>
      <c r="B429" s="4">
        <v>35011</v>
      </c>
      <c r="C429" t="s">
        <v>1600</v>
      </c>
      <c r="D429" t="s">
        <v>1601</v>
      </c>
      <c r="E429" t="s">
        <v>309</v>
      </c>
      <c r="F429" t="s">
        <v>1600</v>
      </c>
      <c r="G429" t="s">
        <v>3406</v>
      </c>
      <c r="H429" t="s">
        <v>321</v>
      </c>
      <c r="I429" t="s">
        <v>917</v>
      </c>
      <c r="J429" t="s">
        <v>204</v>
      </c>
      <c r="K429" t="s">
        <v>204</v>
      </c>
      <c r="L429" t="s">
        <v>325</v>
      </c>
      <c r="M429" t="s">
        <v>340</v>
      </c>
      <c r="N429" t="s">
        <v>448</v>
      </c>
      <c r="O429" t="s">
        <v>339</v>
      </c>
      <c r="P429" t="s">
        <v>1212</v>
      </c>
      <c r="Q429" s="131">
        <v>15924</v>
      </c>
      <c r="R429" s="131">
        <v>1</v>
      </c>
      <c r="S429" s="131">
        <v>3729</v>
      </c>
      <c r="U429" s="131">
        <v>593.80600000000004</v>
      </c>
      <c r="V429" s="132">
        <v>1.0000000000000001E-5</v>
      </c>
      <c r="W429" s="132">
        <f t="shared" si="6"/>
        <v>6.8647026857513491E-2</v>
      </c>
      <c r="X429" s="132">
        <v>8.6038570636383684E-3</v>
      </c>
    </row>
    <row r="430" spans="1:24">
      <c r="A430" t="s">
        <v>1213</v>
      </c>
      <c r="B430" s="4">
        <v>35011</v>
      </c>
      <c r="C430" t="s">
        <v>3113</v>
      </c>
      <c r="D430" t="s">
        <v>3114</v>
      </c>
      <c r="E430" t="s">
        <v>309</v>
      </c>
      <c r="F430" t="s">
        <v>3113</v>
      </c>
      <c r="G430" t="s">
        <v>3413</v>
      </c>
      <c r="H430" t="s">
        <v>321</v>
      </c>
      <c r="I430" t="s">
        <v>917</v>
      </c>
      <c r="J430" t="s">
        <v>204</v>
      </c>
      <c r="K430" t="s">
        <v>204</v>
      </c>
      <c r="L430" t="s">
        <v>325</v>
      </c>
      <c r="M430" t="s">
        <v>340</v>
      </c>
      <c r="N430" t="s">
        <v>448</v>
      </c>
      <c r="O430" t="s">
        <v>339</v>
      </c>
      <c r="P430" t="s">
        <v>1212</v>
      </c>
      <c r="Q430" s="131">
        <v>15608</v>
      </c>
      <c r="R430" s="131">
        <v>1</v>
      </c>
      <c r="S430" s="131">
        <v>2085</v>
      </c>
      <c r="U430" s="131">
        <v>325.42700000000002</v>
      </c>
      <c r="V430" s="132">
        <v>1.0000000000000001E-5</v>
      </c>
      <c r="W430" s="132">
        <f t="shared" si="6"/>
        <v>3.7621034494700362E-2</v>
      </c>
      <c r="X430" s="132">
        <v>4.7152224676891832E-3</v>
      </c>
    </row>
    <row r="431" spans="1:24">
      <c r="A431" t="s">
        <v>1213</v>
      </c>
      <c r="B431" s="4">
        <v>35011</v>
      </c>
      <c r="C431" t="s">
        <v>2089</v>
      </c>
      <c r="D431" t="s">
        <v>2090</v>
      </c>
      <c r="E431" t="s">
        <v>309</v>
      </c>
      <c r="F431" t="s">
        <v>2089</v>
      </c>
      <c r="G431" t="s">
        <v>3405</v>
      </c>
      <c r="H431" t="s">
        <v>321</v>
      </c>
      <c r="I431" t="s">
        <v>917</v>
      </c>
      <c r="J431" t="s">
        <v>204</v>
      </c>
      <c r="K431" t="s">
        <v>204</v>
      </c>
      <c r="L431" t="s">
        <v>325</v>
      </c>
      <c r="M431" t="s">
        <v>340</v>
      </c>
      <c r="N431" t="s">
        <v>467</v>
      </c>
      <c r="O431" t="s">
        <v>339</v>
      </c>
      <c r="P431" t="s">
        <v>1212</v>
      </c>
      <c r="Q431" s="131">
        <v>4059</v>
      </c>
      <c r="R431" s="131">
        <v>1</v>
      </c>
      <c r="S431" s="131">
        <v>6629</v>
      </c>
      <c r="U431" s="131">
        <v>269.07100000000003</v>
      </c>
      <c r="V431" s="132">
        <v>0</v>
      </c>
      <c r="W431" s="132">
        <f t="shared" si="6"/>
        <v>3.1105991120968821E-2</v>
      </c>
      <c r="X431" s="132">
        <v>3.8986612192706701E-3</v>
      </c>
    </row>
    <row r="432" spans="1:24">
      <c r="A432" t="s">
        <v>1213</v>
      </c>
      <c r="B432" s="4">
        <v>35011</v>
      </c>
      <c r="C432" t="s">
        <v>2228</v>
      </c>
      <c r="D432" t="s">
        <v>2229</v>
      </c>
      <c r="E432" t="s">
        <v>309</v>
      </c>
      <c r="F432" t="s">
        <v>2228</v>
      </c>
      <c r="G432" t="s">
        <v>3439</v>
      </c>
      <c r="H432" t="s">
        <v>321</v>
      </c>
      <c r="I432" t="s">
        <v>917</v>
      </c>
      <c r="J432" t="s">
        <v>204</v>
      </c>
      <c r="K432" t="s">
        <v>204</v>
      </c>
      <c r="L432" t="s">
        <v>325</v>
      </c>
      <c r="M432" t="s">
        <v>340</v>
      </c>
      <c r="N432" t="s">
        <v>441</v>
      </c>
      <c r="O432" t="s">
        <v>339</v>
      </c>
      <c r="P432" t="s">
        <v>1212</v>
      </c>
      <c r="Q432" s="131">
        <v>3672.9</v>
      </c>
      <c r="R432" s="131">
        <v>1</v>
      </c>
      <c r="S432" s="131">
        <v>6254</v>
      </c>
      <c r="U432" s="131">
        <v>229.703</v>
      </c>
      <c r="V432" s="132">
        <v>3.0000000000000001E-5</v>
      </c>
      <c r="W432" s="132">
        <f t="shared" si="6"/>
        <v>2.6554847896874432E-2</v>
      </c>
      <c r="X432" s="132">
        <v>3.3282448797905782E-3</v>
      </c>
    </row>
    <row r="433" spans="1:24">
      <c r="A433" t="s">
        <v>1213</v>
      </c>
      <c r="B433" s="4">
        <v>35011</v>
      </c>
      <c r="C433" t="s">
        <v>3451</v>
      </c>
      <c r="D433" t="s">
        <v>3452</v>
      </c>
      <c r="E433" t="s">
        <v>309</v>
      </c>
      <c r="F433" t="s">
        <v>3453</v>
      </c>
      <c r="G433" t="s">
        <v>3454</v>
      </c>
      <c r="H433" t="s">
        <v>321</v>
      </c>
      <c r="I433" t="s">
        <v>917</v>
      </c>
      <c r="J433" t="s">
        <v>204</v>
      </c>
      <c r="K433" t="s">
        <v>204</v>
      </c>
      <c r="L433" t="s">
        <v>325</v>
      </c>
      <c r="M433" t="s">
        <v>340</v>
      </c>
      <c r="N433" t="s">
        <v>448</v>
      </c>
      <c r="O433" t="s">
        <v>339</v>
      </c>
      <c r="P433" t="s">
        <v>1212</v>
      </c>
      <c r="Q433" s="131">
        <v>1397</v>
      </c>
      <c r="R433" s="131">
        <v>1</v>
      </c>
      <c r="S433" s="131">
        <v>15410</v>
      </c>
      <c r="U433" s="131">
        <v>215.27799999999999</v>
      </c>
      <c r="V433" s="132">
        <v>1.0000000000000001E-5</v>
      </c>
      <c r="W433" s="132">
        <f t="shared" si="6"/>
        <v>2.4887243725782136E-2</v>
      </c>
      <c r="X433" s="132">
        <v>3.1192361494258064E-3</v>
      </c>
    </row>
    <row r="434" spans="1:24">
      <c r="A434" t="s">
        <v>1213</v>
      </c>
      <c r="B434" s="4">
        <v>35011</v>
      </c>
      <c r="C434" t="s">
        <v>2812</v>
      </c>
      <c r="D434" t="s">
        <v>2813</v>
      </c>
      <c r="E434" t="s">
        <v>309</v>
      </c>
      <c r="F434" t="s">
        <v>2812</v>
      </c>
      <c r="G434" t="s">
        <v>3637</v>
      </c>
      <c r="H434" t="s">
        <v>321</v>
      </c>
      <c r="I434" t="s">
        <v>917</v>
      </c>
      <c r="J434" t="s">
        <v>204</v>
      </c>
      <c r="K434" t="s">
        <v>204</v>
      </c>
      <c r="L434" t="s">
        <v>325</v>
      </c>
      <c r="M434" t="s">
        <v>340</v>
      </c>
      <c r="N434" t="s">
        <v>447</v>
      </c>
      <c r="O434" t="s">
        <v>339</v>
      </c>
      <c r="P434" t="s">
        <v>1212</v>
      </c>
      <c r="Q434" s="131">
        <v>883</v>
      </c>
      <c r="R434" s="131">
        <v>1</v>
      </c>
      <c r="S434" s="131">
        <v>24250</v>
      </c>
      <c r="U434" s="131">
        <v>214.12799999999999</v>
      </c>
      <c r="V434" s="132">
        <v>6.9999999999999994E-5</v>
      </c>
      <c r="W434" s="132">
        <f t="shared" si="6"/>
        <v>2.4754297812662127E-2</v>
      </c>
      <c r="X434" s="132">
        <v>3.1025734083568643E-3</v>
      </c>
    </row>
    <row r="435" spans="1:24">
      <c r="A435" t="s">
        <v>1213</v>
      </c>
      <c r="B435" s="4">
        <v>35011</v>
      </c>
      <c r="C435" t="s">
        <v>2361</v>
      </c>
      <c r="D435" t="s">
        <v>2362</v>
      </c>
      <c r="E435" t="s">
        <v>309</v>
      </c>
      <c r="F435" t="s">
        <v>2361</v>
      </c>
      <c r="G435" t="s">
        <v>3440</v>
      </c>
      <c r="H435" t="s">
        <v>321</v>
      </c>
      <c r="I435" t="s">
        <v>917</v>
      </c>
      <c r="J435" t="s">
        <v>204</v>
      </c>
      <c r="K435" t="s">
        <v>204</v>
      </c>
      <c r="L435" t="s">
        <v>325</v>
      </c>
      <c r="M435" t="s">
        <v>340</v>
      </c>
      <c r="N435" t="s">
        <v>446</v>
      </c>
      <c r="O435" t="s">
        <v>339</v>
      </c>
      <c r="P435" t="s">
        <v>1212</v>
      </c>
      <c r="Q435" s="131">
        <v>270</v>
      </c>
      <c r="R435" s="131">
        <v>1</v>
      </c>
      <c r="S435" s="131">
        <v>74080</v>
      </c>
      <c r="U435" s="131">
        <v>200.01599999999999</v>
      </c>
      <c r="V435" s="132">
        <v>1.0000000000000001E-5</v>
      </c>
      <c r="W435" s="132">
        <f t="shared" si="6"/>
        <v>2.3122878050966841E-2</v>
      </c>
      <c r="X435" s="132">
        <v>2.8980998414308576E-3</v>
      </c>
    </row>
    <row r="436" spans="1:24">
      <c r="A436" t="s">
        <v>1213</v>
      </c>
      <c r="B436" s="4">
        <v>35011</v>
      </c>
      <c r="C436" t="s">
        <v>2428</v>
      </c>
      <c r="D436" t="s">
        <v>2429</v>
      </c>
      <c r="E436" t="s">
        <v>309</v>
      </c>
      <c r="F436" t="s">
        <v>2428</v>
      </c>
      <c r="G436" t="s">
        <v>3459</v>
      </c>
      <c r="H436" t="s">
        <v>321</v>
      </c>
      <c r="I436" t="s">
        <v>917</v>
      </c>
      <c r="J436" t="s">
        <v>204</v>
      </c>
      <c r="K436" t="s">
        <v>204</v>
      </c>
      <c r="L436" t="s">
        <v>325</v>
      </c>
      <c r="M436" t="s">
        <v>340</v>
      </c>
      <c r="N436" t="s">
        <v>454</v>
      </c>
      <c r="O436" t="s">
        <v>339</v>
      </c>
      <c r="P436" t="s">
        <v>1212</v>
      </c>
      <c r="Q436" s="131">
        <v>105158.39999999999</v>
      </c>
      <c r="R436" s="131">
        <v>1</v>
      </c>
      <c r="S436" s="131">
        <v>161.9</v>
      </c>
      <c r="U436" s="131">
        <v>170.251</v>
      </c>
      <c r="V436" s="132">
        <v>4.0000000000000003E-5</v>
      </c>
      <c r="W436" s="132">
        <f t="shared" si="6"/>
        <v>1.968189100399546E-2</v>
      </c>
      <c r="X436" s="132">
        <v>2.4668246345464608E-3</v>
      </c>
    </row>
    <row r="437" spans="1:24">
      <c r="A437" t="s">
        <v>1213</v>
      </c>
      <c r="B437" s="4">
        <v>35011</v>
      </c>
      <c r="C437" t="s">
        <v>3410</v>
      </c>
      <c r="D437" t="s">
        <v>3411</v>
      </c>
      <c r="E437" t="s">
        <v>309</v>
      </c>
      <c r="F437" t="s">
        <v>3410</v>
      </c>
      <c r="G437" t="s">
        <v>3412</v>
      </c>
      <c r="H437" t="s">
        <v>321</v>
      </c>
      <c r="I437" t="s">
        <v>917</v>
      </c>
      <c r="J437" t="s">
        <v>204</v>
      </c>
      <c r="K437" t="s">
        <v>204</v>
      </c>
      <c r="L437" t="s">
        <v>325</v>
      </c>
      <c r="M437" t="s">
        <v>340</v>
      </c>
      <c r="N437" t="s">
        <v>480</v>
      </c>
      <c r="O437" t="s">
        <v>339</v>
      </c>
      <c r="P437" t="s">
        <v>1212</v>
      </c>
      <c r="Q437" s="131">
        <v>256</v>
      </c>
      <c r="R437" s="131">
        <v>1</v>
      </c>
      <c r="S437" s="131">
        <v>64880</v>
      </c>
      <c r="U437" s="131">
        <v>166.09299999999999</v>
      </c>
      <c r="V437" s="132">
        <v>0</v>
      </c>
      <c r="W437" s="132">
        <f t="shared" si="6"/>
        <v>1.9201204824210241E-2</v>
      </c>
      <c r="X437" s="132">
        <v>2.4065779585771907E-3</v>
      </c>
    </row>
    <row r="438" spans="1:24">
      <c r="A438" t="s">
        <v>1213</v>
      </c>
      <c r="B438" s="4">
        <v>35011</v>
      </c>
      <c r="C438" t="s">
        <v>2436</v>
      </c>
      <c r="D438" t="s">
        <v>2437</v>
      </c>
      <c r="E438" t="s">
        <v>309</v>
      </c>
      <c r="F438" t="s">
        <v>2436</v>
      </c>
      <c r="G438" t="s">
        <v>3426</v>
      </c>
      <c r="H438" t="s">
        <v>321</v>
      </c>
      <c r="I438" t="s">
        <v>917</v>
      </c>
      <c r="J438" t="s">
        <v>204</v>
      </c>
      <c r="K438" t="s">
        <v>204</v>
      </c>
      <c r="L438" t="s">
        <v>325</v>
      </c>
      <c r="M438" t="s">
        <v>340</v>
      </c>
      <c r="N438" t="s">
        <v>475</v>
      </c>
      <c r="O438" t="s">
        <v>339</v>
      </c>
      <c r="P438" t="s">
        <v>1212</v>
      </c>
      <c r="Q438" s="131">
        <v>4982</v>
      </c>
      <c r="R438" s="131">
        <v>1</v>
      </c>
      <c r="S438" s="131">
        <v>3310</v>
      </c>
      <c r="U438" s="131">
        <v>164.904</v>
      </c>
      <c r="V438" s="132">
        <v>2.0000000000000002E-5</v>
      </c>
      <c r="W438" s="132">
        <f t="shared" si="6"/>
        <v>1.9063750310558337E-2</v>
      </c>
      <c r="X438" s="132">
        <v>2.389350133245911E-3</v>
      </c>
    </row>
    <row r="439" spans="1:24">
      <c r="A439" t="s">
        <v>1213</v>
      </c>
      <c r="B439" s="4">
        <v>35011</v>
      </c>
      <c r="C439" t="s">
        <v>2145</v>
      </c>
      <c r="D439" t="s">
        <v>2146</v>
      </c>
      <c r="E439" t="s">
        <v>309</v>
      </c>
      <c r="F439" t="s">
        <v>3612</v>
      </c>
      <c r="G439" t="s">
        <v>3613</v>
      </c>
      <c r="H439" t="s">
        <v>321</v>
      </c>
      <c r="I439" t="s">
        <v>917</v>
      </c>
      <c r="J439" t="s">
        <v>204</v>
      </c>
      <c r="K439" t="s">
        <v>204</v>
      </c>
      <c r="L439" t="s">
        <v>325</v>
      </c>
      <c r="M439" t="s">
        <v>340</v>
      </c>
      <c r="N439" t="s">
        <v>445</v>
      </c>
      <c r="O439" t="s">
        <v>339</v>
      </c>
      <c r="P439" t="s">
        <v>1212</v>
      </c>
      <c r="Q439" s="131">
        <v>2556</v>
      </c>
      <c r="R439" s="131">
        <v>1</v>
      </c>
      <c r="S439" s="131">
        <v>6329</v>
      </c>
      <c r="U439" s="131">
        <v>161.76900000000001</v>
      </c>
      <c r="V439" s="132">
        <v>3.0000000000000001E-5</v>
      </c>
      <c r="W439" s="132">
        <f t="shared" si="6"/>
        <v>1.8701328190879007E-2</v>
      </c>
      <c r="X439" s="132">
        <v>2.3439260521579694E-3</v>
      </c>
    </row>
    <row r="440" spans="1:24">
      <c r="A440" t="s">
        <v>1213</v>
      </c>
      <c r="B440" s="4">
        <v>35011</v>
      </c>
      <c r="C440" t="s">
        <v>3415</v>
      </c>
      <c r="D440" t="s">
        <v>3416</v>
      </c>
      <c r="E440" t="s">
        <v>309</v>
      </c>
      <c r="F440" t="s">
        <v>3415</v>
      </c>
      <c r="G440" t="s">
        <v>3417</v>
      </c>
      <c r="H440" t="s">
        <v>321</v>
      </c>
      <c r="I440" t="s">
        <v>917</v>
      </c>
      <c r="J440" t="s">
        <v>204</v>
      </c>
      <c r="K440" t="s">
        <v>204</v>
      </c>
      <c r="L440" t="s">
        <v>325</v>
      </c>
      <c r="M440" t="s">
        <v>340</v>
      </c>
      <c r="N440" t="s">
        <v>458</v>
      </c>
      <c r="O440" t="s">
        <v>339</v>
      </c>
      <c r="P440" t="s">
        <v>1212</v>
      </c>
      <c r="Q440" s="131">
        <v>207</v>
      </c>
      <c r="R440" s="131">
        <v>1</v>
      </c>
      <c r="S440" s="131">
        <v>77890</v>
      </c>
      <c r="U440" s="131">
        <v>161.232</v>
      </c>
      <c r="V440" s="132">
        <v>1.0000000000000001E-5</v>
      </c>
      <c r="W440" s="132">
        <f t="shared" si="6"/>
        <v>1.8639248229709051E-2</v>
      </c>
      <c r="X440" s="132">
        <v>2.3361452765457763E-3</v>
      </c>
    </row>
    <row r="441" spans="1:24">
      <c r="A441" t="s">
        <v>1213</v>
      </c>
      <c r="B441" s="4">
        <v>35011</v>
      </c>
      <c r="C441" t="s">
        <v>2238</v>
      </c>
      <c r="D441" t="s">
        <v>2239</v>
      </c>
      <c r="E441" t="s">
        <v>309</v>
      </c>
      <c r="F441" t="s">
        <v>2238</v>
      </c>
      <c r="G441" t="s">
        <v>3785</v>
      </c>
      <c r="H441" t="s">
        <v>321</v>
      </c>
      <c r="I441" t="s">
        <v>917</v>
      </c>
      <c r="J441" t="s">
        <v>204</v>
      </c>
      <c r="K441" t="s">
        <v>204</v>
      </c>
      <c r="L441" t="s">
        <v>325</v>
      </c>
      <c r="M441" t="s">
        <v>340</v>
      </c>
      <c r="N441" t="s">
        <v>447</v>
      </c>
      <c r="O441" t="s">
        <v>339</v>
      </c>
      <c r="P441" t="s">
        <v>1212</v>
      </c>
      <c r="Q441" s="131">
        <v>474</v>
      </c>
      <c r="R441" s="131">
        <v>1</v>
      </c>
      <c r="S441" s="131">
        <v>33200</v>
      </c>
      <c r="U441" s="131">
        <v>157.36799999999999</v>
      </c>
      <c r="V441" s="132">
        <v>2.0000000000000002E-5</v>
      </c>
      <c r="W441" s="132">
        <f t="shared" si="6"/>
        <v>1.8192549961625819E-2</v>
      </c>
      <c r="X441" s="132">
        <v>2.2801584665541317E-3</v>
      </c>
    </row>
    <row r="442" spans="1:24">
      <c r="A442" t="s">
        <v>1213</v>
      </c>
      <c r="B442" s="4">
        <v>35011</v>
      </c>
      <c r="C442" t="s">
        <v>2866</v>
      </c>
      <c r="D442" t="s">
        <v>2867</v>
      </c>
      <c r="E442" t="s">
        <v>309</v>
      </c>
      <c r="F442" t="s">
        <v>2866</v>
      </c>
      <c r="G442" t="s">
        <v>3663</v>
      </c>
      <c r="H442" t="s">
        <v>321</v>
      </c>
      <c r="I442" t="s">
        <v>917</v>
      </c>
      <c r="J442" t="s">
        <v>204</v>
      </c>
      <c r="K442" t="s">
        <v>204</v>
      </c>
      <c r="L442" t="s">
        <v>325</v>
      </c>
      <c r="M442" t="s">
        <v>340</v>
      </c>
      <c r="N442" t="s">
        <v>464</v>
      </c>
      <c r="O442" t="s">
        <v>339</v>
      </c>
      <c r="P442" t="s">
        <v>1212</v>
      </c>
      <c r="Q442" s="131">
        <v>36559</v>
      </c>
      <c r="R442" s="131">
        <v>1</v>
      </c>
      <c r="S442" s="131">
        <v>399.6</v>
      </c>
      <c r="U442" s="131">
        <v>146.09</v>
      </c>
      <c r="V442" s="132">
        <v>2.5000000000000001E-4</v>
      </c>
      <c r="W442" s="132">
        <f t="shared" si="6"/>
        <v>1.6888755171914977E-2</v>
      </c>
      <c r="X442" s="132">
        <v>2.1167476893580212E-3</v>
      </c>
    </row>
    <row r="443" spans="1:24">
      <c r="A443" t="s">
        <v>1213</v>
      </c>
      <c r="B443" s="4">
        <v>35011</v>
      </c>
      <c r="C443" t="s">
        <v>1674</v>
      </c>
      <c r="D443" t="s">
        <v>1675</v>
      </c>
      <c r="E443" t="s">
        <v>309</v>
      </c>
      <c r="F443" t="s">
        <v>1674</v>
      </c>
      <c r="G443" t="s">
        <v>3464</v>
      </c>
      <c r="H443" t="s">
        <v>321</v>
      </c>
      <c r="I443" t="s">
        <v>917</v>
      </c>
      <c r="J443" t="s">
        <v>204</v>
      </c>
      <c r="K443" t="s">
        <v>204</v>
      </c>
      <c r="L443" t="s">
        <v>325</v>
      </c>
      <c r="M443" t="s">
        <v>340</v>
      </c>
      <c r="N443" t="s">
        <v>464</v>
      </c>
      <c r="O443" t="s">
        <v>339</v>
      </c>
      <c r="P443" t="s">
        <v>1212</v>
      </c>
      <c r="Q443" s="131">
        <v>352</v>
      </c>
      <c r="R443" s="131">
        <v>1</v>
      </c>
      <c r="S443" s="131">
        <v>41490</v>
      </c>
      <c r="U443" s="131">
        <v>146.04499999999999</v>
      </c>
      <c r="V443" s="132">
        <v>1.0000000000000001E-5</v>
      </c>
      <c r="W443" s="132">
        <f t="shared" si="6"/>
        <v>1.6883552940532016E-2</v>
      </c>
      <c r="X443" s="132">
        <v>2.1160956690553234E-3</v>
      </c>
    </row>
    <row r="444" spans="1:24">
      <c r="A444" t="s">
        <v>1213</v>
      </c>
      <c r="B444" s="4">
        <v>35011</v>
      </c>
      <c r="C444" t="s">
        <v>1986</v>
      </c>
      <c r="D444" t="s">
        <v>1987</v>
      </c>
      <c r="E444" t="s">
        <v>309</v>
      </c>
      <c r="F444" t="s">
        <v>1986</v>
      </c>
      <c r="G444" t="s">
        <v>3445</v>
      </c>
      <c r="H444" t="s">
        <v>321</v>
      </c>
      <c r="I444" t="s">
        <v>917</v>
      </c>
      <c r="J444" t="s">
        <v>204</v>
      </c>
      <c r="K444" t="s">
        <v>204</v>
      </c>
      <c r="L444" t="s">
        <v>325</v>
      </c>
      <c r="M444" t="s">
        <v>340</v>
      </c>
      <c r="N444" t="s">
        <v>484</v>
      </c>
      <c r="O444" t="s">
        <v>339</v>
      </c>
      <c r="P444" t="s">
        <v>1212</v>
      </c>
      <c r="Q444" s="131">
        <v>28309</v>
      </c>
      <c r="R444" s="131">
        <v>1</v>
      </c>
      <c r="S444" s="131">
        <v>428.6</v>
      </c>
      <c r="T444" s="131">
        <v>4.1630000000000003</v>
      </c>
      <c r="U444" s="131">
        <v>125.495</v>
      </c>
      <c r="V444" s="132">
        <v>1.0000000000000001E-5</v>
      </c>
      <c r="W444" s="132">
        <f t="shared" si="6"/>
        <v>1.4507867275648368E-2</v>
      </c>
      <c r="X444" s="132">
        <v>1.8183397308233614E-3</v>
      </c>
    </row>
    <row r="445" spans="1:24">
      <c r="A445" t="s">
        <v>1213</v>
      </c>
      <c r="B445" s="4">
        <v>35011</v>
      </c>
      <c r="C445" t="s">
        <v>1861</v>
      </c>
      <c r="D445" t="s">
        <v>1862</v>
      </c>
      <c r="E445" t="s">
        <v>309</v>
      </c>
      <c r="F445" t="s">
        <v>1861</v>
      </c>
      <c r="G445" t="s">
        <v>3460</v>
      </c>
      <c r="H445" t="s">
        <v>321</v>
      </c>
      <c r="I445" t="s">
        <v>917</v>
      </c>
      <c r="J445" t="s">
        <v>204</v>
      </c>
      <c r="K445" t="s">
        <v>204</v>
      </c>
      <c r="L445" t="s">
        <v>325</v>
      </c>
      <c r="M445" t="s">
        <v>340</v>
      </c>
      <c r="N445" t="s">
        <v>464</v>
      </c>
      <c r="O445" t="s">
        <v>339</v>
      </c>
      <c r="P445" t="s">
        <v>1212</v>
      </c>
      <c r="Q445" s="131">
        <v>442</v>
      </c>
      <c r="R445" s="131">
        <v>1</v>
      </c>
      <c r="S445" s="131">
        <v>28210</v>
      </c>
      <c r="U445" s="131">
        <v>124.688</v>
      </c>
      <c r="V445" s="132">
        <v>1.0000000000000001E-5</v>
      </c>
      <c r="W445" s="132">
        <f t="shared" si="6"/>
        <v>1.4414573926180674E-2</v>
      </c>
      <c r="X445" s="132">
        <v>1.8066468333949822E-3</v>
      </c>
    </row>
    <row r="446" spans="1:24">
      <c r="A446" t="s">
        <v>1213</v>
      </c>
      <c r="B446" s="4">
        <v>35011</v>
      </c>
      <c r="C446" t="s">
        <v>1737</v>
      </c>
      <c r="D446" t="s">
        <v>1738</v>
      </c>
      <c r="E446" t="s">
        <v>309</v>
      </c>
      <c r="F446" t="s">
        <v>3530</v>
      </c>
      <c r="G446" t="s">
        <v>3531</v>
      </c>
      <c r="H446" t="s">
        <v>321</v>
      </c>
      <c r="I446" t="s">
        <v>917</v>
      </c>
      <c r="J446" t="s">
        <v>204</v>
      </c>
      <c r="K446" t="s">
        <v>204</v>
      </c>
      <c r="L446" t="s">
        <v>325</v>
      </c>
      <c r="M446" t="s">
        <v>340</v>
      </c>
      <c r="N446" t="s">
        <v>447</v>
      </c>
      <c r="O446" t="s">
        <v>339</v>
      </c>
      <c r="P446" t="s">
        <v>1212</v>
      </c>
      <c r="Q446" s="131">
        <v>7658</v>
      </c>
      <c r="R446" s="131">
        <v>1</v>
      </c>
      <c r="S446" s="131">
        <v>1628</v>
      </c>
      <c r="U446" s="131">
        <v>124.672</v>
      </c>
      <c r="V446" s="132">
        <v>1.2E-4</v>
      </c>
      <c r="W446" s="132">
        <f t="shared" si="6"/>
        <v>1.4412724243911178E-2</v>
      </c>
      <c r="X446" s="132">
        <v>1.8064150039540229E-3</v>
      </c>
    </row>
    <row r="447" spans="1:24">
      <c r="A447" t="s">
        <v>1213</v>
      </c>
      <c r="B447" s="4">
        <v>35011</v>
      </c>
      <c r="C447" t="s">
        <v>2404</v>
      </c>
      <c r="D447" t="s">
        <v>2405</v>
      </c>
      <c r="E447" t="s">
        <v>309</v>
      </c>
      <c r="F447" t="s">
        <v>2404</v>
      </c>
      <c r="G447" t="s">
        <v>3418</v>
      </c>
      <c r="H447" t="s">
        <v>321</v>
      </c>
      <c r="I447" t="s">
        <v>917</v>
      </c>
      <c r="J447" t="s">
        <v>204</v>
      </c>
      <c r="K447" t="s">
        <v>204</v>
      </c>
      <c r="L447" t="s">
        <v>325</v>
      </c>
      <c r="M447" t="s">
        <v>340</v>
      </c>
      <c r="N447" t="s">
        <v>440</v>
      </c>
      <c r="O447" t="s">
        <v>339</v>
      </c>
      <c r="P447" t="s">
        <v>1212</v>
      </c>
      <c r="Q447" s="131">
        <v>4087</v>
      </c>
      <c r="R447" s="131">
        <v>1</v>
      </c>
      <c r="S447" s="131">
        <v>3016</v>
      </c>
      <c r="U447" s="131">
        <v>123.264</v>
      </c>
      <c r="V447" s="132">
        <v>2.0000000000000002E-5</v>
      </c>
      <c r="W447" s="132">
        <f t="shared" si="6"/>
        <v>1.4249952204195547E-2</v>
      </c>
      <c r="X447" s="132">
        <v>1.786014013149614E-3</v>
      </c>
    </row>
    <row r="448" spans="1:24">
      <c r="A448" t="s">
        <v>1213</v>
      </c>
      <c r="B448" s="4">
        <v>35011</v>
      </c>
      <c r="C448" t="s">
        <v>2348</v>
      </c>
      <c r="D448" t="s">
        <v>2349</v>
      </c>
      <c r="E448" t="s">
        <v>309</v>
      </c>
      <c r="F448" t="s">
        <v>2348</v>
      </c>
      <c r="G448" t="s">
        <v>3446</v>
      </c>
      <c r="H448" t="s">
        <v>321</v>
      </c>
      <c r="I448" t="s">
        <v>917</v>
      </c>
      <c r="J448" t="s">
        <v>204</v>
      </c>
      <c r="K448" t="s">
        <v>204</v>
      </c>
      <c r="L448" t="s">
        <v>325</v>
      </c>
      <c r="M448" t="s">
        <v>340</v>
      </c>
      <c r="N448" t="s">
        <v>456</v>
      </c>
      <c r="O448" t="s">
        <v>339</v>
      </c>
      <c r="P448" t="s">
        <v>1212</v>
      </c>
      <c r="Q448" s="131">
        <v>7732</v>
      </c>
      <c r="R448" s="131">
        <v>1</v>
      </c>
      <c r="S448" s="131">
        <v>1588</v>
      </c>
      <c r="U448" s="131">
        <v>122.78400000000001</v>
      </c>
      <c r="V448" s="132">
        <v>1.0000000000000001E-5</v>
      </c>
      <c r="W448" s="132">
        <f t="shared" si="6"/>
        <v>1.4194461736110676E-2</v>
      </c>
      <c r="X448" s="132">
        <v>1.7790591299208386E-3</v>
      </c>
    </row>
    <row r="449" spans="1:24">
      <c r="A449" t="s">
        <v>1213</v>
      </c>
      <c r="B449" s="4">
        <v>35011</v>
      </c>
      <c r="C449" t="s">
        <v>1807</v>
      </c>
      <c r="D449" t="s">
        <v>1808</v>
      </c>
      <c r="E449" t="s">
        <v>309</v>
      </c>
      <c r="F449" t="s">
        <v>1807</v>
      </c>
      <c r="G449" t="s">
        <v>3409</v>
      </c>
      <c r="H449" t="s">
        <v>321</v>
      </c>
      <c r="I449" t="s">
        <v>917</v>
      </c>
      <c r="J449" t="s">
        <v>204</v>
      </c>
      <c r="K449" t="s">
        <v>204</v>
      </c>
      <c r="L449" t="s">
        <v>325</v>
      </c>
      <c r="M449" t="s">
        <v>340</v>
      </c>
      <c r="N449" t="s">
        <v>464</v>
      </c>
      <c r="O449" t="s">
        <v>339</v>
      </c>
      <c r="P449" t="s">
        <v>1212</v>
      </c>
      <c r="Q449" s="131">
        <v>466</v>
      </c>
      <c r="R449" s="131">
        <v>1</v>
      </c>
      <c r="S449" s="131">
        <v>25940</v>
      </c>
      <c r="U449" s="131">
        <v>120.88</v>
      </c>
      <c r="V449" s="132">
        <v>0</v>
      </c>
      <c r="W449" s="132">
        <f t="shared" si="6"/>
        <v>1.3974349546040675E-2</v>
      </c>
      <c r="X449" s="132">
        <v>1.7514714264466945E-3</v>
      </c>
    </row>
    <row r="450" spans="1:24">
      <c r="A450" t="s">
        <v>1213</v>
      </c>
      <c r="B450" s="4">
        <v>35011</v>
      </c>
      <c r="C450" t="s">
        <v>1881</v>
      </c>
      <c r="D450" t="s">
        <v>1882</v>
      </c>
      <c r="E450" t="s">
        <v>309</v>
      </c>
      <c r="F450" t="s">
        <v>3407</v>
      </c>
      <c r="G450" t="s">
        <v>3408</v>
      </c>
      <c r="H450" t="s">
        <v>321</v>
      </c>
      <c r="I450" t="s">
        <v>917</v>
      </c>
      <c r="J450" t="s">
        <v>204</v>
      </c>
      <c r="K450" t="s">
        <v>204</v>
      </c>
      <c r="L450" t="s">
        <v>325</v>
      </c>
      <c r="M450" t="s">
        <v>340</v>
      </c>
      <c r="N450" t="s">
        <v>448</v>
      </c>
      <c r="O450" t="s">
        <v>339</v>
      </c>
      <c r="P450" t="s">
        <v>1212</v>
      </c>
      <c r="Q450" s="131">
        <v>800</v>
      </c>
      <c r="R450" s="131">
        <v>1</v>
      </c>
      <c r="S450" s="131">
        <v>14550</v>
      </c>
      <c r="U450" s="131">
        <v>116.4</v>
      </c>
      <c r="V450" s="132">
        <v>0</v>
      </c>
      <c r="W450" s="132">
        <f t="shared" si="6"/>
        <v>1.3456438510581856E-2</v>
      </c>
      <c r="X450" s="132">
        <v>1.686559182978121E-3</v>
      </c>
    </row>
    <row r="451" spans="1:24">
      <c r="A451" t="s">
        <v>1213</v>
      </c>
      <c r="B451" s="4">
        <v>35011</v>
      </c>
      <c r="C451" t="s">
        <v>2211</v>
      </c>
      <c r="D451" t="s">
        <v>2212</v>
      </c>
      <c r="E451" t="s">
        <v>309</v>
      </c>
      <c r="F451" t="s">
        <v>2211</v>
      </c>
      <c r="G451" t="s">
        <v>3617</v>
      </c>
      <c r="H451" t="s">
        <v>321</v>
      </c>
      <c r="I451" t="s">
        <v>917</v>
      </c>
      <c r="J451" t="s">
        <v>204</v>
      </c>
      <c r="K451" t="s">
        <v>204</v>
      </c>
      <c r="L451" t="s">
        <v>325</v>
      </c>
      <c r="M451" t="s">
        <v>340</v>
      </c>
      <c r="N451" t="s">
        <v>454</v>
      </c>
      <c r="O451" t="s">
        <v>339</v>
      </c>
      <c r="P451" t="s">
        <v>1212</v>
      </c>
      <c r="Q451" s="131">
        <v>202</v>
      </c>
      <c r="R451" s="131">
        <v>1</v>
      </c>
      <c r="S451" s="131">
        <v>43600</v>
      </c>
      <c r="U451" s="131">
        <v>88.072000000000003</v>
      </c>
      <c r="V451" s="132">
        <v>1.0000000000000001E-5</v>
      </c>
      <c r="W451" s="132">
        <f t="shared" ref="W451:W514" si="7">U451/SUMIF(B:B,B451,U:U)</f>
        <v>1.0181576052439564E-2</v>
      </c>
      <c r="X451" s="132">
        <v>1.2761051577598716E-3</v>
      </c>
    </row>
    <row r="452" spans="1:24">
      <c r="A452" t="s">
        <v>1213</v>
      </c>
      <c r="B452" s="4">
        <v>35011</v>
      </c>
      <c r="C452" t="s">
        <v>3683</v>
      </c>
      <c r="D452" t="s">
        <v>3684</v>
      </c>
      <c r="E452" t="s">
        <v>309</v>
      </c>
      <c r="F452" t="s">
        <v>3683</v>
      </c>
      <c r="G452" t="s">
        <v>3685</v>
      </c>
      <c r="H452" t="s">
        <v>321</v>
      </c>
      <c r="I452" t="s">
        <v>917</v>
      </c>
      <c r="J452" t="s">
        <v>204</v>
      </c>
      <c r="K452" t="s">
        <v>204</v>
      </c>
      <c r="L452" t="s">
        <v>325</v>
      </c>
      <c r="M452" t="s">
        <v>340</v>
      </c>
      <c r="N452" t="s">
        <v>451</v>
      </c>
      <c r="O452" t="s">
        <v>339</v>
      </c>
      <c r="P452" t="s">
        <v>1212</v>
      </c>
      <c r="Q452" s="131">
        <v>16881</v>
      </c>
      <c r="R452" s="131">
        <v>1</v>
      </c>
      <c r="S452" s="131">
        <v>512</v>
      </c>
      <c r="U452" s="131">
        <v>86.430999999999997</v>
      </c>
      <c r="V452" s="132">
        <v>9.0000000000000006E-5</v>
      </c>
      <c r="W452" s="132">
        <f t="shared" si="7"/>
        <v>9.9918680146744016E-3</v>
      </c>
      <c r="X452" s="132">
        <v>1.2523281507214946E-3</v>
      </c>
    </row>
    <row r="453" spans="1:24">
      <c r="A453" t="s">
        <v>1213</v>
      </c>
      <c r="B453" s="4">
        <v>35011</v>
      </c>
      <c r="C453" t="s">
        <v>3423</v>
      </c>
      <c r="D453" t="s">
        <v>3424</v>
      </c>
      <c r="E453" t="s">
        <v>309</v>
      </c>
      <c r="F453" t="s">
        <v>3423</v>
      </c>
      <c r="G453" t="s">
        <v>3425</v>
      </c>
      <c r="H453" t="s">
        <v>321</v>
      </c>
      <c r="I453" t="s">
        <v>917</v>
      </c>
      <c r="J453" t="s">
        <v>204</v>
      </c>
      <c r="K453" t="s">
        <v>204</v>
      </c>
      <c r="L453" t="s">
        <v>325</v>
      </c>
      <c r="M453" t="s">
        <v>340</v>
      </c>
      <c r="N453" t="s">
        <v>458</v>
      </c>
      <c r="O453" t="s">
        <v>339</v>
      </c>
      <c r="P453" t="s">
        <v>1212</v>
      </c>
      <c r="Q453" s="131">
        <v>491</v>
      </c>
      <c r="R453" s="131">
        <v>1</v>
      </c>
      <c r="S453" s="131">
        <v>16470</v>
      </c>
      <c r="U453" s="131">
        <v>80.867999999999995</v>
      </c>
      <c r="V453" s="132">
        <v>0</v>
      </c>
      <c r="W453" s="132">
        <f t="shared" si="7"/>
        <v>9.3487566105990849E-3</v>
      </c>
      <c r="X453" s="132">
        <v>1.1717239519679955E-3</v>
      </c>
    </row>
    <row r="454" spans="1:24">
      <c r="A454" t="s">
        <v>1213</v>
      </c>
      <c r="B454" s="4">
        <v>35011</v>
      </c>
      <c r="C454" t="s">
        <v>3461</v>
      </c>
      <c r="D454" t="s">
        <v>3462</v>
      </c>
      <c r="E454" t="s">
        <v>309</v>
      </c>
      <c r="F454" t="s">
        <v>3461</v>
      </c>
      <c r="G454" t="s">
        <v>3463</v>
      </c>
      <c r="H454" t="s">
        <v>321</v>
      </c>
      <c r="I454" t="s">
        <v>917</v>
      </c>
      <c r="J454" t="s">
        <v>204</v>
      </c>
      <c r="K454" t="s">
        <v>204</v>
      </c>
      <c r="L454" t="s">
        <v>325</v>
      </c>
      <c r="M454" t="s">
        <v>340</v>
      </c>
      <c r="N454" t="s">
        <v>475</v>
      </c>
      <c r="O454" t="s">
        <v>339</v>
      </c>
      <c r="P454" t="s">
        <v>1212</v>
      </c>
      <c r="Q454" s="131">
        <v>281</v>
      </c>
      <c r="R454" s="131">
        <v>1</v>
      </c>
      <c r="S454" s="131">
        <v>28150</v>
      </c>
      <c r="U454" s="131">
        <v>79.102000000000004</v>
      </c>
      <c r="V454" s="132">
        <v>2.0000000000000002E-5</v>
      </c>
      <c r="W454" s="132">
        <f t="shared" si="7"/>
        <v>9.1445979301034881E-3</v>
      </c>
      <c r="X454" s="132">
        <v>1.1461357774221247E-3</v>
      </c>
    </row>
    <row r="455" spans="1:24">
      <c r="A455" t="s">
        <v>1213</v>
      </c>
      <c r="B455" s="4">
        <v>35011</v>
      </c>
      <c r="C455" t="s">
        <v>2195</v>
      </c>
      <c r="D455" t="s">
        <v>2196</v>
      </c>
      <c r="E455" t="s">
        <v>309</v>
      </c>
      <c r="F455" t="s">
        <v>3610</v>
      </c>
      <c r="G455" t="s">
        <v>3611</v>
      </c>
      <c r="H455" t="s">
        <v>321</v>
      </c>
      <c r="I455" t="s">
        <v>917</v>
      </c>
      <c r="J455" t="s">
        <v>204</v>
      </c>
      <c r="K455" t="s">
        <v>204</v>
      </c>
      <c r="L455" t="s">
        <v>325</v>
      </c>
      <c r="M455" t="s">
        <v>340</v>
      </c>
      <c r="N455" t="s">
        <v>445</v>
      </c>
      <c r="O455" t="s">
        <v>339</v>
      </c>
      <c r="P455" t="s">
        <v>1212</v>
      </c>
      <c r="Q455" s="131">
        <v>2096</v>
      </c>
      <c r="R455" s="131">
        <v>1</v>
      </c>
      <c r="S455" s="131">
        <v>3619</v>
      </c>
      <c r="U455" s="131">
        <v>75.853999999999999</v>
      </c>
      <c r="V455" s="132">
        <v>1.0000000000000001E-5</v>
      </c>
      <c r="W455" s="132">
        <f t="shared" si="7"/>
        <v>8.7691124293958426E-3</v>
      </c>
      <c r="X455" s="132">
        <v>1.0990744009074086E-3</v>
      </c>
    </row>
    <row r="456" spans="1:24">
      <c r="A456" t="s">
        <v>1213</v>
      </c>
      <c r="B456" s="4">
        <v>35011</v>
      </c>
      <c r="C456" t="s">
        <v>1973</v>
      </c>
      <c r="D456" t="s">
        <v>1974</v>
      </c>
      <c r="E456" t="s">
        <v>309</v>
      </c>
      <c r="F456" t="s">
        <v>3512</v>
      </c>
      <c r="G456" t="s">
        <v>3513</v>
      </c>
      <c r="H456" t="s">
        <v>321</v>
      </c>
      <c r="I456" t="s">
        <v>917</v>
      </c>
      <c r="J456" t="s">
        <v>204</v>
      </c>
      <c r="K456" t="s">
        <v>204</v>
      </c>
      <c r="L456" t="s">
        <v>325</v>
      </c>
      <c r="M456" t="s">
        <v>340</v>
      </c>
      <c r="N456" t="s">
        <v>464</v>
      </c>
      <c r="O456" t="s">
        <v>339</v>
      </c>
      <c r="P456" t="s">
        <v>1212</v>
      </c>
      <c r="Q456" s="131">
        <v>7868</v>
      </c>
      <c r="R456" s="131">
        <v>1</v>
      </c>
      <c r="S456" s="131">
        <v>954</v>
      </c>
      <c r="U456" s="131">
        <v>75.061000000000007</v>
      </c>
      <c r="V456" s="132">
        <v>1.0000000000000001E-5</v>
      </c>
      <c r="W456" s="132">
        <f t="shared" si="7"/>
        <v>8.6774375519139586E-3</v>
      </c>
      <c r="X456" s="132">
        <v>1.0875843542398689E-3</v>
      </c>
    </row>
    <row r="457" spans="1:24">
      <c r="A457" t="s">
        <v>1213</v>
      </c>
      <c r="B457" s="4">
        <v>35011</v>
      </c>
      <c r="C457" t="s">
        <v>3498</v>
      </c>
      <c r="D457" t="s">
        <v>3499</v>
      </c>
      <c r="E457" t="s">
        <v>309</v>
      </c>
      <c r="F457" t="s">
        <v>3500</v>
      </c>
      <c r="G457" t="s">
        <v>3501</v>
      </c>
      <c r="H457" t="s">
        <v>321</v>
      </c>
      <c r="I457" t="s">
        <v>917</v>
      </c>
      <c r="J457" t="s">
        <v>204</v>
      </c>
      <c r="K457" t="s">
        <v>204</v>
      </c>
      <c r="L457" t="s">
        <v>325</v>
      </c>
      <c r="M457" t="s">
        <v>340</v>
      </c>
      <c r="N457" t="s">
        <v>476</v>
      </c>
      <c r="O457" t="s">
        <v>339</v>
      </c>
      <c r="P457" t="s">
        <v>1212</v>
      </c>
      <c r="Q457" s="131">
        <v>1367</v>
      </c>
      <c r="R457" s="131">
        <v>1</v>
      </c>
      <c r="S457" s="131">
        <v>5029</v>
      </c>
      <c r="U457" s="131">
        <v>68.745999999999995</v>
      </c>
      <c r="V457" s="132">
        <v>2.0000000000000002E-5</v>
      </c>
      <c r="W457" s="132">
        <f t="shared" si="7"/>
        <v>7.9473910811723378E-3</v>
      </c>
      <c r="X457" s="132">
        <v>9.9608417176128765E-4</v>
      </c>
    </row>
    <row r="458" spans="1:24">
      <c r="A458" t="s">
        <v>1213</v>
      </c>
      <c r="B458" s="4">
        <v>35011</v>
      </c>
      <c r="C458" t="s">
        <v>2128</v>
      </c>
      <c r="D458" t="s">
        <v>2129</v>
      </c>
      <c r="E458" t="s">
        <v>309</v>
      </c>
      <c r="F458" t="s">
        <v>3419</v>
      </c>
      <c r="G458" t="s">
        <v>3420</v>
      </c>
      <c r="H458" t="s">
        <v>321</v>
      </c>
      <c r="I458" t="s">
        <v>917</v>
      </c>
      <c r="J458" t="s">
        <v>204</v>
      </c>
      <c r="K458" t="s">
        <v>204</v>
      </c>
      <c r="L458" t="s">
        <v>325</v>
      </c>
      <c r="M458" t="s">
        <v>340</v>
      </c>
      <c r="N458" t="s">
        <v>445</v>
      </c>
      <c r="O458" t="s">
        <v>339</v>
      </c>
      <c r="P458" t="s">
        <v>1212</v>
      </c>
      <c r="Q458" s="131">
        <v>1574</v>
      </c>
      <c r="R458" s="131">
        <v>1</v>
      </c>
      <c r="S458" s="131">
        <v>4200</v>
      </c>
      <c r="U458" s="131">
        <v>66.108000000000004</v>
      </c>
      <c r="V458" s="132">
        <v>1.0000000000000001E-5</v>
      </c>
      <c r="W458" s="132">
        <f t="shared" si="7"/>
        <v>7.6424247169892216E-3</v>
      </c>
      <c r="X458" s="132">
        <v>9.5786129268314103E-4</v>
      </c>
    </row>
    <row r="459" spans="1:24">
      <c r="A459" t="s">
        <v>1213</v>
      </c>
      <c r="B459" s="4">
        <v>35011</v>
      </c>
      <c r="C459" t="s">
        <v>3125</v>
      </c>
      <c r="D459" t="s">
        <v>3126</v>
      </c>
      <c r="E459" t="s">
        <v>309</v>
      </c>
      <c r="F459" t="s">
        <v>3125</v>
      </c>
      <c r="G459" t="s">
        <v>3489</v>
      </c>
      <c r="H459" t="s">
        <v>321</v>
      </c>
      <c r="I459" t="s">
        <v>917</v>
      </c>
      <c r="J459" t="s">
        <v>204</v>
      </c>
      <c r="K459" t="s">
        <v>204</v>
      </c>
      <c r="L459" t="s">
        <v>325</v>
      </c>
      <c r="M459" t="s">
        <v>340</v>
      </c>
      <c r="N459" t="s">
        <v>441</v>
      </c>
      <c r="O459" t="s">
        <v>339</v>
      </c>
      <c r="P459" t="s">
        <v>1212</v>
      </c>
      <c r="Q459" s="131">
        <v>228</v>
      </c>
      <c r="R459" s="131">
        <v>1</v>
      </c>
      <c r="S459" s="131">
        <v>28560</v>
      </c>
      <c r="U459" s="131">
        <v>65.117000000000004</v>
      </c>
      <c r="V459" s="132">
        <v>0</v>
      </c>
      <c r="W459" s="132">
        <f t="shared" si="7"/>
        <v>7.5278600214223257E-3</v>
      </c>
      <c r="X459" s="132">
        <v>9.4350235668373109E-4</v>
      </c>
    </row>
    <row r="460" spans="1:24">
      <c r="A460" t="s">
        <v>1213</v>
      </c>
      <c r="B460" s="4">
        <v>35011</v>
      </c>
      <c r="C460" t="s">
        <v>2576</v>
      </c>
      <c r="D460" t="s">
        <v>2577</v>
      </c>
      <c r="E460" t="s">
        <v>309</v>
      </c>
      <c r="F460" t="s">
        <v>2576</v>
      </c>
      <c r="G460" t="s">
        <v>3621</v>
      </c>
      <c r="H460" t="s">
        <v>321</v>
      </c>
      <c r="I460" t="s">
        <v>917</v>
      </c>
      <c r="J460" t="s">
        <v>204</v>
      </c>
      <c r="K460" t="s">
        <v>204</v>
      </c>
      <c r="L460" t="s">
        <v>325</v>
      </c>
      <c r="M460" t="s">
        <v>340</v>
      </c>
      <c r="N460" t="s">
        <v>451</v>
      </c>
      <c r="O460" t="s">
        <v>339</v>
      </c>
      <c r="P460" t="s">
        <v>1212</v>
      </c>
      <c r="Q460" s="131">
        <v>80</v>
      </c>
      <c r="R460" s="131">
        <v>1</v>
      </c>
      <c r="S460" s="131">
        <v>81100</v>
      </c>
      <c r="U460" s="131">
        <v>64.88</v>
      </c>
      <c r="V460" s="132">
        <v>1.0000000000000001E-5</v>
      </c>
      <c r="W460" s="132">
        <f t="shared" si="7"/>
        <v>7.5004616028054184E-3</v>
      </c>
      <c r="X460" s="132">
        <v>9.4006838308952295E-4</v>
      </c>
    </row>
    <row r="461" spans="1:24">
      <c r="A461" t="s">
        <v>1213</v>
      </c>
      <c r="B461" s="4">
        <v>35011</v>
      </c>
      <c r="C461" t="s">
        <v>1691</v>
      </c>
      <c r="D461" t="s">
        <v>1692</v>
      </c>
      <c r="E461" t="s">
        <v>309</v>
      </c>
      <c r="F461" t="s">
        <v>3478</v>
      </c>
      <c r="G461" t="s">
        <v>3479</v>
      </c>
      <c r="H461" t="s">
        <v>321</v>
      </c>
      <c r="I461" t="s">
        <v>917</v>
      </c>
      <c r="J461" t="s">
        <v>204</v>
      </c>
      <c r="K461" t="s">
        <v>204</v>
      </c>
      <c r="L461" t="s">
        <v>325</v>
      </c>
      <c r="M461" t="s">
        <v>340</v>
      </c>
      <c r="N461" t="s">
        <v>464</v>
      </c>
      <c r="O461" t="s">
        <v>339</v>
      </c>
      <c r="P461" t="s">
        <v>1212</v>
      </c>
      <c r="Q461" s="131">
        <v>4257</v>
      </c>
      <c r="R461" s="131">
        <v>1</v>
      </c>
      <c r="S461" s="131">
        <v>1513</v>
      </c>
      <c r="U461" s="131">
        <v>64.408000000000001</v>
      </c>
      <c r="V461" s="132">
        <v>2.0000000000000002E-5</v>
      </c>
      <c r="W461" s="132">
        <f t="shared" si="7"/>
        <v>7.4458959758552934E-3</v>
      </c>
      <c r="X461" s="132">
        <v>9.3322941458122693E-4</v>
      </c>
    </row>
    <row r="462" spans="1:24">
      <c r="A462" t="s">
        <v>1213</v>
      </c>
      <c r="B462" s="4">
        <v>35011</v>
      </c>
      <c r="C462" t="s">
        <v>1624</v>
      </c>
      <c r="D462" t="s">
        <v>1625</v>
      </c>
      <c r="E462" t="s">
        <v>309</v>
      </c>
      <c r="F462" t="s">
        <v>1624</v>
      </c>
      <c r="G462" t="s">
        <v>3505</v>
      </c>
      <c r="H462" t="s">
        <v>321</v>
      </c>
      <c r="I462" t="s">
        <v>917</v>
      </c>
      <c r="J462" t="s">
        <v>204</v>
      </c>
      <c r="K462" t="s">
        <v>204</v>
      </c>
      <c r="L462" t="s">
        <v>325</v>
      </c>
      <c r="M462" t="s">
        <v>340</v>
      </c>
      <c r="N462" t="s">
        <v>447</v>
      </c>
      <c r="O462" t="s">
        <v>339</v>
      </c>
      <c r="P462" t="s">
        <v>1212</v>
      </c>
      <c r="Q462" s="131">
        <v>3619</v>
      </c>
      <c r="R462" s="131">
        <v>1</v>
      </c>
      <c r="S462" s="131">
        <v>1740</v>
      </c>
      <c r="U462" s="131">
        <v>62.970999999999997</v>
      </c>
      <c r="V462" s="132">
        <v>1.0000000000000001E-5</v>
      </c>
      <c r="W462" s="132">
        <f t="shared" si="7"/>
        <v>7.2797713870262027E-3</v>
      </c>
      <c r="X462" s="132">
        <v>9.1240823291507944E-4</v>
      </c>
    </row>
    <row r="463" spans="1:24">
      <c r="A463" t="s">
        <v>1213</v>
      </c>
      <c r="B463" s="4">
        <v>35011</v>
      </c>
      <c r="C463" t="s">
        <v>2454</v>
      </c>
      <c r="D463" t="s">
        <v>2455</v>
      </c>
      <c r="E463" t="s">
        <v>309</v>
      </c>
      <c r="F463" t="s">
        <v>2454</v>
      </c>
      <c r="G463" t="s">
        <v>3618</v>
      </c>
      <c r="H463" t="s">
        <v>321</v>
      </c>
      <c r="I463" t="s">
        <v>917</v>
      </c>
      <c r="J463" t="s">
        <v>204</v>
      </c>
      <c r="K463" t="s">
        <v>204</v>
      </c>
      <c r="L463" t="s">
        <v>325</v>
      </c>
      <c r="M463" t="s">
        <v>340</v>
      </c>
      <c r="N463" t="s">
        <v>478</v>
      </c>
      <c r="O463" t="s">
        <v>339</v>
      </c>
      <c r="P463" t="s">
        <v>1212</v>
      </c>
      <c r="Q463" s="131">
        <v>4446.45</v>
      </c>
      <c r="R463" s="131">
        <v>1</v>
      </c>
      <c r="S463" s="131">
        <v>1373</v>
      </c>
      <c r="U463" s="131">
        <v>61.05</v>
      </c>
      <c r="V463" s="132">
        <v>2.0000000000000002E-5</v>
      </c>
      <c r="W463" s="132">
        <f t="shared" si="7"/>
        <v>7.0576939095448642E-3</v>
      </c>
      <c r="X463" s="132">
        <v>8.8457421065991644E-4</v>
      </c>
    </row>
    <row r="464" spans="1:24">
      <c r="A464" t="s">
        <v>1213</v>
      </c>
      <c r="B464" s="4">
        <v>35011</v>
      </c>
      <c r="C464" t="s">
        <v>2178</v>
      </c>
      <c r="D464" t="s">
        <v>2179</v>
      </c>
      <c r="E464" t="s">
        <v>309</v>
      </c>
      <c r="F464" t="s">
        <v>2178</v>
      </c>
      <c r="G464" t="s">
        <v>3609</v>
      </c>
      <c r="H464" t="s">
        <v>321</v>
      </c>
      <c r="I464" t="s">
        <v>917</v>
      </c>
      <c r="J464" t="s">
        <v>204</v>
      </c>
      <c r="K464" t="s">
        <v>204</v>
      </c>
      <c r="L464" t="s">
        <v>325</v>
      </c>
      <c r="M464" t="s">
        <v>340</v>
      </c>
      <c r="N464" t="s">
        <v>464</v>
      </c>
      <c r="O464" t="s">
        <v>339</v>
      </c>
      <c r="P464" t="s">
        <v>1212</v>
      </c>
      <c r="Q464" s="131">
        <v>2064</v>
      </c>
      <c r="R464" s="131">
        <v>1</v>
      </c>
      <c r="S464" s="131">
        <v>2855</v>
      </c>
      <c r="U464" s="131">
        <v>58.927</v>
      </c>
      <c r="V464" s="132">
        <v>1.0000000000000001E-5</v>
      </c>
      <c r="W464" s="132">
        <f t="shared" si="7"/>
        <v>6.8122641934111423E-3</v>
      </c>
      <c r="X464" s="132">
        <v>8.5381334171264367E-4</v>
      </c>
    </row>
    <row r="465" spans="1:24">
      <c r="A465" t="s">
        <v>1213</v>
      </c>
      <c r="B465" s="4">
        <v>35011</v>
      </c>
      <c r="C465" t="s">
        <v>2203</v>
      </c>
      <c r="D465" t="s">
        <v>2204</v>
      </c>
      <c r="E465" t="s">
        <v>309</v>
      </c>
      <c r="F465" t="s">
        <v>3606</v>
      </c>
      <c r="G465" t="s">
        <v>3607</v>
      </c>
      <c r="H465" t="s">
        <v>321</v>
      </c>
      <c r="I465" t="s">
        <v>917</v>
      </c>
      <c r="J465" t="s">
        <v>204</v>
      </c>
      <c r="K465" t="s">
        <v>204</v>
      </c>
      <c r="L465" t="s">
        <v>325</v>
      </c>
      <c r="M465" t="s">
        <v>340</v>
      </c>
      <c r="N465" t="s">
        <v>459</v>
      </c>
      <c r="O465" t="s">
        <v>339</v>
      </c>
      <c r="P465" t="s">
        <v>1212</v>
      </c>
      <c r="Q465" s="131">
        <v>981</v>
      </c>
      <c r="R465" s="131">
        <v>1</v>
      </c>
      <c r="S465" s="131">
        <v>5930</v>
      </c>
      <c r="U465" s="131">
        <v>58.173000000000002</v>
      </c>
      <c r="V465" s="132">
        <v>1.0000000000000001E-5</v>
      </c>
      <c r="W465" s="132">
        <f t="shared" si="7"/>
        <v>6.7250979164611537E-3</v>
      </c>
      <c r="X465" s="132">
        <v>8.4288837930744176E-4</v>
      </c>
    </row>
    <row r="466" spans="1:24">
      <c r="A466" t="s">
        <v>1213</v>
      </c>
      <c r="B466" s="4">
        <v>35011</v>
      </c>
      <c r="C466" t="s">
        <v>3786</v>
      </c>
      <c r="D466" t="s">
        <v>3787</v>
      </c>
      <c r="E466" t="s">
        <v>309</v>
      </c>
      <c r="F466" t="s">
        <v>3786</v>
      </c>
      <c r="G466" t="s">
        <v>3788</v>
      </c>
      <c r="H466" t="s">
        <v>321</v>
      </c>
      <c r="I466" t="s">
        <v>917</v>
      </c>
      <c r="J466" t="s">
        <v>204</v>
      </c>
      <c r="K466" t="s">
        <v>204</v>
      </c>
      <c r="L466" t="s">
        <v>325</v>
      </c>
      <c r="M466" t="s">
        <v>340</v>
      </c>
      <c r="N466" t="s">
        <v>446</v>
      </c>
      <c r="O466" t="s">
        <v>339</v>
      </c>
      <c r="P466" t="s">
        <v>1212</v>
      </c>
      <c r="Q466" s="131">
        <v>400</v>
      </c>
      <c r="R466" s="131">
        <v>1</v>
      </c>
      <c r="S466" s="131">
        <v>14100</v>
      </c>
      <c r="U466" s="131">
        <v>56.4</v>
      </c>
      <c r="V466" s="132">
        <v>1.7000000000000001E-4</v>
      </c>
      <c r="W466" s="132">
        <f t="shared" si="7"/>
        <v>6.5201299999726511E-3</v>
      </c>
      <c r="X466" s="132">
        <v>8.171987793811513E-4</v>
      </c>
    </row>
    <row r="467" spans="1:24">
      <c r="A467" t="s">
        <v>1213</v>
      </c>
      <c r="B467" s="4">
        <v>35011</v>
      </c>
      <c r="C467" t="s">
        <v>2789</v>
      </c>
      <c r="D467" t="s">
        <v>2790</v>
      </c>
      <c r="E467" t="s">
        <v>309</v>
      </c>
      <c r="F467" t="s">
        <v>2789</v>
      </c>
      <c r="G467" t="s">
        <v>3480</v>
      </c>
      <c r="H467" t="s">
        <v>321</v>
      </c>
      <c r="I467" t="s">
        <v>917</v>
      </c>
      <c r="J467" t="s">
        <v>204</v>
      </c>
      <c r="K467" t="s">
        <v>204</v>
      </c>
      <c r="L467" t="s">
        <v>325</v>
      </c>
      <c r="M467" t="s">
        <v>340</v>
      </c>
      <c r="N467" t="s">
        <v>441</v>
      </c>
      <c r="O467" t="s">
        <v>339</v>
      </c>
      <c r="P467" t="s">
        <v>1212</v>
      </c>
      <c r="Q467" s="131">
        <v>4034</v>
      </c>
      <c r="R467" s="131">
        <v>1</v>
      </c>
      <c r="S467" s="131">
        <v>1348</v>
      </c>
      <c r="U467" s="131">
        <v>54.378</v>
      </c>
      <c r="V467" s="132">
        <v>1.0000000000000001E-5</v>
      </c>
      <c r="W467" s="132">
        <f t="shared" si="7"/>
        <v>6.2863764031651217E-3</v>
      </c>
      <c r="X467" s="132">
        <v>7.8790133377993341E-4</v>
      </c>
    </row>
    <row r="468" spans="1:24">
      <c r="A468" t="s">
        <v>1213</v>
      </c>
      <c r="B468" s="4">
        <v>35011</v>
      </c>
      <c r="C468" t="s">
        <v>3694</v>
      </c>
      <c r="D468" t="s">
        <v>3695</v>
      </c>
      <c r="E468" t="s">
        <v>309</v>
      </c>
      <c r="F468" t="s">
        <v>3694</v>
      </c>
      <c r="G468" t="s">
        <v>3696</v>
      </c>
      <c r="H468" t="s">
        <v>321</v>
      </c>
      <c r="I468" t="s">
        <v>917</v>
      </c>
      <c r="J468" t="s">
        <v>204</v>
      </c>
      <c r="K468" t="s">
        <v>204</v>
      </c>
      <c r="L468" t="s">
        <v>325</v>
      </c>
      <c r="M468" t="s">
        <v>340</v>
      </c>
      <c r="N468" t="s">
        <v>451</v>
      </c>
      <c r="O468" t="s">
        <v>339</v>
      </c>
      <c r="P468" t="s">
        <v>1212</v>
      </c>
      <c r="Q468" s="131">
        <v>363</v>
      </c>
      <c r="R468" s="131">
        <v>1</v>
      </c>
      <c r="S468" s="131">
        <v>11080</v>
      </c>
      <c r="U468" s="131">
        <v>40.22</v>
      </c>
      <c r="V468" s="132">
        <v>1.0000000000000001E-5</v>
      </c>
      <c r="W468" s="132">
        <f t="shared" si="7"/>
        <v>4.6496388049450362E-3</v>
      </c>
      <c r="X468" s="132">
        <v>5.8276125721116849E-4</v>
      </c>
    </row>
    <row r="469" spans="1:24">
      <c r="A469" t="s">
        <v>1213</v>
      </c>
      <c r="B469" s="4">
        <v>35011</v>
      </c>
      <c r="C469" t="s">
        <v>1634</v>
      </c>
      <c r="D469" t="s">
        <v>1635</v>
      </c>
      <c r="E469" t="s">
        <v>309</v>
      </c>
      <c r="F469" t="s">
        <v>3437</v>
      </c>
      <c r="G469" t="s">
        <v>3438</v>
      </c>
      <c r="H469" t="s">
        <v>321</v>
      </c>
      <c r="I469" t="s">
        <v>917</v>
      </c>
      <c r="J469" t="s">
        <v>204</v>
      </c>
      <c r="K469" t="s">
        <v>204</v>
      </c>
      <c r="L469" t="s">
        <v>325</v>
      </c>
      <c r="M469" t="s">
        <v>340</v>
      </c>
      <c r="N469" t="s">
        <v>454</v>
      </c>
      <c r="O469" t="s">
        <v>339</v>
      </c>
      <c r="P469" t="s">
        <v>1212</v>
      </c>
      <c r="Q469" s="131">
        <v>738</v>
      </c>
      <c r="R469" s="131">
        <v>1</v>
      </c>
      <c r="S469" s="131">
        <v>5205</v>
      </c>
      <c r="U469" s="131">
        <v>38.412999999999997</v>
      </c>
      <c r="V469" s="132">
        <v>1.0000000000000001E-5</v>
      </c>
      <c r="W469" s="132">
        <f t="shared" si="7"/>
        <v>4.4407403136338553E-3</v>
      </c>
      <c r="X469" s="132">
        <v>5.5657901972283976E-4</v>
      </c>
    </row>
    <row r="470" spans="1:24">
      <c r="A470" t="s">
        <v>1213</v>
      </c>
      <c r="B470" s="4">
        <v>35011</v>
      </c>
      <c r="C470" t="s">
        <v>1893</v>
      </c>
      <c r="D470" t="s">
        <v>1894</v>
      </c>
      <c r="E470" t="s">
        <v>309</v>
      </c>
      <c r="F470" t="s">
        <v>1893</v>
      </c>
      <c r="G470" t="s">
        <v>3599</v>
      </c>
      <c r="H470" t="s">
        <v>321</v>
      </c>
      <c r="I470" t="s">
        <v>917</v>
      </c>
      <c r="J470" t="s">
        <v>204</v>
      </c>
      <c r="K470" t="s">
        <v>204</v>
      </c>
      <c r="L470" t="s">
        <v>325</v>
      </c>
      <c r="M470" t="s">
        <v>340</v>
      </c>
      <c r="N470" t="s">
        <v>464</v>
      </c>
      <c r="O470" t="s">
        <v>339</v>
      </c>
      <c r="P470" t="s">
        <v>1212</v>
      </c>
      <c r="Q470" s="131">
        <v>397</v>
      </c>
      <c r="R470" s="131">
        <v>1</v>
      </c>
      <c r="S470" s="131">
        <v>9550</v>
      </c>
      <c r="U470" s="131">
        <v>37.914000000000001</v>
      </c>
      <c r="V470" s="132">
        <v>1.0000000000000001E-5</v>
      </c>
      <c r="W470" s="132">
        <f t="shared" si="7"/>
        <v>4.3830533478539562E-3</v>
      </c>
      <c r="X470" s="132">
        <v>5.4934883903292502E-4</v>
      </c>
    </row>
    <row r="471" spans="1:24">
      <c r="A471" t="s">
        <v>1213</v>
      </c>
      <c r="B471" s="4">
        <v>35011</v>
      </c>
      <c r="C471" t="s">
        <v>2356</v>
      </c>
      <c r="D471" t="s">
        <v>2357</v>
      </c>
      <c r="E471" t="s">
        <v>309</v>
      </c>
      <c r="F471" t="s">
        <v>2356</v>
      </c>
      <c r="G471" t="s">
        <v>3645</v>
      </c>
      <c r="H471" t="s">
        <v>321</v>
      </c>
      <c r="I471" t="s">
        <v>917</v>
      </c>
      <c r="J471" t="s">
        <v>204</v>
      </c>
      <c r="K471" t="s">
        <v>204</v>
      </c>
      <c r="L471" t="s">
        <v>325</v>
      </c>
      <c r="M471" t="s">
        <v>340</v>
      </c>
      <c r="N471" t="s">
        <v>447</v>
      </c>
      <c r="O471" t="s">
        <v>339</v>
      </c>
      <c r="P471" t="s">
        <v>1212</v>
      </c>
      <c r="Q471" s="131">
        <v>3921</v>
      </c>
      <c r="R471" s="131">
        <v>1</v>
      </c>
      <c r="S471" s="131">
        <v>898.1</v>
      </c>
      <c r="U471" s="131">
        <v>35.215000000000003</v>
      </c>
      <c r="V471" s="132">
        <v>1.0000000000000001E-5</v>
      </c>
      <c r="W471" s="132">
        <f t="shared" si="7"/>
        <v>4.0710350700183858E-3</v>
      </c>
      <c r="X471" s="132">
        <v>5.1024211021112142E-4</v>
      </c>
    </row>
    <row r="472" spans="1:24">
      <c r="A472" t="s">
        <v>1213</v>
      </c>
      <c r="B472" s="4">
        <v>35011</v>
      </c>
      <c r="C472" t="s">
        <v>1820</v>
      </c>
      <c r="D472" t="s">
        <v>1821</v>
      </c>
      <c r="E472" t="s">
        <v>309</v>
      </c>
      <c r="F472" t="s">
        <v>3632</v>
      </c>
      <c r="G472" t="s">
        <v>3633</v>
      </c>
      <c r="H472" t="s">
        <v>321</v>
      </c>
      <c r="I472" t="s">
        <v>917</v>
      </c>
      <c r="J472" t="s">
        <v>204</v>
      </c>
      <c r="K472" t="s">
        <v>204</v>
      </c>
      <c r="L472" t="s">
        <v>325</v>
      </c>
      <c r="M472" t="s">
        <v>340</v>
      </c>
      <c r="N472" t="s">
        <v>464</v>
      </c>
      <c r="O472" t="s">
        <v>339</v>
      </c>
      <c r="P472" t="s">
        <v>1212</v>
      </c>
      <c r="Q472" s="131">
        <v>592</v>
      </c>
      <c r="R472" s="131">
        <v>1</v>
      </c>
      <c r="S472" s="131">
        <v>5594</v>
      </c>
      <c r="U472" s="131">
        <v>33.116</v>
      </c>
      <c r="V472" s="132">
        <v>0</v>
      </c>
      <c r="W472" s="132">
        <f t="shared" si="7"/>
        <v>3.8283798772889067E-3</v>
      </c>
      <c r="X472" s="132">
        <v>4.7982898542528734E-4</v>
      </c>
    </row>
    <row r="473" spans="1:24">
      <c r="A473" t="s">
        <v>1213</v>
      </c>
      <c r="B473" s="4">
        <v>35011</v>
      </c>
      <c r="C473" t="s">
        <v>1534</v>
      </c>
      <c r="D473" t="s">
        <v>1535</v>
      </c>
      <c r="E473" t="s">
        <v>309</v>
      </c>
      <c r="F473" t="s">
        <v>1534</v>
      </c>
      <c r="G473" t="s">
        <v>3509</v>
      </c>
      <c r="H473" t="s">
        <v>321</v>
      </c>
      <c r="I473" t="s">
        <v>917</v>
      </c>
      <c r="J473" t="s">
        <v>204</v>
      </c>
      <c r="K473" t="s">
        <v>204</v>
      </c>
      <c r="L473" t="s">
        <v>325</v>
      </c>
      <c r="M473" t="s">
        <v>340</v>
      </c>
      <c r="N473" t="s">
        <v>464</v>
      </c>
      <c r="O473" t="s">
        <v>339</v>
      </c>
      <c r="P473" t="s">
        <v>1212</v>
      </c>
      <c r="Q473" s="131">
        <v>2049</v>
      </c>
      <c r="R473" s="131">
        <v>1</v>
      </c>
      <c r="S473" s="131">
        <v>1609</v>
      </c>
      <c r="U473" s="131">
        <v>32.968000000000004</v>
      </c>
      <c r="V473" s="132">
        <v>0</v>
      </c>
      <c r="W473" s="132">
        <f t="shared" si="7"/>
        <v>3.8112703162960708E-3</v>
      </c>
      <c r="X473" s="132">
        <v>4.776845630964149E-4</v>
      </c>
    </row>
    <row r="474" spans="1:24">
      <c r="A474" t="s">
        <v>1213</v>
      </c>
      <c r="B474" s="4">
        <v>35011</v>
      </c>
      <c r="C474" t="s">
        <v>3469</v>
      </c>
      <c r="D474" t="s">
        <v>3470</v>
      </c>
      <c r="E474" t="s">
        <v>309</v>
      </c>
      <c r="F474" t="s">
        <v>3471</v>
      </c>
      <c r="G474" t="s">
        <v>3472</v>
      </c>
      <c r="H474" t="s">
        <v>321</v>
      </c>
      <c r="I474" t="s">
        <v>917</v>
      </c>
      <c r="J474" t="s">
        <v>204</v>
      </c>
      <c r="K474" t="s">
        <v>204</v>
      </c>
      <c r="L474" t="s">
        <v>325</v>
      </c>
      <c r="M474" t="s">
        <v>340</v>
      </c>
      <c r="N474" t="s">
        <v>454</v>
      </c>
      <c r="O474" t="s">
        <v>339</v>
      </c>
      <c r="P474" t="s">
        <v>1212</v>
      </c>
      <c r="Q474" s="131">
        <v>2715</v>
      </c>
      <c r="R474" s="131">
        <v>1</v>
      </c>
      <c r="S474" s="131">
        <v>1025</v>
      </c>
      <c r="U474" s="131">
        <v>27.829000000000001</v>
      </c>
      <c r="V474" s="132">
        <v>0</v>
      </c>
      <c r="W474" s="132">
        <f t="shared" si="7"/>
        <v>3.2171754923623922E-3</v>
      </c>
      <c r="X474" s="132">
        <v>4.0322384452833439E-4</v>
      </c>
    </row>
    <row r="475" spans="1:24">
      <c r="A475" t="s">
        <v>1213</v>
      </c>
      <c r="B475" s="4">
        <v>35011</v>
      </c>
      <c r="C475" t="s">
        <v>3433</v>
      </c>
      <c r="D475" t="s">
        <v>3434</v>
      </c>
      <c r="E475" t="s">
        <v>309</v>
      </c>
      <c r="F475" t="s">
        <v>3433</v>
      </c>
      <c r="G475" t="s">
        <v>3435</v>
      </c>
      <c r="H475" t="s">
        <v>321</v>
      </c>
      <c r="I475" t="s">
        <v>917</v>
      </c>
      <c r="J475" t="s">
        <v>204</v>
      </c>
      <c r="K475" t="s">
        <v>204</v>
      </c>
      <c r="L475" t="s">
        <v>325</v>
      </c>
      <c r="M475" t="s">
        <v>340</v>
      </c>
      <c r="N475" t="s">
        <v>458</v>
      </c>
      <c r="O475" t="s">
        <v>339</v>
      </c>
      <c r="P475" t="s">
        <v>1212</v>
      </c>
      <c r="Q475" s="131">
        <v>89</v>
      </c>
      <c r="R475" s="131">
        <v>1</v>
      </c>
      <c r="S475" s="131">
        <v>29980</v>
      </c>
      <c r="U475" s="131">
        <v>26.681999999999999</v>
      </c>
      <c r="V475" s="132">
        <v>0</v>
      </c>
      <c r="W475" s="132">
        <f t="shared" si="7"/>
        <v>3.0845763946679128E-3</v>
      </c>
      <c r="X475" s="132">
        <v>3.866045714795723E-4</v>
      </c>
    </row>
    <row r="476" spans="1:24">
      <c r="A476" t="s">
        <v>1213</v>
      </c>
      <c r="B476" s="4">
        <v>35011</v>
      </c>
      <c r="C476" t="s">
        <v>3284</v>
      </c>
      <c r="D476" t="s">
        <v>3285</v>
      </c>
      <c r="E476" t="s">
        <v>311</v>
      </c>
      <c r="F476" t="s">
        <v>3284</v>
      </c>
      <c r="G476" t="s">
        <v>3510</v>
      </c>
      <c r="H476" t="s">
        <v>321</v>
      </c>
      <c r="I476" t="s">
        <v>917</v>
      </c>
      <c r="J476" t="s">
        <v>204</v>
      </c>
      <c r="K476" t="s">
        <v>233</v>
      </c>
      <c r="L476" t="s">
        <v>325</v>
      </c>
      <c r="M476" t="s">
        <v>340</v>
      </c>
      <c r="N476" t="s">
        <v>454</v>
      </c>
      <c r="O476" t="s">
        <v>339</v>
      </c>
      <c r="P476" t="s">
        <v>1212</v>
      </c>
      <c r="Q476" s="131">
        <v>304</v>
      </c>
      <c r="R476" s="131">
        <v>1</v>
      </c>
      <c r="S476" s="131">
        <v>4556</v>
      </c>
      <c r="T476" s="131">
        <f>0.339-1.09/1000/R476</f>
        <v>0.33791000000000004</v>
      </c>
      <c r="U476" s="131">
        <f>14.19-1.09/1000</f>
        <v>14.18891</v>
      </c>
      <c r="V476" s="132">
        <v>0</v>
      </c>
      <c r="W476" s="132">
        <f t="shared" si="7"/>
        <v>1.6403109531544673E-3</v>
      </c>
      <c r="X476" s="132">
        <v>2.0558794207001794E-4</v>
      </c>
    </row>
    <row r="477" spans="1:24">
      <c r="A477" t="s">
        <v>1213</v>
      </c>
      <c r="B477" s="4">
        <v>35011</v>
      </c>
      <c r="C477" t="s">
        <v>3789</v>
      </c>
      <c r="D477" t="s">
        <v>3790</v>
      </c>
      <c r="E477" t="s">
        <v>309</v>
      </c>
      <c r="F477" t="s">
        <v>3791</v>
      </c>
      <c r="G477" t="s">
        <v>3792</v>
      </c>
      <c r="H477" t="s">
        <v>321</v>
      </c>
      <c r="I477" t="s">
        <v>917</v>
      </c>
      <c r="J477" t="s">
        <v>204</v>
      </c>
      <c r="K477" t="s">
        <v>204</v>
      </c>
      <c r="L477" t="s">
        <v>325</v>
      </c>
      <c r="M477" t="s">
        <v>340</v>
      </c>
      <c r="N477" t="s">
        <v>450</v>
      </c>
      <c r="O477" t="s">
        <v>339</v>
      </c>
      <c r="P477" t="s">
        <v>1212</v>
      </c>
      <c r="Q477" s="131">
        <v>8000</v>
      </c>
      <c r="R477" s="131">
        <v>1</v>
      </c>
      <c r="S477" s="131">
        <v>108.6</v>
      </c>
      <c r="U477" s="131">
        <v>8.6880000000000006</v>
      </c>
      <c r="V477" s="132">
        <v>1.98E-3</v>
      </c>
      <c r="W477" s="132">
        <f t="shared" si="7"/>
        <v>1.0043774723362128E-3</v>
      </c>
      <c r="X477" s="132">
        <v>1.2588338644084119E-4</v>
      </c>
    </row>
    <row r="478" spans="1:24">
      <c r="A478" t="s">
        <v>1213</v>
      </c>
      <c r="B478" s="4">
        <v>35011</v>
      </c>
      <c r="C478" t="s">
        <v>3550</v>
      </c>
      <c r="D478" t="s">
        <v>3551</v>
      </c>
      <c r="E478" t="s">
        <v>80</v>
      </c>
      <c r="F478" t="s">
        <v>3552</v>
      </c>
      <c r="G478" t="s">
        <v>3553</v>
      </c>
      <c r="H478" t="s">
        <v>321</v>
      </c>
      <c r="I478" t="s">
        <v>917</v>
      </c>
      <c r="J478" t="s">
        <v>205</v>
      </c>
      <c r="K478" t="s">
        <v>224</v>
      </c>
      <c r="L478" t="s">
        <v>325</v>
      </c>
      <c r="M478" t="s">
        <v>344</v>
      </c>
      <c r="N478" t="s">
        <v>544</v>
      </c>
      <c r="O478" t="s">
        <v>339</v>
      </c>
      <c r="P478" t="s">
        <v>1216</v>
      </c>
      <c r="Q478" s="131">
        <v>291</v>
      </c>
      <c r="R478" s="131">
        <v>3.71</v>
      </c>
      <c r="S478" s="131">
        <v>43030</v>
      </c>
      <c r="U478" s="131">
        <v>464.55599999999998</v>
      </c>
      <c r="V478" s="132">
        <v>0</v>
      </c>
      <c r="W478" s="132">
        <f t="shared" si="7"/>
        <v>5.3705062274242821E-2</v>
      </c>
      <c r="X478" s="132">
        <v>6.7311098608898957E-3</v>
      </c>
    </row>
    <row r="479" spans="1:24">
      <c r="A479" t="s">
        <v>1213</v>
      </c>
      <c r="B479" s="4">
        <v>35011</v>
      </c>
      <c r="C479" t="s">
        <v>3119</v>
      </c>
      <c r="D479" t="s">
        <v>3120</v>
      </c>
      <c r="E479" t="s">
        <v>80</v>
      </c>
      <c r="F479" t="s">
        <v>3718</v>
      </c>
      <c r="G479" t="s">
        <v>3719</v>
      </c>
      <c r="H479" t="s">
        <v>321</v>
      </c>
      <c r="I479" t="s">
        <v>917</v>
      </c>
      <c r="J479" t="s">
        <v>205</v>
      </c>
      <c r="K479" t="s">
        <v>224</v>
      </c>
      <c r="L479" t="s">
        <v>325</v>
      </c>
      <c r="M479" t="s">
        <v>344</v>
      </c>
      <c r="N479" t="s">
        <v>544</v>
      </c>
      <c r="O479" t="s">
        <v>339</v>
      </c>
      <c r="P479" t="s">
        <v>1216</v>
      </c>
      <c r="Q479" s="131">
        <v>511</v>
      </c>
      <c r="R479" s="131">
        <v>3.71</v>
      </c>
      <c r="S479" s="131">
        <v>18633</v>
      </c>
      <c r="U479" s="131">
        <v>353.24599999999998</v>
      </c>
      <c r="V479" s="132">
        <v>0</v>
      </c>
      <c r="W479" s="132">
        <f t="shared" si="7"/>
        <v>4.083705393564431E-2</v>
      </c>
      <c r="X479" s="132">
        <v>5.1183014188169182E-3</v>
      </c>
    </row>
    <row r="480" spans="1:24">
      <c r="A480" t="s">
        <v>1213</v>
      </c>
      <c r="B480" s="4">
        <v>35011</v>
      </c>
      <c r="C480" t="s">
        <v>3227</v>
      </c>
      <c r="D480" t="s">
        <v>3228</v>
      </c>
      <c r="E480" t="s">
        <v>80</v>
      </c>
      <c r="F480" t="s">
        <v>3548</v>
      </c>
      <c r="G480" t="s">
        <v>3549</v>
      </c>
      <c r="H480" t="s">
        <v>321</v>
      </c>
      <c r="I480" t="s">
        <v>917</v>
      </c>
      <c r="J480" t="s">
        <v>205</v>
      </c>
      <c r="K480" t="s">
        <v>301</v>
      </c>
      <c r="L480" t="s">
        <v>325</v>
      </c>
      <c r="M480" t="s">
        <v>344</v>
      </c>
      <c r="N480" t="s">
        <v>548</v>
      </c>
      <c r="O480" t="s">
        <v>339</v>
      </c>
      <c r="P480" t="s">
        <v>1216</v>
      </c>
      <c r="Q480" s="131">
        <v>539</v>
      </c>
      <c r="R480" s="131">
        <v>3.71</v>
      </c>
      <c r="S480" s="131">
        <v>17367</v>
      </c>
      <c r="T480" s="131">
        <f>0.211+225.3800001/1000/R480</f>
        <v>0.27174932617250674</v>
      </c>
      <c r="U480" s="131">
        <f>348.07+225.3800001/1000</f>
        <v>348.29538000010001</v>
      </c>
      <c r="V480" s="132">
        <v>0</v>
      </c>
      <c r="W480" s="132">
        <f t="shared" si="7"/>
        <v>4.0264736808342673E-2</v>
      </c>
      <c r="X480" s="132">
        <v>5.0465702021307802E-3</v>
      </c>
    </row>
    <row r="481" spans="1:24">
      <c r="A481" t="s">
        <v>1213</v>
      </c>
      <c r="B481" s="4">
        <v>35011</v>
      </c>
      <c r="C481" t="s">
        <v>3563</v>
      </c>
      <c r="D481" t="s">
        <v>3564</v>
      </c>
      <c r="E481" t="s">
        <v>80</v>
      </c>
      <c r="F481" t="s">
        <v>3565</v>
      </c>
      <c r="G481" t="s">
        <v>3566</v>
      </c>
      <c r="H481" t="s">
        <v>321</v>
      </c>
      <c r="I481" t="s">
        <v>917</v>
      </c>
      <c r="J481" t="s">
        <v>205</v>
      </c>
      <c r="K481" t="s">
        <v>224</v>
      </c>
      <c r="L481" t="s">
        <v>325</v>
      </c>
      <c r="M481" t="s">
        <v>344</v>
      </c>
      <c r="N481" t="s">
        <v>546</v>
      </c>
      <c r="O481" t="s">
        <v>339</v>
      </c>
      <c r="P481" t="s">
        <v>1216</v>
      </c>
      <c r="Q481" s="131">
        <v>384</v>
      </c>
      <c r="R481" s="131">
        <v>3.71</v>
      </c>
      <c r="S481" s="131">
        <v>23300</v>
      </c>
      <c r="U481" s="131">
        <v>331.94099999999997</v>
      </c>
      <c r="V481" s="132">
        <v>0</v>
      </c>
      <c r="W481" s="132">
        <f t="shared" si="7"/>
        <v>3.8374086388668828E-2</v>
      </c>
      <c r="X481" s="132">
        <v>4.8096060288396938E-3</v>
      </c>
    </row>
    <row r="482" spans="1:24">
      <c r="A482" t="s">
        <v>1213</v>
      </c>
      <c r="B482" s="4">
        <v>35011</v>
      </c>
      <c r="C482" t="s">
        <v>3544</v>
      </c>
      <c r="D482" t="s">
        <v>3545</v>
      </c>
      <c r="E482" t="s">
        <v>80</v>
      </c>
      <c r="F482" t="s">
        <v>3546</v>
      </c>
      <c r="G482" t="s">
        <v>3547</v>
      </c>
      <c r="H482" t="s">
        <v>321</v>
      </c>
      <c r="I482" t="s">
        <v>917</v>
      </c>
      <c r="J482" t="s">
        <v>205</v>
      </c>
      <c r="K482" t="s">
        <v>224</v>
      </c>
      <c r="L482" t="s">
        <v>325</v>
      </c>
      <c r="M482" t="s">
        <v>344</v>
      </c>
      <c r="N482" t="s">
        <v>545</v>
      </c>
      <c r="O482" t="s">
        <v>339</v>
      </c>
      <c r="P482" t="s">
        <v>1216</v>
      </c>
      <c r="Q482" s="131">
        <v>441</v>
      </c>
      <c r="R482" s="131">
        <v>3.71</v>
      </c>
      <c r="S482" s="131">
        <v>16719</v>
      </c>
      <c r="U482" s="131">
        <v>273.541</v>
      </c>
      <c r="V482" s="132">
        <v>0</v>
      </c>
      <c r="W482" s="132">
        <f t="shared" si="7"/>
        <v>3.1622746105009203E-2</v>
      </c>
      <c r="X482" s="132">
        <v>3.9634285693386437E-3</v>
      </c>
    </row>
    <row r="483" spans="1:24">
      <c r="A483" t="s">
        <v>1213</v>
      </c>
      <c r="B483" s="4">
        <v>35011</v>
      </c>
      <c r="C483" t="s">
        <v>3209</v>
      </c>
      <c r="D483" t="s">
        <v>3210</v>
      </c>
      <c r="E483" t="s">
        <v>80</v>
      </c>
      <c r="F483" t="s">
        <v>3209</v>
      </c>
      <c r="G483" t="s">
        <v>3562</v>
      </c>
      <c r="H483" t="s">
        <v>321</v>
      </c>
      <c r="I483" t="s">
        <v>917</v>
      </c>
      <c r="J483" t="s">
        <v>205</v>
      </c>
      <c r="K483" t="s">
        <v>224</v>
      </c>
      <c r="L483" t="s">
        <v>325</v>
      </c>
      <c r="M483" t="s">
        <v>340</v>
      </c>
      <c r="N483" t="s">
        <v>545</v>
      </c>
      <c r="O483" t="s">
        <v>339</v>
      </c>
      <c r="P483" t="s">
        <v>1216</v>
      </c>
      <c r="Q483" s="131">
        <v>103</v>
      </c>
      <c r="R483" s="131">
        <v>3.71</v>
      </c>
      <c r="S483" s="131">
        <v>57244</v>
      </c>
      <c r="U483" s="131">
        <v>218.74600000000001</v>
      </c>
      <c r="V483" s="132">
        <v>0</v>
      </c>
      <c r="W483" s="132">
        <f t="shared" si="7"/>
        <v>2.5288162357695348E-2</v>
      </c>
      <c r="X483" s="132">
        <v>3.1694851807537116E-3</v>
      </c>
    </row>
    <row r="484" spans="1:24">
      <c r="A484" t="s">
        <v>1213</v>
      </c>
      <c r="B484" s="4">
        <v>35011</v>
      </c>
      <c r="C484" t="s">
        <v>3793</v>
      </c>
      <c r="D484" t="s">
        <v>3794</v>
      </c>
      <c r="E484" t="s">
        <v>309</v>
      </c>
      <c r="F484" t="s">
        <v>3795</v>
      </c>
      <c r="G484" t="s">
        <v>3796</v>
      </c>
      <c r="H484" t="s">
        <v>321</v>
      </c>
      <c r="I484" t="s">
        <v>917</v>
      </c>
      <c r="J484" t="s">
        <v>205</v>
      </c>
      <c r="K484" t="s">
        <v>204</v>
      </c>
      <c r="L484" t="s">
        <v>325</v>
      </c>
      <c r="M484" t="s">
        <v>346</v>
      </c>
      <c r="N484" t="s">
        <v>544</v>
      </c>
      <c r="O484" t="s">
        <v>339</v>
      </c>
      <c r="P484" t="s">
        <v>1216</v>
      </c>
      <c r="Q484" s="131">
        <v>4880.96</v>
      </c>
      <c r="R484" s="131">
        <v>3.71</v>
      </c>
      <c r="S484" s="131">
        <v>706</v>
      </c>
      <c r="U484" s="131">
        <v>127.845</v>
      </c>
      <c r="V484" s="132">
        <v>4.4999999999999999E-4</v>
      </c>
      <c r="W484" s="132">
        <f t="shared" si="7"/>
        <v>1.477953935898056E-2</v>
      </c>
      <c r="X484" s="132">
        <v>1.8523896799642428E-3</v>
      </c>
    </row>
    <row r="485" spans="1:24">
      <c r="A485" t="s">
        <v>1213</v>
      </c>
      <c r="B485" s="4">
        <v>35011</v>
      </c>
      <c r="C485" t="s">
        <v>3797</v>
      </c>
      <c r="D485" t="s">
        <v>3798</v>
      </c>
      <c r="E485" t="s">
        <v>80</v>
      </c>
      <c r="F485" t="s">
        <v>3799</v>
      </c>
      <c r="G485" t="s">
        <v>3800</v>
      </c>
      <c r="H485" t="s">
        <v>321</v>
      </c>
      <c r="I485" t="s">
        <v>917</v>
      </c>
      <c r="J485" t="s">
        <v>205</v>
      </c>
      <c r="K485" t="s">
        <v>224</v>
      </c>
      <c r="L485" t="s">
        <v>325</v>
      </c>
      <c r="M485" t="s">
        <v>344</v>
      </c>
      <c r="N485" t="s">
        <v>548</v>
      </c>
      <c r="O485" t="s">
        <v>339</v>
      </c>
      <c r="P485" t="s">
        <v>1216</v>
      </c>
      <c r="Q485" s="131">
        <v>1404</v>
      </c>
      <c r="R485" s="131">
        <v>3.71</v>
      </c>
      <c r="S485" s="131">
        <v>2291</v>
      </c>
      <c r="U485" s="131">
        <v>119.33499999999999</v>
      </c>
      <c r="V485" s="132">
        <v>2.0000000000000002E-5</v>
      </c>
      <c r="W485" s="132">
        <f t="shared" si="7"/>
        <v>1.3795739601892489E-2</v>
      </c>
      <c r="X485" s="132">
        <v>1.7290853960540726E-3</v>
      </c>
    </row>
    <row r="486" spans="1:24">
      <c r="A486" t="s">
        <v>1213</v>
      </c>
      <c r="B486" s="4">
        <v>35011</v>
      </c>
      <c r="C486" t="s">
        <v>3801</v>
      </c>
      <c r="D486" t="s">
        <v>3802</v>
      </c>
      <c r="E486" t="s">
        <v>80</v>
      </c>
      <c r="F486" t="s">
        <v>3803</v>
      </c>
      <c r="G486" t="s">
        <v>3804</v>
      </c>
      <c r="H486" t="s">
        <v>321</v>
      </c>
      <c r="I486" t="s">
        <v>917</v>
      </c>
      <c r="J486" t="s">
        <v>205</v>
      </c>
      <c r="K486" t="s">
        <v>224</v>
      </c>
      <c r="L486" t="s">
        <v>325</v>
      </c>
      <c r="M486" t="s">
        <v>344</v>
      </c>
      <c r="N486" t="s">
        <v>548</v>
      </c>
      <c r="O486" t="s">
        <v>339</v>
      </c>
      <c r="P486" t="s">
        <v>1216</v>
      </c>
      <c r="Q486" s="131">
        <v>215</v>
      </c>
      <c r="R486" s="131">
        <v>3.71</v>
      </c>
      <c r="S486" s="131">
        <v>12144</v>
      </c>
      <c r="T486" s="131">
        <f>0.002+1.9865/1000/R486</f>
        <v>2.53544474393531E-3</v>
      </c>
      <c r="U486" s="131">
        <f>96.873+1.9865/1000</f>
        <v>96.874986500000006</v>
      </c>
      <c r="V486" s="132">
        <v>0</v>
      </c>
      <c r="W486" s="132">
        <f t="shared" si="7"/>
        <v>1.1199246555418364E-2</v>
      </c>
      <c r="X486" s="132">
        <v>1.4036546227015163E-3</v>
      </c>
    </row>
    <row r="487" spans="1:24">
      <c r="A487" t="s">
        <v>1213</v>
      </c>
      <c r="B487" s="4">
        <v>35011</v>
      </c>
      <c r="C487" t="s">
        <v>3805</v>
      </c>
      <c r="D487" t="s">
        <v>3806</v>
      </c>
      <c r="E487" t="s">
        <v>311</v>
      </c>
      <c r="F487" t="s">
        <v>3807</v>
      </c>
      <c r="G487" t="s">
        <v>3808</v>
      </c>
      <c r="H487" t="s">
        <v>321</v>
      </c>
      <c r="I487" t="s">
        <v>917</v>
      </c>
      <c r="J487" t="s">
        <v>205</v>
      </c>
      <c r="K487" t="s">
        <v>204</v>
      </c>
      <c r="L487" t="s">
        <v>325</v>
      </c>
      <c r="M487" t="s">
        <v>346</v>
      </c>
      <c r="N487" t="s">
        <v>544</v>
      </c>
      <c r="O487" t="s">
        <v>339</v>
      </c>
      <c r="P487" t="s">
        <v>1216</v>
      </c>
      <c r="Q487" s="131">
        <v>67</v>
      </c>
      <c r="R487" s="131">
        <v>3.71</v>
      </c>
      <c r="S487" s="131">
        <v>16717</v>
      </c>
      <c r="U487" s="131">
        <v>41.552999999999997</v>
      </c>
      <c r="V487" s="132">
        <v>0</v>
      </c>
      <c r="W487" s="132">
        <f t="shared" si="7"/>
        <v>4.8037404590224042E-3</v>
      </c>
      <c r="X487" s="132">
        <v>6.0207554751108116E-4</v>
      </c>
    </row>
    <row r="488" spans="1:24">
      <c r="A488" t="s">
        <v>1213</v>
      </c>
      <c r="B488" s="4">
        <v>35011</v>
      </c>
      <c r="C488" t="s">
        <v>3809</v>
      </c>
      <c r="D488" t="s">
        <v>3810</v>
      </c>
      <c r="E488" t="s">
        <v>309</v>
      </c>
      <c r="F488" t="s">
        <v>3811</v>
      </c>
      <c r="G488" t="s">
        <v>3812</v>
      </c>
      <c r="H488" t="s">
        <v>321</v>
      </c>
      <c r="I488" t="s">
        <v>917</v>
      </c>
      <c r="J488" t="s">
        <v>205</v>
      </c>
      <c r="K488" t="s">
        <v>204</v>
      </c>
      <c r="L488" t="s">
        <v>325</v>
      </c>
      <c r="M488" t="s">
        <v>346</v>
      </c>
      <c r="N488" t="s">
        <v>546</v>
      </c>
      <c r="O488" t="s">
        <v>339</v>
      </c>
      <c r="P488" t="s">
        <v>1216</v>
      </c>
      <c r="Q488" s="131">
        <v>3267</v>
      </c>
      <c r="R488" s="131">
        <v>3.71</v>
      </c>
      <c r="S488" s="131">
        <v>191</v>
      </c>
      <c r="U488" s="131">
        <v>23.15</v>
      </c>
      <c r="V488" s="132">
        <v>4.0000000000000003E-5</v>
      </c>
      <c r="W488" s="132">
        <f t="shared" si="7"/>
        <v>2.6762590336767175E-3</v>
      </c>
      <c r="X488" s="132">
        <v>3.3542822238783073E-4</v>
      </c>
    </row>
    <row r="489" spans="1:24">
      <c r="A489" t="s">
        <v>1213</v>
      </c>
      <c r="B489" s="4">
        <v>35011</v>
      </c>
      <c r="C489" t="s">
        <v>3813</v>
      </c>
      <c r="D489" t="s">
        <v>3814</v>
      </c>
      <c r="E489" t="s">
        <v>311</v>
      </c>
      <c r="F489" t="s">
        <v>3815</v>
      </c>
      <c r="G489" t="s">
        <v>3816</v>
      </c>
      <c r="H489" t="s">
        <v>321</v>
      </c>
      <c r="I489" t="s">
        <v>917</v>
      </c>
      <c r="J489" t="s">
        <v>205</v>
      </c>
      <c r="K489" t="s">
        <v>224</v>
      </c>
      <c r="L489" t="s">
        <v>325</v>
      </c>
      <c r="M489" t="s">
        <v>346</v>
      </c>
      <c r="N489" t="s">
        <v>486</v>
      </c>
      <c r="O489" t="s">
        <v>339</v>
      </c>
      <c r="P489" t="s">
        <v>1216</v>
      </c>
      <c r="Q489" s="131">
        <v>378</v>
      </c>
      <c r="R489" s="131">
        <v>3.71</v>
      </c>
      <c r="S489" s="131">
        <v>702</v>
      </c>
      <c r="U489" s="131">
        <v>9.8450000000000006</v>
      </c>
      <c r="V489" s="132">
        <v>0</v>
      </c>
      <c r="W489" s="132">
        <f t="shared" si="7"/>
        <v>1.138132621449127E-3</v>
      </c>
      <c r="X489" s="132">
        <v>1.4264755289020276E-4</v>
      </c>
    </row>
    <row r="490" spans="1:24">
      <c r="A490" t="s">
        <v>1213</v>
      </c>
      <c r="B490" s="4">
        <v>35011</v>
      </c>
      <c r="C490" t="s">
        <v>3817</v>
      </c>
      <c r="D490" t="s">
        <v>3818</v>
      </c>
      <c r="E490" t="s">
        <v>80</v>
      </c>
      <c r="F490" t="s">
        <v>3819</v>
      </c>
      <c r="G490" t="s">
        <v>3820</v>
      </c>
      <c r="H490" t="s">
        <v>321</v>
      </c>
      <c r="I490" t="s">
        <v>917</v>
      </c>
      <c r="J490" t="s">
        <v>205</v>
      </c>
      <c r="K490" t="s">
        <v>224</v>
      </c>
      <c r="L490" t="s">
        <v>325</v>
      </c>
      <c r="M490" t="s">
        <v>344</v>
      </c>
      <c r="N490" t="s">
        <v>569</v>
      </c>
      <c r="O490" t="s">
        <v>339</v>
      </c>
      <c r="P490" t="s">
        <v>1216</v>
      </c>
      <c r="Q490" s="131">
        <v>0</v>
      </c>
      <c r="R490" s="131">
        <v>3.71</v>
      </c>
      <c r="S490" s="131">
        <v>0</v>
      </c>
      <c r="T490" s="131">
        <v>0.217</v>
      </c>
      <c r="U490" s="131">
        <v>0.80600000000000005</v>
      </c>
      <c r="V490" t="s">
        <v>1871</v>
      </c>
      <c r="W490" s="132">
        <f t="shared" si="7"/>
        <v>9.317774432585031E-5</v>
      </c>
      <c r="X490" s="132">
        <v>1.167840808831929E-5</v>
      </c>
    </row>
    <row r="491" spans="1:24">
      <c r="A491" t="s">
        <v>1213</v>
      </c>
      <c r="B491" s="4">
        <v>35012</v>
      </c>
      <c r="C491" t="s">
        <v>3821</v>
      </c>
      <c r="D491" t="s">
        <v>3822</v>
      </c>
      <c r="E491" t="s">
        <v>309</v>
      </c>
      <c r="F491" t="s">
        <v>3823</v>
      </c>
      <c r="G491" t="s">
        <v>3824</v>
      </c>
      <c r="H491" t="s">
        <v>321</v>
      </c>
      <c r="I491" t="s">
        <v>917</v>
      </c>
      <c r="J491" t="s">
        <v>204</v>
      </c>
      <c r="K491" t="s">
        <v>204</v>
      </c>
      <c r="L491" t="s">
        <v>325</v>
      </c>
      <c r="M491" t="s">
        <v>340</v>
      </c>
      <c r="N491" t="s">
        <v>475</v>
      </c>
      <c r="O491" t="s">
        <v>339</v>
      </c>
      <c r="P491" t="s">
        <v>1212</v>
      </c>
      <c r="Q491" s="131">
        <v>12218849</v>
      </c>
      <c r="R491" s="131">
        <v>1</v>
      </c>
      <c r="S491" s="131">
        <v>130</v>
      </c>
      <c r="U491" s="131">
        <v>15884.504000000001</v>
      </c>
      <c r="V491" s="132">
        <v>6.9879999999999998E-2</v>
      </c>
      <c r="W491" s="132">
        <f t="shared" si="7"/>
        <v>7.0026744486885617E-2</v>
      </c>
      <c r="X491" s="132">
        <v>8.7819442413797112E-3</v>
      </c>
    </row>
    <row r="492" spans="1:24">
      <c r="A492" t="s">
        <v>1213</v>
      </c>
      <c r="B492" s="4">
        <v>35012</v>
      </c>
      <c r="C492" t="s">
        <v>1573</v>
      </c>
      <c r="D492" t="s">
        <v>1574</v>
      </c>
      <c r="E492" t="s">
        <v>309</v>
      </c>
      <c r="F492" t="s">
        <v>1573</v>
      </c>
      <c r="G492" t="s">
        <v>3404</v>
      </c>
      <c r="H492" t="s">
        <v>321</v>
      </c>
      <c r="I492" t="s">
        <v>917</v>
      </c>
      <c r="J492" t="s">
        <v>204</v>
      </c>
      <c r="K492" t="s">
        <v>204</v>
      </c>
      <c r="L492" t="s">
        <v>325</v>
      </c>
      <c r="M492" t="s">
        <v>340</v>
      </c>
      <c r="N492" t="s">
        <v>448</v>
      </c>
      <c r="O492" t="s">
        <v>339</v>
      </c>
      <c r="P492" t="s">
        <v>1212</v>
      </c>
      <c r="Q492" s="131">
        <v>383813</v>
      </c>
      <c r="R492" s="131">
        <v>1</v>
      </c>
      <c r="S492" s="131">
        <v>3644</v>
      </c>
      <c r="U492" s="131">
        <v>13986.146000000001</v>
      </c>
      <c r="V492" s="132">
        <v>2.4000000000000001E-4</v>
      </c>
      <c r="W492" s="132">
        <f t="shared" si="7"/>
        <v>6.1657844166760095E-2</v>
      </c>
      <c r="X492" s="132">
        <v>7.7324135726111361E-3</v>
      </c>
    </row>
    <row r="493" spans="1:24">
      <c r="A493" t="s">
        <v>1213</v>
      </c>
      <c r="B493" s="4">
        <v>35012</v>
      </c>
      <c r="C493" t="s">
        <v>1600</v>
      </c>
      <c r="D493" t="s">
        <v>1601</v>
      </c>
      <c r="E493" t="s">
        <v>309</v>
      </c>
      <c r="F493" t="s">
        <v>1600</v>
      </c>
      <c r="G493" t="s">
        <v>3406</v>
      </c>
      <c r="H493" t="s">
        <v>321</v>
      </c>
      <c r="I493" t="s">
        <v>917</v>
      </c>
      <c r="J493" t="s">
        <v>204</v>
      </c>
      <c r="K493" t="s">
        <v>204</v>
      </c>
      <c r="L493" t="s">
        <v>325</v>
      </c>
      <c r="M493" t="s">
        <v>340</v>
      </c>
      <c r="N493" t="s">
        <v>448</v>
      </c>
      <c r="O493" t="s">
        <v>339</v>
      </c>
      <c r="P493" t="s">
        <v>1212</v>
      </c>
      <c r="Q493" s="131">
        <v>354031</v>
      </c>
      <c r="R493" s="131">
        <v>1</v>
      </c>
      <c r="S493" s="131">
        <v>3729</v>
      </c>
      <c r="U493" s="131">
        <v>13201.816000000001</v>
      </c>
      <c r="V493" s="132">
        <v>2.5999999999999998E-4</v>
      </c>
      <c r="W493" s="132">
        <f t="shared" si="7"/>
        <v>5.8200129874680283E-2</v>
      </c>
      <c r="X493" s="132">
        <v>7.2987870440874032E-3</v>
      </c>
    </row>
    <row r="494" spans="1:24">
      <c r="A494" t="s">
        <v>1213</v>
      </c>
      <c r="B494" s="4">
        <v>35012</v>
      </c>
      <c r="C494" t="s">
        <v>2361</v>
      </c>
      <c r="D494" t="s">
        <v>2362</v>
      </c>
      <c r="E494" t="s">
        <v>309</v>
      </c>
      <c r="F494" t="s">
        <v>2361</v>
      </c>
      <c r="G494" t="s">
        <v>3440</v>
      </c>
      <c r="H494" t="s">
        <v>321</v>
      </c>
      <c r="I494" t="s">
        <v>917</v>
      </c>
      <c r="J494" t="s">
        <v>204</v>
      </c>
      <c r="K494" t="s">
        <v>204</v>
      </c>
      <c r="L494" t="s">
        <v>325</v>
      </c>
      <c r="M494" t="s">
        <v>340</v>
      </c>
      <c r="N494" t="s">
        <v>446</v>
      </c>
      <c r="O494" t="s">
        <v>339</v>
      </c>
      <c r="P494" t="s">
        <v>1212</v>
      </c>
      <c r="Q494" s="131">
        <v>8983</v>
      </c>
      <c r="R494" s="131">
        <v>1</v>
      </c>
      <c r="S494" s="131">
        <v>74080</v>
      </c>
      <c r="U494" s="131">
        <v>6654.6059999999998</v>
      </c>
      <c r="V494" s="132">
        <v>2.0000000000000001E-4</v>
      </c>
      <c r="W494" s="132">
        <f t="shared" si="7"/>
        <v>2.9336792261369694E-2</v>
      </c>
      <c r="X494" s="132">
        <v>3.6790811246199986E-3</v>
      </c>
    </row>
    <row r="495" spans="1:24">
      <c r="A495" t="s">
        <v>1213</v>
      </c>
      <c r="B495" s="4">
        <v>35012</v>
      </c>
      <c r="C495" t="s">
        <v>2089</v>
      </c>
      <c r="D495" t="s">
        <v>2090</v>
      </c>
      <c r="E495" t="s">
        <v>309</v>
      </c>
      <c r="F495" t="s">
        <v>2089</v>
      </c>
      <c r="G495" t="s">
        <v>3405</v>
      </c>
      <c r="H495" t="s">
        <v>321</v>
      </c>
      <c r="I495" t="s">
        <v>917</v>
      </c>
      <c r="J495" t="s">
        <v>204</v>
      </c>
      <c r="K495" t="s">
        <v>204</v>
      </c>
      <c r="L495" t="s">
        <v>325</v>
      </c>
      <c r="M495" t="s">
        <v>340</v>
      </c>
      <c r="N495" t="s">
        <v>467</v>
      </c>
      <c r="O495" t="s">
        <v>339</v>
      </c>
      <c r="P495" t="s">
        <v>1212</v>
      </c>
      <c r="Q495" s="131">
        <v>99972</v>
      </c>
      <c r="R495" s="131">
        <v>1</v>
      </c>
      <c r="S495" s="131">
        <v>6629</v>
      </c>
      <c r="U495" s="131">
        <v>6627.1440000000002</v>
      </c>
      <c r="V495" s="132">
        <v>8.0000000000000007E-5</v>
      </c>
      <c r="W495" s="132">
        <f t="shared" si="7"/>
        <v>2.9215726192382031E-2</v>
      </c>
      <c r="X495" s="132">
        <v>3.6638984187100901E-3</v>
      </c>
    </row>
    <row r="496" spans="1:24">
      <c r="A496" t="s">
        <v>1213</v>
      </c>
      <c r="B496" s="4">
        <v>35012</v>
      </c>
      <c r="C496" t="s">
        <v>3683</v>
      </c>
      <c r="D496" t="s">
        <v>3684</v>
      </c>
      <c r="E496" t="s">
        <v>309</v>
      </c>
      <c r="F496" t="s">
        <v>3683</v>
      </c>
      <c r="G496" t="s">
        <v>3685</v>
      </c>
      <c r="H496" t="s">
        <v>321</v>
      </c>
      <c r="I496" t="s">
        <v>917</v>
      </c>
      <c r="J496" t="s">
        <v>204</v>
      </c>
      <c r="K496" t="s">
        <v>204</v>
      </c>
      <c r="L496" t="s">
        <v>325</v>
      </c>
      <c r="M496" t="s">
        <v>340</v>
      </c>
      <c r="N496" t="s">
        <v>451</v>
      </c>
      <c r="O496" t="s">
        <v>339</v>
      </c>
      <c r="P496" t="s">
        <v>1212</v>
      </c>
      <c r="Q496" s="131">
        <v>1273656</v>
      </c>
      <c r="R496" s="131">
        <v>1</v>
      </c>
      <c r="S496" s="131">
        <v>512</v>
      </c>
      <c r="U496" s="131">
        <v>6521.1189999999997</v>
      </c>
      <c r="V496" s="132">
        <v>6.8100000000000001E-3</v>
      </c>
      <c r="W496" s="132">
        <f t="shared" si="7"/>
        <v>2.8748315589934383E-2</v>
      </c>
      <c r="X496" s="132">
        <v>3.6052811878420515E-3</v>
      </c>
    </row>
    <row r="497" spans="1:24">
      <c r="A497" t="s">
        <v>1213</v>
      </c>
      <c r="B497" s="4">
        <v>35012</v>
      </c>
      <c r="C497" t="s">
        <v>3113</v>
      </c>
      <c r="D497" t="s">
        <v>3114</v>
      </c>
      <c r="E497" t="s">
        <v>309</v>
      </c>
      <c r="F497" t="s">
        <v>3113</v>
      </c>
      <c r="G497" t="s">
        <v>3413</v>
      </c>
      <c r="H497" t="s">
        <v>321</v>
      </c>
      <c r="I497" t="s">
        <v>917</v>
      </c>
      <c r="J497" t="s">
        <v>204</v>
      </c>
      <c r="K497" t="s">
        <v>204</v>
      </c>
      <c r="L497" t="s">
        <v>325</v>
      </c>
      <c r="M497" t="s">
        <v>340</v>
      </c>
      <c r="N497" t="s">
        <v>448</v>
      </c>
      <c r="O497" t="s">
        <v>339</v>
      </c>
      <c r="P497" t="s">
        <v>1212</v>
      </c>
      <c r="Q497" s="131">
        <v>288386</v>
      </c>
      <c r="R497" s="131">
        <v>1</v>
      </c>
      <c r="S497" s="131">
        <v>2085</v>
      </c>
      <c r="U497" s="131">
        <v>6012.848</v>
      </c>
      <c r="V497" s="132">
        <v>2.3000000000000001E-4</v>
      </c>
      <c r="W497" s="132">
        <f t="shared" si="7"/>
        <v>2.6507605810951428E-2</v>
      </c>
      <c r="X497" s="132">
        <v>3.3242772873418969E-3</v>
      </c>
    </row>
    <row r="498" spans="1:24">
      <c r="A498" t="s">
        <v>1213</v>
      </c>
      <c r="B498" s="4">
        <v>35012</v>
      </c>
      <c r="C498" t="s">
        <v>2812</v>
      </c>
      <c r="D498" t="s">
        <v>2813</v>
      </c>
      <c r="E498" t="s">
        <v>309</v>
      </c>
      <c r="F498" t="s">
        <v>2812</v>
      </c>
      <c r="G498" t="s">
        <v>3637</v>
      </c>
      <c r="H498" t="s">
        <v>321</v>
      </c>
      <c r="I498" t="s">
        <v>917</v>
      </c>
      <c r="J498" t="s">
        <v>204</v>
      </c>
      <c r="K498" t="s">
        <v>204</v>
      </c>
      <c r="L498" t="s">
        <v>325</v>
      </c>
      <c r="M498" t="s">
        <v>340</v>
      </c>
      <c r="N498" t="s">
        <v>447</v>
      </c>
      <c r="O498" t="s">
        <v>339</v>
      </c>
      <c r="P498" t="s">
        <v>1212</v>
      </c>
      <c r="Q498" s="131">
        <v>20773</v>
      </c>
      <c r="R498" s="131">
        <v>1</v>
      </c>
      <c r="S498" s="131">
        <v>24250</v>
      </c>
      <c r="U498" s="131">
        <v>5037.4530000000004</v>
      </c>
      <c r="V498" s="132">
        <v>1.64E-3</v>
      </c>
      <c r="W498" s="132">
        <f t="shared" si="7"/>
        <v>2.2207582565731701E-2</v>
      </c>
      <c r="X498" s="132">
        <v>2.7850181135382606E-3</v>
      </c>
    </row>
    <row r="499" spans="1:24">
      <c r="A499" t="s">
        <v>1213</v>
      </c>
      <c r="B499" s="4">
        <v>35012</v>
      </c>
      <c r="C499" t="s">
        <v>2436</v>
      </c>
      <c r="D499" t="s">
        <v>2437</v>
      </c>
      <c r="E499" t="s">
        <v>309</v>
      </c>
      <c r="F499" t="s">
        <v>2436</v>
      </c>
      <c r="G499" t="s">
        <v>3426</v>
      </c>
      <c r="H499" t="s">
        <v>321</v>
      </c>
      <c r="I499" t="s">
        <v>917</v>
      </c>
      <c r="J499" t="s">
        <v>204</v>
      </c>
      <c r="K499" t="s">
        <v>204</v>
      </c>
      <c r="L499" t="s">
        <v>325</v>
      </c>
      <c r="M499" t="s">
        <v>340</v>
      </c>
      <c r="N499" t="s">
        <v>475</v>
      </c>
      <c r="O499" t="s">
        <v>339</v>
      </c>
      <c r="P499" t="s">
        <v>1212</v>
      </c>
      <c r="Q499" s="131">
        <v>124408</v>
      </c>
      <c r="R499" s="131">
        <v>1</v>
      </c>
      <c r="S499" s="131">
        <v>3310</v>
      </c>
      <c r="U499" s="131">
        <v>4117.9049999999997</v>
      </c>
      <c r="V499" s="132">
        <v>4.4999999999999999E-4</v>
      </c>
      <c r="W499" s="132">
        <f t="shared" si="7"/>
        <v>1.815376049867649E-2</v>
      </c>
      <c r="X499" s="132">
        <v>2.2766346435053129E-3</v>
      </c>
    </row>
    <row r="500" spans="1:24">
      <c r="A500" t="s">
        <v>1213</v>
      </c>
      <c r="B500" s="4">
        <v>35012</v>
      </c>
      <c r="C500" t="s">
        <v>2238</v>
      </c>
      <c r="D500" t="s">
        <v>2239</v>
      </c>
      <c r="E500" t="s">
        <v>309</v>
      </c>
      <c r="F500" t="s">
        <v>2238</v>
      </c>
      <c r="G500" t="s">
        <v>3785</v>
      </c>
      <c r="H500" t="s">
        <v>321</v>
      </c>
      <c r="I500" t="s">
        <v>917</v>
      </c>
      <c r="J500" t="s">
        <v>204</v>
      </c>
      <c r="K500" t="s">
        <v>204</v>
      </c>
      <c r="L500" t="s">
        <v>325</v>
      </c>
      <c r="M500" t="s">
        <v>340</v>
      </c>
      <c r="N500" t="s">
        <v>447</v>
      </c>
      <c r="O500" t="s">
        <v>339</v>
      </c>
      <c r="P500" t="s">
        <v>1212</v>
      </c>
      <c r="Q500" s="131">
        <v>12062</v>
      </c>
      <c r="R500" s="131">
        <v>1</v>
      </c>
      <c r="S500" s="131">
        <v>33200</v>
      </c>
      <c r="U500" s="131">
        <v>4004.5839999999998</v>
      </c>
      <c r="V500" s="132">
        <v>6.0999999999999997E-4</v>
      </c>
      <c r="W500" s="132">
        <f t="shared" si="7"/>
        <v>1.7654185522208963E-2</v>
      </c>
      <c r="X500" s="132">
        <v>2.2139837289172721E-3</v>
      </c>
    </row>
    <row r="501" spans="1:24">
      <c r="A501" t="s">
        <v>1213</v>
      </c>
      <c r="B501" s="4">
        <v>35012</v>
      </c>
      <c r="C501" t="s">
        <v>3415</v>
      </c>
      <c r="D501" t="s">
        <v>3416</v>
      </c>
      <c r="E501" t="s">
        <v>309</v>
      </c>
      <c r="F501" t="s">
        <v>3415</v>
      </c>
      <c r="G501" t="s">
        <v>3417</v>
      </c>
      <c r="H501" t="s">
        <v>321</v>
      </c>
      <c r="I501" t="s">
        <v>917</v>
      </c>
      <c r="J501" t="s">
        <v>204</v>
      </c>
      <c r="K501" t="s">
        <v>204</v>
      </c>
      <c r="L501" t="s">
        <v>325</v>
      </c>
      <c r="M501" t="s">
        <v>340</v>
      </c>
      <c r="N501" t="s">
        <v>458</v>
      </c>
      <c r="O501" t="s">
        <v>339</v>
      </c>
      <c r="P501" t="s">
        <v>1212</v>
      </c>
      <c r="Q501" s="131">
        <v>5056</v>
      </c>
      <c r="R501" s="131">
        <v>1</v>
      </c>
      <c r="S501" s="131">
        <v>77890</v>
      </c>
      <c r="U501" s="131">
        <v>3938.1179999999999</v>
      </c>
      <c r="V501" s="132">
        <v>1.7000000000000001E-4</v>
      </c>
      <c r="W501" s="132">
        <f t="shared" si="7"/>
        <v>1.7361170543644611E-2</v>
      </c>
      <c r="X501" s="132">
        <v>2.1772371798309711E-3</v>
      </c>
    </row>
    <row r="502" spans="1:24">
      <c r="A502" t="s">
        <v>1213</v>
      </c>
      <c r="B502" s="4">
        <v>35012</v>
      </c>
      <c r="C502" t="s">
        <v>2866</v>
      </c>
      <c r="D502" t="s">
        <v>2867</v>
      </c>
      <c r="E502" t="s">
        <v>309</v>
      </c>
      <c r="F502" t="s">
        <v>2866</v>
      </c>
      <c r="G502" t="s">
        <v>3663</v>
      </c>
      <c r="H502" t="s">
        <v>321</v>
      </c>
      <c r="I502" t="s">
        <v>917</v>
      </c>
      <c r="J502" t="s">
        <v>204</v>
      </c>
      <c r="K502" t="s">
        <v>204</v>
      </c>
      <c r="L502" t="s">
        <v>325</v>
      </c>
      <c r="M502" t="s">
        <v>340</v>
      </c>
      <c r="N502" t="s">
        <v>464</v>
      </c>
      <c r="O502" t="s">
        <v>339</v>
      </c>
      <c r="P502" t="s">
        <v>1212</v>
      </c>
      <c r="Q502" s="131">
        <v>973665</v>
      </c>
      <c r="R502" s="131">
        <v>1</v>
      </c>
      <c r="S502" s="131">
        <v>399.6</v>
      </c>
      <c r="U502" s="131">
        <v>3890.7649999999999</v>
      </c>
      <c r="V502" s="132">
        <v>6.6499999999999997E-3</v>
      </c>
      <c r="W502" s="132">
        <f t="shared" si="7"/>
        <v>1.7152415115606855E-2</v>
      </c>
      <c r="X502" s="132">
        <v>2.1510574888779486E-3</v>
      </c>
    </row>
    <row r="503" spans="1:24">
      <c r="A503" t="s">
        <v>1213</v>
      </c>
      <c r="B503" s="4">
        <v>35012</v>
      </c>
      <c r="C503" t="s">
        <v>1674</v>
      </c>
      <c r="D503" t="s">
        <v>1675</v>
      </c>
      <c r="E503" t="s">
        <v>309</v>
      </c>
      <c r="F503" t="s">
        <v>1674</v>
      </c>
      <c r="G503" t="s">
        <v>3464</v>
      </c>
      <c r="H503" t="s">
        <v>321</v>
      </c>
      <c r="I503" t="s">
        <v>917</v>
      </c>
      <c r="J503" t="s">
        <v>204</v>
      </c>
      <c r="K503" t="s">
        <v>204</v>
      </c>
      <c r="L503" t="s">
        <v>325</v>
      </c>
      <c r="M503" t="s">
        <v>340</v>
      </c>
      <c r="N503" t="s">
        <v>464</v>
      </c>
      <c r="O503" t="s">
        <v>339</v>
      </c>
      <c r="P503" t="s">
        <v>1212</v>
      </c>
      <c r="Q503" s="131">
        <v>8810</v>
      </c>
      <c r="R503" s="131">
        <v>1</v>
      </c>
      <c r="S503" s="131">
        <v>41490</v>
      </c>
      <c r="U503" s="131">
        <v>3655.2689999999998</v>
      </c>
      <c r="V503" s="132">
        <v>3.6000000000000002E-4</v>
      </c>
      <c r="W503" s="132">
        <f t="shared" si="7"/>
        <v>1.6114232354616419E-2</v>
      </c>
      <c r="X503" s="132">
        <v>2.0208606164374898E-3</v>
      </c>
    </row>
    <row r="504" spans="1:24">
      <c r="A504" t="s">
        <v>1213</v>
      </c>
      <c r="B504" s="4">
        <v>35012</v>
      </c>
      <c r="C504" t="s">
        <v>2228</v>
      </c>
      <c r="D504" t="s">
        <v>2229</v>
      </c>
      <c r="E504" t="s">
        <v>309</v>
      </c>
      <c r="F504" t="s">
        <v>2228</v>
      </c>
      <c r="G504" t="s">
        <v>3439</v>
      </c>
      <c r="H504" t="s">
        <v>321</v>
      </c>
      <c r="I504" t="s">
        <v>917</v>
      </c>
      <c r="J504" t="s">
        <v>204</v>
      </c>
      <c r="K504" t="s">
        <v>204</v>
      </c>
      <c r="L504" t="s">
        <v>325</v>
      </c>
      <c r="M504" t="s">
        <v>340</v>
      </c>
      <c r="N504" t="s">
        <v>441</v>
      </c>
      <c r="O504" t="s">
        <v>339</v>
      </c>
      <c r="P504" t="s">
        <v>1212</v>
      </c>
      <c r="Q504" s="131">
        <v>54151.5</v>
      </c>
      <c r="R504" s="131">
        <v>1</v>
      </c>
      <c r="S504" s="131">
        <v>6254</v>
      </c>
      <c r="U504" s="131">
        <v>3386.6350000000002</v>
      </c>
      <c r="V504" s="132">
        <v>4.6000000000000001E-4</v>
      </c>
      <c r="W504" s="132">
        <f t="shared" si="7"/>
        <v>1.4929960911297193E-2</v>
      </c>
      <c r="X504" s="132">
        <v>1.8723429913773183E-3</v>
      </c>
    </row>
    <row r="505" spans="1:24">
      <c r="A505" t="s">
        <v>1213</v>
      </c>
      <c r="B505" s="4">
        <v>35012</v>
      </c>
      <c r="C505" t="s">
        <v>1986</v>
      </c>
      <c r="D505" t="s">
        <v>1987</v>
      </c>
      <c r="E505" t="s">
        <v>309</v>
      </c>
      <c r="F505" t="s">
        <v>1986</v>
      </c>
      <c r="G505" t="s">
        <v>3445</v>
      </c>
      <c r="H505" t="s">
        <v>321</v>
      </c>
      <c r="I505" t="s">
        <v>917</v>
      </c>
      <c r="J505" t="s">
        <v>204</v>
      </c>
      <c r="K505" t="s">
        <v>204</v>
      </c>
      <c r="L505" t="s">
        <v>325</v>
      </c>
      <c r="M505" t="s">
        <v>340</v>
      </c>
      <c r="N505" t="s">
        <v>484</v>
      </c>
      <c r="O505" t="s">
        <v>339</v>
      </c>
      <c r="P505" t="s">
        <v>1212</v>
      </c>
      <c r="Q505" s="131">
        <v>753465</v>
      </c>
      <c r="R505" s="131">
        <v>1</v>
      </c>
      <c r="S505" s="131">
        <v>428.6</v>
      </c>
      <c r="T505" s="131">
        <v>110.788</v>
      </c>
      <c r="U505" s="131">
        <v>3340.1390000000001</v>
      </c>
      <c r="V505" s="132">
        <v>2.7E-4</v>
      </c>
      <c r="W505" s="132">
        <f t="shared" si="7"/>
        <v>1.472498356282838E-2</v>
      </c>
      <c r="X505" s="132">
        <v>1.8466371034599372E-3</v>
      </c>
    </row>
    <row r="506" spans="1:24">
      <c r="A506" t="s">
        <v>1213</v>
      </c>
      <c r="B506" s="4">
        <v>35012</v>
      </c>
      <c r="C506" t="s">
        <v>1881</v>
      </c>
      <c r="D506" t="s">
        <v>1882</v>
      </c>
      <c r="E506" t="s">
        <v>309</v>
      </c>
      <c r="F506" t="s">
        <v>3407</v>
      </c>
      <c r="G506" t="s">
        <v>3408</v>
      </c>
      <c r="H506" t="s">
        <v>321</v>
      </c>
      <c r="I506" t="s">
        <v>917</v>
      </c>
      <c r="J506" t="s">
        <v>204</v>
      </c>
      <c r="K506" t="s">
        <v>204</v>
      </c>
      <c r="L506" t="s">
        <v>325</v>
      </c>
      <c r="M506" t="s">
        <v>340</v>
      </c>
      <c r="N506" t="s">
        <v>448</v>
      </c>
      <c r="O506" t="s">
        <v>339</v>
      </c>
      <c r="P506" t="s">
        <v>1212</v>
      </c>
      <c r="Q506" s="131">
        <v>22474</v>
      </c>
      <c r="R506" s="131">
        <v>1</v>
      </c>
      <c r="S506" s="131">
        <v>14550</v>
      </c>
      <c r="U506" s="131">
        <v>3269.9670000000001</v>
      </c>
      <c r="V506" s="132">
        <v>9.0000000000000006E-5</v>
      </c>
      <c r="W506" s="132">
        <f t="shared" si="7"/>
        <v>1.4415630704587812E-2</v>
      </c>
      <c r="X506" s="132">
        <v>1.8078416464972207E-3</v>
      </c>
    </row>
    <row r="507" spans="1:24">
      <c r="A507" t="s">
        <v>1213</v>
      </c>
      <c r="B507" s="4">
        <v>35012</v>
      </c>
      <c r="C507" t="s">
        <v>3410</v>
      </c>
      <c r="D507" t="s">
        <v>3411</v>
      </c>
      <c r="E507" t="s">
        <v>309</v>
      </c>
      <c r="F507" t="s">
        <v>3410</v>
      </c>
      <c r="G507" t="s">
        <v>3412</v>
      </c>
      <c r="H507" t="s">
        <v>321</v>
      </c>
      <c r="I507" t="s">
        <v>917</v>
      </c>
      <c r="J507" t="s">
        <v>204</v>
      </c>
      <c r="K507" t="s">
        <v>204</v>
      </c>
      <c r="L507" t="s">
        <v>325</v>
      </c>
      <c r="M507" t="s">
        <v>340</v>
      </c>
      <c r="N507" t="s">
        <v>480</v>
      </c>
      <c r="O507" t="s">
        <v>339</v>
      </c>
      <c r="P507" t="s">
        <v>1212</v>
      </c>
      <c r="Q507" s="131">
        <v>4953</v>
      </c>
      <c r="R507" s="131">
        <v>1</v>
      </c>
      <c r="S507" s="131">
        <v>64880</v>
      </c>
      <c r="U507" s="131">
        <v>3213.5059999999999</v>
      </c>
      <c r="V507" s="132">
        <v>6.9999999999999994E-5</v>
      </c>
      <c r="W507" s="132">
        <f t="shared" si="7"/>
        <v>1.4166722710956153E-2</v>
      </c>
      <c r="X507" s="132">
        <v>1.7766264852424191E-3</v>
      </c>
    </row>
    <row r="508" spans="1:24">
      <c r="A508" t="s">
        <v>1213</v>
      </c>
      <c r="B508" s="4">
        <v>35012</v>
      </c>
      <c r="C508" t="s">
        <v>2348</v>
      </c>
      <c r="D508" t="s">
        <v>2349</v>
      </c>
      <c r="E508" t="s">
        <v>309</v>
      </c>
      <c r="F508" t="s">
        <v>2348</v>
      </c>
      <c r="G508" t="s">
        <v>3446</v>
      </c>
      <c r="H508" t="s">
        <v>321</v>
      </c>
      <c r="I508" t="s">
        <v>917</v>
      </c>
      <c r="J508" t="s">
        <v>204</v>
      </c>
      <c r="K508" t="s">
        <v>204</v>
      </c>
      <c r="L508" t="s">
        <v>325</v>
      </c>
      <c r="M508" t="s">
        <v>340</v>
      </c>
      <c r="N508" t="s">
        <v>456</v>
      </c>
      <c r="O508" t="s">
        <v>339</v>
      </c>
      <c r="P508" t="s">
        <v>1212</v>
      </c>
      <c r="Q508" s="131">
        <v>197333</v>
      </c>
      <c r="R508" s="131">
        <v>1</v>
      </c>
      <c r="S508" s="131">
        <v>1588</v>
      </c>
      <c r="U508" s="131">
        <v>3133.6480000000001</v>
      </c>
      <c r="V508" s="132">
        <v>1.4999999999999999E-4</v>
      </c>
      <c r="W508" s="132">
        <f t="shared" si="7"/>
        <v>1.3814669177447414E-2</v>
      </c>
      <c r="X508" s="132">
        <v>1.732476003538483E-3</v>
      </c>
    </row>
    <row r="509" spans="1:24">
      <c r="A509" t="s">
        <v>1213</v>
      </c>
      <c r="B509" s="4">
        <v>35012</v>
      </c>
      <c r="C509" t="s">
        <v>1861</v>
      </c>
      <c r="D509" t="s">
        <v>1862</v>
      </c>
      <c r="E509" t="s">
        <v>309</v>
      </c>
      <c r="F509" t="s">
        <v>1861</v>
      </c>
      <c r="G509" t="s">
        <v>3460</v>
      </c>
      <c r="H509" t="s">
        <v>321</v>
      </c>
      <c r="I509" t="s">
        <v>917</v>
      </c>
      <c r="J509" t="s">
        <v>204</v>
      </c>
      <c r="K509" t="s">
        <v>204</v>
      </c>
      <c r="L509" t="s">
        <v>325</v>
      </c>
      <c r="M509" t="s">
        <v>340</v>
      </c>
      <c r="N509" t="s">
        <v>464</v>
      </c>
      <c r="O509" t="s">
        <v>339</v>
      </c>
      <c r="P509" t="s">
        <v>1212</v>
      </c>
      <c r="Q509" s="131">
        <v>11092</v>
      </c>
      <c r="R509" s="131">
        <v>1</v>
      </c>
      <c r="S509" s="131">
        <v>28210</v>
      </c>
      <c r="U509" s="131">
        <v>3129.0529999999999</v>
      </c>
      <c r="V509" s="132">
        <v>2.3000000000000001E-4</v>
      </c>
      <c r="W509" s="132">
        <f t="shared" si="7"/>
        <v>1.3794412146386371E-2</v>
      </c>
      <c r="X509" s="132">
        <v>1.7299356010311627E-3</v>
      </c>
    </row>
    <row r="510" spans="1:24">
      <c r="A510" t="s">
        <v>1213</v>
      </c>
      <c r="B510" s="4">
        <v>35012</v>
      </c>
      <c r="C510" t="s">
        <v>2128</v>
      </c>
      <c r="D510" t="s">
        <v>2129</v>
      </c>
      <c r="E510" t="s">
        <v>309</v>
      </c>
      <c r="F510" t="s">
        <v>3419</v>
      </c>
      <c r="G510" t="s">
        <v>3420</v>
      </c>
      <c r="H510" t="s">
        <v>321</v>
      </c>
      <c r="I510" t="s">
        <v>917</v>
      </c>
      <c r="J510" t="s">
        <v>204</v>
      </c>
      <c r="K510" t="s">
        <v>204</v>
      </c>
      <c r="L510" t="s">
        <v>325</v>
      </c>
      <c r="M510" t="s">
        <v>340</v>
      </c>
      <c r="N510" t="s">
        <v>445</v>
      </c>
      <c r="O510" t="s">
        <v>339</v>
      </c>
      <c r="P510" t="s">
        <v>1212</v>
      </c>
      <c r="Q510" s="131">
        <v>73046</v>
      </c>
      <c r="R510" s="131">
        <v>1</v>
      </c>
      <c r="S510" s="131">
        <v>4200</v>
      </c>
      <c r="U510" s="131">
        <v>3067.9319999999998</v>
      </c>
      <c r="V510" s="132">
        <v>2.7999999999999998E-4</v>
      </c>
      <c r="W510" s="132">
        <f t="shared" si="7"/>
        <v>1.3524960569567672E-2</v>
      </c>
      <c r="X510" s="132">
        <v>1.6961441012161625E-3</v>
      </c>
    </row>
    <row r="511" spans="1:24">
      <c r="A511" t="s">
        <v>1213</v>
      </c>
      <c r="B511" s="4">
        <v>35012</v>
      </c>
      <c r="C511" t="s">
        <v>1807</v>
      </c>
      <c r="D511" t="s">
        <v>1808</v>
      </c>
      <c r="E511" t="s">
        <v>309</v>
      </c>
      <c r="F511" t="s">
        <v>1807</v>
      </c>
      <c r="G511" t="s">
        <v>3409</v>
      </c>
      <c r="H511" t="s">
        <v>321</v>
      </c>
      <c r="I511" t="s">
        <v>917</v>
      </c>
      <c r="J511" t="s">
        <v>204</v>
      </c>
      <c r="K511" t="s">
        <v>204</v>
      </c>
      <c r="L511" t="s">
        <v>325</v>
      </c>
      <c r="M511" t="s">
        <v>340</v>
      </c>
      <c r="N511" t="s">
        <v>464</v>
      </c>
      <c r="O511" t="s">
        <v>339</v>
      </c>
      <c r="P511" t="s">
        <v>1212</v>
      </c>
      <c r="Q511" s="131">
        <v>11733</v>
      </c>
      <c r="R511" s="131">
        <v>1</v>
      </c>
      <c r="S511" s="131">
        <v>25940</v>
      </c>
      <c r="U511" s="131">
        <v>3043.54</v>
      </c>
      <c r="V511" s="132">
        <v>1E-4</v>
      </c>
      <c r="W511" s="132">
        <f t="shared" si="7"/>
        <v>1.3417428577915676E-2</v>
      </c>
      <c r="X511" s="132">
        <v>1.6826586827268137E-3</v>
      </c>
    </row>
    <row r="512" spans="1:24">
      <c r="A512" t="s">
        <v>1213</v>
      </c>
      <c r="B512" s="4">
        <v>35012</v>
      </c>
      <c r="C512" t="s">
        <v>2404</v>
      </c>
      <c r="D512" t="s">
        <v>2405</v>
      </c>
      <c r="E512" t="s">
        <v>309</v>
      </c>
      <c r="F512" t="s">
        <v>2404</v>
      </c>
      <c r="G512" t="s">
        <v>3418</v>
      </c>
      <c r="H512" t="s">
        <v>321</v>
      </c>
      <c r="I512" t="s">
        <v>917</v>
      </c>
      <c r="J512" t="s">
        <v>204</v>
      </c>
      <c r="K512" t="s">
        <v>204</v>
      </c>
      <c r="L512" t="s">
        <v>325</v>
      </c>
      <c r="M512" t="s">
        <v>340</v>
      </c>
      <c r="N512" t="s">
        <v>440</v>
      </c>
      <c r="O512" t="s">
        <v>339</v>
      </c>
      <c r="P512" t="s">
        <v>1212</v>
      </c>
      <c r="Q512" s="131">
        <v>100610</v>
      </c>
      <c r="R512" s="131">
        <v>1</v>
      </c>
      <c r="S512" s="131">
        <v>3016</v>
      </c>
      <c r="U512" s="131">
        <v>3034.3980000000001</v>
      </c>
      <c r="V512" s="132">
        <v>3.8999999999999999E-4</v>
      </c>
      <c r="W512" s="132">
        <f t="shared" si="7"/>
        <v>1.3377126123517408E-2</v>
      </c>
      <c r="X512" s="132">
        <v>1.677604415105068E-3</v>
      </c>
    </row>
    <row r="513" spans="1:24">
      <c r="A513" t="s">
        <v>1213</v>
      </c>
      <c r="B513" s="4">
        <v>35012</v>
      </c>
      <c r="C513" t="s">
        <v>1737</v>
      </c>
      <c r="D513" t="s">
        <v>1738</v>
      </c>
      <c r="E513" t="s">
        <v>309</v>
      </c>
      <c r="F513" t="s">
        <v>3530</v>
      </c>
      <c r="G513" t="s">
        <v>3531</v>
      </c>
      <c r="H513" t="s">
        <v>321</v>
      </c>
      <c r="I513" t="s">
        <v>917</v>
      </c>
      <c r="J513" t="s">
        <v>204</v>
      </c>
      <c r="K513" t="s">
        <v>204</v>
      </c>
      <c r="L513" t="s">
        <v>325</v>
      </c>
      <c r="M513" t="s">
        <v>340</v>
      </c>
      <c r="N513" t="s">
        <v>447</v>
      </c>
      <c r="O513" t="s">
        <v>339</v>
      </c>
      <c r="P513" t="s">
        <v>1212</v>
      </c>
      <c r="Q513" s="131">
        <v>181900</v>
      </c>
      <c r="R513" s="131">
        <v>1</v>
      </c>
      <c r="S513" s="131">
        <v>1628</v>
      </c>
      <c r="U513" s="131">
        <v>2961.3319999999999</v>
      </c>
      <c r="V513" s="132">
        <v>2.9399999999999999E-3</v>
      </c>
      <c r="W513" s="132">
        <f t="shared" si="7"/>
        <v>1.3055015082928492E-2</v>
      </c>
      <c r="X513" s="132">
        <v>1.6372089744957387E-3</v>
      </c>
    </row>
    <row r="514" spans="1:24">
      <c r="A514" t="s">
        <v>1213</v>
      </c>
      <c r="B514" s="4">
        <v>35012</v>
      </c>
      <c r="C514" t="s">
        <v>2145</v>
      </c>
      <c r="D514" t="s">
        <v>2146</v>
      </c>
      <c r="E514" t="s">
        <v>309</v>
      </c>
      <c r="F514" t="s">
        <v>3612</v>
      </c>
      <c r="G514" t="s">
        <v>3613</v>
      </c>
      <c r="H514" t="s">
        <v>321</v>
      </c>
      <c r="I514" t="s">
        <v>917</v>
      </c>
      <c r="J514" t="s">
        <v>204</v>
      </c>
      <c r="K514" t="s">
        <v>204</v>
      </c>
      <c r="L514" t="s">
        <v>325</v>
      </c>
      <c r="M514" t="s">
        <v>340</v>
      </c>
      <c r="N514" t="s">
        <v>445</v>
      </c>
      <c r="O514" t="s">
        <v>339</v>
      </c>
      <c r="P514" t="s">
        <v>1212</v>
      </c>
      <c r="Q514" s="131">
        <v>43052</v>
      </c>
      <c r="R514" s="131">
        <v>1</v>
      </c>
      <c r="S514" s="131">
        <v>6329</v>
      </c>
      <c r="U514" s="131">
        <v>2724.761</v>
      </c>
      <c r="V514" s="132">
        <v>5.4000000000000001E-4</v>
      </c>
      <c r="W514" s="132">
        <f t="shared" si="7"/>
        <v>1.2012093190623449E-2</v>
      </c>
      <c r="X514" s="132">
        <v>1.506417775026908E-3</v>
      </c>
    </row>
    <row r="515" spans="1:24">
      <c r="A515" t="s">
        <v>1213</v>
      </c>
      <c r="B515" s="4">
        <v>35012</v>
      </c>
      <c r="C515" t="s">
        <v>2211</v>
      </c>
      <c r="D515" t="s">
        <v>2212</v>
      </c>
      <c r="E515" t="s">
        <v>309</v>
      </c>
      <c r="F515" t="s">
        <v>2211</v>
      </c>
      <c r="G515" t="s">
        <v>3617</v>
      </c>
      <c r="H515" t="s">
        <v>321</v>
      </c>
      <c r="I515" t="s">
        <v>917</v>
      </c>
      <c r="J515" t="s">
        <v>204</v>
      </c>
      <c r="K515" t="s">
        <v>204</v>
      </c>
      <c r="L515" t="s">
        <v>325</v>
      </c>
      <c r="M515" t="s">
        <v>340</v>
      </c>
      <c r="N515" t="s">
        <v>454</v>
      </c>
      <c r="O515" t="s">
        <v>339</v>
      </c>
      <c r="P515" t="s">
        <v>1212</v>
      </c>
      <c r="Q515" s="131">
        <v>5267</v>
      </c>
      <c r="R515" s="131">
        <v>1</v>
      </c>
      <c r="S515" s="131">
        <v>43600</v>
      </c>
      <c r="U515" s="131">
        <v>2296.4119999999998</v>
      </c>
      <c r="V515" s="132">
        <v>2.7999999999999998E-4</v>
      </c>
      <c r="W515" s="132">
        <f t="shared" ref="W515:W578" si="8">U515/SUMIF(B:B,B515,U:U)</f>
        <v>1.0123719088780989E-2</v>
      </c>
      <c r="X515" s="132">
        <v>1.269599739421216E-3</v>
      </c>
    </row>
    <row r="516" spans="1:24">
      <c r="A516" t="s">
        <v>1213</v>
      </c>
      <c r="B516" s="4">
        <v>35012</v>
      </c>
      <c r="C516" t="s">
        <v>2343</v>
      </c>
      <c r="D516" t="s">
        <v>2344</v>
      </c>
      <c r="E516" t="s">
        <v>309</v>
      </c>
      <c r="F516" t="s">
        <v>3619</v>
      </c>
      <c r="G516" t="s">
        <v>3620</v>
      </c>
      <c r="H516" t="s">
        <v>321</v>
      </c>
      <c r="I516" t="s">
        <v>917</v>
      </c>
      <c r="J516" t="s">
        <v>204</v>
      </c>
      <c r="K516" t="s">
        <v>204</v>
      </c>
      <c r="L516" t="s">
        <v>325</v>
      </c>
      <c r="M516" t="s">
        <v>340</v>
      </c>
      <c r="N516" t="s">
        <v>476</v>
      </c>
      <c r="O516" t="s">
        <v>339</v>
      </c>
      <c r="P516" t="s">
        <v>1212</v>
      </c>
      <c r="Q516" s="131">
        <v>7580</v>
      </c>
      <c r="R516" s="131">
        <v>1</v>
      </c>
      <c r="S516" s="131">
        <v>29830</v>
      </c>
      <c r="U516" s="131">
        <v>2261.114</v>
      </c>
      <c r="V516" s="132">
        <v>4.8000000000000001E-4</v>
      </c>
      <c r="W516" s="132">
        <f t="shared" si="8"/>
        <v>9.9681080588805218E-3</v>
      </c>
      <c r="X516" s="132">
        <v>1.2500848041212395E-3</v>
      </c>
    </row>
    <row r="517" spans="1:24">
      <c r="A517" t="s">
        <v>1213</v>
      </c>
      <c r="B517" s="4">
        <v>35012</v>
      </c>
      <c r="C517" t="s">
        <v>3461</v>
      </c>
      <c r="D517" t="s">
        <v>3462</v>
      </c>
      <c r="E517" t="s">
        <v>309</v>
      </c>
      <c r="F517" t="s">
        <v>3461</v>
      </c>
      <c r="G517" t="s">
        <v>3463</v>
      </c>
      <c r="H517" t="s">
        <v>321</v>
      </c>
      <c r="I517" t="s">
        <v>917</v>
      </c>
      <c r="J517" t="s">
        <v>204</v>
      </c>
      <c r="K517" t="s">
        <v>204</v>
      </c>
      <c r="L517" t="s">
        <v>325</v>
      </c>
      <c r="M517" t="s">
        <v>340</v>
      </c>
      <c r="N517" t="s">
        <v>475</v>
      </c>
      <c r="O517" t="s">
        <v>339</v>
      </c>
      <c r="P517" t="s">
        <v>1212</v>
      </c>
      <c r="Q517" s="131">
        <v>7446</v>
      </c>
      <c r="R517" s="131">
        <v>1</v>
      </c>
      <c r="S517" s="131">
        <v>28150</v>
      </c>
      <c r="U517" s="131">
        <v>2096.049</v>
      </c>
      <c r="V517" s="132">
        <v>5.4000000000000001E-4</v>
      </c>
      <c r="W517" s="132">
        <f t="shared" si="8"/>
        <v>9.2404199561404061E-3</v>
      </c>
      <c r="X517" s="132">
        <v>1.1588265799926582E-3</v>
      </c>
    </row>
    <row r="518" spans="1:24">
      <c r="A518" t="s">
        <v>1213</v>
      </c>
      <c r="B518" s="4">
        <v>35012</v>
      </c>
      <c r="C518" t="s">
        <v>3423</v>
      </c>
      <c r="D518" t="s">
        <v>3424</v>
      </c>
      <c r="E518" t="s">
        <v>309</v>
      </c>
      <c r="F518" t="s">
        <v>3423</v>
      </c>
      <c r="G518" t="s">
        <v>3425</v>
      </c>
      <c r="H518" t="s">
        <v>321</v>
      </c>
      <c r="I518" t="s">
        <v>917</v>
      </c>
      <c r="J518" t="s">
        <v>204</v>
      </c>
      <c r="K518" t="s">
        <v>204</v>
      </c>
      <c r="L518" t="s">
        <v>325</v>
      </c>
      <c r="M518" t="s">
        <v>340</v>
      </c>
      <c r="N518" t="s">
        <v>458</v>
      </c>
      <c r="O518" t="s">
        <v>339</v>
      </c>
      <c r="P518" t="s">
        <v>1212</v>
      </c>
      <c r="Q518" s="131">
        <v>12053</v>
      </c>
      <c r="R518" s="131">
        <v>1</v>
      </c>
      <c r="S518" s="131">
        <v>16470</v>
      </c>
      <c r="U518" s="131">
        <v>1985.1289999999999</v>
      </c>
      <c r="V518" s="132">
        <v>1.1E-4</v>
      </c>
      <c r="W518" s="132">
        <f t="shared" si="8"/>
        <v>8.7514297743578745E-3</v>
      </c>
      <c r="X518" s="132">
        <v>1.0975030879117071E-3</v>
      </c>
    </row>
    <row r="519" spans="1:24">
      <c r="A519" t="s">
        <v>1213</v>
      </c>
      <c r="B519" s="4">
        <v>35012</v>
      </c>
      <c r="C519" t="s">
        <v>2195</v>
      </c>
      <c r="D519" t="s">
        <v>2196</v>
      </c>
      <c r="E519" t="s">
        <v>309</v>
      </c>
      <c r="F519" t="s">
        <v>3610</v>
      </c>
      <c r="G519" t="s">
        <v>3611</v>
      </c>
      <c r="H519" t="s">
        <v>321</v>
      </c>
      <c r="I519" t="s">
        <v>917</v>
      </c>
      <c r="J519" t="s">
        <v>204</v>
      </c>
      <c r="K519" t="s">
        <v>204</v>
      </c>
      <c r="L519" t="s">
        <v>325</v>
      </c>
      <c r="M519" t="s">
        <v>340</v>
      </c>
      <c r="N519" t="s">
        <v>445</v>
      </c>
      <c r="O519" t="s">
        <v>339</v>
      </c>
      <c r="P519" t="s">
        <v>1212</v>
      </c>
      <c r="Q519" s="131">
        <v>54560</v>
      </c>
      <c r="R519" s="131">
        <v>1</v>
      </c>
      <c r="S519" s="131">
        <v>3619</v>
      </c>
      <c r="U519" s="131">
        <v>1974.5260000000001</v>
      </c>
      <c r="V519" s="132">
        <v>2.4000000000000001E-4</v>
      </c>
      <c r="W519" s="132">
        <f t="shared" si="8"/>
        <v>8.7046865098659876E-3</v>
      </c>
      <c r="X519" s="132">
        <v>1.0916410883937274E-3</v>
      </c>
    </row>
    <row r="520" spans="1:24">
      <c r="A520" t="s">
        <v>1213</v>
      </c>
      <c r="B520" s="4">
        <v>35012</v>
      </c>
      <c r="C520" t="s">
        <v>1973</v>
      </c>
      <c r="D520" t="s">
        <v>1974</v>
      </c>
      <c r="E520" t="s">
        <v>309</v>
      </c>
      <c r="F520" t="s">
        <v>3512</v>
      </c>
      <c r="G520" t="s">
        <v>3513</v>
      </c>
      <c r="H520" t="s">
        <v>321</v>
      </c>
      <c r="I520" t="s">
        <v>917</v>
      </c>
      <c r="J520" t="s">
        <v>204</v>
      </c>
      <c r="K520" t="s">
        <v>204</v>
      </c>
      <c r="L520" t="s">
        <v>325</v>
      </c>
      <c r="M520" t="s">
        <v>340</v>
      </c>
      <c r="N520" t="s">
        <v>464</v>
      </c>
      <c r="O520" t="s">
        <v>339</v>
      </c>
      <c r="P520" t="s">
        <v>1212</v>
      </c>
      <c r="Q520" s="131">
        <v>200121</v>
      </c>
      <c r="R520" s="131">
        <v>1</v>
      </c>
      <c r="S520" s="131">
        <v>954</v>
      </c>
      <c r="U520" s="131">
        <v>1909.154</v>
      </c>
      <c r="V520" s="132">
        <v>2.7E-4</v>
      </c>
      <c r="W520" s="132">
        <f t="shared" si="8"/>
        <v>8.4164944240069199E-3</v>
      </c>
      <c r="X520" s="132">
        <v>1.0554993707204859E-3</v>
      </c>
    </row>
    <row r="521" spans="1:24">
      <c r="A521" t="s">
        <v>1213</v>
      </c>
      <c r="B521" s="4">
        <v>35012</v>
      </c>
      <c r="C521" t="s">
        <v>3498</v>
      </c>
      <c r="D521" t="s">
        <v>3499</v>
      </c>
      <c r="E521" t="s">
        <v>309</v>
      </c>
      <c r="F521" t="s">
        <v>3500</v>
      </c>
      <c r="G521" t="s">
        <v>3501</v>
      </c>
      <c r="H521" t="s">
        <v>321</v>
      </c>
      <c r="I521" t="s">
        <v>917</v>
      </c>
      <c r="J521" t="s">
        <v>204</v>
      </c>
      <c r="K521" t="s">
        <v>204</v>
      </c>
      <c r="L521" t="s">
        <v>325</v>
      </c>
      <c r="M521" t="s">
        <v>340</v>
      </c>
      <c r="N521" t="s">
        <v>476</v>
      </c>
      <c r="O521" t="s">
        <v>339</v>
      </c>
      <c r="P521" t="s">
        <v>1212</v>
      </c>
      <c r="Q521" s="131">
        <v>37215</v>
      </c>
      <c r="R521" s="131">
        <v>1</v>
      </c>
      <c r="S521" s="131">
        <v>5029</v>
      </c>
      <c r="U521" s="131">
        <v>1871.5419999999999</v>
      </c>
      <c r="V521" s="132">
        <v>5.1999999999999995E-4</v>
      </c>
      <c r="W521" s="132">
        <f t="shared" si="8"/>
        <v>8.2506821384208708E-3</v>
      </c>
      <c r="X521" s="132">
        <v>1.0347051119380414E-3</v>
      </c>
    </row>
    <row r="522" spans="1:24">
      <c r="A522" t="s">
        <v>1213</v>
      </c>
      <c r="B522" s="4">
        <v>35012</v>
      </c>
      <c r="C522" t="s">
        <v>2428</v>
      </c>
      <c r="D522" t="s">
        <v>2429</v>
      </c>
      <c r="E522" t="s">
        <v>309</v>
      </c>
      <c r="F522" t="s">
        <v>2428</v>
      </c>
      <c r="G522" t="s">
        <v>3459</v>
      </c>
      <c r="H522" t="s">
        <v>321</v>
      </c>
      <c r="I522" t="s">
        <v>917</v>
      </c>
      <c r="J522" t="s">
        <v>204</v>
      </c>
      <c r="K522" t="s">
        <v>204</v>
      </c>
      <c r="L522" t="s">
        <v>325</v>
      </c>
      <c r="M522" t="s">
        <v>340</v>
      </c>
      <c r="N522" t="s">
        <v>454</v>
      </c>
      <c r="O522" t="s">
        <v>339</v>
      </c>
      <c r="P522" t="s">
        <v>1212</v>
      </c>
      <c r="Q522" s="131">
        <v>1152874.3999999999</v>
      </c>
      <c r="R522" s="131">
        <v>1</v>
      </c>
      <c r="S522" s="131">
        <v>161.9</v>
      </c>
      <c r="U522" s="131">
        <v>1866.5039999999999</v>
      </c>
      <c r="V522" s="132">
        <v>4.4000000000000002E-4</v>
      </c>
      <c r="W522" s="132">
        <f t="shared" si="8"/>
        <v>8.2284721444087876E-3</v>
      </c>
      <c r="X522" s="132">
        <v>1.0319197914087966E-3</v>
      </c>
    </row>
    <row r="523" spans="1:24">
      <c r="A523" t="s">
        <v>1213</v>
      </c>
      <c r="B523" s="4">
        <v>35012</v>
      </c>
      <c r="C523" t="s">
        <v>3125</v>
      </c>
      <c r="D523" t="s">
        <v>3126</v>
      </c>
      <c r="E523" t="s">
        <v>309</v>
      </c>
      <c r="F523" t="s">
        <v>3125</v>
      </c>
      <c r="G523" t="s">
        <v>3489</v>
      </c>
      <c r="H523" t="s">
        <v>321</v>
      </c>
      <c r="I523" t="s">
        <v>917</v>
      </c>
      <c r="J523" t="s">
        <v>204</v>
      </c>
      <c r="K523" t="s">
        <v>204</v>
      </c>
      <c r="L523" t="s">
        <v>325</v>
      </c>
      <c r="M523" t="s">
        <v>340</v>
      </c>
      <c r="N523" t="s">
        <v>441</v>
      </c>
      <c r="O523" t="s">
        <v>339</v>
      </c>
      <c r="P523" t="s">
        <v>1212</v>
      </c>
      <c r="Q523" s="131">
        <v>5670</v>
      </c>
      <c r="R523" s="131">
        <v>1</v>
      </c>
      <c r="S523" s="131">
        <v>28560</v>
      </c>
      <c r="U523" s="131">
        <v>1619.3520000000001</v>
      </c>
      <c r="V523" s="132">
        <v>1E-4</v>
      </c>
      <c r="W523" s="132">
        <f t="shared" si="8"/>
        <v>7.1389039744852723E-3</v>
      </c>
      <c r="X523" s="132">
        <v>8.9527875539372956E-4</v>
      </c>
    </row>
    <row r="524" spans="1:24">
      <c r="A524" t="s">
        <v>1213</v>
      </c>
      <c r="B524" s="4">
        <v>35012</v>
      </c>
      <c r="C524" t="s">
        <v>2576</v>
      </c>
      <c r="D524" t="s">
        <v>2577</v>
      </c>
      <c r="E524" t="s">
        <v>309</v>
      </c>
      <c r="F524" t="s">
        <v>2576</v>
      </c>
      <c r="G524" t="s">
        <v>3621</v>
      </c>
      <c r="H524" t="s">
        <v>321</v>
      </c>
      <c r="I524" t="s">
        <v>917</v>
      </c>
      <c r="J524" t="s">
        <v>204</v>
      </c>
      <c r="K524" t="s">
        <v>204</v>
      </c>
      <c r="L524" t="s">
        <v>325</v>
      </c>
      <c r="M524" t="s">
        <v>340</v>
      </c>
      <c r="N524" t="s">
        <v>451</v>
      </c>
      <c r="O524" t="s">
        <v>339</v>
      </c>
      <c r="P524" t="s">
        <v>1212</v>
      </c>
      <c r="Q524" s="131">
        <v>1957</v>
      </c>
      <c r="R524" s="131">
        <v>1</v>
      </c>
      <c r="S524" s="131">
        <v>81100</v>
      </c>
      <c r="U524" s="131">
        <v>1587.127</v>
      </c>
      <c r="V524" s="132">
        <v>2.5000000000000001E-4</v>
      </c>
      <c r="W524" s="132">
        <f t="shared" si="8"/>
        <v>6.9968402474032123E-3</v>
      </c>
      <c r="X524" s="132">
        <v>8.7746276610136873E-4</v>
      </c>
    </row>
    <row r="525" spans="1:24">
      <c r="A525" t="s">
        <v>1213</v>
      </c>
      <c r="B525" s="4">
        <v>35012</v>
      </c>
      <c r="C525" t="s">
        <v>1691</v>
      </c>
      <c r="D525" t="s">
        <v>1692</v>
      </c>
      <c r="E525" t="s">
        <v>309</v>
      </c>
      <c r="F525" t="s">
        <v>3478</v>
      </c>
      <c r="G525" t="s">
        <v>3479</v>
      </c>
      <c r="H525" t="s">
        <v>321</v>
      </c>
      <c r="I525" t="s">
        <v>917</v>
      </c>
      <c r="J525" t="s">
        <v>204</v>
      </c>
      <c r="K525" t="s">
        <v>204</v>
      </c>
      <c r="L525" t="s">
        <v>325</v>
      </c>
      <c r="M525" t="s">
        <v>340</v>
      </c>
      <c r="N525" t="s">
        <v>464</v>
      </c>
      <c r="O525" t="s">
        <v>339</v>
      </c>
      <c r="P525" t="s">
        <v>1212</v>
      </c>
      <c r="Q525" s="131">
        <v>104796</v>
      </c>
      <c r="R525" s="131">
        <v>1</v>
      </c>
      <c r="S525" s="131">
        <v>1513</v>
      </c>
      <c r="U525" s="131">
        <v>1585.5630000000001</v>
      </c>
      <c r="V525" s="132">
        <v>5.4000000000000001E-4</v>
      </c>
      <c r="W525" s="132">
        <f t="shared" si="8"/>
        <v>6.9899453624022402E-3</v>
      </c>
      <c r="X525" s="132">
        <v>8.7659808938288155E-4</v>
      </c>
    </row>
    <row r="526" spans="1:24">
      <c r="A526" t="s">
        <v>1213</v>
      </c>
      <c r="B526" s="4">
        <v>35012</v>
      </c>
      <c r="C526" t="s">
        <v>2454</v>
      </c>
      <c r="D526" t="s">
        <v>2455</v>
      </c>
      <c r="E526" t="s">
        <v>309</v>
      </c>
      <c r="F526" t="s">
        <v>2454</v>
      </c>
      <c r="G526" t="s">
        <v>3618</v>
      </c>
      <c r="H526" t="s">
        <v>321</v>
      </c>
      <c r="I526" t="s">
        <v>917</v>
      </c>
      <c r="J526" t="s">
        <v>204</v>
      </c>
      <c r="K526" t="s">
        <v>204</v>
      </c>
      <c r="L526" t="s">
        <v>325</v>
      </c>
      <c r="M526" t="s">
        <v>340</v>
      </c>
      <c r="N526" t="s">
        <v>478</v>
      </c>
      <c r="O526" t="s">
        <v>339</v>
      </c>
      <c r="P526" t="s">
        <v>1212</v>
      </c>
      <c r="Q526" s="131">
        <v>114681.27</v>
      </c>
      <c r="R526" s="131">
        <v>1</v>
      </c>
      <c r="S526" s="131">
        <v>1373</v>
      </c>
      <c r="U526" s="131">
        <v>1574.5740000000001</v>
      </c>
      <c r="V526" s="132">
        <v>5.6999999999999998E-4</v>
      </c>
      <c r="W526" s="132">
        <f t="shared" si="8"/>
        <v>6.9415004191313396E-3</v>
      </c>
      <c r="X526" s="132">
        <v>8.7052268499703976E-4</v>
      </c>
    </row>
    <row r="527" spans="1:24">
      <c r="A527" t="s">
        <v>1213</v>
      </c>
      <c r="B527" s="4">
        <v>35012</v>
      </c>
      <c r="C527" t="s">
        <v>1624</v>
      </c>
      <c r="D527" t="s">
        <v>1625</v>
      </c>
      <c r="E527" t="s">
        <v>309</v>
      </c>
      <c r="F527" t="s">
        <v>1624</v>
      </c>
      <c r="G527" t="s">
        <v>3505</v>
      </c>
      <c r="H527" t="s">
        <v>321</v>
      </c>
      <c r="I527" t="s">
        <v>917</v>
      </c>
      <c r="J527" t="s">
        <v>204</v>
      </c>
      <c r="K527" t="s">
        <v>204</v>
      </c>
      <c r="L527" t="s">
        <v>325</v>
      </c>
      <c r="M527" t="s">
        <v>340</v>
      </c>
      <c r="N527" t="s">
        <v>447</v>
      </c>
      <c r="O527" t="s">
        <v>339</v>
      </c>
      <c r="P527" t="s">
        <v>1212</v>
      </c>
      <c r="Q527" s="131">
        <v>89002</v>
      </c>
      <c r="R527" s="131">
        <v>1</v>
      </c>
      <c r="S527" s="131">
        <v>1740</v>
      </c>
      <c r="U527" s="131">
        <v>1548.635</v>
      </c>
      <c r="V527" s="132">
        <v>3.2000000000000003E-4</v>
      </c>
      <c r="W527" s="132">
        <f t="shared" si="8"/>
        <v>6.827148486880554E-3</v>
      </c>
      <c r="X527" s="132">
        <v>8.5618198844918721E-4</v>
      </c>
    </row>
    <row r="528" spans="1:24">
      <c r="A528" t="s">
        <v>1213</v>
      </c>
      <c r="B528" s="4">
        <v>35012</v>
      </c>
      <c r="C528" t="s">
        <v>2203</v>
      </c>
      <c r="D528" t="s">
        <v>2204</v>
      </c>
      <c r="E528" t="s">
        <v>309</v>
      </c>
      <c r="F528" t="s">
        <v>3606</v>
      </c>
      <c r="G528" t="s">
        <v>3607</v>
      </c>
      <c r="H528" t="s">
        <v>321</v>
      </c>
      <c r="I528" t="s">
        <v>917</v>
      </c>
      <c r="J528" t="s">
        <v>204</v>
      </c>
      <c r="K528" t="s">
        <v>204</v>
      </c>
      <c r="L528" t="s">
        <v>325</v>
      </c>
      <c r="M528" t="s">
        <v>340</v>
      </c>
      <c r="N528" t="s">
        <v>459</v>
      </c>
      <c r="O528" t="s">
        <v>339</v>
      </c>
      <c r="P528" t="s">
        <v>1212</v>
      </c>
      <c r="Q528" s="131">
        <v>24675</v>
      </c>
      <c r="R528" s="131">
        <v>1</v>
      </c>
      <c r="S528" s="131">
        <v>5930</v>
      </c>
      <c r="U528" s="131">
        <v>1463.2280000000001</v>
      </c>
      <c r="V528" s="132">
        <v>2.1000000000000001E-4</v>
      </c>
      <c r="W528" s="132">
        <f t="shared" si="8"/>
        <v>6.4506322187999499E-3</v>
      </c>
      <c r="X528" s="132">
        <v>8.0896367355414757E-4</v>
      </c>
    </row>
    <row r="529" spans="1:24">
      <c r="A529" t="s">
        <v>1213</v>
      </c>
      <c r="B529" s="4">
        <v>35012</v>
      </c>
      <c r="C529" t="s">
        <v>2178</v>
      </c>
      <c r="D529" t="s">
        <v>2179</v>
      </c>
      <c r="E529" t="s">
        <v>309</v>
      </c>
      <c r="F529" t="s">
        <v>2178</v>
      </c>
      <c r="G529" t="s">
        <v>3609</v>
      </c>
      <c r="H529" t="s">
        <v>321</v>
      </c>
      <c r="I529" t="s">
        <v>917</v>
      </c>
      <c r="J529" t="s">
        <v>204</v>
      </c>
      <c r="K529" t="s">
        <v>204</v>
      </c>
      <c r="L529" t="s">
        <v>325</v>
      </c>
      <c r="M529" t="s">
        <v>340</v>
      </c>
      <c r="N529" t="s">
        <v>464</v>
      </c>
      <c r="O529" t="s">
        <v>339</v>
      </c>
      <c r="P529" t="s">
        <v>1212</v>
      </c>
      <c r="Q529" s="131">
        <v>51050</v>
      </c>
      <c r="R529" s="131">
        <v>1</v>
      </c>
      <c r="S529" s="131">
        <v>2855</v>
      </c>
      <c r="U529" s="131">
        <v>1457.4780000000001</v>
      </c>
      <c r="V529" s="132">
        <v>2.5999999999999998E-4</v>
      </c>
      <c r="W529" s="132">
        <f t="shared" si="8"/>
        <v>6.425283376884609E-3</v>
      </c>
      <c r="X529" s="132">
        <v>8.0578471503029738E-4</v>
      </c>
    </row>
    <row r="530" spans="1:24">
      <c r="A530" t="s">
        <v>1213</v>
      </c>
      <c r="B530" s="4">
        <v>35012</v>
      </c>
      <c r="C530" t="s">
        <v>3786</v>
      </c>
      <c r="D530" t="s">
        <v>3787</v>
      </c>
      <c r="E530" t="s">
        <v>309</v>
      </c>
      <c r="F530" t="s">
        <v>3786</v>
      </c>
      <c r="G530" t="s">
        <v>3788</v>
      </c>
      <c r="H530" t="s">
        <v>321</v>
      </c>
      <c r="I530" t="s">
        <v>917</v>
      </c>
      <c r="J530" t="s">
        <v>204</v>
      </c>
      <c r="K530" t="s">
        <v>204</v>
      </c>
      <c r="L530" t="s">
        <v>325</v>
      </c>
      <c r="M530" t="s">
        <v>340</v>
      </c>
      <c r="N530" t="s">
        <v>446</v>
      </c>
      <c r="O530" t="s">
        <v>339</v>
      </c>
      <c r="P530" t="s">
        <v>1212</v>
      </c>
      <c r="Q530" s="131">
        <v>10000</v>
      </c>
      <c r="R530" s="131">
        <v>1</v>
      </c>
      <c r="S530" s="131">
        <v>14100</v>
      </c>
      <c r="U530" s="131">
        <v>1410</v>
      </c>
      <c r="V530" s="132">
        <v>4.2199999999999998E-3</v>
      </c>
      <c r="W530" s="132">
        <f t="shared" si="8"/>
        <v>6.2159768870660818E-3</v>
      </c>
      <c r="X530" s="132">
        <v>7.795359162832778E-4</v>
      </c>
    </row>
    <row r="531" spans="1:24">
      <c r="A531" t="s">
        <v>1213</v>
      </c>
      <c r="B531" s="4">
        <v>35012</v>
      </c>
      <c r="C531" t="s">
        <v>2789</v>
      </c>
      <c r="D531" t="s">
        <v>2790</v>
      </c>
      <c r="E531" t="s">
        <v>309</v>
      </c>
      <c r="F531" t="s">
        <v>2789</v>
      </c>
      <c r="G531" t="s">
        <v>3480</v>
      </c>
      <c r="H531" t="s">
        <v>321</v>
      </c>
      <c r="I531" t="s">
        <v>917</v>
      </c>
      <c r="J531" t="s">
        <v>204</v>
      </c>
      <c r="K531" t="s">
        <v>204</v>
      </c>
      <c r="L531" t="s">
        <v>325</v>
      </c>
      <c r="M531" t="s">
        <v>340</v>
      </c>
      <c r="N531" t="s">
        <v>441</v>
      </c>
      <c r="O531" t="s">
        <v>339</v>
      </c>
      <c r="P531" t="s">
        <v>1212</v>
      </c>
      <c r="Q531" s="131">
        <v>95277</v>
      </c>
      <c r="R531" s="131">
        <v>1</v>
      </c>
      <c r="S531" s="131">
        <v>1348</v>
      </c>
      <c r="U531" s="131">
        <v>1284.3340000000001</v>
      </c>
      <c r="V531" s="132">
        <v>1.7000000000000001E-4</v>
      </c>
      <c r="W531" s="132">
        <f t="shared" si="8"/>
        <v>5.6619790491298791E-3</v>
      </c>
      <c r="X531" s="132">
        <v>7.1005991596011871E-4</v>
      </c>
    </row>
    <row r="532" spans="1:24">
      <c r="A532" t="s">
        <v>1213</v>
      </c>
      <c r="B532" s="4">
        <v>35012</v>
      </c>
      <c r="C532" t="s">
        <v>3451</v>
      </c>
      <c r="D532" t="s">
        <v>3452</v>
      </c>
      <c r="E532" t="s">
        <v>309</v>
      </c>
      <c r="F532" t="s">
        <v>3453</v>
      </c>
      <c r="G532" t="s">
        <v>3454</v>
      </c>
      <c r="H532" t="s">
        <v>321</v>
      </c>
      <c r="I532" t="s">
        <v>917</v>
      </c>
      <c r="J532" t="s">
        <v>204</v>
      </c>
      <c r="K532" t="s">
        <v>204</v>
      </c>
      <c r="L532" t="s">
        <v>325</v>
      </c>
      <c r="M532" t="s">
        <v>340</v>
      </c>
      <c r="N532" t="s">
        <v>448</v>
      </c>
      <c r="O532" t="s">
        <v>339</v>
      </c>
      <c r="P532" t="s">
        <v>1212</v>
      </c>
      <c r="Q532" s="131">
        <v>8074</v>
      </c>
      <c r="R532" s="131">
        <v>1</v>
      </c>
      <c r="S532" s="131">
        <v>15410</v>
      </c>
      <c r="U532" s="131">
        <v>1244.203</v>
      </c>
      <c r="V532" s="132">
        <v>8.0000000000000007E-5</v>
      </c>
      <c r="W532" s="132">
        <f t="shared" si="8"/>
        <v>5.4850617665377875E-3</v>
      </c>
      <c r="X532" s="132">
        <v>6.8787299691305186E-4</v>
      </c>
    </row>
    <row r="533" spans="1:24">
      <c r="A533" t="s">
        <v>1213</v>
      </c>
      <c r="B533" s="4">
        <v>35012</v>
      </c>
      <c r="C533" t="s">
        <v>1893</v>
      </c>
      <c r="D533" t="s">
        <v>1894</v>
      </c>
      <c r="E533" t="s">
        <v>309</v>
      </c>
      <c r="F533" t="s">
        <v>1893</v>
      </c>
      <c r="G533" t="s">
        <v>3599</v>
      </c>
      <c r="H533" t="s">
        <v>321</v>
      </c>
      <c r="I533" t="s">
        <v>917</v>
      </c>
      <c r="J533" t="s">
        <v>204</v>
      </c>
      <c r="K533" t="s">
        <v>204</v>
      </c>
      <c r="L533" t="s">
        <v>325</v>
      </c>
      <c r="M533" t="s">
        <v>340</v>
      </c>
      <c r="N533" t="s">
        <v>464</v>
      </c>
      <c r="O533" t="s">
        <v>339</v>
      </c>
      <c r="P533" t="s">
        <v>1212</v>
      </c>
      <c r="Q533" s="131">
        <v>11131</v>
      </c>
      <c r="R533" s="131">
        <v>1</v>
      </c>
      <c r="S533" s="131">
        <v>9550</v>
      </c>
      <c r="U533" s="131">
        <v>1063.011</v>
      </c>
      <c r="V533" s="132">
        <v>2.9999999999999997E-4</v>
      </c>
      <c r="W533" s="132">
        <f t="shared" si="8"/>
        <v>4.6862778770900724E-3</v>
      </c>
      <c r="X533" s="132">
        <v>5.8769876163418681E-4</v>
      </c>
    </row>
    <row r="534" spans="1:24">
      <c r="A534" t="s">
        <v>1213</v>
      </c>
      <c r="B534" s="4">
        <v>35012</v>
      </c>
      <c r="C534" t="s">
        <v>3694</v>
      </c>
      <c r="D534" t="s">
        <v>3695</v>
      </c>
      <c r="E534" t="s">
        <v>309</v>
      </c>
      <c r="F534" t="s">
        <v>3694</v>
      </c>
      <c r="G534" t="s">
        <v>3696</v>
      </c>
      <c r="H534" t="s">
        <v>321</v>
      </c>
      <c r="I534" t="s">
        <v>917</v>
      </c>
      <c r="J534" t="s">
        <v>204</v>
      </c>
      <c r="K534" t="s">
        <v>204</v>
      </c>
      <c r="L534" t="s">
        <v>325</v>
      </c>
      <c r="M534" t="s">
        <v>340</v>
      </c>
      <c r="N534" t="s">
        <v>451</v>
      </c>
      <c r="O534" t="s">
        <v>339</v>
      </c>
      <c r="P534" t="s">
        <v>1212</v>
      </c>
      <c r="Q534" s="131">
        <v>9032</v>
      </c>
      <c r="R534" s="131">
        <v>1</v>
      </c>
      <c r="S534" s="131">
        <v>11080</v>
      </c>
      <c r="U534" s="131">
        <v>1000.746</v>
      </c>
      <c r="V534" s="132">
        <v>2.5999999999999998E-4</v>
      </c>
      <c r="W534" s="132">
        <f t="shared" si="8"/>
        <v>4.4117829828537822E-3</v>
      </c>
      <c r="X534" s="132">
        <v>5.5327478728852851E-4</v>
      </c>
    </row>
    <row r="535" spans="1:24">
      <c r="A535" t="s">
        <v>1213</v>
      </c>
      <c r="B535" s="4">
        <v>35012</v>
      </c>
      <c r="C535" t="s">
        <v>1634</v>
      </c>
      <c r="D535" t="s">
        <v>1635</v>
      </c>
      <c r="E535" t="s">
        <v>309</v>
      </c>
      <c r="F535" t="s">
        <v>3437</v>
      </c>
      <c r="G535" t="s">
        <v>3438</v>
      </c>
      <c r="H535" t="s">
        <v>321</v>
      </c>
      <c r="I535" t="s">
        <v>917</v>
      </c>
      <c r="J535" t="s">
        <v>204</v>
      </c>
      <c r="K535" t="s">
        <v>204</v>
      </c>
      <c r="L535" t="s">
        <v>325</v>
      </c>
      <c r="M535" t="s">
        <v>340</v>
      </c>
      <c r="N535" t="s">
        <v>454</v>
      </c>
      <c r="O535" t="s">
        <v>339</v>
      </c>
      <c r="P535" t="s">
        <v>1212</v>
      </c>
      <c r="Q535" s="131">
        <v>19064</v>
      </c>
      <c r="R535" s="131">
        <v>1</v>
      </c>
      <c r="S535" s="131">
        <v>5205</v>
      </c>
      <c r="U535" s="131">
        <v>992.28099999999995</v>
      </c>
      <c r="V535" s="132">
        <v>1.9000000000000001E-4</v>
      </c>
      <c r="W535" s="132">
        <f t="shared" si="8"/>
        <v>4.3744650790601552E-3</v>
      </c>
      <c r="X535" s="132">
        <v>5.4859480747906897E-4</v>
      </c>
    </row>
    <row r="536" spans="1:24">
      <c r="A536" t="s">
        <v>1213</v>
      </c>
      <c r="B536" s="4">
        <v>35012</v>
      </c>
      <c r="C536" t="s">
        <v>2356</v>
      </c>
      <c r="D536" t="s">
        <v>2357</v>
      </c>
      <c r="E536" t="s">
        <v>309</v>
      </c>
      <c r="F536" t="s">
        <v>2356</v>
      </c>
      <c r="G536" t="s">
        <v>3645</v>
      </c>
      <c r="H536" t="s">
        <v>321</v>
      </c>
      <c r="I536" t="s">
        <v>917</v>
      </c>
      <c r="J536" t="s">
        <v>204</v>
      </c>
      <c r="K536" t="s">
        <v>204</v>
      </c>
      <c r="L536" t="s">
        <v>325</v>
      </c>
      <c r="M536" t="s">
        <v>340</v>
      </c>
      <c r="N536" t="s">
        <v>447</v>
      </c>
      <c r="O536" t="s">
        <v>339</v>
      </c>
      <c r="P536" t="s">
        <v>1212</v>
      </c>
      <c r="Q536" s="131">
        <v>96349</v>
      </c>
      <c r="R536" s="131">
        <v>1</v>
      </c>
      <c r="S536" s="131">
        <v>898.1</v>
      </c>
      <c r="U536" s="131">
        <v>865.31</v>
      </c>
      <c r="V536" s="132">
        <v>1.7000000000000001E-4</v>
      </c>
      <c r="W536" s="132">
        <f t="shared" si="8"/>
        <v>3.8147141561327312E-3</v>
      </c>
      <c r="X536" s="132">
        <v>4.7839732178658374E-4</v>
      </c>
    </row>
    <row r="537" spans="1:24">
      <c r="A537" t="s">
        <v>1213</v>
      </c>
      <c r="B537" s="4">
        <v>35012</v>
      </c>
      <c r="C537" t="s">
        <v>1820</v>
      </c>
      <c r="D537" t="s">
        <v>1821</v>
      </c>
      <c r="E537" t="s">
        <v>309</v>
      </c>
      <c r="F537" t="s">
        <v>3632</v>
      </c>
      <c r="G537" t="s">
        <v>3633</v>
      </c>
      <c r="H537" t="s">
        <v>321</v>
      </c>
      <c r="I537" t="s">
        <v>917</v>
      </c>
      <c r="J537" t="s">
        <v>204</v>
      </c>
      <c r="K537" t="s">
        <v>204</v>
      </c>
      <c r="L537" t="s">
        <v>325</v>
      </c>
      <c r="M537" t="s">
        <v>340</v>
      </c>
      <c r="N537" t="s">
        <v>464</v>
      </c>
      <c r="O537" t="s">
        <v>339</v>
      </c>
      <c r="P537" t="s">
        <v>1212</v>
      </c>
      <c r="Q537" s="131">
        <v>15005</v>
      </c>
      <c r="R537" s="131">
        <v>1</v>
      </c>
      <c r="S537" s="131">
        <v>5594</v>
      </c>
      <c r="U537" s="131">
        <v>839.38</v>
      </c>
      <c r="V537" s="132">
        <v>1.1E-4</v>
      </c>
      <c r="W537" s="132">
        <f t="shared" si="8"/>
        <v>3.7004019003301614E-3</v>
      </c>
      <c r="X537" s="132">
        <v>4.6406160099989914E-4</v>
      </c>
    </row>
    <row r="538" spans="1:24">
      <c r="A538" t="s">
        <v>1213</v>
      </c>
      <c r="B538" s="4">
        <v>35012</v>
      </c>
      <c r="C538" t="s">
        <v>1534</v>
      </c>
      <c r="D538" t="s">
        <v>1535</v>
      </c>
      <c r="E538" t="s">
        <v>309</v>
      </c>
      <c r="F538" t="s">
        <v>1534</v>
      </c>
      <c r="G538" t="s">
        <v>3509</v>
      </c>
      <c r="H538" t="s">
        <v>321</v>
      </c>
      <c r="I538" t="s">
        <v>917</v>
      </c>
      <c r="J538" t="s">
        <v>204</v>
      </c>
      <c r="K538" t="s">
        <v>204</v>
      </c>
      <c r="L538" t="s">
        <v>325</v>
      </c>
      <c r="M538" t="s">
        <v>340</v>
      </c>
      <c r="N538" t="s">
        <v>464</v>
      </c>
      <c r="O538" t="s">
        <v>339</v>
      </c>
      <c r="P538" t="s">
        <v>1212</v>
      </c>
      <c r="Q538" s="131">
        <v>51366</v>
      </c>
      <c r="R538" s="131">
        <v>1</v>
      </c>
      <c r="S538" s="131">
        <v>1609</v>
      </c>
      <c r="U538" s="131">
        <v>826.47900000000004</v>
      </c>
      <c r="V538" s="132">
        <v>1.1E-4</v>
      </c>
      <c r="W538" s="132">
        <f t="shared" si="8"/>
        <v>3.6435279160606303E-3</v>
      </c>
      <c r="X538" s="132">
        <v>4.5692912379708311E-4</v>
      </c>
    </row>
    <row r="539" spans="1:24">
      <c r="A539" t="s">
        <v>1213</v>
      </c>
      <c r="B539" s="4">
        <v>35012</v>
      </c>
      <c r="C539" t="s">
        <v>3469</v>
      </c>
      <c r="D539" t="s">
        <v>3470</v>
      </c>
      <c r="E539" t="s">
        <v>309</v>
      </c>
      <c r="F539" t="s">
        <v>3471</v>
      </c>
      <c r="G539" t="s">
        <v>3472</v>
      </c>
      <c r="H539" t="s">
        <v>321</v>
      </c>
      <c r="I539" t="s">
        <v>917</v>
      </c>
      <c r="J539" t="s">
        <v>204</v>
      </c>
      <c r="K539" t="s">
        <v>204</v>
      </c>
      <c r="L539" t="s">
        <v>325</v>
      </c>
      <c r="M539" t="s">
        <v>340</v>
      </c>
      <c r="N539" t="s">
        <v>454</v>
      </c>
      <c r="O539" t="s">
        <v>339</v>
      </c>
      <c r="P539" t="s">
        <v>1212</v>
      </c>
      <c r="Q539" s="131">
        <v>72506</v>
      </c>
      <c r="R539" s="131">
        <v>1</v>
      </c>
      <c r="S539" s="131">
        <v>1025</v>
      </c>
      <c r="U539" s="131">
        <v>743.18700000000001</v>
      </c>
      <c r="V539" s="132">
        <v>6.0000000000000002E-5</v>
      </c>
      <c r="W539" s="132">
        <f t="shared" si="8"/>
        <v>3.2763356133106241E-3</v>
      </c>
      <c r="X539" s="132">
        <v>4.1088011277646836E-4</v>
      </c>
    </row>
    <row r="540" spans="1:24">
      <c r="A540" t="s">
        <v>1213</v>
      </c>
      <c r="B540" s="4">
        <v>35012</v>
      </c>
      <c r="C540" t="s">
        <v>3433</v>
      </c>
      <c r="D540" t="s">
        <v>3434</v>
      </c>
      <c r="E540" t="s">
        <v>309</v>
      </c>
      <c r="F540" t="s">
        <v>3433</v>
      </c>
      <c r="G540" t="s">
        <v>3435</v>
      </c>
      <c r="H540" t="s">
        <v>321</v>
      </c>
      <c r="I540" t="s">
        <v>917</v>
      </c>
      <c r="J540" t="s">
        <v>204</v>
      </c>
      <c r="K540" t="s">
        <v>204</v>
      </c>
      <c r="L540" t="s">
        <v>325</v>
      </c>
      <c r="M540" t="s">
        <v>340</v>
      </c>
      <c r="N540" t="s">
        <v>458</v>
      </c>
      <c r="O540" t="s">
        <v>339</v>
      </c>
      <c r="P540" t="s">
        <v>1212</v>
      </c>
      <c r="Q540" s="131">
        <v>2245</v>
      </c>
      <c r="R540" s="131">
        <v>1</v>
      </c>
      <c r="S540" s="131">
        <v>29980</v>
      </c>
      <c r="U540" s="131">
        <v>673.05100000000004</v>
      </c>
      <c r="V540" s="132">
        <v>5.0000000000000002E-5</v>
      </c>
      <c r="W540" s="132">
        <f t="shared" si="8"/>
        <v>2.9671414608629177E-3</v>
      </c>
      <c r="X540" s="132">
        <v>3.7210455885842303E-4</v>
      </c>
    </row>
    <row r="541" spans="1:24">
      <c r="A541" t="s">
        <v>1213</v>
      </c>
      <c r="B541" s="4">
        <v>35012</v>
      </c>
      <c r="C541" t="s">
        <v>3284</v>
      </c>
      <c r="D541" t="s">
        <v>3285</v>
      </c>
      <c r="E541" t="s">
        <v>311</v>
      </c>
      <c r="F541" t="s">
        <v>3284</v>
      </c>
      <c r="G541" t="s">
        <v>3510</v>
      </c>
      <c r="H541" t="s">
        <v>321</v>
      </c>
      <c r="I541" t="s">
        <v>917</v>
      </c>
      <c r="J541" t="s">
        <v>204</v>
      </c>
      <c r="K541" t="s">
        <v>233</v>
      </c>
      <c r="L541" t="s">
        <v>325</v>
      </c>
      <c r="M541" t="s">
        <v>340</v>
      </c>
      <c r="N541" t="s">
        <v>454</v>
      </c>
      <c r="O541" t="s">
        <v>339</v>
      </c>
      <c r="P541" t="s">
        <v>1212</v>
      </c>
      <c r="Q541" s="131">
        <v>7731</v>
      </c>
      <c r="R541" s="131">
        <v>1</v>
      </c>
      <c r="S541" s="131">
        <v>4556</v>
      </c>
      <c r="T541" s="131">
        <f>8.632-27.83/1000/R541</f>
        <v>8.6041699999999999</v>
      </c>
      <c r="U541" s="131">
        <f>360.857-27.83/1000</f>
        <v>360.82917000000003</v>
      </c>
      <c r="V541" s="132">
        <v>4.0000000000000003E-5</v>
      </c>
      <c r="W541" s="132">
        <f t="shared" si="8"/>
        <v>1.5907133197866938E-3</v>
      </c>
      <c r="X541" s="132">
        <v>1.9948886358701039E-4</v>
      </c>
    </row>
    <row r="542" spans="1:24">
      <c r="A542" t="s">
        <v>1213</v>
      </c>
      <c r="B542" s="4">
        <v>35012</v>
      </c>
      <c r="C542" t="s">
        <v>3789</v>
      </c>
      <c r="D542" t="s">
        <v>3790</v>
      </c>
      <c r="E542" t="s">
        <v>309</v>
      </c>
      <c r="F542" t="s">
        <v>3791</v>
      </c>
      <c r="G542" t="s">
        <v>3792</v>
      </c>
      <c r="H542" t="s">
        <v>321</v>
      </c>
      <c r="I542" t="s">
        <v>917</v>
      </c>
      <c r="J542" t="s">
        <v>204</v>
      </c>
      <c r="K542" t="s">
        <v>204</v>
      </c>
      <c r="L542" t="s">
        <v>325</v>
      </c>
      <c r="M542" t="s">
        <v>340</v>
      </c>
      <c r="N542" t="s">
        <v>450</v>
      </c>
      <c r="O542" t="s">
        <v>339</v>
      </c>
      <c r="P542" t="s">
        <v>1212</v>
      </c>
      <c r="Q542" s="131">
        <v>215700</v>
      </c>
      <c r="R542" s="131">
        <v>1</v>
      </c>
      <c r="S542" s="131">
        <v>108.6</v>
      </c>
      <c r="U542" s="131">
        <v>234.25</v>
      </c>
      <c r="V542" s="132">
        <v>5.3460000000000001E-2</v>
      </c>
      <c r="W542" s="132">
        <f t="shared" si="8"/>
        <v>1.0326897771597374E-3</v>
      </c>
      <c r="X542" s="132">
        <v>1.2950800594989918E-4</v>
      </c>
    </row>
    <row r="543" spans="1:24">
      <c r="A543" t="s">
        <v>1213</v>
      </c>
      <c r="B543" s="4">
        <v>35012</v>
      </c>
      <c r="C543" t="s">
        <v>3550</v>
      </c>
      <c r="D543" t="s">
        <v>3551</v>
      </c>
      <c r="E543" t="s">
        <v>80</v>
      </c>
      <c r="F543" t="s">
        <v>3552</v>
      </c>
      <c r="G543" t="s">
        <v>3553</v>
      </c>
      <c r="H543" t="s">
        <v>321</v>
      </c>
      <c r="I543" t="s">
        <v>917</v>
      </c>
      <c r="J543" t="s">
        <v>205</v>
      </c>
      <c r="K543" t="s">
        <v>224</v>
      </c>
      <c r="L543" t="s">
        <v>325</v>
      </c>
      <c r="M543" t="s">
        <v>344</v>
      </c>
      <c r="N543" t="s">
        <v>544</v>
      </c>
      <c r="O543" t="s">
        <v>339</v>
      </c>
      <c r="P543" t="s">
        <v>1216</v>
      </c>
      <c r="Q543" s="131">
        <v>7375</v>
      </c>
      <c r="R543" s="131">
        <v>3.71</v>
      </c>
      <c r="S543" s="131">
        <v>43030</v>
      </c>
      <c r="U543" s="131">
        <v>11773.546</v>
      </c>
      <c r="V543" s="132">
        <v>0</v>
      </c>
      <c r="W543" s="132">
        <f t="shared" si="8"/>
        <v>5.1903609797737109E-2</v>
      </c>
      <c r="X543" s="132">
        <v>6.5091503326335613E-3</v>
      </c>
    </row>
    <row r="544" spans="1:24">
      <c r="A544" t="s">
        <v>1213</v>
      </c>
      <c r="B544" s="4">
        <v>35012</v>
      </c>
      <c r="C544" t="s">
        <v>3119</v>
      </c>
      <c r="D544" t="s">
        <v>3120</v>
      </c>
      <c r="E544" t="s">
        <v>80</v>
      </c>
      <c r="F544" t="s">
        <v>3718</v>
      </c>
      <c r="G544" t="s">
        <v>3719</v>
      </c>
      <c r="H544" t="s">
        <v>321</v>
      </c>
      <c r="I544" t="s">
        <v>917</v>
      </c>
      <c r="J544" t="s">
        <v>205</v>
      </c>
      <c r="K544" t="s">
        <v>224</v>
      </c>
      <c r="L544" t="s">
        <v>325</v>
      </c>
      <c r="M544" t="s">
        <v>344</v>
      </c>
      <c r="N544" t="s">
        <v>544</v>
      </c>
      <c r="O544" t="s">
        <v>339</v>
      </c>
      <c r="P544" t="s">
        <v>1216</v>
      </c>
      <c r="Q544" s="131">
        <v>13138</v>
      </c>
      <c r="R544" s="131">
        <v>3.71</v>
      </c>
      <c r="S544" s="131">
        <v>18633</v>
      </c>
      <c r="U544" s="131">
        <v>9082.0930000000008</v>
      </c>
      <c r="V544" s="132">
        <v>0</v>
      </c>
      <c r="W544" s="132">
        <f t="shared" si="8"/>
        <v>4.0038354733464294E-2</v>
      </c>
      <c r="X544" s="132">
        <v>5.0211472968262017E-3</v>
      </c>
    </row>
    <row r="545" spans="1:24">
      <c r="A545" t="s">
        <v>1213</v>
      </c>
      <c r="B545" s="4">
        <v>35012</v>
      </c>
      <c r="C545" t="s">
        <v>3227</v>
      </c>
      <c r="D545" t="s">
        <v>3228</v>
      </c>
      <c r="E545" t="s">
        <v>80</v>
      </c>
      <c r="F545" t="s">
        <v>3548</v>
      </c>
      <c r="G545" t="s">
        <v>3549</v>
      </c>
      <c r="H545" t="s">
        <v>321</v>
      </c>
      <c r="I545" t="s">
        <v>917</v>
      </c>
      <c r="J545" t="s">
        <v>205</v>
      </c>
      <c r="K545" t="s">
        <v>301</v>
      </c>
      <c r="L545" t="s">
        <v>325</v>
      </c>
      <c r="M545" t="s">
        <v>344</v>
      </c>
      <c r="N545" t="s">
        <v>548</v>
      </c>
      <c r="O545" t="s">
        <v>339</v>
      </c>
      <c r="P545" t="s">
        <v>1216</v>
      </c>
      <c r="Q545" s="131">
        <v>13218</v>
      </c>
      <c r="R545" s="131">
        <v>3.71</v>
      </c>
      <c r="S545" s="131">
        <v>17367</v>
      </c>
      <c r="T545" s="131">
        <f>5.181+5527.66/1000/R545</f>
        <v>6.6709353099730464</v>
      </c>
      <c r="U545" s="131">
        <f>8535.786+5527.66/1000</f>
        <v>8541.3136599999998</v>
      </c>
      <c r="V545" s="132">
        <v>0</v>
      </c>
      <c r="W545" s="132">
        <f t="shared" si="8"/>
        <v>3.7654332124639575E-2</v>
      </c>
      <c r="X545" s="132">
        <v>4.7221707590148774E-3</v>
      </c>
    </row>
    <row r="546" spans="1:24">
      <c r="A546" t="s">
        <v>1213</v>
      </c>
      <c r="B546" s="4">
        <v>35012</v>
      </c>
      <c r="C546" t="s">
        <v>3563</v>
      </c>
      <c r="D546" t="s">
        <v>3564</v>
      </c>
      <c r="E546" t="s">
        <v>80</v>
      </c>
      <c r="F546" t="s">
        <v>3565</v>
      </c>
      <c r="G546" t="s">
        <v>3566</v>
      </c>
      <c r="H546" t="s">
        <v>321</v>
      </c>
      <c r="I546" t="s">
        <v>917</v>
      </c>
      <c r="J546" t="s">
        <v>205</v>
      </c>
      <c r="K546" t="s">
        <v>224</v>
      </c>
      <c r="L546" t="s">
        <v>325</v>
      </c>
      <c r="M546" t="s">
        <v>344</v>
      </c>
      <c r="N546" t="s">
        <v>546</v>
      </c>
      <c r="O546" t="s">
        <v>339</v>
      </c>
      <c r="P546" t="s">
        <v>1216</v>
      </c>
      <c r="Q546" s="131">
        <v>9627</v>
      </c>
      <c r="R546" s="131">
        <v>3.71</v>
      </c>
      <c r="S546" s="131">
        <v>23300</v>
      </c>
      <c r="U546" s="131">
        <v>8321.8680000000004</v>
      </c>
      <c r="V546" s="132">
        <v>0</v>
      </c>
      <c r="W546" s="132">
        <f t="shared" si="8"/>
        <v>3.6686907195187829E-2</v>
      </c>
      <c r="X546" s="132">
        <v>4.6008475152968008E-3</v>
      </c>
    </row>
    <row r="547" spans="1:24">
      <c r="A547" t="s">
        <v>1213</v>
      </c>
      <c r="B547" s="4">
        <v>35012</v>
      </c>
      <c r="C547" t="s">
        <v>3544</v>
      </c>
      <c r="D547" t="s">
        <v>3545</v>
      </c>
      <c r="E547" t="s">
        <v>80</v>
      </c>
      <c r="F547" t="s">
        <v>3546</v>
      </c>
      <c r="G547" t="s">
        <v>3547</v>
      </c>
      <c r="H547" t="s">
        <v>321</v>
      </c>
      <c r="I547" t="s">
        <v>917</v>
      </c>
      <c r="J547" t="s">
        <v>205</v>
      </c>
      <c r="K547" t="s">
        <v>224</v>
      </c>
      <c r="L547" t="s">
        <v>325</v>
      </c>
      <c r="M547" t="s">
        <v>344</v>
      </c>
      <c r="N547" t="s">
        <v>545</v>
      </c>
      <c r="O547" t="s">
        <v>339</v>
      </c>
      <c r="P547" t="s">
        <v>1216</v>
      </c>
      <c r="Q547" s="131">
        <v>10541</v>
      </c>
      <c r="R547" s="131">
        <v>3.71</v>
      </c>
      <c r="S547" s="131">
        <v>16719</v>
      </c>
      <c r="U547" s="131">
        <v>6538.3180000000002</v>
      </c>
      <c r="V547" s="132">
        <v>0</v>
      </c>
      <c r="W547" s="132">
        <f t="shared" si="8"/>
        <v>2.8824137282473853E-2</v>
      </c>
      <c r="X547" s="132">
        <v>3.6147898674336516E-3</v>
      </c>
    </row>
    <row r="548" spans="1:24">
      <c r="A548" t="s">
        <v>1213</v>
      </c>
      <c r="B548" s="4">
        <v>35012</v>
      </c>
      <c r="C548" t="s">
        <v>3209</v>
      </c>
      <c r="D548" t="s">
        <v>3210</v>
      </c>
      <c r="E548" t="s">
        <v>80</v>
      </c>
      <c r="F548" t="s">
        <v>3209</v>
      </c>
      <c r="G548" t="s">
        <v>3562</v>
      </c>
      <c r="H548" t="s">
        <v>321</v>
      </c>
      <c r="I548" t="s">
        <v>917</v>
      </c>
      <c r="J548" t="s">
        <v>205</v>
      </c>
      <c r="K548" t="s">
        <v>224</v>
      </c>
      <c r="L548" t="s">
        <v>325</v>
      </c>
      <c r="M548" t="s">
        <v>340</v>
      </c>
      <c r="N548" t="s">
        <v>545</v>
      </c>
      <c r="O548" t="s">
        <v>339</v>
      </c>
      <c r="P548" t="s">
        <v>1216</v>
      </c>
      <c r="Q548" s="131">
        <v>2559</v>
      </c>
      <c r="R548" s="131">
        <v>3.71</v>
      </c>
      <c r="S548" s="131">
        <v>57244</v>
      </c>
      <c r="U548" s="131">
        <v>5434.6819999999998</v>
      </c>
      <c r="V548" s="132">
        <v>0</v>
      </c>
      <c r="W548" s="132">
        <f t="shared" si="8"/>
        <v>2.3958764326634088E-2</v>
      </c>
      <c r="X548" s="132">
        <v>3.0046310727505224E-3</v>
      </c>
    </row>
    <row r="549" spans="1:24">
      <c r="A549" t="s">
        <v>1213</v>
      </c>
      <c r="B549" s="4">
        <v>35012</v>
      </c>
      <c r="C549" t="s">
        <v>3797</v>
      </c>
      <c r="D549" t="s">
        <v>3798</v>
      </c>
      <c r="E549" t="s">
        <v>80</v>
      </c>
      <c r="F549" t="s">
        <v>3799</v>
      </c>
      <c r="G549" t="s">
        <v>3800</v>
      </c>
      <c r="H549" t="s">
        <v>321</v>
      </c>
      <c r="I549" t="s">
        <v>917</v>
      </c>
      <c r="J549" t="s">
        <v>205</v>
      </c>
      <c r="K549" t="s">
        <v>224</v>
      </c>
      <c r="L549" t="s">
        <v>325</v>
      </c>
      <c r="M549" t="s">
        <v>344</v>
      </c>
      <c r="N549" t="s">
        <v>548</v>
      </c>
      <c r="O549" t="s">
        <v>339</v>
      </c>
      <c r="P549" t="s">
        <v>1216</v>
      </c>
      <c r="Q549" s="131">
        <v>37611</v>
      </c>
      <c r="R549" s="131">
        <v>3.71</v>
      </c>
      <c r="S549" s="131">
        <v>2291</v>
      </c>
      <c r="U549" s="131">
        <v>3196.788</v>
      </c>
      <c r="V549" s="132">
        <v>6.6E-4</v>
      </c>
      <c r="W549" s="132">
        <f t="shared" si="8"/>
        <v>1.4093021504149083E-2</v>
      </c>
      <c r="X549" s="132">
        <v>1.7673837324421186E-3</v>
      </c>
    </row>
    <row r="550" spans="1:24">
      <c r="A550" t="s">
        <v>1213</v>
      </c>
      <c r="B550" s="4">
        <v>35012</v>
      </c>
      <c r="C550" t="s">
        <v>3793</v>
      </c>
      <c r="D550" t="s">
        <v>3794</v>
      </c>
      <c r="E550" t="s">
        <v>309</v>
      </c>
      <c r="F550" t="s">
        <v>3795</v>
      </c>
      <c r="G550" t="s">
        <v>3796</v>
      </c>
      <c r="H550" t="s">
        <v>321</v>
      </c>
      <c r="I550" t="s">
        <v>917</v>
      </c>
      <c r="J550" t="s">
        <v>205</v>
      </c>
      <c r="K550" t="s">
        <v>204</v>
      </c>
      <c r="L550" t="s">
        <v>325</v>
      </c>
      <c r="M550" t="s">
        <v>346</v>
      </c>
      <c r="N550" t="s">
        <v>544</v>
      </c>
      <c r="O550" t="s">
        <v>339</v>
      </c>
      <c r="P550" t="s">
        <v>1216</v>
      </c>
      <c r="Q550" s="131">
        <v>116106.82</v>
      </c>
      <c r="R550" s="131">
        <v>3.71</v>
      </c>
      <c r="S550" s="131">
        <v>706</v>
      </c>
      <c r="U550" s="131">
        <v>3041.1390000000001</v>
      </c>
      <c r="V550" s="132">
        <v>1.074E-2</v>
      </c>
      <c r="W550" s="132">
        <f t="shared" si="8"/>
        <v>1.340684378323068E-2</v>
      </c>
      <c r="X550" s="132">
        <v>1.6813312602197243E-3</v>
      </c>
    </row>
    <row r="551" spans="1:24">
      <c r="A551" t="s">
        <v>1213</v>
      </c>
      <c r="B551" s="4">
        <v>35012</v>
      </c>
      <c r="C551" t="s">
        <v>3801</v>
      </c>
      <c r="D551" t="s">
        <v>3802</v>
      </c>
      <c r="E551" t="s">
        <v>80</v>
      </c>
      <c r="F551" t="s">
        <v>3803</v>
      </c>
      <c r="G551" t="s">
        <v>3804</v>
      </c>
      <c r="H551" t="s">
        <v>321</v>
      </c>
      <c r="I551" t="s">
        <v>917</v>
      </c>
      <c r="J551" t="s">
        <v>205</v>
      </c>
      <c r="K551" t="s">
        <v>224</v>
      </c>
      <c r="L551" t="s">
        <v>325</v>
      </c>
      <c r="M551" t="s">
        <v>344</v>
      </c>
      <c r="N551" t="s">
        <v>548</v>
      </c>
      <c r="O551" t="s">
        <v>339</v>
      </c>
      <c r="P551" t="s">
        <v>1216</v>
      </c>
      <c r="Q551" s="131">
        <v>5492</v>
      </c>
      <c r="R551" s="131">
        <v>3.71</v>
      </c>
      <c r="S551" s="131">
        <v>12144</v>
      </c>
      <c r="T551" s="131">
        <f>0.041+50.4432/1000/R551</f>
        <v>5.4596549865229112E-2</v>
      </c>
      <c r="U551" s="131">
        <f>2474.532+50.4432/1000</f>
        <v>2474.5824431999999</v>
      </c>
      <c r="V551" s="132">
        <v>0</v>
      </c>
      <c r="W551" s="132">
        <f t="shared" si="8"/>
        <v>1.09091824624615E-2</v>
      </c>
      <c r="X551" s="132">
        <v>1.3681034697010101E-3</v>
      </c>
    </row>
    <row r="552" spans="1:24">
      <c r="A552" t="s">
        <v>1213</v>
      </c>
      <c r="B552" s="4">
        <v>35012</v>
      </c>
      <c r="C552" t="s">
        <v>3805</v>
      </c>
      <c r="D552" t="s">
        <v>3806</v>
      </c>
      <c r="E552" t="s">
        <v>311</v>
      </c>
      <c r="F552" t="s">
        <v>3807</v>
      </c>
      <c r="G552" t="s">
        <v>3808</v>
      </c>
      <c r="H552" t="s">
        <v>321</v>
      </c>
      <c r="I552" t="s">
        <v>917</v>
      </c>
      <c r="J552" t="s">
        <v>205</v>
      </c>
      <c r="K552" t="s">
        <v>204</v>
      </c>
      <c r="L552" t="s">
        <v>325</v>
      </c>
      <c r="M552" t="s">
        <v>346</v>
      </c>
      <c r="N552" t="s">
        <v>544</v>
      </c>
      <c r="O552" t="s">
        <v>339</v>
      </c>
      <c r="P552" t="s">
        <v>1216</v>
      </c>
      <c r="Q552" s="131">
        <v>1674</v>
      </c>
      <c r="R552" s="131">
        <v>3.71</v>
      </c>
      <c r="S552" s="131">
        <v>16717</v>
      </c>
      <c r="U552" s="131">
        <v>1038.2159999999999</v>
      </c>
      <c r="V552" s="132">
        <v>3.0000000000000001E-5</v>
      </c>
      <c r="W552" s="132">
        <f t="shared" si="8"/>
        <v>4.5769692622568787E-3</v>
      </c>
      <c r="X552" s="132">
        <v>5.7399053961699261E-4</v>
      </c>
    </row>
    <row r="553" spans="1:24">
      <c r="A553" t="s">
        <v>1213</v>
      </c>
      <c r="B553" s="4">
        <v>35012</v>
      </c>
      <c r="C553" t="s">
        <v>3809</v>
      </c>
      <c r="D553" t="s">
        <v>3810</v>
      </c>
      <c r="E553" t="s">
        <v>309</v>
      </c>
      <c r="F553" t="s">
        <v>3811</v>
      </c>
      <c r="G553" t="s">
        <v>3812</v>
      </c>
      <c r="H553" t="s">
        <v>321</v>
      </c>
      <c r="I553" t="s">
        <v>917</v>
      </c>
      <c r="J553" t="s">
        <v>205</v>
      </c>
      <c r="K553" t="s">
        <v>204</v>
      </c>
      <c r="L553" t="s">
        <v>325</v>
      </c>
      <c r="M553" t="s">
        <v>346</v>
      </c>
      <c r="N553" t="s">
        <v>546</v>
      </c>
      <c r="O553" t="s">
        <v>339</v>
      </c>
      <c r="P553" t="s">
        <v>1216</v>
      </c>
      <c r="Q553" s="131">
        <v>81833</v>
      </c>
      <c r="R553" s="131">
        <v>3.71</v>
      </c>
      <c r="S553" s="131">
        <v>191</v>
      </c>
      <c r="U553" s="131">
        <v>579.87699999999995</v>
      </c>
      <c r="V553" s="132">
        <v>1.06E-3</v>
      </c>
      <c r="W553" s="132">
        <f t="shared" si="8"/>
        <v>2.5563844179724952E-3</v>
      </c>
      <c r="X553" s="132">
        <v>3.2059216207560161E-4</v>
      </c>
    </row>
    <row r="554" spans="1:24">
      <c r="A554" t="s">
        <v>1213</v>
      </c>
      <c r="B554" s="4">
        <v>35012</v>
      </c>
      <c r="C554" t="s">
        <v>3813</v>
      </c>
      <c r="D554" t="s">
        <v>3814</v>
      </c>
      <c r="E554" t="s">
        <v>311</v>
      </c>
      <c r="F554" t="s">
        <v>3815</v>
      </c>
      <c r="G554" t="s">
        <v>3816</v>
      </c>
      <c r="H554" t="s">
        <v>321</v>
      </c>
      <c r="I554" t="s">
        <v>917</v>
      </c>
      <c r="J554" t="s">
        <v>205</v>
      </c>
      <c r="K554" t="s">
        <v>224</v>
      </c>
      <c r="L554" t="s">
        <v>325</v>
      </c>
      <c r="M554" t="s">
        <v>346</v>
      </c>
      <c r="N554" t="s">
        <v>486</v>
      </c>
      <c r="O554" t="s">
        <v>339</v>
      </c>
      <c r="P554" t="s">
        <v>1216</v>
      </c>
      <c r="Q554" s="131">
        <v>9223</v>
      </c>
      <c r="R554" s="131">
        <v>3.71</v>
      </c>
      <c r="S554" s="131">
        <v>702</v>
      </c>
      <c r="U554" s="131">
        <v>240.20599999999999</v>
      </c>
      <c r="V554" s="132">
        <v>8.0000000000000007E-5</v>
      </c>
      <c r="W554" s="132">
        <f t="shared" si="8"/>
        <v>1.0589467688897837E-3</v>
      </c>
      <c r="X554" s="132">
        <v>1.3280085411825605E-4</v>
      </c>
    </row>
    <row r="555" spans="1:24">
      <c r="A555" t="s">
        <v>1213</v>
      </c>
      <c r="B555" s="4">
        <v>35012</v>
      </c>
      <c r="C555" t="s">
        <v>3825</v>
      </c>
      <c r="D555" t="s">
        <v>3826</v>
      </c>
      <c r="E555" t="s">
        <v>80</v>
      </c>
      <c r="F555" t="s">
        <v>3827</v>
      </c>
      <c r="G555" t="s">
        <v>3828</v>
      </c>
      <c r="H555" t="s">
        <v>321</v>
      </c>
      <c r="I555" t="s">
        <v>917</v>
      </c>
      <c r="J555" t="s">
        <v>205</v>
      </c>
      <c r="K555" t="s">
        <v>272</v>
      </c>
      <c r="L555" t="s">
        <v>325</v>
      </c>
      <c r="M555" t="s">
        <v>314</v>
      </c>
      <c r="N555" t="s">
        <v>568</v>
      </c>
      <c r="O555" t="s">
        <v>339</v>
      </c>
      <c r="P555" t="s">
        <v>1218</v>
      </c>
      <c r="Q555" s="131">
        <v>18888</v>
      </c>
      <c r="R555" s="131">
        <v>4.1524000000000001</v>
      </c>
      <c r="S555" s="131">
        <v>102</v>
      </c>
      <c r="U555" s="131">
        <v>79.998999999999995</v>
      </c>
      <c r="V555" s="132">
        <v>3.1E-4</v>
      </c>
      <c r="W555" s="132">
        <f t="shared" si="8"/>
        <v>3.526751311974464E-4</v>
      </c>
      <c r="X555" s="132">
        <v>4.4228435295564497E-5</v>
      </c>
    </row>
    <row r="556" spans="1:24">
      <c r="A556" t="s">
        <v>1213</v>
      </c>
      <c r="B556" s="4">
        <v>35012</v>
      </c>
      <c r="C556" t="s">
        <v>3817</v>
      </c>
      <c r="D556" t="s">
        <v>3818</v>
      </c>
      <c r="E556" t="s">
        <v>80</v>
      </c>
      <c r="F556" t="s">
        <v>3819</v>
      </c>
      <c r="G556" t="s">
        <v>3820</v>
      </c>
      <c r="H556" t="s">
        <v>321</v>
      </c>
      <c r="I556" t="s">
        <v>917</v>
      </c>
      <c r="J556" t="s">
        <v>205</v>
      </c>
      <c r="K556" t="s">
        <v>224</v>
      </c>
      <c r="L556" t="s">
        <v>325</v>
      </c>
      <c r="M556" t="s">
        <v>344</v>
      </c>
      <c r="N556" t="s">
        <v>569</v>
      </c>
      <c r="O556" t="s">
        <v>339</v>
      </c>
      <c r="P556" t="s">
        <v>1216</v>
      </c>
      <c r="Q556" s="131">
        <v>0</v>
      </c>
      <c r="R556" s="131">
        <v>3.71</v>
      </c>
      <c r="S556" s="131">
        <v>0</v>
      </c>
      <c r="T556" s="131">
        <v>5.81</v>
      </c>
      <c r="U556" s="131">
        <v>21.556000000000001</v>
      </c>
      <c r="V556" t="s">
        <v>1871</v>
      </c>
      <c r="W556" s="132">
        <f t="shared" si="8"/>
        <v>9.5029501969926564E-5</v>
      </c>
      <c r="X556" s="132">
        <v>1.1917500859150594E-5</v>
      </c>
    </row>
    <row r="557" spans="1:24">
      <c r="A557" t="s">
        <v>1213</v>
      </c>
      <c r="B557" s="4">
        <v>35012</v>
      </c>
      <c r="C557" t="s">
        <v>3825</v>
      </c>
      <c r="D557" t="s">
        <v>3826</v>
      </c>
      <c r="E557" t="s">
        <v>80</v>
      </c>
      <c r="F557" t="s">
        <v>3829</v>
      </c>
      <c r="G557" t="s">
        <v>3830</v>
      </c>
      <c r="H557" t="s">
        <v>321</v>
      </c>
      <c r="I557" t="s">
        <v>917</v>
      </c>
      <c r="J557" t="s">
        <v>205</v>
      </c>
      <c r="K557" t="s">
        <v>272</v>
      </c>
      <c r="L557" s="134"/>
      <c r="M557" t="s">
        <v>314</v>
      </c>
      <c r="N557" t="s">
        <v>568</v>
      </c>
      <c r="O557" t="s">
        <v>339</v>
      </c>
      <c r="P557" t="s">
        <v>1218</v>
      </c>
      <c r="Q557" s="131">
        <v>18888</v>
      </c>
      <c r="R557" s="131">
        <v>4.1524000000000001</v>
      </c>
      <c r="S557" s="131">
        <v>0</v>
      </c>
      <c r="U557" s="131">
        <v>0</v>
      </c>
      <c r="W557" s="132">
        <f t="shared" si="8"/>
        <v>0</v>
      </c>
      <c r="X557" s="132">
        <v>0</v>
      </c>
    </row>
    <row r="558" spans="1:24">
      <c r="A558" t="s">
        <v>1213</v>
      </c>
      <c r="B558" s="4">
        <v>57</v>
      </c>
      <c r="C558" t="s">
        <v>3825</v>
      </c>
      <c r="D558" t="s">
        <v>3826</v>
      </c>
      <c r="E558" t="s">
        <v>80</v>
      </c>
      <c r="F558" t="s">
        <v>3827</v>
      </c>
      <c r="G558" t="s">
        <v>3828</v>
      </c>
      <c r="H558" t="s">
        <v>321</v>
      </c>
      <c r="I558" t="s">
        <v>917</v>
      </c>
      <c r="J558" t="s">
        <v>205</v>
      </c>
      <c r="K558" t="s">
        <v>272</v>
      </c>
      <c r="L558" t="s">
        <v>325</v>
      </c>
      <c r="M558" t="s">
        <v>314</v>
      </c>
      <c r="N558" t="s">
        <v>568</v>
      </c>
      <c r="O558" t="s">
        <v>339</v>
      </c>
      <c r="P558" t="s">
        <v>1218</v>
      </c>
      <c r="Q558" s="131">
        <v>9753</v>
      </c>
      <c r="R558" s="131">
        <v>4.1524000000000001</v>
      </c>
      <c r="S558" s="131">
        <v>102</v>
      </c>
      <c r="U558" s="131">
        <v>41.308</v>
      </c>
      <c r="V558" s="132">
        <v>1.6000000000000001E-4</v>
      </c>
      <c r="W558" s="132">
        <f t="shared" si="8"/>
        <v>1</v>
      </c>
      <c r="X558" s="132">
        <v>1.0890852490672302E-4</v>
      </c>
    </row>
    <row r="559" spans="1:24">
      <c r="A559" t="s">
        <v>1213</v>
      </c>
      <c r="B559" s="4">
        <v>57</v>
      </c>
      <c r="C559" t="s">
        <v>3825</v>
      </c>
      <c r="D559" t="s">
        <v>3826</v>
      </c>
      <c r="E559" t="s">
        <v>80</v>
      </c>
      <c r="F559" t="s">
        <v>3829</v>
      </c>
      <c r="G559" t="s">
        <v>3830</v>
      </c>
      <c r="H559" t="s">
        <v>321</v>
      </c>
      <c r="I559" t="s">
        <v>917</v>
      </c>
      <c r="J559" t="s">
        <v>205</v>
      </c>
      <c r="K559" t="s">
        <v>272</v>
      </c>
      <c r="L559" s="134"/>
      <c r="M559" t="s">
        <v>314</v>
      </c>
      <c r="N559" t="s">
        <v>568</v>
      </c>
      <c r="O559" t="s">
        <v>339</v>
      </c>
      <c r="P559" t="s">
        <v>1218</v>
      </c>
      <c r="Q559" s="131">
        <v>9753</v>
      </c>
      <c r="R559" s="131">
        <v>4.1524000000000001</v>
      </c>
      <c r="S559" s="131">
        <v>0</v>
      </c>
      <c r="U559" s="131">
        <v>0</v>
      </c>
      <c r="W559" s="132">
        <f t="shared" si="8"/>
        <v>0</v>
      </c>
      <c r="X559" s="132">
        <v>0</v>
      </c>
    </row>
    <row r="560" spans="1:24">
      <c r="A560" t="s">
        <v>1213</v>
      </c>
      <c r="B560" s="4">
        <v>58</v>
      </c>
      <c r="C560" t="s">
        <v>1573</v>
      </c>
      <c r="D560" t="s">
        <v>1574</v>
      </c>
      <c r="E560" t="s">
        <v>309</v>
      </c>
      <c r="F560" t="s">
        <v>1573</v>
      </c>
      <c r="G560" t="s">
        <v>3404</v>
      </c>
      <c r="H560" t="s">
        <v>321</v>
      </c>
      <c r="I560" t="s">
        <v>917</v>
      </c>
      <c r="J560" t="s">
        <v>204</v>
      </c>
      <c r="K560" t="s">
        <v>204</v>
      </c>
      <c r="L560" t="s">
        <v>325</v>
      </c>
      <c r="M560" t="s">
        <v>340</v>
      </c>
      <c r="N560" t="s">
        <v>448</v>
      </c>
      <c r="O560" t="s">
        <v>339</v>
      </c>
      <c r="P560" t="s">
        <v>1212</v>
      </c>
      <c r="Q560" s="131">
        <v>203779</v>
      </c>
      <c r="R560" s="131">
        <v>1</v>
      </c>
      <c r="S560" s="131">
        <v>3644</v>
      </c>
      <c r="U560" s="131">
        <v>7425.7070000000003</v>
      </c>
      <c r="V560" s="132">
        <v>1.2999999999999999E-4</v>
      </c>
      <c r="W560" s="132">
        <f t="shared" si="8"/>
        <v>7.8360214525216368E-2</v>
      </c>
      <c r="X560" s="132">
        <v>1.940606744838665E-2</v>
      </c>
    </row>
    <row r="561" spans="1:24">
      <c r="A561" t="s">
        <v>1213</v>
      </c>
      <c r="B561" s="4">
        <v>58</v>
      </c>
      <c r="C561" t="s">
        <v>1881</v>
      </c>
      <c r="D561" t="s">
        <v>1882</v>
      </c>
      <c r="E561" t="s">
        <v>309</v>
      </c>
      <c r="F561" t="s">
        <v>3407</v>
      </c>
      <c r="G561" t="s">
        <v>3408</v>
      </c>
      <c r="H561" t="s">
        <v>321</v>
      </c>
      <c r="I561" t="s">
        <v>917</v>
      </c>
      <c r="J561" t="s">
        <v>204</v>
      </c>
      <c r="K561" t="s">
        <v>204</v>
      </c>
      <c r="L561" t="s">
        <v>325</v>
      </c>
      <c r="M561" t="s">
        <v>340</v>
      </c>
      <c r="N561" t="s">
        <v>448</v>
      </c>
      <c r="O561" t="s">
        <v>339</v>
      </c>
      <c r="P561" t="s">
        <v>1212</v>
      </c>
      <c r="Q561" s="131">
        <v>37693</v>
      </c>
      <c r="R561" s="131">
        <v>1</v>
      </c>
      <c r="S561" s="131">
        <v>14550</v>
      </c>
      <c r="U561" s="131">
        <v>5484.3320000000003</v>
      </c>
      <c r="V561" s="132">
        <v>1.4999999999999999E-4</v>
      </c>
      <c r="W561" s="132">
        <f t="shared" si="8"/>
        <v>5.7873739436192263E-2</v>
      </c>
      <c r="X561" s="132">
        <v>1.433254997825059E-2</v>
      </c>
    </row>
    <row r="562" spans="1:24">
      <c r="A562" t="s">
        <v>1213</v>
      </c>
      <c r="B562" s="4">
        <v>58</v>
      </c>
      <c r="C562" t="s">
        <v>1861</v>
      </c>
      <c r="D562" t="s">
        <v>1862</v>
      </c>
      <c r="E562" t="s">
        <v>309</v>
      </c>
      <c r="F562" t="s">
        <v>1861</v>
      </c>
      <c r="G562" t="s">
        <v>3460</v>
      </c>
      <c r="H562" t="s">
        <v>321</v>
      </c>
      <c r="I562" t="s">
        <v>917</v>
      </c>
      <c r="J562" t="s">
        <v>204</v>
      </c>
      <c r="K562" t="s">
        <v>204</v>
      </c>
      <c r="L562" t="s">
        <v>325</v>
      </c>
      <c r="M562" t="s">
        <v>340</v>
      </c>
      <c r="N562" t="s">
        <v>464</v>
      </c>
      <c r="O562" t="s">
        <v>339</v>
      </c>
      <c r="P562" t="s">
        <v>1212</v>
      </c>
      <c r="Q562" s="131">
        <v>15016</v>
      </c>
      <c r="R562" s="131">
        <v>1</v>
      </c>
      <c r="S562" s="131">
        <v>28210</v>
      </c>
      <c r="U562" s="131">
        <v>4236.0140000000001</v>
      </c>
      <c r="V562" s="132">
        <v>3.2000000000000003E-4</v>
      </c>
      <c r="W562" s="132">
        <f t="shared" si="8"/>
        <v>4.4700789537187487E-2</v>
      </c>
      <c r="X562" s="132">
        <v>1.1070241984542364E-2</v>
      </c>
    </row>
    <row r="563" spans="1:24">
      <c r="A563" t="s">
        <v>1213</v>
      </c>
      <c r="B563" s="4">
        <v>58</v>
      </c>
      <c r="C563" t="s">
        <v>2228</v>
      </c>
      <c r="D563" t="s">
        <v>2229</v>
      </c>
      <c r="E563" t="s">
        <v>309</v>
      </c>
      <c r="F563" t="s">
        <v>2228</v>
      </c>
      <c r="G563" t="s">
        <v>3439</v>
      </c>
      <c r="H563" t="s">
        <v>321</v>
      </c>
      <c r="I563" t="s">
        <v>917</v>
      </c>
      <c r="J563" t="s">
        <v>204</v>
      </c>
      <c r="K563" t="s">
        <v>204</v>
      </c>
      <c r="L563" t="s">
        <v>325</v>
      </c>
      <c r="M563" t="s">
        <v>340</v>
      </c>
      <c r="N563" t="s">
        <v>441</v>
      </c>
      <c r="O563" t="s">
        <v>339</v>
      </c>
      <c r="P563" t="s">
        <v>1212</v>
      </c>
      <c r="Q563" s="131">
        <v>65684.399999999994</v>
      </c>
      <c r="R563" s="131">
        <v>1</v>
      </c>
      <c r="S563" s="131">
        <v>6254</v>
      </c>
      <c r="U563" s="131">
        <v>4107.902</v>
      </c>
      <c r="V563" s="132">
        <v>5.5000000000000003E-4</v>
      </c>
      <c r="W563" s="132">
        <f t="shared" si="8"/>
        <v>4.3348880041801457E-2</v>
      </c>
      <c r="X563" s="132">
        <v>1.0735438832068437E-2</v>
      </c>
    </row>
    <row r="564" spans="1:24">
      <c r="A564" t="s">
        <v>1213</v>
      </c>
      <c r="B564" s="4">
        <v>58</v>
      </c>
      <c r="C564" t="s">
        <v>2089</v>
      </c>
      <c r="D564" t="s">
        <v>2090</v>
      </c>
      <c r="E564" t="s">
        <v>309</v>
      </c>
      <c r="F564" t="s">
        <v>2089</v>
      </c>
      <c r="G564" t="s">
        <v>3405</v>
      </c>
      <c r="H564" t="s">
        <v>321</v>
      </c>
      <c r="I564" t="s">
        <v>917</v>
      </c>
      <c r="J564" t="s">
        <v>204</v>
      </c>
      <c r="K564" t="s">
        <v>204</v>
      </c>
      <c r="L564" t="s">
        <v>325</v>
      </c>
      <c r="M564" t="s">
        <v>340</v>
      </c>
      <c r="N564" t="s">
        <v>467</v>
      </c>
      <c r="O564" t="s">
        <v>339</v>
      </c>
      <c r="P564" t="s">
        <v>1212</v>
      </c>
      <c r="Q564" s="131">
        <v>56363</v>
      </c>
      <c r="R564" s="131">
        <v>1</v>
      </c>
      <c r="S564" s="131">
        <v>6629</v>
      </c>
      <c r="U564" s="131">
        <v>3736.3029999999999</v>
      </c>
      <c r="V564" s="132">
        <v>5.0000000000000002E-5</v>
      </c>
      <c r="W564" s="132">
        <f t="shared" si="8"/>
        <v>3.9427559505271277E-2</v>
      </c>
      <c r="X564" s="132">
        <v>9.7643157783641847E-3</v>
      </c>
    </row>
    <row r="565" spans="1:24">
      <c r="A565" t="s">
        <v>1213</v>
      </c>
      <c r="B565" s="4">
        <v>58</v>
      </c>
      <c r="C565" t="s">
        <v>1600</v>
      </c>
      <c r="D565" t="s">
        <v>1601</v>
      </c>
      <c r="E565" t="s">
        <v>309</v>
      </c>
      <c r="F565" t="s">
        <v>1600</v>
      </c>
      <c r="G565" t="s">
        <v>3406</v>
      </c>
      <c r="H565" t="s">
        <v>321</v>
      </c>
      <c r="I565" t="s">
        <v>917</v>
      </c>
      <c r="J565" t="s">
        <v>204</v>
      </c>
      <c r="K565" t="s">
        <v>204</v>
      </c>
      <c r="L565" t="s">
        <v>325</v>
      </c>
      <c r="M565" t="s">
        <v>340</v>
      </c>
      <c r="N565" t="s">
        <v>448</v>
      </c>
      <c r="O565" t="s">
        <v>339</v>
      </c>
      <c r="P565" t="s">
        <v>1212</v>
      </c>
      <c r="Q565" s="131">
        <v>94069</v>
      </c>
      <c r="R565" s="131">
        <v>1</v>
      </c>
      <c r="S565" s="131">
        <v>3729</v>
      </c>
      <c r="U565" s="131">
        <v>3507.8330000000001</v>
      </c>
      <c r="V565" s="132">
        <v>6.9999999999999994E-5</v>
      </c>
      <c r="W565" s="132">
        <f t="shared" si="8"/>
        <v>3.7016616249285532E-2</v>
      </c>
      <c r="X565" s="132">
        <v>9.1672407483457778E-3</v>
      </c>
    </row>
    <row r="566" spans="1:24">
      <c r="A566" t="s">
        <v>1213</v>
      </c>
      <c r="B566" s="4">
        <v>58</v>
      </c>
      <c r="C566" t="s">
        <v>1986</v>
      </c>
      <c r="D566" t="s">
        <v>1987</v>
      </c>
      <c r="E566" t="s">
        <v>309</v>
      </c>
      <c r="F566" t="s">
        <v>1986</v>
      </c>
      <c r="G566" t="s">
        <v>3445</v>
      </c>
      <c r="H566" t="s">
        <v>321</v>
      </c>
      <c r="I566" t="s">
        <v>917</v>
      </c>
      <c r="J566" t="s">
        <v>204</v>
      </c>
      <c r="K566" t="s">
        <v>204</v>
      </c>
      <c r="L566" t="s">
        <v>325</v>
      </c>
      <c r="M566" t="s">
        <v>340</v>
      </c>
      <c r="N566" t="s">
        <v>484</v>
      </c>
      <c r="O566" t="s">
        <v>339</v>
      </c>
      <c r="P566" t="s">
        <v>1212</v>
      </c>
      <c r="Q566" s="131">
        <v>629660</v>
      </c>
      <c r="R566" s="131">
        <v>1</v>
      </c>
      <c r="S566" s="131">
        <v>428.6</v>
      </c>
      <c r="T566" s="131">
        <v>104.267</v>
      </c>
      <c r="U566" s="131">
        <v>2802.99</v>
      </c>
      <c r="V566" s="132">
        <v>2.3000000000000001E-4</v>
      </c>
      <c r="W566" s="132">
        <f t="shared" si="8"/>
        <v>2.9578718593668753E-2</v>
      </c>
      <c r="X566" s="132">
        <v>7.3252301763526741E-3</v>
      </c>
    </row>
    <row r="567" spans="1:24">
      <c r="A567" t="s">
        <v>1213</v>
      </c>
      <c r="B567" s="4">
        <v>58</v>
      </c>
      <c r="C567" t="s">
        <v>1807</v>
      </c>
      <c r="D567" t="s">
        <v>1808</v>
      </c>
      <c r="E567" t="s">
        <v>309</v>
      </c>
      <c r="F567" t="s">
        <v>1807</v>
      </c>
      <c r="G567" t="s">
        <v>3409</v>
      </c>
      <c r="H567" t="s">
        <v>321</v>
      </c>
      <c r="I567" t="s">
        <v>917</v>
      </c>
      <c r="J567" t="s">
        <v>204</v>
      </c>
      <c r="K567" t="s">
        <v>204</v>
      </c>
      <c r="L567" t="s">
        <v>325</v>
      </c>
      <c r="M567" t="s">
        <v>340</v>
      </c>
      <c r="N567" t="s">
        <v>464</v>
      </c>
      <c r="O567" t="s">
        <v>339</v>
      </c>
      <c r="P567" t="s">
        <v>1212</v>
      </c>
      <c r="Q567" s="131">
        <v>10412</v>
      </c>
      <c r="R567" s="131">
        <v>1</v>
      </c>
      <c r="S567" s="131">
        <v>25940</v>
      </c>
      <c r="U567" s="131">
        <v>2700.873</v>
      </c>
      <c r="V567" s="132">
        <v>9.0000000000000006E-5</v>
      </c>
      <c r="W567" s="132">
        <f t="shared" si="8"/>
        <v>2.8501122881008464E-2</v>
      </c>
      <c r="X567" s="132">
        <v>7.0583613934035363E-3</v>
      </c>
    </row>
    <row r="568" spans="1:24">
      <c r="A568" t="s">
        <v>1213</v>
      </c>
      <c r="B568" s="4">
        <v>58</v>
      </c>
      <c r="C568" t="s">
        <v>2361</v>
      </c>
      <c r="D568" t="s">
        <v>2362</v>
      </c>
      <c r="E568" t="s">
        <v>309</v>
      </c>
      <c r="F568" t="s">
        <v>2361</v>
      </c>
      <c r="G568" t="s">
        <v>3440</v>
      </c>
      <c r="H568" t="s">
        <v>321</v>
      </c>
      <c r="I568" t="s">
        <v>917</v>
      </c>
      <c r="J568" t="s">
        <v>204</v>
      </c>
      <c r="K568" t="s">
        <v>204</v>
      </c>
      <c r="L568" t="s">
        <v>325</v>
      </c>
      <c r="M568" t="s">
        <v>340</v>
      </c>
      <c r="N568" t="s">
        <v>446</v>
      </c>
      <c r="O568" t="s">
        <v>339</v>
      </c>
      <c r="P568" t="s">
        <v>1212</v>
      </c>
      <c r="Q568" s="131">
        <v>3582</v>
      </c>
      <c r="R568" s="131">
        <v>1</v>
      </c>
      <c r="S568" s="131">
        <v>74080</v>
      </c>
      <c r="U568" s="131">
        <v>2653.5459999999998</v>
      </c>
      <c r="V568" s="132">
        <v>8.0000000000000007E-5</v>
      </c>
      <c r="W568" s="132">
        <f t="shared" si="8"/>
        <v>2.800170190024058E-2</v>
      </c>
      <c r="X568" s="132">
        <v>6.9346787657251479E-3</v>
      </c>
    </row>
    <row r="569" spans="1:24">
      <c r="A569" t="s">
        <v>1213</v>
      </c>
      <c r="B569" s="4">
        <v>58</v>
      </c>
      <c r="C569" t="s">
        <v>3410</v>
      </c>
      <c r="D569" t="s">
        <v>3411</v>
      </c>
      <c r="E569" t="s">
        <v>309</v>
      </c>
      <c r="F569" t="s">
        <v>3410</v>
      </c>
      <c r="G569" t="s">
        <v>3412</v>
      </c>
      <c r="H569" t="s">
        <v>321</v>
      </c>
      <c r="I569" t="s">
        <v>917</v>
      </c>
      <c r="J569" t="s">
        <v>204</v>
      </c>
      <c r="K569" t="s">
        <v>204</v>
      </c>
      <c r="L569" t="s">
        <v>325</v>
      </c>
      <c r="M569" t="s">
        <v>340</v>
      </c>
      <c r="N569" t="s">
        <v>480</v>
      </c>
      <c r="O569" t="s">
        <v>339</v>
      </c>
      <c r="P569" t="s">
        <v>1212</v>
      </c>
      <c r="Q569" s="131">
        <v>3848</v>
      </c>
      <c r="R569" s="131">
        <v>1</v>
      </c>
      <c r="S569" s="131">
        <v>64880</v>
      </c>
      <c r="U569" s="131">
        <v>2496.5819999999999</v>
      </c>
      <c r="V569" s="132">
        <v>5.0000000000000002E-5</v>
      </c>
      <c r="W569" s="132">
        <f t="shared" si="8"/>
        <v>2.6345329959799615E-2</v>
      </c>
      <c r="X569" s="132">
        <v>6.5244748658178989E-3</v>
      </c>
    </row>
    <row r="570" spans="1:24">
      <c r="A570" t="s">
        <v>1213</v>
      </c>
      <c r="B570" s="4">
        <v>58</v>
      </c>
      <c r="C570" t="s">
        <v>2436</v>
      </c>
      <c r="D570" t="s">
        <v>2437</v>
      </c>
      <c r="E570" t="s">
        <v>309</v>
      </c>
      <c r="F570" t="s">
        <v>2436</v>
      </c>
      <c r="G570" t="s">
        <v>3426</v>
      </c>
      <c r="H570" t="s">
        <v>321</v>
      </c>
      <c r="I570" t="s">
        <v>917</v>
      </c>
      <c r="J570" t="s">
        <v>204</v>
      </c>
      <c r="K570" t="s">
        <v>204</v>
      </c>
      <c r="L570" t="s">
        <v>325</v>
      </c>
      <c r="M570" t="s">
        <v>340</v>
      </c>
      <c r="N570" t="s">
        <v>475</v>
      </c>
      <c r="O570" t="s">
        <v>339</v>
      </c>
      <c r="P570" t="s">
        <v>1212</v>
      </c>
      <c r="Q570" s="131">
        <v>64006</v>
      </c>
      <c r="R570" s="131">
        <v>1</v>
      </c>
      <c r="S570" s="131">
        <v>3310</v>
      </c>
      <c r="U570" s="131">
        <v>2118.5990000000002</v>
      </c>
      <c r="V570" s="132">
        <v>2.3000000000000001E-4</v>
      </c>
      <c r="W570" s="132">
        <f t="shared" si="8"/>
        <v>2.2356641883784115E-2</v>
      </c>
      <c r="X570" s="132">
        <v>5.5366681031293729E-3</v>
      </c>
    </row>
    <row r="571" spans="1:24">
      <c r="A571" t="s">
        <v>1213</v>
      </c>
      <c r="B571" s="4">
        <v>58</v>
      </c>
      <c r="C571" t="s">
        <v>1973</v>
      </c>
      <c r="D571" t="s">
        <v>1974</v>
      </c>
      <c r="E571" t="s">
        <v>309</v>
      </c>
      <c r="F571" t="s">
        <v>3512</v>
      </c>
      <c r="G571" t="s">
        <v>3513</v>
      </c>
      <c r="H571" t="s">
        <v>321</v>
      </c>
      <c r="I571" t="s">
        <v>917</v>
      </c>
      <c r="J571" t="s">
        <v>204</v>
      </c>
      <c r="K571" t="s">
        <v>204</v>
      </c>
      <c r="L571" t="s">
        <v>325</v>
      </c>
      <c r="M571" t="s">
        <v>340</v>
      </c>
      <c r="N571" t="s">
        <v>464</v>
      </c>
      <c r="O571" t="s">
        <v>339</v>
      </c>
      <c r="P571" t="s">
        <v>1212</v>
      </c>
      <c r="Q571" s="131">
        <v>218073</v>
      </c>
      <c r="R571" s="131">
        <v>1</v>
      </c>
      <c r="S571" s="131">
        <v>954</v>
      </c>
      <c r="U571" s="131">
        <v>2080.4160000000002</v>
      </c>
      <c r="V571" s="132">
        <v>2.9E-4</v>
      </c>
      <c r="W571" s="132">
        <f t="shared" si="8"/>
        <v>2.1953713506564769E-2</v>
      </c>
      <c r="X571" s="132">
        <v>5.4368820661389898E-3</v>
      </c>
    </row>
    <row r="572" spans="1:24">
      <c r="A572" t="s">
        <v>1213</v>
      </c>
      <c r="B572" s="4">
        <v>58</v>
      </c>
      <c r="C572" t="s">
        <v>3415</v>
      </c>
      <c r="D572" t="s">
        <v>3416</v>
      </c>
      <c r="E572" t="s">
        <v>309</v>
      </c>
      <c r="F572" t="s">
        <v>3415</v>
      </c>
      <c r="G572" t="s">
        <v>3417</v>
      </c>
      <c r="H572" t="s">
        <v>321</v>
      </c>
      <c r="I572" t="s">
        <v>917</v>
      </c>
      <c r="J572" t="s">
        <v>204</v>
      </c>
      <c r="K572" t="s">
        <v>204</v>
      </c>
      <c r="L572" t="s">
        <v>325</v>
      </c>
      <c r="M572" t="s">
        <v>340</v>
      </c>
      <c r="N572" t="s">
        <v>458</v>
      </c>
      <c r="O572" t="s">
        <v>339</v>
      </c>
      <c r="P572" t="s">
        <v>1212</v>
      </c>
      <c r="Q572" s="131">
        <v>2534</v>
      </c>
      <c r="R572" s="131">
        <v>1</v>
      </c>
      <c r="S572" s="131">
        <v>77890</v>
      </c>
      <c r="U572" s="131">
        <v>1973.7329999999999</v>
      </c>
      <c r="V572" s="132">
        <v>9.0000000000000006E-5</v>
      </c>
      <c r="W572" s="132">
        <f t="shared" si="8"/>
        <v>2.0827934807486865E-2</v>
      </c>
      <c r="X572" s="132">
        <v>5.1580806680234653E-3</v>
      </c>
    </row>
    <row r="573" spans="1:24">
      <c r="A573" t="s">
        <v>1213</v>
      </c>
      <c r="B573" s="4">
        <v>58</v>
      </c>
      <c r="C573" t="s">
        <v>3427</v>
      </c>
      <c r="D573" t="s">
        <v>3428</v>
      </c>
      <c r="E573" t="s">
        <v>309</v>
      </c>
      <c r="F573" t="s">
        <v>3427</v>
      </c>
      <c r="G573" t="s">
        <v>3429</v>
      </c>
      <c r="H573" t="s">
        <v>321</v>
      </c>
      <c r="I573" t="s">
        <v>917</v>
      </c>
      <c r="J573" t="s">
        <v>204</v>
      </c>
      <c r="K573" t="s">
        <v>204</v>
      </c>
      <c r="L573" t="s">
        <v>325</v>
      </c>
      <c r="M573" t="s">
        <v>340</v>
      </c>
      <c r="N573" t="s">
        <v>439</v>
      </c>
      <c r="O573" t="s">
        <v>339</v>
      </c>
      <c r="P573" t="s">
        <v>1212</v>
      </c>
      <c r="Q573" s="131">
        <v>48446</v>
      </c>
      <c r="R573" s="131">
        <v>1</v>
      </c>
      <c r="S573" s="131">
        <v>3950</v>
      </c>
      <c r="U573" s="131">
        <v>1913.617</v>
      </c>
      <c r="V573" s="132">
        <v>5.9999999999999995E-4</v>
      </c>
      <c r="W573" s="132">
        <f t="shared" si="8"/>
        <v>2.0193557144000021E-2</v>
      </c>
      <c r="X573" s="132">
        <v>5.0009757417548671E-3</v>
      </c>
    </row>
    <row r="574" spans="1:24">
      <c r="A574" t="s">
        <v>1213</v>
      </c>
      <c r="B574" s="4">
        <v>58</v>
      </c>
      <c r="C574" t="s">
        <v>2348</v>
      </c>
      <c r="D574" t="s">
        <v>2349</v>
      </c>
      <c r="E574" t="s">
        <v>309</v>
      </c>
      <c r="F574" t="s">
        <v>2348</v>
      </c>
      <c r="G574" t="s">
        <v>3446</v>
      </c>
      <c r="H574" t="s">
        <v>321</v>
      </c>
      <c r="I574" t="s">
        <v>917</v>
      </c>
      <c r="J574" t="s">
        <v>204</v>
      </c>
      <c r="K574" t="s">
        <v>204</v>
      </c>
      <c r="L574" t="s">
        <v>325</v>
      </c>
      <c r="M574" t="s">
        <v>340</v>
      </c>
      <c r="N574" t="s">
        <v>456</v>
      </c>
      <c r="O574" t="s">
        <v>339</v>
      </c>
      <c r="P574" t="s">
        <v>1212</v>
      </c>
      <c r="Q574" s="131">
        <v>108661</v>
      </c>
      <c r="R574" s="131">
        <v>1</v>
      </c>
      <c r="S574" s="131">
        <v>1588</v>
      </c>
      <c r="U574" s="131">
        <v>1725.537</v>
      </c>
      <c r="V574" s="132">
        <v>8.0000000000000007E-5</v>
      </c>
      <c r="W574" s="132">
        <f t="shared" si="8"/>
        <v>1.8208831763924738E-2</v>
      </c>
      <c r="X574" s="132">
        <v>4.5094544407268903E-3</v>
      </c>
    </row>
    <row r="575" spans="1:24">
      <c r="A575" t="s">
        <v>1213</v>
      </c>
      <c r="B575" s="4">
        <v>58</v>
      </c>
      <c r="C575" t="s">
        <v>2343</v>
      </c>
      <c r="D575" t="s">
        <v>2344</v>
      </c>
      <c r="E575" t="s">
        <v>309</v>
      </c>
      <c r="F575" t="s">
        <v>3619</v>
      </c>
      <c r="G575" t="s">
        <v>3620</v>
      </c>
      <c r="H575" t="s">
        <v>321</v>
      </c>
      <c r="I575" t="s">
        <v>917</v>
      </c>
      <c r="J575" t="s">
        <v>204</v>
      </c>
      <c r="K575" t="s">
        <v>204</v>
      </c>
      <c r="L575" t="s">
        <v>325</v>
      </c>
      <c r="M575" t="s">
        <v>340</v>
      </c>
      <c r="N575" t="s">
        <v>476</v>
      </c>
      <c r="O575" t="s">
        <v>339</v>
      </c>
      <c r="P575" t="s">
        <v>1212</v>
      </c>
      <c r="Q575" s="131">
        <v>5374</v>
      </c>
      <c r="R575" s="131">
        <v>1</v>
      </c>
      <c r="S575" s="131">
        <v>29830</v>
      </c>
      <c r="U575" s="131">
        <v>1603.0640000000001</v>
      </c>
      <c r="V575" s="132">
        <v>3.4000000000000002E-4</v>
      </c>
      <c r="W575" s="132">
        <f t="shared" si="8"/>
        <v>1.6916428151238859E-2</v>
      </c>
      <c r="X575" s="132">
        <v>4.1893880418498192E-3</v>
      </c>
    </row>
    <row r="576" spans="1:24">
      <c r="A576" t="s">
        <v>1213</v>
      </c>
      <c r="B576" s="4">
        <v>58</v>
      </c>
      <c r="C576" t="s">
        <v>1634</v>
      </c>
      <c r="D576" t="s">
        <v>1635</v>
      </c>
      <c r="E576" t="s">
        <v>309</v>
      </c>
      <c r="F576" t="s">
        <v>3437</v>
      </c>
      <c r="G576" t="s">
        <v>3438</v>
      </c>
      <c r="H576" t="s">
        <v>321</v>
      </c>
      <c r="I576" t="s">
        <v>917</v>
      </c>
      <c r="J576" t="s">
        <v>204</v>
      </c>
      <c r="K576" t="s">
        <v>204</v>
      </c>
      <c r="L576" t="s">
        <v>325</v>
      </c>
      <c r="M576" t="s">
        <v>340</v>
      </c>
      <c r="N576" t="s">
        <v>454</v>
      </c>
      <c r="O576" t="s">
        <v>339</v>
      </c>
      <c r="P576" t="s">
        <v>1212</v>
      </c>
      <c r="Q576" s="131">
        <v>30275</v>
      </c>
      <c r="R576" s="131">
        <v>1</v>
      </c>
      <c r="S576" s="131">
        <v>5205</v>
      </c>
      <c r="U576" s="131">
        <v>1575.8140000000001</v>
      </c>
      <c r="V576" s="132">
        <v>2.9999999999999997E-4</v>
      </c>
      <c r="W576" s="132">
        <f t="shared" si="8"/>
        <v>1.6628870906411915E-2</v>
      </c>
      <c r="X576" s="132">
        <v>4.1181739018401825E-3</v>
      </c>
    </row>
    <row r="577" spans="1:24">
      <c r="A577" t="s">
        <v>1213</v>
      </c>
      <c r="B577" s="4">
        <v>58</v>
      </c>
      <c r="C577" t="s">
        <v>3113</v>
      </c>
      <c r="D577" t="s">
        <v>3114</v>
      </c>
      <c r="E577" t="s">
        <v>309</v>
      </c>
      <c r="F577" t="s">
        <v>3113</v>
      </c>
      <c r="G577" t="s">
        <v>3413</v>
      </c>
      <c r="H577" t="s">
        <v>321</v>
      </c>
      <c r="I577" t="s">
        <v>917</v>
      </c>
      <c r="J577" t="s">
        <v>204</v>
      </c>
      <c r="K577" t="s">
        <v>204</v>
      </c>
      <c r="L577" t="s">
        <v>325</v>
      </c>
      <c r="M577" t="s">
        <v>340</v>
      </c>
      <c r="N577" t="s">
        <v>448</v>
      </c>
      <c r="O577" t="s">
        <v>339</v>
      </c>
      <c r="P577" t="s">
        <v>1212</v>
      </c>
      <c r="Q577" s="131">
        <v>75482</v>
      </c>
      <c r="R577" s="131">
        <v>1</v>
      </c>
      <c r="S577" s="131">
        <v>2085</v>
      </c>
      <c r="U577" s="131">
        <v>1573.8</v>
      </c>
      <c r="V577" s="132">
        <v>6.0000000000000002E-5</v>
      </c>
      <c r="W577" s="132">
        <f t="shared" si="8"/>
        <v>1.6607618051693328E-2</v>
      </c>
      <c r="X577" s="132">
        <v>4.11291058888681E-3</v>
      </c>
    </row>
    <row r="578" spans="1:24">
      <c r="A578" t="s">
        <v>1213</v>
      </c>
      <c r="B578" s="4">
        <v>58</v>
      </c>
      <c r="C578" t="s">
        <v>3831</v>
      </c>
      <c r="D578" t="s">
        <v>3832</v>
      </c>
      <c r="E578" t="s">
        <v>309</v>
      </c>
      <c r="F578" t="s">
        <v>3831</v>
      </c>
      <c r="G578" t="s">
        <v>3833</v>
      </c>
      <c r="H578" t="s">
        <v>321</v>
      </c>
      <c r="I578" t="s">
        <v>917</v>
      </c>
      <c r="J578" t="s">
        <v>204</v>
      </c>
      <c r="K578" t="s">
        <v>204</v>
      </c>
      <c r="L578" t="s">
        <v>325</v>
      </c>
      <c r="M578" t="s">
        <v>340</v>
      </c>
      <c r="N578" t="s">
        <v>478</v>
      </c>
      <c r="O578" t="s">
        <v>339</v>
      </c>
      <c r="P578" t="s">
        <v>1212</v>
      </c>
      <c r="Q578" s="131">
        <v>42412</v>
      </c>
      <c r="R578" s="131">
        <v>1</v>
      </c>
      <c r="S578" s="131">
        <v>3520</v>
      </c>
      <c r="U578" s="131">
        <v>1492.902</v>
      </c>
      <c r="V578" s="132">
        <v>4.0999999999999999E-4</v>
      </c>
      <c r="W578" s="132">
        <f t="shared" si="8"/>
        <v>1.5753937097858099E-2</v>
      </c>
      <c r="X578" s="132">
        <v>3.9014947540794869E-3</v>
      </c>
    </row>
    <row r="579" spans="1:24">
      <c r="A579" t="s">
        <v>1213</v>
      </c>
      <c r="B579" s="4">
        <v>58</v>
      </c>
      <c r="C579" t="s">
        <v>3451</v>
      </c>
      <c r="D579" t="s">
        <v>3452</v>
      </c>
      <c r="E579" t="s">
        <v>309</v>
      </c>
      <c r="F579" t="s">
        <v>3453</v>
      </c>
      <c r="G579" t="s">
        <v>3454</v>
      </c>
      <c r="H579" t="s">
        <v>321</v>
      </c>
      <c r="I579" t="s">
        <v>917</v>
      </c>
      <c r="J579" t="s">
        <v>204</v>
      </c>
      <c r="K579" t="s">
        <v>204</v>
      </c>
      <c r="L579" t="s">
        <v>325</v>
      </c>
      <c r="M579" t="s">
        <v>340</v>
      </c>
      <c r="N579" t="s">
        <v>448</v>
      </c>
      <c r="O579" t="s">
        <v>339</v>
      </c>
      <c r="P579" t="s">
        <v>1212</v>
      </c>
      <c r="Q579" s="131">
        <v>8460</v>
      </c>
      <c r="R579" s="131">
        <v>1</v>
      </c>
      <c r="S579" s="131">
        <v>15410</v>
      </c>
      <c r="U579" s="131">
        <v>1303.6859999999999</v>
      </c>
      <c r="V579" s="132">
        <v>8.0000000000000007E-5</v>
      </c>
      <c r="W579" s="132">
        <f t="shared" ref="W579:W642" si="9">U579/SUMIF(B:B,B579,U:U)</f>
        <v>1.3757224010255349E-2</v>
      </c>
      <c r="X579" s="132">
        <v>3.4070046727560613E-3</v>
      </c>
    </row>
    <row r="580" spans="1:24">
      <c r="A580" t="s">
        <v>1213</v>
      </c>
      <c r="B580" s="4">
        <v>58</v>
      </c>
      <c r="C580" t="s">
        <v>3125</v>
      </c>
      <c r="D580" t="s">
        <v>3126</v>
      </c>
      <c r="E580" t="s">
        <v>309</v>
      </c>
      <c r="F580" t="s">
        <v>3125</v>
      </c>
      <c r="G580" t="s">
        <v>3489</v>
      </c>
      <c r="H580" t="s">
        <v>321</v>
      </c>
      <c r="I580" t="s">
        <v>917</v>
      </c>
      <c r="J580" t="s">
        <v>204</v>
      </c>
      <c r="K580" t="s">
        <v>204</v>
      </c>
      <c r="L580" t="s">
        <v>325</v>
      </c>
      <c r="M580" t="s">
        <v>340</v>
      </c>
      <c r="N580" t="s">
        <v>441</v>
      </c>
      <c r="O580" t="s">
        <v>339</v>
      </c>
      <c r="P580" t="s">
        <v>1212</v>
      </c>
      <c r="Q580" s="131">
        <v>4263</v>
      </c>
      <c r="R580" s="131">
        <v>1</v>
      </c>
      <c r="S580" s="131">
        <v>28560</v>
      </c>
      <c r="U580" s="131">
        <v>1217.5129999999999</v>
      </c>
      <c r="V580" s="132">
        <v>8.0000000000000007E-5</v>
      </c>
      <c r="W580" s="132">
        <f t="shared" si="9"/>
        <v>1.2847878305357288E-2</v>
      </c>
      <c r="X580" s="132">
        <v>3.1818033484606345E-3</v>
      </c>
    </row>
    <row r="581" spans="1:24">
      <c r="A581" t="s">
        <v>1213</v>
      </c>
      <c r="B581" s="4">
        <v>58</v>
      </c>
      <c r="C581" t="s">
        <v>2566</v>
      </c>
      <c r="D581" t="s">
        <v>2567</v>
      </c>
      <c r="E581" t="s">
        <v>309</v>
      </c>
      <c r="F581" t="s">
        <v>2566</v>
      </c>
      <c r="G581" t="s">
        <v>3511</v>
      </c>
      <c r="H581" t="s">
        <v>321</v>
      </c>
      <c r="I581" t="s">
        <v>917</v>
      </c>
      <c r="J581" t="s">
        <v>204</v>
      </c>
      <c r="K581" t="s">
        <v>204</v>
      </c>
      <c r="L581" t="s">
        <v>325</v>
      </c>
      <c r="M581" t="s">
        <v>340</v>
      </c>
      <c r="N581" t="s">
        <v>476</v>
      </c>
      <c r="O581" t="s">
        <v>339</v>
      </c>
      <c r="P581" t="s">
        <v>1212</v>
      </c>
      <c r="Q581" s="131">
        <v>16355</v>
      </c>
      <c r="R581" s="131">
        <v>1</v>
      </c>
      <c r="S581" s="131">
        <v>7125</v>
      </c>
      <c r="T581" s="131">
        <v>13.411</v>
      </c>
      <c r="U581" s="131">
        <v>1178.7049999999999</v>
      </c>
      <c r="V581" s="132">
        <v>2.5000000000000001E-4</v>
      </c>
      <c r="W581" s="132">
        <f t="shared" si="9"/>
        <v>1.2438354578485947E-2</v>
      </c>
      <c r="X581" s="132">
        <v>3.0803839596351677E-3</v>
      </c>
    </row>
    <row r="582" spans="1:24">
      <c r="A582" t="s">
        <v>1213</v>
      </c>
      <c r="B582" s="4">
        <v>58</v>
      </c>
      <c r="C582" t="s">
        <v>2576</v>
      </c>
      <c r="D582" t="s">
        <v>2577</v>
      </c>
      <c r="E582" t="s">
        <v>309</v>
      </c>
      <c r="F582" t="s">
        <v>2576</v>
      </c>
      <c r="G582" t="s">
        <v>3621</v>
      </c>
      <c r="H582" t="s">
        <v>321</v>
      </c>
      <c r="I582" t="s">
        <v>917</v>
      </c>
      <c r="J582" t="s">
        <v>204</v>
      </c>
      <c r="K582" t="s">
        <v>204</v>
      </c>
      <c r="L582" t="s">
        <v>325</v>
      </c>
      <c r="M582" t="s">
        <v>340</v>
      </c>
      <c r="N582" t="s">
        <v>451</v>
      </c>
      <c r="O582" t="s">
        <v>339</v>
      </c>
      <c r="P582" t="s">
        <v>1212</v>
      </c>
      <c r="Q582" s="131">
        <v>1405</v>
      </c>
      <c r="R582" s="131">
        <v>1</v>
      </c>
      <c r="S582" s="131">
        <v>81100</v>
      </c>
      <c r="U582" s="131">
        <v>1139.4549999999999</v>
      </c>
      <c r="V582" s="132">
        <v>1.8000000000000001E-4</v>
      </c>
      <c r="W582" s="132">
        <f t="shared" si="9"/>
        <v>1.2024166620340717E-2</v>
      </c>
      <c r="X582" s="132">
        <v>2.97780946439193E-3</v>
      </c>
    </row>
    <row r="583" spans="1:24">
      <c r="A583" t="s">
        <v>1213</v>
      </c>
      <c r="B583" s="4">
        <v>58</v>
      </c>
      <c r="C583" t="s">
        <v>3834</v>
      </c>
      <c r="D583" t="s">
        <v>3835</v>
      </c>
      <c r="E583" t="s">
        <v>309</v>
      </c>
      <c r="F583" t="s">
        <v>3834</v>
      </c>
      <c r="G583" t="s">
        <v>3836</v>
      </c>
      <c r="H583" t="s">
        <v>321</v>
      </c>
      <c r="I583" t="s">
        <v>917</v>
      </c>
      <c r="J583" t="s">
        <v>204</v>
      </c>
      <c r="K583" t="s">
        <v>204</v>
      </c>
      <c r="L583" t="s">
        <v>325</v>
      </c>
      <c r="M583" t="s">
        <v>340</v>
      </c>
      <c r="N583" t="s">
        <v>448</v>
      </c>
      <c r="O583" t="s">
        <v>339</v>
      </c>
      <c r="P583" t="s">
        <v>1212</v>
      </c>
      <c r="Q583" s="131">
        <v>6638</v>
      </c>
      <c r="R583" s="131">
        <v>1</v>
      </c>
      <c r="S583" s="131">
        <v>16370</v>
      </c>
      <c r="U583" s="131">
        <v>1086.6410000000001</v>
      </c>
      <c r="V583" s="132">
        <v>1.9000000000000001E-4</v>
      </c>
      <c r="W583" s="132">
        <f t="shared" si="9"/>
        <v>1.1466843745908051E-2</v>
      </c>
      <c r="X583" s="132">
        <v>2.8397873142829788E-3</v>
      </c>
    </row>
    <row r="584" spans="1:24">
      <c r="A584" t="s">
        <v>1213</v>
      </c>
      <c r="B584" s="4">
        <v>58</v>
      </c>
      <c r="C584" t="s">
        <v>3837</v>
      </c>
      <c r="D584" t="s">
        <v>3838</v>
      </c>
      <c r="E584" t="s">
        <v>309</v>
      </c>
      <c r="F584" t="s">
        <v>3837</v>
      </c>
      <c r="G584" t="s">
        <v>3839</v>
      </c>
      <c r="H584" t="s">
        <v>321</v>
      </c>
      <c r="I584" t="s">
        <v>917</v>
      </c>
      <c r="J584" t="s">
        <v>204</v>
      </c>
      <c r="K584" t="s">
        <v>204</v>
      </c>
      <c r="L584" t="s">
        <v>325</v>
      </c>
      <c r="M584" t="s">
        <v>340</v>
      </c>
      <c r="N584" t="s">
        <v>445</v>
      </c>
      <c r="O584" t="s">
        <v>339</v>
      </c>
      <c r="P584" t="s">
        <v>1212</v>
      </c>
      <c r="Q584" s="131">
        <v>8518</v>
      </c>
      <c r="R584" s="131">
        <v>1</v>
      </c>
      <c r="S584" s="131">
        <v>12010</v>
      </c>
      <c r="U584" s="131">
        <v>1023.0119999999999</v>
      </c>
      <c r="V584" s="132">
        <v>5.8E-4</v>
      </c>
      <c r="W584" s="132">
        <f t="shared" si="9"/>
        <v>1.0795394941097278E-2</v>
      </c>
      <c r="X584" s="132">
        <v>2.6735016440197438E-3</v>
      </c>
    </row>
    <row r="585" spans="1:24">
      <c r="A585" t="s">
        <v>1213</v>
      </c>
      <c r="B585" s="4">
        <v>58</v>
      </c>
      <c r="C585" t="s">
        <v>2238</v>
      </c>
      <c r="D585" t="s">
        <v>2239</v>
      </c>
      <c r="E585" t="s">
        <v>309</v>
      </c>
      <c r="F585" t="s">
        <v>2238</v>
      </c>
      <c r="G585" t="s">
        <v>3785</v>
      </c>
      <c r="H585" t="s">
        <v>321</v>
      </c>
      <c r="I585" t="s">
        <v>917</v>
      </c>
      <c r="J585" t="s">
        <v>204</v>
      </c>
      <c r="K585" t="s">
        <v>204</v>
      </c>
      <c r="L585" t="s">
        <v>325</v>
      </c>
      <c r="M585" t="s">
        <v>340</v>
      </c>
      <c r="N585" t="s">
        <v>447</v>
      </c>
      <c r="O585" t="s">
        <v>339</v>
      </c>
      <c r="P585" t="s">
        <v>1212</v>
      </c>
      <c r="Q585" s="131">
        <v>2725</v>
      </c>
      <c r="R585" s="131">
        <v>1</v>
      </c>
      <c r="S585" s="131">
        <v>33200</v>
      </c>
      <c r="U585" s="131">
        <v>904.7</v>
      </c>
      <c r="V585" s="132">
        <v>1.3999999999999999E-4</v>
      </c>
      <c r="W585" s="132">
        <f t="shared" si="9"/>
        <v>9.5469005282545153E-3</v>
      </c>
      <c r="X585" s="132">
        <v>2.3643094483199244E-3</v>
      </c>
    </row>
    <row r="586" spans="1:24">
      <c r="A586" t="s">
        <v>1213</v>
      </c>
      <c r="B586" s="4">
        <v>58</v>
      </c>
      <c r="C586" t="s">
        <v>1674</v>
      </c>
      <c r="D586" t="s">
        <v>1675</v>
      </c>
      <c r="E586" t="s">
        <v>309</v>
      </c>
      <c r="F586" t="s">
        <v>1674</v>
      </c>
      <c r="G586" t="s">
        <v>3464</v>
      </c>
      <c r="H586" t="s">
        <v>321</v>
      </c>
      <c r="I586" t="s">
        <v>917</v>
      </c>
      <c r="J586" t="s">
        <v>204</v>
      </c>
      <c r="K586" t="s">
        <v>204</v>
      </c>
      <c r="L586" t="s">
        <v>325</v>
      </c>
      <c r="M586" t="s">
        <v>340</v>
      </c>
      <c r="N586" t="s">
        <v>464</v>
      </c>
      <c r="O586" t="s">
        <v>339</v>
      </c>
      <c r="P586" t="s">
        <v>1212</v>
      </c>
      <c r="Q586" s="131">
        <v>2091</v>
      </c>
      <c r="R586" s="131">
        <v>1</v>
      </c>
      <c r="S586" s="131">
        <v>41490</v>
      </c>
      <c r="U586" s="131">
        <v>867.55600000000004</v>
      </c>
      <c r="V586" s="132">
        <v>8.0000000000000007E-5</v>
      </c>
      <c r="W586" s="132">
        <f t="shared" si="9"/>
        <v>9.1549362602966443E-3</v>
      </c>
      <c r="X586" s="132">
        <v>2.2672386954201841E-3</v>
      </c>
    </row>
    <row r="587" spans="1:24">
      <c r="A587" t="s">
        <v>1213</v>
      </c>
      <c r="B587" s="4">
        <v>58</v>
      </c>
      <c r="C587" t="s">
        <v>2404</v>
      </c>
      <c r="D587" t="s">
        <v>2405</v>
      </c>
      <c r="E587" t="s">
        <v>309</v>
      </c>
      <c r="F587" t="s">
        <v>2404</v>
      </c>
      <c r="G587" t="s">
        <v>3418</v>
      </c>
      <c r="H587" t="s">
        <v>321</v>
      </c>
      <c r="I587" t="s">
        <v>917</v>
      </c>
      <c r="J587" t="s">
        <v>204</v>
      </c>
      <c r="K587" t="s">
        <v>204</v>
      </c>
      <c r="L587" t="s">
        <v>325</v>
      </c>
      <c r="M587" t="s">
        <v>340</v>
      </c>
      <c r="N587" t="s">
        <v>440</v>
      </c>
      <c r="O587" t="s">
        <v>339</v>
      </c>
      <c r="P587" t="s">
        <v>1212</v>
      </c>
      <c r="Q587" s="131">
        <v>28457</v>
      </c>
      <c r="R587" s="131">
        <v>1</v>
      </c>
      <c r="S587" s="131">
        <v>3016</v>
      </c>
      <c r="U587" s="131">
        <v>858.26300000000003</v>
      </c>
      <c r="V587" s="132">
        <v>1.1E-4</v>
      </c>
      <c r="W587" s="132">
        <f t="shared" si="9"/>
        <v>9.0568713253910745E-3</v>
      </c>
      <c r="X587" s="132">
        <v>2.242952713654696E-3</v>
      </c>
    </row>
    <row r="588" spans="1:24">
      <c r="A588" t="s">
        <v>1213</v>
      </c>
      <c r="B588" s="4">
        <v>58</v>
      </c>
      <c r="C588" t="s">
        <v>3683</v>
      </c>
      <c r="D588" t="s">
        <v>3684</v>
      </c>
      <c r="E588" t="s">
        <v>309</v>
      </c>
      <c r="F588" t="s">
        <v>3683</v>
      </c>
      <c r="G588" t="s">
        <v>3685</v>
      </c>
      <c r="H588" t="s">
        <v>321</v>
      </c>
      <c r="I588" t="s">
        <v>917</v>
      </c>
      <c r="J588" t="s">
        <v>204</v>
      </c>
      <c r="K588" t="s">
        <v>204</v>
      </c>
      <c r="L588" t="s">
        <v>325</v>
      </c>
      <c r="M588" t="s">
        <v>340</v>
      </c>
      <c r="N588" t="s">
        <v>451</v>
      </c>
      <c r="O588" t="s">
        <v>339</v>
      </c>
      <c r="P588" t="s">
        <v>1212</v>
      </c>
      <c r="Q588" s="131">
        <v>159215</v>
      </c>
      <c r="R588" s="131">
        <v>1</v>
      </c>
      <c r="S588" s="131">
        <v>512</v>
      </c>
      <c r="U588" s="131">
        <v>815.18100000000004</v>
      </c>
      <c r="V588" s="132">
        <v>8.4999999999999995E-4</v>
      </c>
      <c r="W588" s="132">
        <f t="shared" si="9"/>
        <v>8.6022459594595375E-3</v>
      </c>
      <c r="X588" s="132">
        <v>2.1303638116401949E-3</v>
      </c>
    </row>
    <row r="589" spans="1:24">
      <c r="A589" t="s">
        <v>1213</v>
      </c>
      <c r="B589" s="4">
        <v>58</v>
      </c>
      <c r="C589" t="s">
        <v>2203</v>
      </c>
      <c r="D589" t="s">
        <v>2204</v>
      </c>
      <c r="E589" t="s">
        <v>309</v>
      </c>
      <c r="F589" t="s">
        <v>3606</v>
      </c>
      <c r="G589" t="s">
        <v>3607</v>
      </c>
      <c r="H589" t="s">
        <v>321</v>
      </c>
      <c r="I589" t="s">
        <v>917</v>
      </c>
      <c r="J589" t="s">
        <v>204</v>
      </c>
      <c r="K589" t="s">
        <v>204</v>
      </c>
      <c r="L589" t="s">
        <v>325</v>
      </c>
      <c r="M589" t="s">
        <v>340</v>
      </c>
      <c r="N589" t="s">
        <v>459</v>
      </c>
      <c r="O589" t="s">
        <v>339</v>
      </c>
      <c r="P589" t="s">
        <v>1212</v>
      </c>
      <c r="Q589" s="131">
        <v>12535</v>
      </c>
      <c r="R589" s="131">
        <v>1</v>
      </c>
      <c r="S589" s="131">
        <v>5930</v>
      </c>
      <c r="U589" s="131">
        <v>743.32600000000002</v>
      </c>
      <c r="V589" s="132">
        <v>1.1E-4</v>
      </c>
      <c r="W589" s="132">
        <f t="shared" si="9"/>
        <v>7.8439918006690795E-3</v>
      </c>
      <c r="X589" s="132">
        <v>1.9425806178643265E-3</v>
      </c>
    </row>
    <row r="590" spans="1:24">
      <c r="A590" t="s">
        <v>1213</v>
      </c>
      <c r="B590" s="4">
        <v>58</v>
      </c>
      <c r="C590" t="s">
        <v>2195</v>
      </c>
      <c r="D590" t="s">
        <v>2196</v>
      </c>
      <c r="E590" t="s">
        <v>309</v>
      </c>
      <c r="F590" t="s">
        <v>3610</v>
      </c>
      <c r="G590" t="s">
        <v>3611</v>
      </c>
      <c r="H590" t="s">
        <v>321</v>
      </c>
      <c r="I590" t="s">
        <v>917</v>
      </c>
      <c r="J590" t="s">
        <v>204</v>
      </c>
      <c r="K590" t="s">
        <v>204</v>
      </c>
      <c r="L590" t="s">
        <v>325</v>
      </c>
      <c r="M590" t="s">
        <v>340</v>
      </c>
      <c r="N590" t="s">
        <v>445</v>
      </c>
      <c r="O590" t="s">
        <v>339</v>
      </c>
      <c r="P590" t="s">
        <v>1212</v>
      </c>
      <c r="Q590" s="131">
        <v>20463</v>
      </c>
      <c r="R590" s="131">
        <v>1</v>
      </c>
      <c r="S590" s="131">
        <v>3619</v>
      </c>
      <c r="U590" s="131">
        <v>740.55600000000004</v>
      </c>
      <c r="V590" s="132">
        <v>9.0000000000000006E-5</v>
      </c>
      <c r="W590" s="132">
        <f t="shared" si="9"/>
        <v>7.8147612110114409E-3</v>
      </c>
      <c r="X590" s="132">
        <v>1.9353416025312369E-3</v>
      </c>
    </row>
    <row r="591" spans="1:24">
      <c r="A591" t="s">
        <v>1213</v>
      </c>
      <c r="B591" s="4">
        <v>58</v>
      </c>
      <c r="C591" t="s">
        <v>2128</v>
      </c>
      <c r="D591" t="s">
        <v>2129</v>
      </c>
      <c r="E591" t="s">
        <v>309</v>
      </c>
      <c r="F591" t="s">
        <v>3419</v>
      </c>
      <c r="G591" t="s">
        <v>3420</v>
      </c>
      <c r="H591" t="s">
        <v>321</v>
      </c>
      <c r="I591" t="s">
        <v>917</v>
      </c>
      <c r="J591" t="s">
        <v>204</v>
      </c>
      <c r="K591" t="s">
        <v>204</v>
      </c>
      <c r="L591" t="s">
        <v>325</v>
      </c>
      <c r="M591" t="s">
        <v>340</v>
      </c>
      <c r="N591" t="s">
        <v>445</v>
      </c>
      <c r="O591" t="s">
        <v>339</v>
      </c>
      <c r="P591" t="s">
        <v>1212</v>
      </c>
      <c r="Q591" s="131">
        <v>17536</v>
      </c>
      <c r="R591" s="131">
        <v>1</v>
      </c>
      <c r="S591" s="131">
        <v>4200</v>
      </c>
      <c r="U591" s="131">
        <v>736.51199999999994</v>
      </c>
      <c r="V591" s="132">
        <v>6.9999999999999994E-5</v>
      </c>
      <c r="W591" s="132">
        <f t="shared" si="9"/>
        <v>7.7720866606231769E-3</v>
      </c>
      <c r="X591" s="132">
        <v>1.924773162817513E-3</v>
      </c>
    </row>
    <row r="592" spans="1:24">
      <c r="A592" t="s">
        <v>1213</v>
      </c>
      <c r="B592" s="4">
        <v>58</v>
      </c>
      <c r="C592" t="s">
        <v>1893</v>
      </c>
      <c r="D592" t="s">
        <v>1894</v>
      </c>
      <c r="E592" t="s">
        <v>309</v>
      </c>
      <c r="F592" t="s">
        <v>1893</v>
      </c>
      <c r="G592" t="s">
        <v>3599</v>
      </c>
      <c r="H592" t="s">
        <v>321</v>
      </c>
      <c r="I592" t="s">
        <v>917</v>
      </c>
      <c r="J592" t="s">
        <v>204</v>
      </c>
      <c r="K592" t="s">
        <v>204</v>
      </c>
      <c r="L592" t="s">
        <v>325</v>
      </c>
      <c r="M592" t="s">
        <v>340</v>
      </c>
      <c r="N592" t="s">
        <v>464</v>
      </c>
      <c r="O592" t="s">
        <v>339</v>
      </c>
      <c r="P592" t="s">
        <v>1212</v>
      </c>
      <c r="Q592" s="131">
        <v>7704</v>
      </c>
      <c r="R592" s="131">
        <v>1</v>
      </c>
      <c r="S592" s="131">
        <v>9550</v>
      </c>
      <c r="U592" s="131">
        <v>735.73199999999997</v>
      </c>
      <c r="V592" s="132">
        <v>2.1000000000000001E-4</v>
      </c>
      <c r="W592" s="132">
        <f t="shared" si="9"/>
        <v>7.7638556642574894E-3</v>
      </c>
      <c r="X592" s="132">
        <v>1.922734739727329E-3</v>
      </c>
    </row>
    <row r="593" spans="1:24">
      <c r="A593" t="s">
        <v>1213</v>
      </c>
      <c r="B593" s="4">
        <v>58</v>
      </c>
      <c r="C593" t="s">
        <v>2866</v>
      </c>
      <c r="D593" t="s">
        <v>2867</v>
      </c>
      <c r="E593" t="s">
        <v>309</v>
      </c>
      <c r="F593" t="s">
        <v>2866</v>
      </c>
      <c r="G593" t="s">
        <v>3663</v>
      </c>
      <c r="H593" t="s">
        <v>321</v>
      </c>
      <c r="I593" t="s">
        <v>917</v>
      </c>
      <c r="J593" t="s">
        <v>204</v>
      </c>
      <c r="K593" t="s">
        <v>204</v>
      </c>
      <c r="L593" t="s">
        <v>325</v>
      </c>
      <c r="M593" t="s">
        <v>340</v>
      </c>
      <c r="N593" t="s">
        <v>464</v>
      </c>
      <c r="O593" t="s">
        <v>339</v>
      </c>
      <c r="P593" t="s">
        <v>1212</v>
      </c>
      <c r="Q593" s="131">
        <v>174437.3</v>
      </c>
      <c r="R593" s="131">
        <v>1</v>
      </c>
      <c r="S593" s="131">
        <v>399.6</v>
      </c>
      <c r="U593" s="131">
        <v>697.05100000000004</v>
      </c>
      <c r="V593" s="132">
        <v>1.1900000000000001E-3</v>
      </c>
      <c r="W593" s="132">
        <f t="shared" si="9"/>
        <v>7.3556721124354348E-3</v>
      </c>
      <c r="X593" s="132">
        <v>1.8216472479947515E-3</v>
      </c>
    </row>
    <row r="594" spans="1:24">
      <c r="A594" t="s">
        <v>1213</v>
      </c>
      <c r="B594" s="4">
        <v>58</v>
      </c>
      <c r="C594" t="s">
        <v>1624</v>
      </c>
      <c r="D594" t="s">
        <v>1625</v>
      </c>
      <c r="E594" t="s">
        <v>309</v>
      </c>
      <c r="F594" t="s">
        <v>1624</v>
      </c>
      <c r="G594" t="s">
        <v>3505</v>
      </c>
      <c r="H594" t="s">
        <v>321</v>
      </c>
      <c r="I594" t="s">
        <v>917</v>
      </c>
      <c r="J594" t="s">
        <v>204</v>
      </c>
      <c r="K594" t="s">
        <v>204</v>
      </c>
      <c r="L594" t="s">
        <v>325</v>
      </c>
      <c r="M594" t="s">
        <v>340</v>
      </c>
      <c r="N594" t="s">
        <v>447</v>
      </c>
      <c r="O594" t="s">
        <v>339</v>
      </c>
      <c r="P594" t="s">
        <v>1212</v>
      </c>
      <c r="Q594" s="131">
        <v>34045</v>
      </c>
      <c r="R594" s="131">
        <v>1</v>
      </c>
      <c r="S594" s="131">
        <v>1740</v>
      </c>
      <c r="U594" s="131">
        <v>592.38300000000004</v>
      </c>
      <c r="V594" s="132">
        <v>1.2E-4</v>
      </c>
      <c r="W594" s="132">
        <f t="shared" si="9"/>
        <v>6.2511568206355637E-3</v>
      </c>
      <c r="X594" s="132">
        <v>1.5481117761955365E-3</v>
      </c>
    </row>
    <row r="595" spans="1:24">
      <c r="A595" t="s">
        <v>1213</v>
      </c>
      <c r="B595" s="4">
        <v>58</v>
      </c>
      <c r="C595" t="s">
        <v>3786</v>
      </c>
      <c r="D595" t="s">
        <v>3787</v>
      </c>
      <c r="E595" t="s">
        <v>309</v>
      </c>
      <c r="F595" t="s">
        <v>3786</v>
      </c>
      <c r="G595" t="s">
        <v>3788</v>
      </c>
      <c r="H595" t="s">
        <v>321</v>
      </c>
      <c r="I595" t="s">
        <v>917</v>
      </c>
      <c r="J595" t="s">
        <v>204</v>
      </c>
      <c r="K595" t="s">
        <v>204</v>
      </c>
      <c r="L595" t="s">
        <v>325</v>
      </c>
      <c r="M595" t="s">
        <v>340</v>
      </c>
      <c r="N595" t="s">
        <v>446</v>
      </c>
      <c r="O595" t="s">
        <v>339</v>
      </c>
      <c r="P595" t="s">
        <v>1212</v>
      </c>
      <c r="Q595" s="131">
        <v>4200</v>
      </c>
      <c r="R595" s="131">
        <v>1</v>
      </c>
      <c r="S595" s="131">
        <v>14100</v>
      </c>
      <c r="U595" s="131">
        <v>592.20000000000005</v>
      </c>
      <c r="V595" s="132">
        <v>1.7700000000000001E-3</v>
      </c>
      <c r="W595" s="132">
        <f t="shared" si="9"/>
        <v>6.2492257022574603E-3</v>
      </c>
      <c r="X595" s="132">
        <v>1.547633530778224E-3</v>
      </c>
    </row>
    <row r="596" spans="1:24">
      <c r="A596" t="s">
        <v>1213</v>
      </c>
      <c r="B596" s="4">
        <v>58</v>
      </c>
      <c r="C596" t="s">
        <v>2178</v>
      </c>
      <c r="D596" t="s">
        <v>2179</v>
      </c>
      <c r="E596" t="s">
        <v>309</v>
      </c>
      <c r="F596" t="s">
        <v>2178</v>
      </c>
      <c r="G596" t="s">
        <v>3609</v>
      </c>
      <c r="H596" t="s">
        <v>321</v>
      </c>
      <c r="I596" t="s">
        <v>917</v>
      </c>
      <c r="J596" t="s">
        <v>204</v>
      </c>
      <c r="K596" t="s">
        <v>204</v>
      </c>
      <c r="L596" t="s">
        <v>325</v>
      </c>
      <c r="M596" t="s">
        <v>340</v>
      </c>
      <c r="N596" t="s">
        <v>464</v>
      </c>
      <c r="O596" t="s">
        <v>339</v>
      </c>
      <c r="P596" t="s">
        <v>1212</v>
      </c>
      <c r="Q596" s="131">
        <v>19724</v>
      </c>
      <c r="R596" s="131">
        <v>1</v>
      </c>
      <c r="S596" s="131">
        <v>2855</v>
      </c>
      <c r="U596" s="131">
        <v>563.12</v>
      </c>
      <c r="V596" s="132">
        <v>1E-4</v>
      </c>
      <c r="W596" s="132">
        <f t="shared" si="9"/>
        <v>5.9423572736494778E-3</v>
      </c>
      <c r="X596" s="132">
        <v>1.4716369365954634E-3</v>
      </c>
    </row>
    <row r="597" spans="1:24">
      <c r="A597" t="s">
        <v>1213</v>
      </c>
      <c r="B597" s="4">
        <v>58</v>
      </c>
      <c r="C597" t="s">
        <v>2336</v>
      </c>
      <c r="D597" t="s">
        <v>2337</v>
      </c>
      <c r="E597" t="s">
        <v>309</v>
      </c>
      <c r="F597" t="s">
        <v>3840</v>
      </c>
      <c r="G597" t="s">
        <v>3841</v>
      </c>
      <c r="H597" t="s">
        <v>321</v>
      </c>
      <c r="I597" t="s">
        <v>917</v>
      </c>
      <c r="J597" t="s">
        <v>204</v>
      </c>
      <c r="K597" t="s">
        <v>204</v>
      </c>
      <c r="L597" t="s">
        <v>325</v>
      </c>
      <c r="M597" t="s">
        <v>340</v>
      </c>
      <c r="N597" t="s">
        <v>464</v>
      </c>
      <c r="O597" t="s">
        <v>339</v>
      </c>
      <c r="P597" t="s">
        <v>1212</v>
      </c>
      <c r="Q597" s="131">
        <v>73242</v>
      </c>
      <c r="R597" s="131">
        <v>1</v>
      </c>
      <c r="S597" s="131">
        <v>730.9</v>
      </c>
      <c r="U597" s="131">
        <v>535.32600000000002</v>
      </c>
      <c r="V597" s="132">
        <v>3.3E-4</v>
      </c>
      <c r="W597" s="132">
        <f t="shared" si="9"/>
        <v>5.6490594364854386E-3</v>
      </c>
      <c r="X597" s="132">
        <v>1.3990011271485707E-3</v>
      </c>
    </row>
    <row r="598" spans="1:24">
      <c r="A598" t="s">
        <v>1213</v>
      </c>
      <c r="B598" s="4">
        <v>58</v>
      </c>
      <c r="C598" t="s">
        <v>2145</v>
      </c>
      <c r="D598" t="s">
        <v>2146</v>
      </c>
      <c r="E598" t="s">
        <v>309</v>
      </c>
      <c r="F598" t="s">
        <v>3612</v>
      </c>
      <c r="G598" t="s">
        <v>3613</v>
      </c>
      <c r="H598" t="s">
        <v>321</v>
      </c>
      <c r="I598" t="s">
        <v>917</v>
      </c>
      <c r="J598" t="s">
        <v>204</v>
      </c>
      <c r="K598" t="s">
        <v>204</v>
      </c>
      <c r="L598" t="s">
        <v>325</v>
      </c>
      <c r="M598" t="s">
        <v>340</v>
      </c>
      <c r="N598" t="s">
        <v>445</v>
      </c>
      <c r="O598" t="s">
        <v>339</v>
      </c>
      <c r="P598" t="s">
        <v>1212</v>
      </c>
      <c r="Q598" s="131">
        <v>7689</v>
      </c>
      <c r="R598" s="131">
        <v>1</v>
      </c>
      <c r="S598" s="131">
        <v>6329</v>
      </c>
      <c r="U598" s="131">
        <v>486.637</v>
      </c>
      <c r="V598" s="132">
        <v>1E-4</v>
      </c>
      <c r="W598" s="132">
        <f t="shared" si="9"/>
        <v>5.135265869755933E-3</v>
      </c>
      <c r="X598" s="132">
        <v>1.2717590991511694E-3</v>
      </c>
    </row>
    <row r="599" spans="1:24">
      <c r="A599" t="s">
        <v>1213</v>
      </c>
      <c r="B599" s="4">
        <v>58</v>
      </c>
      <c r="C599" t="s">
        <v>2454</v>
      </c>
      <c r="D599" t="s">
        <v>2455</v>
      </c>
      <c r="E599" t="s">
        <v>309</v>
      </c>
      <c r="F599" t="s">
        <v>2454</v>
      </c>
      <c r="G599" t="s">
        <v>3618</v>
      </c>
      <c r="H599" t="s">
        <v>321</v>
      </c>
      <c r="I599" t="s">
        <v>917</v>
      </c>
      <c r="J599" t="s">
        <v>204</v>
      </c>
      <c r="K599" t="s">
        <v>204</v>
      </c>
      <c r="L599" t="s">
        <v>325</v>
      </c>
      <c r="M599" t="s">
        <v>340</v>
      </c>
      <c r="N599" t="s">
        <v>478</v>
      </c>
      <c r="O599" t="s">
        <v>339</v>
      </c>
      <c r="P599" t="s">
        <v>1212</v>
      </c>
      <c r="Q599" s="131">
        <v>34883.550000000003</v>
      </c>
      <c r="R599" s="131">
        <v>1</v>
      </c>
      <c r="S599" s="131">
        <v>1373</v>
      </c>
      <c r="U599" s="131">
        <v>478.95100000000002</v>
      </c>
      <c r="V599" s="132">
        <v>1.7000000000000001E-4</v>
      </c>
      <c r="W599" s="132">
        <f t="shared" si="9"/>
        <v>5.0541588978755703E-3</v>
      </c>
      <c r="X599" s="132">
        <v>1.2516727916240479E-3</v>
      </c>
    </row>
    <row r="600" spans="1:24">
      <c r="A600" t="s">
        <v>1213</v>
      </c>
      <c r="B600" s="4">
        <v>58</v>
      </c>
      <c r="C600" t="s">
        <v>3447</v>
      </c>
      <c r="D600" t="s">
        <v>3448</v>
      </c>
      <c r="E600" t="s">
        <v>309</v>
      </c>
      <c r="F600" t="s">
        <v>3449</v>
      </c>
      <c r="G600" t="s">
        <v>3450</v>
      </c>
      <c r="H600" t="s">
        <v>321</v>
      </c>
      <c r="I600" t="s">
        <v>917</v>
      </c>
      <c r="J600" t="s">
        <v>204</v>
      </c>
      <c r="K600" t="s">
        <v>204</v>
      </c>
      <c r="L600" t="s">
        <v>325</v>
      </c>
      <c r="M600" t="s">
        <v>340</v>
      </c>
      <c r="N600" t="s">
        <v>445</v>
      </c>
      <c r="O600" t="s">
        <v>339</v>
      </c>
      <c r="P600" t="s">
        <v>1212</v>
      </c>
      <c r="Q600" s="131">
        <v>4184</v>
      </c>
      <c r="R600" s="131">
        <v>1</v>
      </c>
      <c r="S600" s="131">
        <v>10880</v>
      </c>
      <c r="U600" s="131">
        <v>455.21899999999999</v>
      </c>
      <c r="V600" s="132">
        <v>6.9999999999999994E-5</v>
      </c>
      <c r="W600" s="132">
        <f t="shared" si="9"/>
        <v>4.8037255571697713E-3</v>
      </c>
      <c r="X600" s="132">
        <v>1.1896524624237289E-3</v>
      </c>
    </row>
    <row r="601" spans="1:24">
      <c r="A601" t="s">
        <v>1213</v>
      </c>
      <c r="B601" s="4">
        <v>58</v>
      </c>
      <c r="C601" t="s">
        <v>2771</v>
      </c>
      <c r="D601" t="s">
        <v>2772</v>
      </c>
      <c r="E601" t="s">
        <v>309</v>
      </c>
      <c r="F601" t="s">
        <v>2771</v>
      </c>
      <c r="G601" t="s">
        <v>3842</v>
      </c>
      <c r="H601" t="s">
        <v>321</v>
      </c>
      <c r="I601" t="s">
        <v>917</v>
      </c>
      <c r="J601" t="s">
        <v>204</v>
      </c>
      <c r="K601" t="s">
        <v>204</v>
      </c>
      <c r="L601" t="s">
        <v>325</v>
      </c>
      <c r="M601" t="s">
        <v>340</v>
      </c>
      <c r="N601" t="s">
        <v>447</v>
      </c>
      <c r="O601" t="s">
        <v>339</v>
      </c>
      <c r="P601" t="s">
        <v>1212</v>
      </c>
      <c r="Q601" s="131">
        <v>25642</v>
      </c>
      <c r="R601" s="131">
        <v>1</v>
      </c>
      <c r="S601" s="131">
        <v>1750</v>
      </c>
      <c r="U601" s="131">
        <v>448.73500000000001</v>
      </c>
      <c r="V601" s="132">
        <v>1.2E-4</v>
      </c>
      <c r="W601" s="132">
        <f t="shared" si="9"/>
        <v>4.7353027617401235E-3</v>
      </c>
      <c r="X601" s="132">
        <v>1.1727074171458398E-3</v>
      </c>
    </row>
    <row r="602" spans="1:24">
      <c r="A602" t="s">
        <v>1213</v>
      </c>
      <c r="B602" s="4">
        <v>58</v>
      </c>
      <c r="C602" t="s">
        <v>3679</v>
      </c>
      <c r="D602" t="s">
        <v>3680</v>
      </c>
      <c r="E602" t="s">
        <v>309</v>
      </c>
      <c r="F602" t="s">
        <v>3681</v>
      </c>
      <c r="G602" t="s">
        <v>3682</v>
      </c>
      <c r="H602" t="s">
        <v>321</v>
      </c>
      <c r="I602" t="s">
        <v>917</v>
      </c>
      <c r="J602" t="s">
        <v>204</v>
      </c>
      <c r="K602" t="s">
        <v>204</v>
      </c>
      <c r="L602" t="s">
        <v>325</v>
      </c>
      <c r="M602" t="s">
        <v>340</v>
      </c>
      <c r="N602" t="s">
        <v>451</v>
      </c>
      <c r="O602" t="s">
        <v>339</v>
      </c>
      <c r="P602" t="s">
        <v>1212</v>
      </c>
      <c r="Q602" s="131">
        <v>3856</v>
      </c>
      <c r="R602" s="131">
        <v>1</v>
      </c>
      <c r="S602" s="131">
        <v>10500</v>
      </c>
      <c r="U602" s="131">
        <v>404.88</v>
      </c>
      <c r="V602" s="132">
        <v>6.9999999999999994E-5</v>
      </c>
      <c r="W602" s="132">
        <f t="shared" si="9"/>
        <v>4.2725202673590005E-3</v>
      </c>
      <c r="X602" s="132">
        <v>1.0580983855817078E-3</v>
      </c>
    </row>
    <row r="603" spans="1:24">
      <c r="A603" t="s">
        <v>1213</v>
      </c>
      <c r="B603" s="4">
        <v>58</v>
      </c>
      <c r="C603" t="s">
        <v>2328</v>
      </c>
      <c r="D603" t="s">
        <v>2329</v>
      </c>
      <c r="E603" t="s">
        <v>309</v>
      </c>
      <c r="F603" t="s">
        <v>2328</v>
      </c>
      <c r="G603" t="s">
        <v>3639</v>
      </c>
      <c r="H603" t="s">
        <v>321</v>
      </c>
      <c r="I603" t="s">
        <v>917</v>
      </c>
      <c r="J603" t="s">
        <v>204</v>
      </c>
      <c r="K603" t="s">
        <v>204</v>
      </c>
      <c r="L603" t="s">
        <v>325</v>
      </c>
      <c r="M603" t="s">
        <v>340</v>
      </c>
      <c r="N603" t="s">
        <v>465</v>
      </c>
      <c r="O603" t="s">
        <v>339</v>
      </c>
      <c r="P603" t="s">
        <v>1212</v>
      </c>
      <c r="Q603" s="131">
        <v>7197</v>
      </c>
      <c r="R603" s="131">
        <v>1</v>
      </c>
      <c r="S603" s="131">
        <v>5570</v>
      </c>
      <c r="U603" s="131">
        <v>400.87299999999999</v>
      </c>
      <c r="V603" s="132">
        <v>1E-4</v>
      </c>
      <c r="W603" s="132">
        <f t="shared" si="9"/>
        <v>4.2302361616701357E-3</v>
      </c>
      <c r="X603" s="132">
        <v>1.0476266402966209E-3</v>
      </c>
    </row>
    <row r="604" spans="1:24">
      <c r="A604" t="s">
        <v>1213</v>
      </c>
      <c r="B604" s="4">
        <v>58</v>
      </c>
      <c r="C604" t="s">
        <v>2396</v>
      </c>
      <c r="D604" t="s">
        <v>2397</v>
      </c>
      <c r="E604" t="s">
        <v>309</v>
      </c>
      <c r="F604" t="s">
        <v>2396</v>
      </c>
      <c r="G604" t="s">
        <v>3659</v>
      </c>
      <c r="H604" t="s">
        <v>321</v>
      </c>
      <c r="I604" t="s">
        <v>917</v>
      </c>
      <c r="J604" t="s">
        <v>204</v>
      </c>
      <c r="K604" t="s">
        <v>204</v>
      </c>
      <c r="L604" t="s">
        <v>325</v>
      </c>
      <c r="M604" t="s">
        <v>340</v>
      </c>
      <c r="N604" t="s">
        <v>451</v>
      </c>
      <c r="O604" t="s">
        <v>339</v>
      </c>
      <c r="P604" t="s">
        <v>1212</v>
      </c>
      <c r="Q604" s="131">
        <v>616512</v>
      </c>
      <c r="R604" s="131">
        <v>1</v>
      </c>
      <c r="S604" s="131">
        <v>64.8</v>
      </c>
      <c r="U604" s="131">
        <v>399.5</v>
      </c>
      <c r="V604" s="132">
        <v>4.8999999999999998E-4</v>
      </c>
      <c r="W604" s="132">
        <f t="shared" si="9"/>
        <v>4.2157474975546352E-3</v>
      </c>
      <c r="X604" s="132">
        <v>1.0440384929853099E-3</v>
      </c>
    </row>
    <row r="605" spans="1:24">
      <c r="A605" t="s">
        <v>1213</v>
      </c>
      <c r="B605" s="4">
        <v>58</v>
      </c>
      <c r="C605" t="s">
        <v>3660</v>
      </c>
      <c r="D605" t="s">
        <v>3661</v>
      </c>
      <c r="E605" t="s">
        <v>309</v>
      </c>
      <c r="F605" t="s">
        <v>3660</v>
      </c>
      <c r="G605" t="s">
        <v>3662</v>
      </c>
      <c r="H605" t="s">
        <v>321</v>
      </c>
      <c r="I605" t="s">
        <v>917</v>
      </c>
      <c r="J605" t="s">
        <v>204</v>
      </c>
      <c r="K605" t="s">
        <v>204</v>
      </c>
      <c r="L605" t="s">
        <v>325</v>
      </c>
      <c r="M605" t="s">
        <v>340</v>
      </c>
      <c r="N605" t="s">
        <v>459</v>
      </c>
      <c r="O605" t="s">
        <v>339</v>
      </c>
      <c r="P605" t="s">
        <v>1212</v>
      </c>
      <c r="Q605" s="131">
        <v>21812</v>
      </c>
      <c r="R605" s="131">
        <v>1</v>
      </c>
      <c r="S605" s="131">
        <v>1757</v>
      </c>
      <c r="U605" s="131">
        <v>383.23700000000002</v>
      </c>
      <c r="V605" s="132">
        <v>2.2000000000000001E-4</v>
      </c>
      <c r="W605" s="132">
        <f t="shared" si="9"/>
        <v>4.0441312233300275E-3</v>
      </c>
      <c r="X605" s="132">
        <v>1.0015373715549717E-3</v>
      </c>
    </row>
    <row r="606" spans="1:24">
      <c r="A606" t="s">
        <v>1213</v>
      </c>
      <c r="B606" s="4">
        <v>58</v>
      </c>
      <c r="C606" t="s">
        <v>3423</v>
      </c>
      <c r="D606" t="s">
        <v>3424</v>
      </c>
      <c r="E606" t="s">
        <v>309</v>
      </c>
      <c r="F606" t="s">
        <v>3423</v>
      </c>
      <c r="G606" t="s">
        <v>3425</v>
      </c>
      <c r="H606" t="s">
        <v>321</v>
      </c>
      <c r="I606" t="s">
        <v>917</v>
      </c>
      <c r="J606" t="s">
        <v>204</v>
      </c>
      <c r="K606" t="s">
        <v>204</v>
      </c>
      <c r="L606" t="s">
        <v>325</v>
      </c>
      <c r="M606" t="s">
        <v>340</v>
      </c>
      <c r="N606" t="s">
        <v>458</v>
      </c>
      <c r="O606" t="s">
        <v>339</v>
      </c>
      <c r="P606" t="s">
        <v>1212</v>
      </c>
      <c r="Q606" s="131">
        <v>2303</v>
      </c>
      <c r="R606" s="131">
        <v>1</v>
      </c>
      <c r="S606" s="131">
        <v>16470</v>
      </c>
      <c r="U606" s="131">
        <v>379.30399999999997</v>
      </c>
      <c r="V606" s="132">
        <v>2.0000000000000002E-5</v>
      </c>
      <c r="W606" s="132">
        <f t="shared" si="9"/>
        <v>4.0026280070399583E-3</v>
      </c>
      <c r="X606" s="132">
        <v>9.9125901512715883E-4</v>
      </c>
    </row>
    <row r="607" spans="1:24">
      <c r="A607" t="s">
        <v>1213</v>
      </c>
      <c r="B607" s="4">
        <v>58</v>
      </c>
      <c r="C607" t="s">
        <v>2428</v>
      </c>
      <c r="D607" t="s">
        <v>2429</v>
      </c>
      <c r="E607" t="s">
        <v>309</v>
      </c>
      <c r="F607" t="s">
        <v>2428</v>
      </c>
      <c r="G607" t="s">
        <v>3459</v>
      </c>
      <c r="H607" t="s">
        <v>321</v>
      </c>
      <c r="I607" t="s">
        <v>917</v>
      </c>
      <c r="J607" t="s">
        <v>204</v>
      </c>
      <c r="K607" t="s">
        <v>204</v>
      </c>
      <c r="L607" t="s">
        <v>325</v>
      </c>
      <c r="M607" t="s">
        <v>340</v>
      </c>
      <c r="N607" t="s">
        <v>454</v>
      </c>
      <c r="O607" t="s">
        <v>339</v>
      </c>
      <c r="P607" t="s">
        <v>1212</v>
      </c>
      <c r="Q607" s="131">
        <v>228400</v>
      </c>
      <c r="R607" s="131">
        <v>1</v>
      </c>
      <c r="S607" s="131">
        <v>161.9</v>
      </c>
      <c r="U607" s="131">
        <v>369.78</v>
      </c>
      <c r="V607" s="132">
        <v>9.0000000000000006E-5</v>
      </c>
      <c r="W607" s="132">
        <f t="shared" si="9"/>
        <v>3.902125430903011E-3</v>
      </c>
      <c r="X607" s="132">
        <v>9.663693465234238E-4</v>
      </c>
    </row>
    <row r="608" spans="1:24">
      <c r="A608" t="s">
        <v>1213</v>
      </c>
      <c r="B608" s="4">
        <v>58</v>
      </c>
      <c r="C608" t="s">
        <v>3490</v>
      </c>
      <c r="D608" t="s">
        <v>3491</v>
      </c>
      <c r="E608" t="s">
        <v>309</v>
      </c>
      <c r="F608" t="s">
        <v>3490</v>
      </c>
      <c r="G608" t="s">
        <v>3492</v>
      </c>
      <c r="H608" t="s">
        <v>321</v>
      </c>
      <c r="I608" t="s">
        <v>917</v>
      </c>
      <c r="J608" t="s">
        <v>204</v>
      </c>
      <c r="K608" t="s">
        <v>204</v>
      </c>
      <c r="L608" t="s">
        <v>325</v>
      </c>
      <c r="M608" t="s">
        <v>340</v>
      </c>
      <c r="N608" t="s">
        <v>476</v>
      </c>
      <c r="O608" t="s">
        <v>339</v>
      </c>
      <c r="P608" t="s">
        <v>1212</v>
      </c>
      <c r="Q608" s="131">
        <v>1768</v>
      </c>
      <c r="R608" s="131">
        <v>1</v>
      </c>
      <c r="S608" s="131">
        <v>19560</v>
      </c>
      <c r="U608" s="131">
        <v>345.82100000000003</v>
      </c>
      <c r="V608" s="132">
        <v>8.0000000000000007E-5</v>
      </c>
      <c r="W608" s="132">
        <f t="shared" si="9"/>
        <v>3.6492966592036086E-3</v>
      </c>
      <c r="X608" s="132">
        <v>9.0375578393660282E-4</v>
      </c>
    </row>
    <row r="609" spans="1:24">
      <c r="A609" t="s">
        <v>1213</v>
      </c>
      <c r="B609" s="4">
        <v>58</v>
      </c>
      <c r="C609" t="s">
        <v>2356</v>
      </c>
      <c r="D609" t="s">
        <v>2357</v>
      </c>
      <c r="E609" t="s">
        <v>309</v>
      </c>
      <c r="F609" t="s">
        <v>2356</v>
      </c>
      <c r="G609" t="s">
        <v>3645</v>
      </c>
      <c r="H609" t="s">
        <v>321</v>
      </c>
      <c r="I609" t="s">
        <v>917</v>
      </c>
      <c r="J609" t="s">
        <v>204</v>
      </c>
      <c r="K609" t="s">
        <v>204</v>
      </c>
      <c r="L609" t="s">
        <v>325</v>
      </c>
      <c r="M609" t="s">
        <v>340</v>
      </c>
      <c r="N609" t="s">
        <v>447</v>
      </c>
      <c r="O609" t="s">
        <v>339</v>
      </c>
      <c r="P609" t="s">
        <v>1212</v>
      </c>
      <c r="Q609" s="131">
        <v>37467</v>
      </c>
      <c r="R609" s="131">
        <v>1</v>
      </c>
      <c r="S609" s="131">
        <v>898.1</v>
      </c>
      <c r="U609" s="131">
        <v>336.49099999999999</v>
      </c>
      <c r="V609" s="132">
        <v>6.9999999999999994E-5</v>
      </c>
      <c r="W609" s="132">
        <f t="shared" si="9"/>
        <v>3.5508412795986401E-3</v>
      </c>
      <c r="X609" s="132">
        <v>8.7937310774247773E-4</v>
      </c>
    </row>
    <row r="610" spans="1:24">
      <c r="A610" t="s">
        <v>1213</v>
      </c>
      <c r="B610" s="4">
        <v>58</v>
      </c>
      <c r="C610" t="s">
        <v>3642</v>
      </c>
      <c r="D610" t="s">
        <v>3643</v>
      </c>
      <c r="E610" t="s">
        <v>309</v>
      </c>
      <c r="F610" t="s">
        <v>3642</v>
      </c>
      <c r="G610" t="s">
        <v>3644</v>
      </c>
      <c r="H610" t="s">
        <v>321</v>
      </c>
      <c r="I610" t="s">
        <v>917</v>
      </c>
      <c r="J610" t="s">
        <v>204</v>
      </c>
      <c r="K610" t="s">
        <v>204</v>
      </c>
      <c r="L610" t="s">
        <v>325</v>
      </c>
      <c r="M610" t="s">
        <v>340</v>
      </c>
      <c r="N610" t="s">
        <v>445</v>
      </c>
      <c r="O610" t="s">
        <v>339</v>
      </c>
      <c r="P610" t="s">
        <v>1212</v>
      </c>
      <c r="Q610" s="131">
        <v>63579</v>
      </c>
      <c r="R610" s="131">
        <v>1</v>
      </c>
      <c r="S610" s="131">
        <v>508.2</v>
      </c>
      <c r="U610" s="131">
        <v>323.108</v>
      </c>
      <c r="V610" s="132">
        <v>6.0000000000000002E-5</v>
      </c>
      <c r="W610" s="132">
        <f t="shared" si="9"/>
        <v>3.409616376570421E-3</v>
      </c>
      <c r="X610" s="132">
        <v>8.4439847156820398E-4</v>
      </c>
    </row>
    <row r="611" spans="1:24">
      <c r="A611" t="s">
        <v>1213</v>
      </c>
      <c r="B611" s="4">
        <v>58</v>
      </c>
      <c r="C611" t="s">
        <v>3498</v>
      </c>
      <c r="D611" t="s">
        <v>3499</v>
      </c>
      <c r="E611" t="s">
        <v>309</v>
      </c>
      <c r="F611" t="s">
        <v>3500</v>
      </c>
      <c r="G611" t="s">
        <v>3501</v>
      </c>
      <c r="H611" t="s">
        <v>321</v>
      </c>
      <c r="I611" t="s">
        <v>917</v>
      </c>
      <c r="J611" t="s">
        <v>204</v>
      </c>
      <c r="K611" t="s">
        <v>204</v>
      </c>
      <c r="L611" t="s">
        <v>325</v>
      </c>
      <c r="M611" t="s">
        <v>340</v>
      </c>
      <c r="N611" t="s">
        <v>476</v>
      </c>
      <c r="O611" t="s">
        <v>339</v>
      </c>
      <c r="P611" t="s">
        <v>1212</v>
      </c>
      <c r="Q611" s="131">
        <v>6239</v>
      </c>
      <c r="R611" s="131">
        <v>1</v>
      </c>
      <c r="S611" s="131">
        <v>5029</v>
      </c>
      <c r="U611" s="131">
        <v>313.75900000000001</v>
      </c>
      <c r="V611" s="132">
        <v>9.0000000000000006E-5</v>
      </c>
      <c r="W611" s="132">
        <f t="shared" si="9"/>
        <v>3.3109604983360321E-3</v>
      </c>
      <c r="X611" s="132">
        <v>8.199661414782924E-4</v>
      </c>
    </row>
    <row r="612" spans="1:24">
      <c r="A612" t="s">
        <v>1213</v>
      </c>
      <c r="B612" s="4">
        <v>58</v>
      </c>
      <c r="C612" t="s">
        <v>2223</v>
      </c>
      <c r="D612" t="s">
        <v>2224</v>
      </c>
      <c r="E612" t="s">
        <v>309</v>
      </c>
      <c r="F612" t="s">
        <v>2223</v>
      </c>
      <c r="G612" t="s">
        <v>3678</v>
      </c>
      <c r="H612" t="s">
        <v>321</v>
      </c>
      <c r="I612" t="s">
        <v>917</v>
      </c>
      <c r="J612" t="s">
        <v>204</v>
      </c>
      <c r="K612" t="s">
        <v>204</v>
      </c>
      <c r="L612" t="s">
        <v>325</v>
      </c>
      <c r="M612" t="s">
        <v>340</v>
      </c>
      <c r="N612" t="s">
        <v>464</v>
      </c>
      <c r="O612" t="s">
        <v>339</v>
      </c>
      <c r="P612" t="s">
        <v>1212</v>
      </c>
      <c r="Q612" s="131">
        <v>1808</v>
      </c>
      <c r="R612" s="131">
        <v>1</v>
      </c>
      <c r="S612" s="131">
        <v>15900</v>
      </c>
      <c r="U612" s="131">
        <v>287.47199999999998</v>
      </c>
      <c r="V612" s="132">
        <v>1E-4</v>
      </c>
      <c r="W612" s="132">
        <f t="shared" si="9"/>
        <v>3.0335653682528811E-3</v>
      </c>
      <c r="X612" s="132">
        <v>7.512686699761526E-4</v>
      </c>
    </row>
    <row r="613" spans="1:24">
      <c r="A613" t="s">
        <v>1213</v>
      </c>
      <c r="B613" s="4">
        <v>58</v>
      </c>
      <c r="C613" t="s">
        <v>2973</v>
      </c>
      <c r="D613" t="s">
        <v>2974</v>
      </c>
      <c r="E613" t="s">
        <v>309</v>
      </c>
      <c r="F613" t="s">
        <v>2973</v>
      </c>
      <c r="G613" t="s">
        <v>3843</v>
      </c>
      <c r="H613" t="s">
        <v>321</v>
      </c>
      <c r="I613" t="s">
        <v>917</v>
      </c>
      <c r="J613" t="s">
        <v>204</v>
      </c>
      <c r="K613" t="s">
        <v>204</v>
      </c>
      <c r="L613" t="s">
        <v>325</v>
      </c>
      <c r="M613" t="s">
        <v>340</v>
      </c>
      <c r="N613" t="s">
        <v>458</v>
      </c>
      <c r="O613" t="s">
        <v>339</v>
      </c>
      <c r="P613" t="s">
        <v>1212</v>
      </c>
      <c r="Q613" s="131">
        <v>1775</v>
      </c>
      <c r="R613" s="131">
        <v>1</v>
      </c>
      <c r="S613" s="131">
        <v>15700</v>
      </c>
      <c r="U613" s="131">
        <v>278.67500000000001</v>
      </c>
      <c r="V613" s="132">
        <v>1.3999999999999999E-4</v>
      </c>
      <c r="W613" s="132">
        <f t="shared" si="9"/>
        <v>2.9407345028311339E-3</v>
      </c>
      <c r="X613" s="132">
        <v>7.2827891622698681E-4</v>
      </c>
    </row>
    <row r="614" spans="1:24">
      <c r="A614" t="s">
        <v>1213</v>
      </c>
      <c r="B614" s="4">
        <v>58</v>
      </c>
      <c r="C614" t="s">
        <v>1534</v>
      </c>
      <c r="D614" t="s">
        <v>1535</v>
      </c>
      <c r="E614" t="s">
        <v>309</v>
      </c>
      <c r="F614" t="s">
        <v>1534</v>
      </c>
      <c r="G614" t="s">
        <v>3509</v>
      </c>
      <c r="H614" t="s">
        <v>321</v>
      </c>
      <c r="I614" t="s">
        <v>917</v>
      </c>
      <c r="J614" t="s">
        <v>204</v>
      </c>
      <c r="K614" t="s">
        <v>204</v>
      </c>
      <c r="L614" t="s">
        <v>325</v>
      </c>
      <c r="M614" t="s">
        <v>340</v>
      </c>
      <c r="N614" t="s">
        <v>464</v>
      </c>
      <c r="O614" t="s">
        <v>339</v>
      </c>
      <c r="P614" t="s">
        <v>1212</v>
      </c>
      <c r="Q614" s="131">
        <v>16173</v>
      </c>
      <c r="R614" s="131">
        <v>1</v>
      </c>
      <c r="S614" s="131">
        <v>1609</v>
      </c>
      <c r="U614" s="131">
        <v>260.22399999999999</v>
      </c>
      <c r="V614" s="132">
        <v>3.0000000000000001E-5</v>
      </c>
      <c r="W614" s="132">
        <f t="shared" si="9"/>
        <v>2.7460292285448246E-3</v>
      </c>
      <c r="X614" s="132">
        <v>6.8005975669238855E-4</v>
      </c>
    </row>
    <row r="615" spans="1:24">
      <c r="A615" t="s">
        <v>1213</v>
      </c>
      <c r="B615" s="4">
        <v>58</v>
      </c>
      <c r="C615" t="s">
        <v>2905</v>
      </c>
      <c r="D615" t="s">
        <v>2906</v>
      </c>
      <c r="E615" t="s">
        <v>309</v>
      </c>
      <c r="F615" t="s">
        <v>2905</v>
      </c>
      <c r="G615" t="s">
        <v>3844</v>
      </c>
      <c r="H615" t="s">
        <v>321</v>
      </c>
      <c r="I615" t="s">
        <v>917</v>
      </c>
      <c r="J615" t="s">
        <v>204</v>
      </c>
      <c r="K615" t="s">
        <v>204</v>
      </c>
      <c r="L615" t="s">
        <v>325</v>
      </c>
      <c r="M615" t="s">
        <v>340</v>
      </c>
      <c r="N615" t="s">
        <v>477</v>
      </c>
      <c r="O615" t="s">
        <v>339</v>
      </c>
      <c r="P615" t="s">
        <v>1212</v>
      </c>
      <c r="Q615" s="131">
        <v>11843</v>
      </c>
      <c r="R615" s="131">
        <v>1</v>
      </c>
      <c r="S615" s="131">
        <v>2000</v>
      </c>
      <c r="U615" s="131">
        <v>236.86</v>
      </c>
      <c r="V615" s="132">
        <v>6.9999999999999999E-4</v>
      </c>
      <c r="W615" s="132">
        <f t="shared" si="9"/>
        <v>2.4994792297141203E-3</v>
      </c>
      <c r="X615" s="132">
        <v>6.1900114505256695E-4</v>
      </c>
    </row>
    <row r="616" spans="1:24">
      <c r="A616" t="s">
        <v>1213</v>
      </c>
      <c r="B616" s="4">
        <v>58</v>
      </c>
      <c r="C616" t="s">
        <v>3845</v>
      </c>
      <c r="D616" t="s">
        <v>3846</v>
      </c>
      <c r="E616" t="s">
        <v>309</v>
      </c>
      <c r="F616" t="s">
        <v>3845</v>
      </c>
      <c r="G616" t="s">
        <v>3847</v>
      </c>
      <c r="H616" t="s">
        <v>321</v>
      </c>
      <c r="I616" t="s">
        <v>917</v>
      </c>
      <c r="J616" t="s">
        <v>204</v>
      </c>
      <c r="K616" t="s">
        <v>204</v>
      </c>
      <c r="L616" t="s">
        <v>325</v>
      </c>
      <c r="M616" t="s">
        <v>340</v>
      </c>
      <c r="N616" t="s">
        <v>473</v>
      </c>
      <c r="O616" t="s">
        <v>339</v>
      </c>
      <c r="P616" t="s">
        <v>1212</v>
      </c>
      <c r="Q616" s="131">
        <v>27635</v>
      </c>
      <c r="R616" s="131">
        <v>1</v>
      </c>
      <c r="S616" s="131">
        <v>837.8</v>
      </c>
      <c r="T616" s="131">
        <v>5.0359999999999996</v>
      </c>
      <c r="U616" s="131">
        <v>236.56200000000001</v>
      </c>
      <c r="V616" s="132">
        <v>2.5000000000000001E-4</v>
      </c>
      <c r="W616" s="132">
        <f t="shared" si="9"/>
        <v>2.4963345670000491E-3</v>
      </c>
      <c r="X616" s="132">
        <v>6.1822236289759921E-4</v>
      </c>
    </row>
    <row r="617" spans="1:24">
      <c r="A617" t="s">
        <v>1213</v>
      </c>
      <c r="B617" s="4">
        <v>58</v>
      </c>
      <c r="C617" t="s">
        <v>1737</v>
      </c>
      <c r="D617" t="s">
        <v>1738</v>
      </c>
      <c r="E617" t="s">
        <v>309</v>
      </c>
      <c r="F617" t="s">
        <v>3530</v>
      </c>
      <c r="G617" t="s">
        <v>3531</v>
      </c>
      <c r="H617" t="s">
        <v>321</v>
      </c>
      <c r="I617" t="s">
        <v>917</v>
      </c>
      <c r="J617" t="s">
        <v>204</v>
      </c>
      <c r="K617" t="s">
        <v>204</v>
      </c>
      <c r="L617" t="s">
        <v>325</v>
      </c>
      <c r="M617" t="s">
        <v>340</v>
      </c>
      <c r="N617" t="s">
        <v>447</v>
      </c>
      <c r="O617" t="s">
        <v>339</v>
      </c>
      <c r="P617" t="s">
        <v>1212</v>
      </c>
      <c r="Q617" s="131">
        <v>14199</v>
      </c>
      <c r="R617" s="131">
        <v>1</v>
      </c>
      <c r="S617" s="131">
        <v>1628</v>
      </c>
      <c r="U617" s="131">
        <v>231.16</v>
      </c>
      <c r="V617" s="132">
        <v>2.3000000000000001E-4</v>
      </c>
      <c r="W617" s="132">
        <f t="shared" si="9"/>
        <v>2.4393296408879335E-3</v>
      </c>
      <c r="X617" s="132">
        <v>6.0410497631660628E-4</v>
      </c>
    </row>
    <row r="618" spans="1:24">
      <c r="A618" t="s">
        <v>1213</v>
      </c>
      <c r="B618" s="4">
        <v>58</v>
      </c>
      <c r="C618" t="s">
        <v>2812</v>
      </c>
      <c r="D618" t="s">
        <v>2813</v>
      </c>
      <c r="E618" t="s">
        <v>309</v>
      </c>
      <c r="F618" t="s">
        <v>2812</v>
      </c>
      <c r="G618" t="s">
        <v>3637</v>
      </c>
      <c r="H618" t="s">
        <v>321</v>
      </c>
      <c r="I618" t="s">
        <v>917</v>
      </c>
      <c r="J618" t="s">
        <v>204</v>
      </c>
      <c r="K618" t="s">
        <v>204</v>
      </c>
      <c r="L618" t="s">
        <v>325</v>
      </c>
      <c r="M618" t="s">
        <v>340</v>
      </c>
      <c r="N618" t="s">
        <v>447</v>
      </c>
      <c r="O618" t="s">
        <v>339</v>
      </c>
      <c r="P618" t="s">
        <v>1212</v>
      </c>
      <c r="Q618" s="131">
        <v>817</v>
      </c>
      <c r="R618" s="131">
        <v>1</v>
      </c>
      <c r="S618" s="131">
        <v>24250</v>
      </c>
      <c r="U618" s="131">
        <v>198.12299999999999</v>
      </c>
      <c r="V618" s="132">
        <v>6.0000000000000002E-5</v>
      </c>
      <c r="W618" s="132">
        <f t="shared" si="9"/>
        <v>2.0907047345632467E-3</v>
      </c>
      <c r="X618" s="132">
        <v>5.1776730499556573E-4</v>
      </c>
    </row>
    <row r="619" spans="1:24">
      <c r="A619" t="s">
        <v>1213</v>
      </c>
      <c r="B619" s="4">
        <v>58</v>
      </c>
      <c r="C619" t="s">
        <v>3646</v>
      </c>
      <c r="D619" t="s">
        <v>3647</v>
      </c>
      <c r="E619" t="s">
        <v>309</v>
      </c>
      <c r="F619" t="s">
        <v>3648</v>
      </c>
      <c r="G619" t="s">
        <v>3649</v>
      </c>
      <c r="H619" t="s">
        <v>321</v>
      </c>
      <c r="I619" t="s">
        <v>917</v>
      </c>
      <c r="J619" t="s">
        <v>204</v>
      </c>
      <c r="K619" t="s">
        <v>204</v>
      </c>
      <c r="L619" t="s">
        <v>325</v>
      </c>
      <c r="M619" t="s">
        <v>340</v>
      </c>
      <c r="N619" t="s">
        <v>477</v>
      </c>
      <c r="O619" t="s">
        <v>339</v>
      </c>
      <c r="P619" t="s">
        <v>1212</v>
      </c>
      <c r="Q619" s="131">
        <v>534</v>
      </c>
      <c r="R619" s="131">
        <v>1</v>
      </c>
      <c r="S619" s="131">
        <v>34100</v>
      </c>
      <c r="U619" s="131">
        <v>182.09399999999999</v>
      </c>
      <c r="V619" s="132">
        <v>9.0000000000000006E-5</v>
      </c>
      <c r="W619" s="132">
        <f t="shared" si="9"/>
        <v>1.9215577592483447E-3</v>
      </c>
      <c r="X619" s="132">
        <v>4.7587771049228283E-4</v>
      </c>
    </row>
    <row r="620" spans="1:24">
      <c r="A620" t="s">
        <v>1213</v>
      </c>
      <c r="B620" s="4">
        <v>58</v>
      </c>
      <c r="C620" t="s">
        <v>3433</v>
      </c>
      <c r="D620" t="s">
        <v>3434</v>
      </c>
      <c r="E620" t="s">
        <v>309</v>
      </c>
      <c r="F620" t="s">
        <v>3433</v>
      </c>
      <c r="G620" t="s">
        <v>3435</v>
      </c>
      <c r="H620" t="s">
        <v>321</v>
      </c>
      <c r="I620" t="s">
        <v>917</v>
      </c>
      <c r="J620" t="s">
        <v>204</v>
      </c>
      <c r="K620" t="s">
        <v>204</v>
      </c>
      <c r="L620" t="s">
        <v>325</v>
      </c>
      <c r="M620" t="s">
        <v>340</v>
      </c>
      <c r="N620" t="s">
        <v>458</v>
      </c>
      <c r="O620" t="s">
        <v>339</v>
      </c>
      <c r="P620" t="s">
        <v>1212</v>
      </c>
      <c r="Q620" s="131">
        <v>578</v>
      </c>
      <c r="R620" s="131">
        <v>1</v>
      </c>
      <c r="S620" s="131">
        <v>29980</v>
      </c>
      <c r="U620" s="131">
        <v>173.28399999999999</v>
      </c>
      <c r="V620" s="132">
        <v>1.0000000000000001E-5</v>
      </c>
      <c r="W620" s="132">
        <f t="shared" si="9"/>
        <v>1.8285897105538359E-3</v>
      </c>
      <c r="X620" s="132">
        <v>4.5285398302494722E-4</v>
      </c>
    </row>
    <row r="621" spans="1:24">
      <c r="A621" t="s">
        <v>1213</v>
      </c>
      <c r="B621" s="4">
        <v>58</v>
      </c>
      <c r="C621" t="s">
        <v>2136</v>
      </c>
      <c r="D621" t="s">
        <v>2137</v>
      </c>
      <c r="E621" t="s">
        <v>309</v>
      </c>
      <c r="F621" t="s">
        <v>2136</v>
      </c>
      <c r="G621" t="s">
        <v>3616</v>
      </c>
      <c r="H621" t="s">
        <v>321</v>
      </c>
      <c r="I621" t="s">
        <v>917</v>
      </c>
      <c r="J621" t="s">
        <v>204</v>
      </c>
      <c r="K621" t="s">
        <v>204</v>
      </c>
      <c r="L621" t="s">
        <v>325</v>
      </c>
      <c r="M621" t="s">
        <v>340</v>
      </c>
      <c r="N621" t="s">
        <v>440</v>
      </c>
      <c r="O621" t="s">
        <v>339</v>
      </c>
      <c r="P621" t="s">
        <v>1212</v>
      </c>
      <c r="Q621" s="131">
        <v>404</v>
      </c>
      <c r="R621" s="131">
        <v>1</v>
      </c>
      <c r="S621" s="131">
        <v>39190</v>
      </c>
      <c r="T621" s="131">
        <v>8.89</v>
      </c>
      <c r="U621" s="131">
        <v>167.21799999999999</v>
      </c>
      <c r="V621" s="132">
        <v>3.0000000000000001E-5</v>
      </c>
      <c r="W621" s="132">
        <f t="shared" si="9"/>
        <v>1.7645778849714416E-3</v>
      </c>
      <c r="X621" s="132">
        <v>4.3700132345436178E-4</v>
      </c>
    </row>
    <row r="622" spans="1:24">
      <c r="A622" t="s">
        <v>1213</v>
      </c>
      <c r="B622" s="4">
        <v>58</v>
      </c>
      <c r="C622" t="s">
        <v>3469</v>
      </c>
      <c r="D622" t="s">
        <v>3470</v>
      </c>
      <c r="E622" t="s">
        <v>309</v>
      </c>
      <c r="F622" t="s">
        <v>3471</v>
      </c>
      <c r="G622" t="s">
        <v>3472</v>
      </c>
      <c r="H622" t="s">
        <v>321</v>
      </c>
      <c r="I622" t="s">
        <v>917</v>
      </c>
      <c r="J622" t="s">
        <v>204</v>
      </c>
      <c r="K622" t="s">
        <v>204</v>
      </c>
      <c r="L622" t="s">
        <v>325</v>
      </c>
      <c r="M622" t="s">
        <v>340</v>
      </c>
      <c r="N622" t="s">
        <v>454</v>
      </c>
      <c r="O622" t="s">
        <v>339</v>
      </c>
      <c r="P622" t="s">
        <v>1212</v>
      </c>
      <c r="Q622" s="131">
        <v>15311</v>
      </c>
      <c r="R622" s="131">
        <v>1</v>
      </c>
      <c r="S622" s="131">
        <v>1025</v>
      </c>
      <c r="U622" s="131">
        <v>156.93799999999999</v>
      </c>
      <c r="V622" s="132">
        <v>1.0000000000000001E-5</v>
      </c>
      <c r="W622" s="132">
        <f t="shared" si="9"/>
        <v>1.6560975738954425E-3</v>
      </c>
      <c r="X622" s="132">
        <v>4.1013595247090998E-4</v>
      </c>
    </row>
    <row r="623" spans="1:24">
      <c r="A623" t="s">
        <v>1213</v>
      </c>
      <c r="B623" s="4">
        <v>58</v>
      </c>
      <c r="C623" t="s">
        <v>3848</v>
      </c>
      <c r="D623" t="s">
        <v>3849</v>
      </c>
      <c r="E623" t="s">
        <v>309</v>
      </c>
      <c r="F623" t="s">
        <v>3850</v>
      </c>
      <c r="G623" t="s">
        <v>3851</v>
      </c>
      <c r="H623" t="s">
        <v>321</v>
      </c>
      <c r="I623" t="s">
        <v>917</v>
      </c>
      <c r="J623" t="s">
        <v>204</v>
      </c>
      <c r="K623" t="s">
        <v>204</v>
      </c>
      <c r="L623" t="s">
        <v>325</v>
      </c>
      <c r="M623" t="s">
        <v>340</v>
      </c>
      <c r="N623" t="s">
        <v>480</v>
      </c>
      <c r="O623" t="s">
        <v>339</v>
      </c>
      <c r="P623" t="s">
        <v>1212</v>
      </c>
      <c r="Q623" s="131">
        <v>3524</v>
      </c>
      <c r="R623" s="131">
        <v>1</v>
      </c>
      <c r="S623" s="131">
        <v>4432</v>
      </c>
      <c r="U623" s="131">
        <v>156.184</v>
      </c>
      <c r="V623" s="132">
        <v>6.9999999999999994E-5</v>
      </c>
      <c r="W623" s="132">
        <f t="shared" si="9"/>
        <v>1.6481409440752769E-3</v>
      </c>
      <c r="X623" s="132">
        <v>4.0816547681706537E-4</v>
      </c>
    </row>
    <row r="624" spans="1:24">
      <c r="A624" t="s">
        <v>1213</v>
      </c>
      <c r="B624" s="4">
        <v>58</v>
      </c>
      <c r="C624" t="s">
        <v>3284</v>
      </c>
      <c r="D624" t="s">
        <v>3285</v>
      </c>
      <c r="E624" t="s">
        <v>311</v>
      </c>
      <c r="F624" t="s">
        <v>3284</v>
      </c>
      <c r="G624" t="s">
        <v>3510</v>
      </c>
      <c r="H624" t="s">
        <v>321</v>
      </c>
      <c r="I624" t="s">
        <v>917</v>
      </c>
      <c r="J624" t="s">
        <v>204</v>
      </c>
      <c r="K624" t="s">
        <v>233</v>
      </c>
      <c r="L624" t="s">
        <v>325</v>
      </c>
      <c r="M624" t="s">
        <v>340</v>
      </c>
      <c r="N624" t="s">
        <v>454</v>
      </c>
      <c r="O624" t="s">
        <v>339</v>
      </c>
      <c r="P624" t="s">
        <v>1212</v>
      </c>
      <c r="Q624" s="131">
        <v>3250</v>
      </c>
      <c r="R624" s="131">
        <v>1</v>
      </c>
      <c r="S624" s="131">
        <v>4556</v>
      </c>
      <c r="T624" s="131">
        <f>3.629-11.6999999999998/1000/R624</f>
        <v>3.6173000000000002</v>
      </c>
      <c r="U624" s="131">
        <f>151.699-11.6999999999998/1000</f>
        <v>151.68730000000002</v>
      </c>
      <c r="V624" s="132">
        <v>2.0000000000000002E-5</v>
      </c>
      <c r="W624" s="132">
        <f t="shared" si="9"/>
        <v>1.6006892500270821E-3</v>
      </c>
      <c r="X624" s="132">
        <v>3.9641396770215422E-4</v>
      </c>
    </row>
    <row r="625" spans="1:24">
      <c r="A625" t="s">
        <v>1213</v>
      </c>
      <c r="B625" s="4">
        <v>58</v>
      </c>
      <c r="C625" t="s">
        <v>1718</v>
      </c>
      <c r="D625" t="s">
        <v>1719</v>
      </c>
      <c r="E625" t="s">
        <v>309</v>
      </c>
      <c r="F625" t="s">
        <v>3664</v>
      </c>
      <c r="G625" t="s">
        <v>3665</v>
      </c>
      <c r="H625" t="s">
        <v>321</v>
      </c>
      <c r="I625" t="s">
        <v>917</v>
      </c>
      <c r="J625" t="s">
        <v>204</v>
      </c>
      <c r="K625" t="s">
        <v>204</v>
      </c>
      <c r="L625" t="s">
        <v>325</v>
      </c>
      <c r="M625" t="s">
        <v>340</v>
      </c>
      <c r="N625" t="s">
        <v>440</v>
      </c>
      <c r="O625" t="s">
        <v>339</v>
      </c>
      <c r="P625" t="s">
        <v>1212</v>
      </c>
      <c r="Q625" s="131">
        <v>1351</v>
      </c>
      <c r="R625" s="131">
        <v>1</v>
      </c>
      <c r="S625" s="131">
        <v>5597</v>
      </c>
      <c r="U625" s="131">
        <v>75.614999999999995</v>
      </c>
      <c r="V625" s="132">
        <v>1.1E-4</v>
      </c>
      <c r="W625" s="132">
        <f t="shared" si="9"/>
        <v>7.9793178229685543E-4</v>
      </c>
      <c r="X625" s="132">
        <v>1.9760943841573014E-4</v>
      </c>
    </row>
    <row r="626" spans="1:24">
      <c r="A626" t="s">
        <v>1213</v>
      </c>
      <c r="B626" s="4">
        <v>58</v>
      </c>
      <c r="C626" t="s">
        <v>3852</v>
      </c>
      <c r="D626" t="s">
        <v>3853</v>
      </c>
      <c r="E626" t="s">
        <v>309</v>
      </c>
      <c r="F626" t="s">
        <v>3854</v>
      </c>
      <c r="G626" t="s">
        <v>3855</v>
      </c>
      <c r="H626" t="s">
        <v>321</v>
      </c>
      <c r="I626" t="s">
        <v>917</v>
      </c>
      <c r="J626" t="s">
        <v>204</v>
      </c>
      <c r="K626" t="s">
        <v>204</v>
      </c>
      <c r="L626" t="s">
        <v>325</v>
      </c>
      <c r="M626" t="s">
        <v>340</v>
      </c>
      <c r="N626" t="s">
        <v>450</v>
      </c>
      <c r="O626" t="s">
        <v>339</v>
      </c>
      <c r="P626" t="s">
        <v>1212</v>
      </c>
      <c r="Q626" s="131">
        <v>33798</v>
      </c>
      <c r="R626" s="131">
        <v>1</v>
      </c>
      <c r="S626" s="131">
        <v>161</v>
      </c>
      <c r="U626" s="131">
        <v>54.414999999999999</v>
      </c>
      <c r="V626" s="132">
        <v>2.7299999999999998E-3</v>
      </c>
      <c r="W626" s="132">
        <f t="shared" si="9"/>
        <v>5.7421752210121526E-4</v>
      </c>
      <c r="X626" s="132">
        <v>1.4220614416970122E-4</v>
      </c>
    </row>
    <row r="627" spans="1:24">
      <c r="A627" t="s">
        <v>1213</v>
      </c>
      <c r="B627" s="4">
        <v>58</v>
      </c>
      <c r="C627" t="s">
        <v>3789</v>
      </c>
      <c r="D627" t="s">
        <v>3790</v>
      </c>
      <c r="E627" t="s">
        <v>309</v>
      </c>
      <c r="F627" t="s">
        <v>3791</v>
      </c>
      <c r="G627" t="s">
        <v>3792</v>
      </c>
      <c r="H627" t="s">
        <v>321</v>
      </c>
      <c r="I627" t="s">
        <v>917</v>
      </c>
      <c r="J627" t="s">
        <v>204</v>
      </c>
      <c r="K627" t="s">
        <v>204</v>
      </c>
      <c r="L627" t="s">
        <v>325</v>
      </c>
      <c r="M627" t="s">
        <v>340</v>
      </c>
      <c r="N627" t="s">
        <v>450</v>
      </c>
      <c r="O627" t="s">
        <v>339</v>
      </c>
      <c r="P627" t="s">
        <v>1212</v>
      </c>
      <c r="Q627" s="131">
        <v>25000</v>
      </c>
      <c r="R627" s="131">
        <v>1</v>
      </c>
      <c r="S627" s="131">
        <v>108.6</v>
      </c>
      <c r="U627" s="131">
        <v>27.15</v>
      </c>
      <c r="V627" s="132">
        <v>6.1999999999999998E-3</v>
      </c>
      <c r="W627" s="132">
        <f t="shared" si="9"/>
        <v>2.8650198888262416E-4</v>
      </c>
      <c r="X627" s="132">
        <v>7.0952803716022928E-5</v>
      </c>
    </row>
    <row r="628" spans="1:24">
      <c r="A628" t="s">
        <v>1213</v>
      </c>
      <c r="B628" s="4">
        <v>58</v>
      </c>
      <c r="C628" t="s">
        <v>3119</v>
      </c>
      <c r="D628" t="s">
        <v>3120</v>
      </c>
      <c r="E628" t="s">
        <v>80</v>
      </c>
      <c r="F628" t="s">
        <v>3718</v>
      </c>
      <c r="G628" t="s">
        <v>3719</v>
      </c>
      <c r="H628" t="s">
        <v>321</v>
      </c>
      <c r="I628" t="s">
        <v>917</v>
      </c>
      <c r="J628" t="s">
        <v>205</v>
      </c>
      <c r="K628" t="s">
        <v>224</v>
      </c>
      <c r="L628" t="s">
        <v>325</v>
      </c>
      <c r="M628" t="s">
        <v>344</v>
      </c>
      <c r="N628" t="s">
        <v>544</v>
      </c>
      <c r="O628" t="s">
        <v>339</v>
      </c>
      <c r="P628" t="s">
        <v>1216</v>
      </c>
      <c r="Q628" s="131">
        <v>5118</v>
      </c>
      <c r="R628" s="131">
        <v>3.71</v>
      </c>
      <c r="S628" s="131">
        <v>18633</v>
      </c>
      <c r="U628" s="131">
        <v>3537.9929999999999</v>
      </c>
      <c r="V628" s="132">
        <v>0</v>
      </c>
      <c r="W628" s="132">
        <f t="shared" si="9"/>
        <v>3.7334881442092155E-2</v>
      </c>
      <c r="X628" s="132">
        <v>9.2460597744995626E-3</v>
      </c>
    </row>
    <row r="629" spans="1:24">
      <c r="A629" t="s">
        <v>1213</v>
      </c>
      <c r="B629" s="4">
        <v>58</v>
      </c>
      <c r="C629" t="s">
        <v>3563</v>
      </c>
      <c r="D629" t="s">
        <v>3564</v>
      </c>
      <c r="E629" t="s">
        <v>80</v>
      </c>
      <c r="F629" t="s">
        <v>3565</v>
      </c>
      <c r="G629" t="s">
        <v>3566</v>
      </c>
      <c r="H629" t="s">
        <v>321</v>
      </c>
      <c r="I629" t="s">
        <v>917</v>
      </c>
      <c r="J629" t="s">
        <v>205</v>
      </c>
      <c r="K629" t="s">
        <v>224</v>
      </c>
      <c r="L629" t="s">
        <v>325</v>
      </c>
      <c r="M629" t="s">
        <v>344</v>
      </c>
      <c r="N629" t="s">
        <v>546</v>
      </c>
      <c r="O629" t="s">
        <v>339</v>
      </c>
      <c r="P629" t="s">
        <v>1216</v>
      </c>
      <c r="Q629" s="131">
        <v>3427</v>
      </c>
      <c r="R629" s="131">
        <v>3.71</v>
      </c>
      <c r="S629" s="131">
        <v>23300</v>
      </c>
      <c r="U629" s="131">
        <v>2962.402</v>
      </c>
      <c r="V629" s="132">
        <v>0</v>
      </c>
      <c r="W629" s="132">
        <f t="shared" si="9"/>
        <v>3.1260923199626652E-2</v>
      </c>
      <c r="X629" s="132">
        <v>7.7418315887275791E-3</v>
      </c>
    </row>
    <row r="630" spans="1:24">
      <c r="A630" t="s">
        <v>1213</v>
      </c>
      <c r="B630" s="4">
        <v>58</v>
      </c>
      <c r="C630" t="s">
        <v>3209</v>
      </c>
      <c r="D630" t="s">
        <v>3210</v>
      </c>
      <c r="E630" t="s">
        <v>80</v>
      </c>
      <c r="F630" t="s">
        <v>3209</v>
      </c>
      <c r="G630" t="s">
        <v>3562</v>
      </c>
      <c r="H630" t="s">
        <v>321</v>
      </c>
      <c r="I630" t="s">
        <v>917</v>
      </c>
      <c r="J630" t="s">
        <v>205</v>
      </c>
      <c r="K630" t="s">
        <v>224</v>
      </c>
      <c r="L630" t="s">
        <v>325</v>
      </c>
      <c r="M630" t="s">
        <v>340</v>
      </c>
      <c r="N630" t="s">
        <v>545</v>
      </c>
      <c r="O630" t="s">
        <v>339</v>
      </c>
      <c r="P630" t="s">
        <v>1216</v>
      </c>
      <c r="Q630" s="131">
        <v>913</v>
      </c>
      <c r="R630" s="131">
        <v>3.71</v>
      </c>
      <c r="S630" s="131">
        <v>57244</v>
      </c>
      <c r="U630" s="131">
        <v>1938.9860000000001</v>
      </c>
      <c r="V630" s="132">
        <v>0</v>
      </c>
      <c r="W630" s="132">
        <f t="shared" si="9"/>
        <v>2.0461265024514324E-2</v>
      </c>
      <c r="X630" s="132">
        <v>5.0672741460816373E-3</v>
      </c>
    </row>
    <row r="631" spans="1:24">
      <c r="A631" t="s">
        <v>1213</v>
      </c>
      <c r="B631" s="4">
        <v>58</v>
      </c>
      <c r="C631" t="s">
        <v>3550</v>
      </c>
      <c r="D631" t="s">
        <v>3551</v>
      </c>
      <c r="E631" t="s">
        <v>80</v>
      </c>
      <c r="F631" t="s">
        <v>3552</v>
      </c>
      <c r="G631" t="s">
        <v>3553</v>
      </c>
      <c r="H631" t="s">
        <v>321</v>
      </c>
      <c r="I631" t="s">
        <v>917</v>
      </c>
      <c r="J631" t="s">
        <v>205</v>
      </c>
      <c r="K631" t="s">
        <v>224</v>
      </c>
      <c r="L631" t="s">
        <v>325</v>
      </c>
      <c r="M631" t="s">
        <v>344</v>
      </c>
      <c r="N631" t="s">
        <v>544</v>
      </c>
      <c r="O631" t="s">
        <v>339</v>
      </c>
      <c r="P631" t="s">
        <v>1216</v>
      </c>
      <c r="Q631" s="131">
        <v>1150</v>
      </c>
      <c r="R631" s="131">
        <v>3.71</v>
      </c>
      <c r="S631" s="131">
        <v>43030</v>
      </c>
      <c r="U631" s="131">
        <v>1835.875</v>
      </c>
      <c r="V631" s="132">
        <v>0</v>
      </c>
      <c r="W631" s="132">
        <f t="shared" si="9"/>
        <v>1.93731800677675E-2</v>
      </c>
      <c r="X631" s="132">
        <v>4.7978076803739814E-3</v>
      </c>
    </row>
    <row r="632" spans="1:24">
      <c r="A632" t="s">
        <v>1213</v>
      </c>
      <c r="B632" s="4">
        <v>58</v>
      </c>
      <c r="C632" t="s">
        <v>3797</v>
      </c>
      <c r="D632" t="s">
        <v>3798</v>
      </c>
      <c r="E632" t="s">
        <v>80</v>
      </c>
      <c r="F632" t="s">
        <v>3799</v>
      </c>
      <c r="G632" t="s">
        <v>3800</v>
      </c>
      <c r="H632" t="s">
        <v>321</v>
      </c>
      <c r="I632" t="s">
        <v>917</v>
      </c>
      <c r="J632" t="s">
        <v>205</v>
      </c>
      <c r="K632" t="s">
        <v>224</v>
      </c>
      <c r="L632" t="s">
        <v>325</v>
      </c>
      <c r="M632" t="s">
        <v>344</v>
      </c>
      <c r="N632" t="s">
        <v>548</v>
      </c>
      <c r="O632" t="s">
        <v>339</v>
      </c>
      <c r="P632" t="s">
        <v>1216</v>
      </c>
      <c r="Q632" s="131">
        <v>19359</v>
      </c>
      <c r="R632" s="131">
        <v>3.71</v>
      </c>
      <c r="S632" s="131">
        <v>2291</v>
      </c>
      <c r="U632" s="131">
        <v>1645.4390000000001</v>
      </c>
      <c r="V632" s="132">
        <v>3.4000000000000002E-4</v>
      </c>
      <c r="W632" s="132">
        <f t="shared" si="9"/>
        <v>1.7363592857644061E-2</v>
      </c>
      <c r="X632" s="132">
        <v>4.3001292962684739E-3</v>
      </c>
    </row>
    <row r="633" spans="1:24">
      <c r="A633" t="s">
        <v>1213</v>
      </c>
      <c r="B633" s="4">
        <v>58</v>
      </c>
      <c r="C633" t="s">
        <v>3544</v>
      </c>
      <c r="D633" t="s">
        <v>3545</v>
      </c>
      <c r="E633" t="s">
        <v>80</v>
      </c>
      <c r="F633" t="s">
        <v>3546</v>
      </c>
      <c r="G633" t="s">
        <v>3547</v>
      </c>
      <c r="H633" t="s">
        <v>321</v>
      </c>
      <c r="I633" t="s">
        <v>917</v>
      </c>
      <c r="J633" t="s">
        <v>205</v>
      </c>
      <c r="K633" t="s">
        <v>224</v>
      </c>
      <c r="L633" t="s">
        <v>325</v>
      </c>
      <c r="M633" t="s">
        <v>344</v>
      </c>
      <c r="N633" t="s">
        <v>545</v>
      </c>
      <c r="O633" t="s">
        <v>339</v>
      </c>
      <c r="P633" t="s">
        <v>1216</v>
      </c>
      <c r="Q633" s="131">
        <v>2469</v>
      </c>
      <c r="R633" s="131">
        <v>3.71</v>
      </c>
      <c r="S633" s="131">
        <v>16719</v>
      </c>
      <c r="U633" s="131">
        <v>1531.4590000000001</v>
      </c>
      <c r="V633" s="132">
        <v>0</v>
      </c>
      <c r="W633" s="132">
        <f t="shared" si="9"/>
        <v>1.6160812132309198E-2</v>
      </c>
      <c r="X633" s="132">
        <v>4.0022581888079839E-3</v>
      </c>
    </row>
    <row r="634" spans="1:24">
      <c r="A634" t="s">
        <v>1213</v>
      </c>
      <c r="B634" s="4">
        <v>58</v>
      </c>
      <c r="C634" t="s">
        <v>3801</v>
      </c>
      <c r="D634" t="s">
        <v>3802</v>
      </c>
      <c r="E634" t="s">
        <v>80</v>
      </c>
      <c r="F634" t="s">
        <v>3803</v>
      </c>
      <c r="G634" t="s">
        <v>3804</v>
      </c>
      <c r="H634" t="s">
        <v>321</v>
      </c>
      <c r="I634" t="s">
        <v>917</v>
      </c>
      <c r="J634" t="s">
        <v>205</v>
      </c>
      <c r="K634" t="s">
        <v>224</v>
      </c>
      <c r="L634" t="s">
        <v>325</v>
      </c>
      <c r="M634" t="s">
        <v>344</v>
      </c>
      <c r="N634" t="s">
        <v>548</v>
      </c>
      <c r="O634" t="s">
        <v>339</v>
      </c>
      <c r="P634" t="s">
        <v>1216</v>
      </c>
      <c r="Q634" s="131">
        <v>2260</v>
      </c>
      <c r="R634" s="131">
        <v>3.71</v>
      </c>
      <c r="S634" s="131">
        <v>12144</v>
      </c>
      <c r="T634" s="131">
        <f>0.017+20.756/1000/R634</f>
        <v>2.2594609164420486E-2</v>
      </c>
      <c r="U634" s="131">
        <f>1018.289+20.756/1000</f>
        <v>1018.309756</v>
      </c>
      <c r="V634" s="132">
        <v>0</v>
      </c>
      <c r="W634" s="132">
        <f t="shared" si="9"/>
        <v>1.0745774231770892E-2</v>
      </c>
      <c r="X634" s="132">
        <v>2.6612129738334883E-3</v>
      </c>
    </row>
    <row r="635" spans="1:24">
      <c r="A635" t="s">
        <v>1213</v>
      </c>
      <c r="B635" s="4">
        <v>58</v>
      </c>
      <c r="C635" t="s">
        <v>3809</v>
      </c>
      <c r="D635" t="s">
        <v>3810</v>
      </c>
      <c r="E635" t="s">
        <v>309</v>
      </c>
      <c r="F635" t="s">
        <v>3811</v>
      </c>
      <c r="G635" t="s">
        <v>3812</v>
      </c>
      <c r="H635" t="s">
        <v>321</v>
      </c>
      <c r="I635" t="s">
        <v>917</v>
      </c>
      <c r="J635" t="s">
        <v>205</v>
      </c>
      <c r="K635" t="s">
        <v>204</v>
      </c>
      <c r="L635" t="s">
        <v>325</v>
      </c>
      <c r="M635" t="s">
        <v>346</v>
      </c>
      <c r="N635" t="s">
        <v>546</v>
      </c>
      <c r="O635" t="s">
        <v>339</v>
      </c>
      <c r="P635" t="s">
        <v>1216</v>
      </c>
      <c r="Q635" s="131">
        <v>19358</v>
      </c>
      <c r="R635" s="131">
        <v>3.71</v>
      </c>
      <c r="S635" s="131">
        <v>191</v>
      </c>
      <c r="U635" s="131">
        <v>137.173</v>
      </c>
      <c r="V635" s="132">
        <v>2.5000000000000001E-4</v>
      </c>
      <c r="W635" s="132">
        <f t="shared" si="9"/>
        <v>1.447526236500781E-3</v>
      </c>
      <c r="X635" s="132">
        <v>3.5848283403823255E-4</v>
      </c>
    </row>
    <row r="636" spans="1:24">
      <c r="A636" t="s">
        <v>1213</v>
      </c>
      <c r="B636" s="4">
        <v>58</v>
      </c>
      <c r="C636" t="s">
        <v>3813</v>
      </c>
      <c r="D636" t="s">
        <v>3814</v>
      </c>
      <c r="E636" t="s">
        <v>311</v>
      </c>
      <c r="F636" t="s">
        <v>3815</v>
      </c>
      <c r="G636" t="s">
        <v>3816</v>
      </c>
      <c r="H636" t="s">
        <v>321</v>
      </c>
      <c r="I636" t="s">
        <v>917</v>
      </c>
      <c r="J636" t="s">
        <v>205</v>
      </c>
      <c r="K636" t="s">
        <v>224</v>
      </c>
      <c r="L636" t="s">
        <v>325</v>
      </c>
      <c r="M636" t="s">
        <v>346</v>
      </c>
      <c r="N636" t="s">
        <v>486</v>
      </c>
      <c r="O636" t="s">
        <v>339</v>
      </c>
      <c r="P636" t="s">
        <v>1216</v>
      </c>
      <c r="Q636" s="131">
        <v>3517</v>
      </c>
      <c r="R636" s="131">
        <v>3.71</v>
      </c>
      <c r="S636" s="131">
        <v>702</v>
      </c>
      <c r="U636" s="131">
        <v>91.596999999999994</v>
      </c>
      <c r="V636" s="132">
        <v>3.0000000000000001E-5</v>
      </c>
      <c r="W636" s="132">
        <f t="shared" si="9"/>
        <v>9.6658278731792723E-4</v>
      </c>
      <c r="X636" s="132">
        <v>2.3937620486101481E-4</v>
      </c>
    </row>
    <row r="637" spans="1:24">
      <c r="A637" t="s">
        <v>1213</v>
      </c>
      <c r="B637" s="4">
        <v>58</v>
      </c>
      <c r="C637" t="s">
        <v>3793</v>
      </c>
      <c r="D637" t="s">
        <v>3794</v>
      </c>
      <c r="E637" t="s">
        <v>309</v>
      </c>
      <c r="F637" t="s">
        <v>3795</v>
      </c>
      <c r="G637" t="s">
        <v>3796</v>
      </c>
      <c r="H637" t="s">
        <v>321</v>
      </c>
      <c r="I637" t="s">
        <v>917</v>
      </c>
      <c r="J637" t="s">
        <v>205</v>
      </c>
      <c r="K637" t="s">
        <v>204</v>
      </c>
      <c r="L637" t="s">
        <v>325</v>
      </c>
      <c r="M637" t="s">
        <v>346</v>
      </c>
      <c r="N637" t="s">
        <v>544</v>
      </c>
      <c r="O637" t="s">
        <v>339</v>
      </c>
      <c r="P637" t="s">
        <v>1216</v>
      </c>
      <c r="Q637" s="131">
        <v>3350.8</v>
      </c>
      <c r="R637" s="131">
        <v>3.71</v>
      </c>
      <c r="S637" s="131">
        <v>706</v>
      </c>
      <c r="U637" s="131">
        <v>87.766000000000005</v>
      </c>
      <c r="V637" s="132">
        <v>3.1E-4</v>
      </c>
      <c r="W637" s="132">
        <f t="shared" si="9"/>
        <v>9.2615593209106417E-4</v>
      </c>
      <c r="X637" s="132">
        <v>2.2936441145268762E-4</v>
      </c>
    </row>
    <row r="638" spans="1:24">
      <c r="A638" t="s">
        <v>1213</v>
      </c>
      <c r="B638" s="4">
        <v>58</v>
      </c>
      <c r="C638" t="s">
        <v>3825</v>
      </c>
      <c r="D638" t="s">
        <v>3826</v>
      </c>
      <c r="E638" t="s">
        <v>80</v>
      </c>
      <c r="F638" t="s">
        <v>3827</v>
      </c>
      <c r="G638" t="s">
        <v>3828</v>
      </c>
      <c r="H638" t="s">
        <v>321</v>
      </c>
      <c r="I638" t="s">
        <v>917</v>
      </c>
      <c r="J638" t="s">
        <v>205</v>
      </c>
      <c r="K638" t="s">
        <v>272</v>
      </c>
      <c r="L638" t="s">
        <v>325</v>
      </c>
      <c r="M638" t="s">
        <v>314</v>
      </c>
      <c r="N638" t="s">
        <v>568</v>
      </c>
      <c r="O638" t="s">
        <v>339</v>
      </c>
      <c r="P638" t="s">
        <v>1218</v>
      </c>
      <c r="Q638" s="131">
        <v>6425</v>
      </c>
      <c r="R638" s="131">
        <v>4.1524000000000001</v>
      </c>
      <c r="S638" s="131">
        <v>102</v>
      </c>
      <c r="U638" s="131">
        <v>27.213000000000001</v>
      </c>
      <c r="V638" s="132">
        <v>1E-4</v>
      </c>
      <c r="W638" s="132">
        <f t="shared" si="9"/>
        <v>2.8716680012754516E-4</v>
      </c>
      <c r="X638" s="132">
        <v>7.1117445580999334E-5</v>
      </c>
    </row>
    <row r="639" spans="1:24">
      <c r="A639" t="s">
        <v>1213</v>
      </c>
      <c r="B639" s="4">
        <v>58</v>
      </c>
      <c r="C639" t="s">
        <v>3817</v>
      </c>
      <c r="D639" t="s">
        <v>3818</v>
      </c>
      <c r="E639" t="s">
        <v>80</v>
      </c>
      <c r="F639" t="s">
        <v>3819</v>
      </c>
      <c r="G639" t="s">
        <v>3820</v>
      </c>
      <c r="H639" t="s">
        <v>321</v>
      </c>
      <c r="I639" t="s">
        <v>917</v>
      </c>
      <c r="J639" t="s">
        <v>205</v>
      </c>
      <c r="K639" t="s">
        <v>224</v>
      </c>
      <c r="L639" t="s">
        <v>325</v>
      </c>
      <c r="M639" t="s">
        <v>344</v>
      </c>
      <c r="N639" t="s">
        <v>569</v>
      </c>
      <c r="O639" t="s">
        <v>339</v>
      </c>
      <c r="P639" t="s">
        <v>1216</v>
      </c>
      <c r="Q639" s="131">
        <v>0</v>
      </c>
      <c r="R639" s="131">
        <v>3.71</v>
      </c>
      <c r="S639" s="131">
        <v>0</v>
      </c>
      <c r="T639" s="131">
        <v>2.4500000000000002</v>
      </c>
      <c r="U639" s="131">
        <v>9.0890000000000004</v>
      </c>
      <c r="V639" t="s">
        <v>1871</v>
      </c>
      <c r="W639" s="132">
        <f t="shared" si="9"/>
        <v>9.591221277915916E-5</v>
      </c>
      <c r="X639" s="132">
        <v>2.375285572651685E-5</v>
      </c>
    </row>
    <row r="640" spans="1:24">
      <c r="A640" t="s">
        <v>1213</v>
      </c>
      <c r="B640" s="4">
        <v>58</v>
      </c>
      <c r="C640" t="s">
        <v>3825</v>
      </c>
      <c r="D640" t="s">
        <v>3826</v>
      </c>
      <c r="E640" t="s">
        <v>80</v>
      </c>
      <c r="F640" t="s">
        <v>3829</v>
      </c>
      <c r="G640" t="s">
        <v>3830</v>
      </c>
      <c r="H640" t="s">
        <v>321</v>
      </c>
      <c r="I640" t="s">
        <v>917</v>
      </c>
      <c r="J640" t="s">
        <v>205</v>
      </c>
      <c r="K640" t="s">
        <v>272</v>
      </c>
      <c r="L640" s="134"/>
      <c r="M640" t="s">
        <v>314</v>
      </c>
      <c r="N640" t="s">
        <v>568</v>
      </c>
      <c r="O640" t="s">
        <v>339</v>
      </c>
      <c r="P640" t="s">
        <v>1218</v>
      </c>
      <c r="Q640" s="131">
        <v>6425</v>
      </c>
      <c r="R640" s="131">
        <v>4.1524000000000001</v>
      </c>
      <c r="S640" s="131">
        <v>0</v>
      </c>
      <c r="U640" s="131">
        <v>0</v>
      </c>
      <c r="W640" s="132">
        <f t="shared" si="9"/>
        <v>0</v>
      </c>
      <c r="X640" s="132">
        <v>0</v>
      </c>
    </row>
    <row r="641" spans="1:24">
      <c r="A641" t="s">
        <v>1213</v>
      </c>
      <c r="B641" s="4">
        <v>62</v>
      </c>
      <c r="C641" t="s">
        <v>1600</v>
      </c>
      <c r="D641" t="s">
        <v>1601</v>
      </c>
      <c r="E641" t="s">
        <v>309</v>
      </c>
      <c r="F641" t="s">
        <v>1600</v>
      </c>
      <c r="G641" t="s">
        <v>3406</v>
      </c>
      <c r="H641" t="s">
        <v>321</v>
      </c>
      <c r="I641" t="s">
        <v>917</v>
      </c>
      <c r="J641" t="s">
        <v>204</v>
      </c>
      <c r="K641" t="s">
        <v>204</v>
      </c>
      <c r="L641" t="s">
        <v>325</v>
      </c>
      <c r="M641" t="s">
        <v>340</v>
      </c>
      <c r="N641" t="s">
        <v>448</v>
      </c>
      <c r="O641" t="s">
        <v>339</v>
      </c>
      <c r="P641" t="s">
        <v>1212</v>
      </c>
      <c r="Q641" s="131">
        <v>976719</v>
      </c>
      <c r="R641" s="131">
        <v>1</v>
      </c>
      <c r="S641" s="131">
        <v>3729</v>
      </c>
      <c r="U641" s="131">
        <v>36421.851999999999</v>
      </c>
      <c r="V641" s="132">
        <v>7.2999999999999996E-4</v>
      </c>
      <c r="W641" s="132">
        <f t="shared" si="9"/>
        <v>7.5282964115685649E-2</v>
      </c>
      <c r="X641" s="132">
        <v>8.180865973952723E-3</v>
      </c>
    </row>
    <row r="642" spans="1:24">
      <c r="A642" t="s">
        <v>1213</v>
      </c>
      <c r="B642" s="4">
        <v>62</v>
      </c>
      <c r="C642" t="s">
        <v>1573</v>
      </c>
      <c r="D642" t="s">
        <v>1574</v>
      </c>
      <c r="E642" t="s">
        <v>309</v>
      </c>
      <c r="F642" t="s">
        <v>1573</v>
      </c>
      <c r="G642" t="s">
        <v>3404</v>
      </c>
      <c r="H642" t="s">
        <v>321</v>
      </c>
      <c r="I642" t="s">
        <v>917</v>
      </c>
      <c r="J642" t="s">
        <v>204</v>
      </c>
      <c r="K642" t="s">
        <v>204</v>
      </c>
      <c r="L642" t="s">
        <v>325</v>
      </c>
      <c r="M642" t="s">
        <v>340</v>
      </c>
      <c r="N642" t="s">
        <v>448</v>
      </c>
      <c r="O642" t="s">
        <v>339</v>
      </c>
      <c r="P642" t="s">
        <v>1212</v>
      </c>
      <c r="Q642" s="131">
        <v>938707</v>
      </c>
      <c r="R642" s="131">
        <v>1</v>
      </c>
      <c r="S642" s="131">
        <v>3644</v>
      </c>
      <c r="U642" s="131">
        <v>34206.483</v>
      </c>
      <c r="V642" s="132">
        <v>5.8E-4</v>
      </c>
      <c r="W642" s="132">
        <f t="shared" si="9"/>
        <v>7.0703857459329944E-2</v>
      </c>
      <c r="X642" s="132">
        <v>7.6832625881652662E-3</v>
      </c>
    </row>
    <row r="643" spans="1:24">
      <c r="A643" t="s">
        <v>1213</v>
      </c>
      <c r="B643" s="4">
        <v>62</v>
      </c>
      <c r="C643" t="s">
        <v>3113</v>
      </c>
      <c r="D643" t="s">
        <v>3114</v>
      </c>
      <c r="E643" t="s">
        <v>309</v>
      </c>
      <c r="F643" t="s">
        <v>3113</v>
      </c>
      <c r="G643" t="s">
        <v>3413</v>
      </c>
      <c r="H643" t="s">
        <v>321</v>
      </c>
      <c r="I643" t="s">
        <v>917</v>
      </c>
      <c r="J643" t="s">
        <v>204</v>
      </c>
      <c r="K643" t="s">
        <v>204</v>
      </c>
      <c r="L643" t="s">
        <v>325</v>
      </c>
      <c r="M643" t="s">
        <v>340</v>
      </c>
      <c r="N643" t="s">
        <v>448</v>
      </c>
      <c r="O643" t="s">
        <v>339</v>
      </c>
      <c r="P643" t="s">
        <v>1212</v>
      </c>
      <c r="Q643" s="131">
        <v>815897</v>
      </c>
      <c r="R643" s="131">
        <v>1</v>
      </c>
      <c r="S643" s="131">
        <v>2085</v>
      </c>
      <c r="U643" s="131">
        <v>17011.452000000001</v>
      </c>
      <c r="V643" s="132">
        <v>6.6E-4</v>
      </c>
      <c r="W643" s="132">
        <f t="shared" ref="W643:W706" si="10">U643/SUMIF(B:B,B643,U:U)</f>
        <v>3.5162202363342457E-2</v>
      </c>
      <c r="X643" s="132">
        <v>3.8210140668939628E-3</v>
      </c>
    </row>
    <row r="644" spans="1:24">
      <c r="A644" t="s">
        <v>1213</v>
      </c>
      <c r="B644" s="4">
        <v>62</v>
      </c>
      <c r="C644" t="s">
        <v>2089</v>
      </c>
      <c r="D644" t="s">
        <v>2090</v>
      </c>
      <c r="E644" t="s">
        <v>309</v>
      </c>
      <c r="F644" t="s">
        <v>2089</v>
      </c>
      <c r="G644" t="s">
        <v>3405</v>
      </c>
      <c r="H644" t="s">
        <v>321</v>
      </c>
      <c r="I644" t="s">
        <v>917</v>
      </c>
      <c r="J644" t="s">
        <v>204</v>
      </c>
      <c r="K644" t="s">
        <v>204</v>
      </c>
      <c r="L644" t="s">
        <v>325</v>
      </c>
      <c r="M644" t="s">
        <v>340</v>
      </c>
      <c r="N644" t="s">
        <v>467</v>
      </c>
      <c r="O644" t="s">
        <v>339</v>
      </c>
      <c r="P644" t="s">
        <v>1212</v>
      </c>
      <c r="Q644" s="131">
        <v>253322</v>
      </c>
      <c r="R644" s="131">
        <v>1</v>
      </c>
      <c r="S644" s="131">
        <v>6629</v>
      </c>
      <c r="U644" s="131">
        <v>16792.715</v>
      </c>
      <c r="V644" s="132">
        <v>2.0000000000000001E-4</v>
      </c>
      <c r="W644" s="132">
        <f t="shared" si="10"/>
        <v>3.4710079013827638E-2</v>
      </c>
      <c r="X644" s="132">
        <v>3.7718826256771761E-3</v>
      </c>
    </row>
    <row r="645" spans="1:24">
      <c r="A645" t="s">
        <v>1213</v>
      </c>
      <c r="B645" s="4">
        <v>62</v>
      </c>
      <c r="C645" t="s">
        <v>2361</v>
      </c>
      <c r="D645" t="s">
        <v>2362</v>
      </c>
      <c r="E645" t="s">
        <v>309</v>
      </c>
      <c r="F645" t="s">
        <v>2361</v>
      </c>
      <c r="G645" t="s">
        <v>3440</v>
      </c>
      <c r="H645" t="s">
        <v>321</v>
      </c>
      <c r="I645" t="s">
        <v>917</v>
      </c>
      <c r="J645" t="s">
        <v>204</v>
      </c>
      <c r="K645" t="s">
        <v>204</v>
      </c>
      <c r="L645" t="s">
        <v>325</v>
      </c>
      <c r="M645" t="s">
        <v>340</v>
      </c>
      <c r="N645" t="s">
        <v>446</v>
      </c>
      <c r="O645" t="s">
        <v>339</v>
      </c>
      <c r="P645" t="s">
        <v>1212</v>
      </c>
      <c r="Q645" s="131">
        <v>18806</v>
      </c>
      <c r="R645" s="131">
        <v>1</v>
      </c>
      <c r="S645" s="131">
        <v>74080</v>
      </c>
      <c r="U645" s="131">
        <v>13931.485000000001</v>
      </c>
      <c r="V645" s="132">
        <v>4.2000000000000002E-4</v>
      </c>
      <c r="W645" s="132">
        <f t="shared" si="10"/>
        <v>2.8795995473629762E-2</v>
      </c>
      <c r="X645" s="132">
        <v>3.1292096734436446E-3</v>
      </c>
    </row>
    <row r="646" spans="1:24">
      <c r="A646" t="s">
        <v>1213</v>
      </c>
      <c r="B646" s="4">
        <v>62</v>
      </c>
      <c r="C646" t="s">
        <v>3683</v>
      </c>
      <c r="D646" t="s">
        <v>3684</v>
      </c>
      <c r="E646" t="s">
        <v>309</v>
      </c>
      <c r="F646" t="s">
        <v>3683</v>
      </c>
      <c r="G646" t="s">
        <v>3685</v>
      </c>
      <c r="H646" t="s">
        <v>321</v>
      </c>
      <c r="I646" t="s">
        <v>917</v>
      </c>
      <c r="J646" t="s">
        <v>204</v>
      </c>
      <c r="K646" t="s">
        <v>204</v>
      </c>
      <c r="L646" t="s">
        <v>325</v>
      </c>
      <c r="M646" t="s">
        <v>340</v>
      </c>
      <c r="N646" t="s">
        <v>451</v>
      </c>
      <c r="O646" t="s">
        <v>339</v>
      </c>
      <c r="P646" t="s">
        <v>1212</v>
      </c>
      <c r="Q646" s="131">
        <v>2260471</v>
      </c>
      <c r="R646" s="131">
        <v>1</v>
      </c>
      <c r="S646" s="131">
        <v>512</v>
      </c>
      <c r="U646" s="131">
        <v>11573.611999999999</v>
      </c>
      <c r="V646" s="132">
        <v>1.208E-2</v>
      </c>
      <c r="W646" s="132">
        <f t="shared" si="10"/>
        <v>2.3922336977396669E-2</v>
      </c>
      <c r="X646" s="132">
        <v>2.5995978624736302E-3</v>
      </c>
    </row>
    <row r="647" spans="1:24">
      <c r="A647" t="s">
        <v>1213</v>
      </c>
      <c r="B647" s="4">
        <v>62</v>
      </c>
      <c r="C647" t="s">
        <v>2228</v>
      </c>
      <c r="D647" t="s">
        <v>2229</v>
      </c>
      <c r="E647" t="s">
        <v>309</v>
      </c>
      <c r="F647" t="s">
        <v>2228</v>
      </c>
      <c r="G647" t="s">
        <v>3439</v>
      </c>
      <c r="H647" t="s">
        <v>321</v>
      </c>
      <c r="I647" t="s">
        <v>917</v>
      </c>
      <c r="J647" t="s">
        <v>204</v>
      </c>
      <c r="K647" t="s">
        <v>204</v>
      </c>
      <c r="L647" t="s">
        <v>325</v>
      </c>
      <c r="M647" t="s">
        <v>340</v>
      </c>
      <c r="N647" t="s">
        <v>441</v>
      </c>
      <c r="O647" t="s">
        <v>339</v>
      </c>
      <c r="P647" t="s">
        <v>1212</v>
      </c>
      <c r="Q647" s="131">
        <v>183476.6</v>
      </c>
      <c r="R647" s="131">
        <v>1</v>
      </c>
      <c r="S647" s="131">
        <v>6254</v>
      </c>
      <c r="U647" s="131">
        <v>11474.627</v>
      </c>
      <c r="V647" s="132">
        <v>1.5499999999999999E-3</v>
      </c>
      <c r="W647" s="132">
        <f t="shared" si="10"/>
        <v>2.3717737710918098E-2</v>
      </c>
      <c r="X647" s="132">
        <v>2.5773644236459811E-3</v>
      </c>
    </row>
    <row r="648" spans="1:24">
      <c r="A648" t="s">
        <v>1213</v>
      </c>
      <c r="B648" s="4">
        <v>62</v>
      </c>
      <c r="C648" t="s">
        <v>3821</v>
      </c>
      <c r="D648" t="s">
        <v>3822</v>
      </c>
      <c r="E648" t="s">
        <v>309</v>
      </c>
      <c r="F648" t="s">
        <v>3823</v>
      </c>
      <c r="G648" t="s">
        <v>3824</v>
      </c>
      <c r="H648" t="s">
        <v>321</v>
      </c>
      <c r="I648" t="s">
        <v>917</v>
      </c>
      <c r="J648" t="s">
        <v>204</v>
      </c>
      <c r="K648" t="s">
        <v>204</v>
      </c>
      <c r="L648" t="s">
        <v>325</v>
      </c>
      <c r="M648" t="s">
        <v>340</v>
      </c>
      <c r="N648" t="s">
        <v>475</v>
      </c>
      <c r="O648" t="s">
        <v>339</v>
      </c>
      <c r="P648" t="s">
        <v>1212</v>
      </c>
      <c r="Q648" s="131">
        <v>8370894</v>
      </c>
      <c r="R648" s="131">
        <v>1</v>
      </c>
      <c r="S648" s="131">
        <v>130</v>
      </c>
      <c r="U648" s="131">
        <v>10882.162</v>
      </c>
      <c r="V648" s="132">
        <v>4.7870000000000003E-2</v>
      </c>
      <c r="W648" s="132">
        <f t="shared" si="10"/>
        <v>2.2493128887215236E-2</v>
      </c>
      <c r="X648" s="132">
        <v>2.4442883582317921E-3</v>
      </c>
    </row>
    <row r="649" spans="1:24">
      <c r="A649" t="s">
        <v>1213</v>
      </c>
      <c r="B649" s="4">
        <v>62</v>
      </c>
      <c r="C649" t="s">
        <v>3451</v>
      </c>
      <c r="D649" t="s">
        <v>3452</v>
      </c>
      <c r="E649" t="s">
        <v>309</v>
      </c>
      <c r="F649" t="s">
        <v>3453</v>
      </c>
      <c r="G649" t="s">
        <v>3454</v>
      </c>
      <c r="H649" t="s">
        <v>321</v>
      </c>
      <c r="I649" t="s">
        <v>917</v>
      </c>
      <c r="J649" t="s">
        <v>204</v>
      </c>
      <c r="K649" t="s">
        <v>204</v>
      </c>
      <c r="L649" t="s">
        <v>325</v>
      </c>
      <c r="M649" t="s">
        <v>340</v>
      </c>
      <c r="N649" t="s">
        <v>448</v>
      </c>
      <c r="O649" t="s">
        <v>339</v>
      </c>
      <c r="P649" t="s">
        <v>1212</v>
      </c>
      <c r="Q649" s="131">
        <v>69320</v>
      </c>
      <c r="R649" s="131">
        <v>1</v>
      </c>
      <c r="S649" s="131">
        <v>15410</v>
      </c>
      <c r="U649" s="131">
        <v>10682.212</v>
      </c>
      <c r="V649" s="132">
        <v>6.8999999999999997E-4</v>
      </c>
      <c r="W649" s="132">
        <f t="shared" si="10"/>
        <v>2.2079837748836789E-2</v>
      </c>
      <c r="X649" s="132">
        <v>2.3993767444156727E-3</v>
      </c>
    </row>
    <row r="650" spans="1:24">
      <c r="A650" t="s">
        <v>1213</v>
      </c>
      <c r="B650" s="4">
        <v>62</v>
      </c>
      <c r="C650" t="s">
        <v>3410</v>
      </c>
      <c r="D650" t="s">
        <v>3411</v>
      </c>
      <c r="E650" t="s">
        <v>309</v>
      </c>
      <c r="F650" t="s">
        <v>3410</v>
      </c>
      <c r="G650" t="s">
        <v>3412</v>
      </c>
      <c r="H650" t="s">
        <v>321</v>
      </c>
      <c r="I650" t="s">
        <v>917</v>
      </c>
      <c r="J650" t="s">
        <v>204</v>
      </c>
      <c r="K650" t="s">
        <v>204</v>
      </c>
      <c r="L650" t="s">
        <v>325</v>
      </c>
      <c r="M650" t="s">
        <v>340</v>
      </c>
      <c r="N650" t="s">
        <v>480</v>
      </c>
      <c r="O650" t="s">
        <v>339</v>
      </c>
      <c r="P650" t="s">
        <v>1212</v>
      </c>
      <c r="Q650" s="131">
        <v>16083</v>
      </c>
      <c r="R650" s="131">
        <v>1</v>
      </c>
      <c r="S650" s="131">
        <v>64880</v>
      </c>
      <c r="U650" s="131">
        <v>10434.65</v>
      </c>
      <c r="V650" s="132">
        <v>2.2000000000000001E-4</v>
      </c>
      <c r="W650" s="132">
        <f t="shared" si="10"/>
        <v>2.1568133918883074E-2</v>
      </c>
      <c r="X650" s="132">
        <v>2.3437707982313961E-3</v>
      </c>
    </row>
    <row r="651" spans="1:24">
      <c r="A651" t="s">
        <v>1213</v>
      </c>
      <c r="B651" s="4">
        <v>62</v>
      </c>
      <c r="C651" t="s">
        <v>2436</v>
      </c>
      <c r="D651" t="s">
        <v>2437</v>
      </c>
      <c r="E651" t="s">
        <v>309</v>
      </c>
      <c r="F651" t="s">
        <v>2436</v>
      </c>
      <c r="G651" t="s">
        <v>3426</v>
      </c>
      <c r="H651" t="s">
        <v>321</v>
      </c>
      <c r="I651" t="s">
        <v>917</v>
      </c>
      <c r="J651" t="s">
        <v>204</v>
      </c>
      <c r="K651" t="s">
        <v>204</v>
      </c>
      <c r="L651" t="s">
        <v>325</v>
      </c>
      <c r="M651" t="s">
        <v>340</v>
      </c>
      <c r="N651" t="s">
        <v>475</v>
      </c>
      <c r="O651" t="s">
        <v>339</v>
      </c>
      <c r="P651" t="s">
        <v>1212</v>
      </c>
      <c r="Q651" s="131">
        <v>303307</v>
      </c>
      <c r="R651" s="131">
        <v>1</v>
      </c>
      <c r="S651" s="131">
        <v>3310</v>
      </c>
      <c r="U651" s="131">
        <v>10039.462</v>
      </c>
      <c r="V651" s="132">
        <v>1.1000000000000001E-3</v>
      </c>
      <c r="W651" s="132">
        <f t="shared" si="10"/>
        <v>2.0751291216239903E-2</v>
      </c>
      <c r="X651" s="132">
        <v>2.2550059528162201E-3</v>
      </c>
    </row>
    <row r="652" spans="1:24">
      <c r="A652" t="s">
        <v>1213</v>
      </c>
      <c r="B652" s="4">
        <v>62</v>
      </c>
      <c r="C652" t="s">
        <v>3415</v>
      </c>
      <c r="D652" t="s">
        <v>3416</v>
      </c>
      <c r="E652" t="s">
        <v>309</v>
      </c>
      <c r="F652" t="s">
        <v>3415</v>
      </c>
      <c r="G652" t="s">
        <v>3417</v>
      </c>
      <c r="H652" t="s">
        <v>321</v>
      </c>
      <c r="I652" t="s">
        <v>917</v>
      </c>
      <c r="J652" t="s">
        <v>204</v>
      </c>
      <c r="K652" t="s">
        <v>204</v>
      </c>
      <c r="L652" t="s">
        <v>325</v>
      </c>
      <c r="M652" t="s">
        <v>340</v>
      </c>
      <c r="N652" t="s">
        <v>458</v>
      </c>
      <c r="O652" t="s">
        <v>339</v>
      </c>
      <c r="P652" t="s">
        <v>1212</v>
      </c>
      <c r="Q652" s="131">
        <v>12607</v>
      </c>
      <c r="R652" s="131">
        <v>1</v>
      </c>
      <c r="S652" s="131">
        <v>77890</v>
      </c>
      <c r="U652" s="131">
        <v>9819.5920000000006</v>
      </c>
      <c r="V652" s="132">
        <v>4.2999999999999999E-4</v>
      </c>
      <c r="W652" s="132">
        <f t="shared" si="10"/>
        <v>2.0296825986956236E-2</v>
      </c>
      <c r="X652" s="132">
        <v>2.2056200236851868E-3</v>
      </c>
    </row>
    <row r="653" spans="1:24">
      <c r="A653" t="s">
        <v>1213</v>
      </c>
      <c r="B653" s="4">
        <v>62</v>
      </c>
      <c r="C653" t="s">
        <v>1674</v>
      </c>
      <c r="D653" t="s">
        <v>1675</v>
      </c>
      <c r="E653" t="s">
        <v>309</v>
      </c>
      <c r="F653" t="s">
        <v>1674</v>
      </c>
      <c r="G653" t="s">
        <v>3464</v>
      </c>
      <c r="H653" t="s">
        <v>321</v>
      </c>
      <c r="I653" t="s">
        <v>917</v>
      </c>
      <c r="J653" t="s">
        <v>204</v>
      </c>
      <c r="K653" t="s">
        <v>204</v>
      </c>
      <c r="L653" t="s">
        <v>325</v>
      </c>
      <c r="M653" t="s">
        <v>340</v>
      </c>
      <c r="N653" t="s">
        <v>464</v>
      </c>
      <c r="O653" t="s">
        <v>339</v>
      </c>
      <c r="P653" t="s">
        <v>1212</v>
      </c>
      <c r="Q653" s="131">
        <v>21624</v>
      </c>
      <c r="R653" s="131">
        <v>1</v>
      </c>
      <c r="S653" s="131">
        <v>41490</v>
      </c>
      <c r="U653" s="131">
        <v>8971.7980000000007</v>
      </c>
      <c r="V653" s="132">
        <v>8.8000000000000003E-4</v>
      </c>
      <c r="W653" s="132">
        <f t="shared" si="10"/>
        <v>1.854445915839701E-2</v>
      </c>
      <c r="X653" s="132">
        <v>2.0151934334195058E-3</v>
      </c>
    </row>
    <row r="654" spans="1:24">
      <c r="A654" t="s">
        <v>1213</v>
      </c>
      <c r="B654" s="4">
        <v>62</v>
      </c>
      <c r="C654" t="s">
        <v>1881</v>
      </c>
      <c r="D654" t="s">
        <v>1882</v>
      </c>
      <c r="E654" t="s">
        <v>309</v>
      </c>
      <c r="F654" t="s">
        <v>3407</v>
      </c>
      <c r="G654" t="s">
        <v>3408</v>
      </c>
      <c r="H654" t="s">
        <v>321</v>
      </c>
      <c r="I654" t="s">
        <v>917</v>
      </c>
      <c r="J654" t="s">
        <v>204</v>
      </c>
      <c r="K654" t="s">
        <v>204</v>
      </c>
      <c r="L654" t="s">
        <v>325</v>
      </c>
      <c r="M654" t="s">
        <v>340</v>
      </c>
      <c r="N654" t="s">
        <v>448</v>
      </c>
      <c r="O654" t="s">
        <v>339</v>
      </c>
      <c r="P654" t="s">
        <v>1212</v>
      </c>
      <c r="Q654" s="131">
        <v>56241</v>
      </c>
      <c r="R654" s="131">
        <v>1</v>
      </c>
      <c r="S654" s="131">
        <v>14550</v>
      </c>
      <c r="U654" s="131">
        <v>8183.0659999999998</v>
      </c>
      <c r="V654" s="132">
        <v>2.2000000000000001E-4</v>
      </c>
      <c r="W654" s="132">
        <f t="shared" si="10"/>
        <v>1.6914171855793806E-2</v>
      </c>
      <c r="X654" s="132">
        <v>1.8380330083711672E-3</v>
      </c>
    </row>
    <row r="655" spans="1:24">
      <c r="A655" t="s">
        <v>1213</v>
      </c>
      <c r="B655" s="4">
        <v>62</v>
      </c>
      <c r="C655" t="s">
        <v>1861</v>
      </c>
      <c r="D655" t="s">
        <v>1862</v>
      </c>
      <c r="E655" t="s">
        <v>309</v>
      </c>
      <c r="F655" t="s">
        <v>1861</v>
      </c>
      <c r="G655" t="s">
        <v>3460</v>
      </c>
      <c r="H655" t="s">
        <v>321</v>
      </c>
      <c r="I655" t="s">
        <v>917</v>
      </c>
      <c r="J655" t="s">
        <v>204</v>
      </c>
      <c r="K655" t="s">
        <v>204</v>
      </c>
      <c r="L655" t="s">
        <v>325</v>
      </c>
      <c r="M655" t="s">
        <v>340</v>
      </c>
      <c r="N655" t="s">
        <v>464</v>
      </c>
      <c r="O655" t="s">
        <v>339</v>
      </c>
      <c r="P655" t="s">
        <v>1212</v>
      </c>
      <c r="Q655" s="131">
        <v>28792</v>
      </c>
      <c r="R655" s="131">
        <v>1</v>
      </c>
      <c r="S655" s="131">
        <v>28210</v>
      </c>
      <c r="U655" s="131">
        <v>8122.223</v>
      </c>
      <c r="V655" s="132">
        <v>6.0999999999999997E-4</v>
      </c>
      <c r="W655" s="132">
        <f t="shared" si="10"/>
        <v>1.6788411051931042E-2</v>
      </c>
      <c r="X655" s="132">
        <v>1.8243668052233095E-3</v>
      </c>
    </row>
    <row r="656" spans="1:24">
      <c r="A656" t="s">
        <v>1213</v>
      </c>
      <c r="B656" s="4">
        <v>62</v>
      </c>
      <c r="C656" t="s">
        <v>2348</v>
      </c>
      <c r="D656" t="s">
        <v>2349</v>
      </c>
      <c r="E656" t="s">
        <v>309</v>
      </c>
      <c r="F656" t="s">
        <v>2348</v>
      </c>
      <c r="G656" t="s">
        <v>3446</v>
      </c>
      <c r="H656" t="s">
        <v>321</v>
      </c>
      <c r="I656" t="s">
        <v>917</v>
      </c>
      <c r="J656" t="s">
        <v>204</v>
      </c>
      <c r="K656" t="s">
        <v>204</v>
      </c>
      <c r="L656" t="s">
        <v>325</v>
      </c>
      <c r="M656" t="s">
        <v>340</v>
      </c>
      <c r="N656" t="s">
        <v>456</v>
      </c>
      <c r="O656" t="s">
        <v>339</v>
      </c>
      <c r="P656" t="s">
        <v>1212</v>
      </c>
      <c r="Q656" s="131">
        <v>497867</v>
      </c>
      <c r="R656" s="131">
        <v>1</v>
      </c>
      <c r="S656" s="131">
        <v>1588</v>
      </c>
      <c r="U656" s="131">
        <v>7906.1279999999997</v>
      </c>
      <c r="V656" s="132">
        <v>3.8000000000000002E-4</v>
      </c>
      <c r="W656" s="132">
        <f t="shared" si="10"/>
        <v>1.6341748643589501E-2</v>
      </c>
      <c r="X656" s="132">
        <v>1.775828794782728E-3</v>
      </c>
    </row>
    <row r="657" spans="1:24">
      <c r="A657" t="s">
        <v>1213</v>
      </c>
      <c r="B657" s="4">
        <v>62</v>
      </c>
      <c r="C657" t="s">
        <v>1986</v>
      </c>
      <c r="D657" t="s">
        <v>1987</v>
      </c>
      <c r="E657" t="s">
        <v>309</v>
      </c>
      <c r="F657" t="s">
        <v>1986</v>
      </c>
      <c r="G657" t="s">
        <v>3445</v>
      </c>
      <c r="H657" t="s">
        <v>321</v>
      </c>
      <c r="I657" t="s">
        <v>917</v>
      </c>
      <c r="J657" t="s">
        <v>204</v>
      </c>
      <c r="K657" t="s">
        <v>204</v>
      </c>
      <c r="L657" t="s">
        <v>325</v>
      </c>
      <c r="M657" t="s">
        <v>340</v>
      </c>
      <c r="N657" t="s">
        <v>484</v>
      </c>
      <c r="O657" t="s">
        <v>339</v>
      </c>
      <c r="P657" t="s">
        <v>1212</v>
      </c>
      <c r="Q657" s="131">
        <v>1734441</v>
      </c>
      <c r="R657" s="131">
        <v>1</v>
      </c>
      <c r="S657" s="131">
        <v>428.6</v>
      </c>
      <c r="T657" s="131">
        <v>255.03</v>
      </c>
      <c r="U657" s="131">
        <v>7688.8440000000001</v>
      </c>
      <c r="V657" s="132">
        <v>6.3000000000000003E-4</v>
      </c>
      <c r="W657" s="132">
        <f t="shared" si="10"/>
        <v>1.5892628605022746E-2</v>
      </c>
      <c r="X657" s="132">
        <v>1.7270237180314321E-3</v>
      </c>
    </row>
    <row r="658" spans="1:24">
      <c r="A658" t="s">
        <v>1213</v>
      </c>
      <c r="B658" s="4">
        <v>62</v>
      </c>
      <c r="C658" t="s">
        <v>1807</v>
      </c>
      <c r="D658" t="s">
        <v>1808</v>
      </c>
      <c r="E658" t="s">
        <v>309</v>
      </c>
      <c r="F658" t="s">
        <v>1807</v>
      </c>
      <c r="G658" t="s">
        <v>3409</v>
      </c>
      <c r="H658" t="s">
        <v>321</v>
      </c>
      <c r="I658" t="s">
        <v>917</v>
      </c>
      <c r="J658" t="s">
        <v>204</v>
      </c>
      <c r="K658" t="s">
        <v>204</v>
      </c>
      <c r="L658" t="s">
        <v>325</v>
      </c>
      <c r="M658" t="s">
        <v>340</v>
      </c>
      <c r="N658" t="s">
        <v>464</v>
      </c>
      <c r="O658" t="s">
        <v>339</v>
      </c>
      <c r="P658" t="s">
        <v>1212</v>
      </c>
      <c r="Q658" s="131">
        <v>29491</v>
      </c>
      <c r="R658" s="131">
        <v>1</v>
      </c>
      <c r="S658" s="131">
        <v>25940</v>
      </c>
      <c r="U658" s="131">
        <v>7649.9650000000001</v>
      </c>
      <c r="V658" s="132">
        <v>2.4000000000000001E-4</v>
      </c>
      <c r="W658" s="132">
        <f t="shared" si="10"/>
        <v>1.5812266783722346E-2</v>
      </c>
      <c r="X658" s="132">
        <v>1.7182909416695571E-3</v>
      </c>
    </row>
    <row r="659" spans="1:24">
      <c r="A659" t="s">
        <v>1213</v>
      </c>
      <c r="B659" s="4">
        <v>62</v>
      </c>
      <c r="C659" t="s">
        <v>2128</v>
      </c>
      <c r="D659" t="s">
        <v>2129</v>
      </c>
      <c r="E659" t="s">
        <v>309</v>
      </c>
      <c r="F659" t="s">
        <v>3419</v>
      </c>
      <c r="G659" t="s">
        <v>3420</v>
      </c>
      <c r="H659" t="s">
        <v>321</v>
      </c>
      <c r="I659" t="s">
        <v>917</v>
      </c>
      <c r="J659" t="s">
        <v>204</v>
      </c>
      <c r="K659" t="s">
        <v>204</v>
      </c>
      <c r="L659" t="s">
        <v>325</v>
      </c>
      <c r="M659" t="s">
        <v>340</v>
      </c>
      <c r="N659" t="s">
        <v>445</v>
      </c>
      <c r="O659" t="s">
        <v>339</v>
      </c>
      <c r="P659" t="s">
        <v>1212</v>
      </c>
      <c r="Q659" s="131">
        <v>147719</v>
      </c>
      <c r="R659" s="131">
        <v>1</v>
      </c>
      <c r="S659" s="131">
        <v>4200</v>
      </c>
      <c r="U659" s="131">
        <v>6204.1980000000003</v>
      </c>
      <c r="V659" s="132">
        <v>5.6999999999999998E-4</v>
      </c>
      <c r="W659" s="132">
        <f t="shared" si="10"/>
        <v>1.2823906247288269E-2</v>
      </c>
      <c r="X659" s="132">
        <v>1.3935511108514071E-3</v>
      </c>
    </row>
    <row r="660" spans="1:24">
      <c r="A660" t="s">
        <v>1213</v>
      </c>
      <c r="B660" s="4">
        <v>62</v>
      </c>
      <c r="C660" t="s">
        <v>2866</v>
      </c>
      <c r="D660" t="s">
        <v>2867</v>
      </c>
      <c r="E660" t="s">
        <v>309</v>
      </c>
      <c r="F660" t="s">
        <v>2866</v>
      </c>
      <c r="G660" t="s">
        <v>3663</v>
      </c>
      <c r="H660" t="s">
        <v>321</v>
      </c>
      <c r="I660" t="s">
        <v>917</v>
      </c>
      <c r="J660" t="s">
        <v>204</v>
      </c>
      <c r="K660" t="s">
        <v>204</v>
      </c>
      <c r="L660" t="s">
        <v>325</v>
      </c>
      <c r="M660" t="s">
        <v>340</v>
      </c>
      <c r="N660" t="s">
        <v>464</v>
      </c>
      <c r="O660" t="s">
        <v>339</v>
      </c>
      <c r="P660" t="s">
        <v>1212</v>
      </c>
      <c r="Q660" s="131">
        <v>1490258</v>
      </c>
      <c r="R660" s="131">
        <v>1</v>
      </c>
      <c r="S660" s="131">
        <v>399.6</v>
      </c>
      <c r="U660" s="131">
        <v>5955.0709999999999</v>
      </c>
      <c r="V660" s="132">
        <v>1.018E-2</v>
      </c>
      <c r="W660" s="132">
        <f t="shared" si="10"/>
        <v>1.2308967605473778E-2</v>
      </c>
      <c r="X660" s="132">
        <v>1.3375936434087046E-3</v>
      </c>
    </row>
    <row r="661" spans="1:24">
      <c r="A661" t="s">
        <v>1213</v>
      </c>
      <c r="B661" s="4">
        <v>62</v>
      </c>
      <c r="C661" t="s">
        <v>2812</v>
      </c>
      <c r="D661" t="s">
        <v>2813</v>
      </c>
      <c r="E661" t="s">
        <v>309</v>
      </c>
      <c r="F661" t="s">
        <v>2812</v>
      </c>
      <c r="G661" t="s">
        <v>3637</v>
      </c>
      <c r="H661" t="s">
        <v>321</v>
      </c>
      <c r="I661" t="s">
        <v>917</v>
      </c>
      <c r="J661" t="s">
        <v>204</v>
      </c>
      <c r="K661" t="s">
        <v>204</v>
      </c>
      <c r="L661" t="s">
        <v>325</v>
      </c>
      <c r="M661" t="s">
        <v>340</v>
      </c>
      <c r="N661" t="s">
        <v>447</v>
      </c>
      <c r="O661" t="s">
        <v>339</v>
      </c>
      <c r="P661" t="s">
        <v>1212</v>
      </c>
      <c r="Q661" s="131">
        <v>24430</v>
      </c>
      <c r="R661" s="131">
        <v>1</v>
      </c>
      <c r="S661" s="131">
        <v>24250</v>
      </c>
      <c r="U661" s="131">
        <v>5924.2749999999996</v>
      </c>
      <c r="V661" s="132">
        <v>1.9300000000000001E-3</v>
      </c>
      <c r="W661" s="132">
        <f t="shared" si="10"/>
        <v>1.2245313122365487E-2</v>
      </c>
      <c r="X661" s="132">
        <v>1.3306764238083986E-3</v>
      </c>
    </row>
    <row r="662" spans="1:24">
      <c r="A662" t="s">
        <v>1213</v>
      </c>
      <c r="B662" s="4">
        <v>62</v>
      </c>
      <c r="C662" t="s">
        <v>2404</v>
      </c>
      <c r="D662" t="s">
        <v>2405</v>
      </c>
      <c r="E662" t="s">
        <v>309</v>
      </c>
      <c r="F662" t="s">
        <v>2404</v>
      </c>
      <c r="G662" t="s">
        <v>3418</v>
      </c>
      <c r="H662" t="s">
        <v>321</v>
      </c>
      <c r="I662" t="s">
        <v>917</v>
      </c>
      <c r="J662" t="s">
        <v>204</v>
      </c>
      <c r="K662" t="s">
        <v>204</v>
      </c>
      <c r="L662" t="s">
        <v>325</v>
      </c>
      <c r="M662" t="s">
        <v>340</v>
      </c>
      <c r="N662" t="s">
        <v>440</v>
      </c>
      <c r="O662" t="s">
        <v>339</v>
      </c>
      <c r="P662" t="s">
        <v>1212</v>
      </c>
      <c r="Q662" s="131">
        <v>188666</v>
      </c>
      <c r="R662" s="131">
        <v>1</v>
      </c>
      <c r="S662" s="131">
        <v>3016</v>
      </c>
      <c r="U662" s="131">
        <v>5690.1670000000004</v>
      </c>
      <c r="V662" s="132">
        <v>7.3999999999999999E-4</v>
      </c>
      <c r="W662" s="132">
        <f t="shared" si="10"/>
        <v>1.1761418339552276E-2</v>
      </c>
      <c r="X662" s="132">
        <v>1.2780924373754702E-3</v>
      </c>
    </row>
    <row r="663" spans="1:24">
      <c r="A663" t="s">
        <v>1213</v>
      </c>
      <c r="B663" s="4">
        <v>62</v>
      </c>
      <c r="C663" t="s">
        <v>2343</v>
      </c>
      <c r="D663" t="s">
        <v>2344</v>
      </c>
      <c r="E663" t="s">
        <v>309</v>
      </c>
      <c r="F663" t="s">
        <v>3619</v>
      </c>
      <c r="G663" t="s">
        <v>3620</v>
      </c>
      <c r="H663" t="s">
        <v>321</v>
      </c>
      <c r="I663" t="s">
        <v>917</v>
      </c>
      <c r="J663" t="s">
        <v>204</v>
      </c>
      <c r="K663" t="s">
        <v>204</v>
      </c>
      <c r="L663" t="s">
        <v>325</v>
      </c>
      <c r="M663" t="s">
        <v>340</v>
      </c>
      <c r="N663" t="s">
        <v>476</v>
      </c>
      <c r="O663" t="s">
        <v>339</v>
      </c>
      <c r="P663" t="s">
        <v>1212</v>
      </c>
      <c r="Q663" s="131">
        <v>18192</v>
      </c>
      <c r="R663" s="131">
        <v>1</v>
      </c>
      <c r="S663" s="131">
        <v>29830</v>
      </c>
      <c r="U663" s="131">
        <v>5426.674</v>
      </c>
      <c r="V663" s="132">
        <v>1.14E-3</v>
      </c>
      <c r="W663" s="132">
        <f t="shared" si="10"/>
        <v>1.1216785571736559E-2</v>
      </c>
      <c r="X663" s="132">
        <v>1.2189081620103755E-3</v>
      </c>
    </row>
    <row r="664" spans="1:24">
      <c r="A664" t="s">
        <v>1213</v>
      </c>
      <c r="B664" s="4">
        <v>62</v>
      </c>
      <c r="C664" t="s">
        <v>3423</v>
      </c>
      <c r="D664" t="s">
        <v>3424</v>
      </c>
      <c r="E664" t="s">
        <v>309</v>
      </c>
      <c r="F664" t="s">
        <v>3423</v>
      </c>
      <c r="G664" t="s">
        <v>3425</v>
      </c>
      <c r="H664" t="s">
        <v>321</v>
      </c>
      <c r="I664" t="s">
        <v>917</v>
      </c>
      <c r="J664" t="s">
        <v>204</v>
      </c>
      <c r="K664" t="s">
        <v>204</v>
      </c>
      <c r="L664" t="s">
        <v>325</v>
      </c>
      <c r="M664" t="s">
        <v>340</v>
      </c>
      <c r="N664" t="s">
        <v>458</v>
      </c>
      <c r="O664" t="s">
        <v>339</v>
      </c>
      <c r="P664" t="s">
        <v>1212</v>
      </c>
      <c r="Q664" s="131">
        <v>31256</v>
      </c>
      <c r="R664" s="131">
        <v>1</v>
      </c>
      <c r="S664" s="131">
        <v>16470</v>
      </c>
      <c r="U664" s="131">
        <v>5147.8630000000003</v>
      </c>
      <c r="V664" s="132">
        <v>2.7999999999999998E-4</v>
      </c>
      <c r="W664" s="132">
        <f t="shared" si="10"/>
        <v>1.06404909201615E-2</v>
      </c>
      <c r="X664" s="132">
        <v>1.1562832459829388E-3</v>
      </c>
    </row>
    <row r="665" spans="1:24">
      <c r="A665" t="s">
        <v>1213</v>
      </c>
      <c r="B665" s="4">
        <v>62</v>
      </c>
      <c r="C665" t="s">
        <v>1973</v>
      </c>
      <c r="D665" t="s">
        <v>1974</v>
      </c>
      <c r="E665" t="s">
        <v>309</v>
      </c>
      <c r="F665" t="s">
        <v>3512</v>
      </c>
      <c r="G665" t="s">
        <v>3513</v>
      </c>
      <c r="H665" t="s">
        <v>321</v>
      </c>
      <c r="I665" t="s">
        <v>917</v>
      </c>
      <c r="J665" t="s">
        <v>204</v>
      </c>
      <c r="K665" t="s">
        <v>204</v>
      </c>
      <c r="L665" t="s">
        <v>325</v>
      </c>
      <c r="M665" t="s">
        <v>340</v>
      </c>
      <c r="N665" t="s">
        <v>464</v>
      </c>
      <c r="O665" t="s">
        <v>339</v>
      </c>
      <c r="P665" t="s">
        <v>1212</v>
      </c>
      <c r="Q665" s="131">
        <v>512296</v>
      </c>
      <c r="R665" s="131">
        <v>1</v>
      </c>
      <c r="S665" s="131">
        <v>954</v>
      </c>
      <c r="U665" s="131">
        <v>4887.3040000000001</v>
      </c>
      <c r="V665" s="132">
        <v>6.8999999999999997E-4</v>
      </c>
      <c r="W665" s="132">
        <f t="shared" si="10"/>
        <v>1.0101922649470076E-2</v>
      </c>
      <c r="X665" s="132">
        <v>1.0977579887470588E-3</v>
      </c>
    </row>
    <row r="666" spans="1:24">
      <c r="A666" t="s">
        <v>1213</v>
      </c>
      <c r="B666" s="4">
        <v>62</v>
      </c>
      <c r="C666" t="s">
        <v>2195</v>
      </c>
      <c r="D666" t="s">
        <v>2196</v>
      </c>
      <c r="E666" t="s">
        <v>309</v>
      </c>
      <c r="F666" t="s">
        <v>3610</v>
      </c>
      <c r="G666" t="s">
        <v>3611</v>
      </c>
      <c r="H666" t="s">
        <v>321</v>
      </c>
      <c r="I666" t="s">
        <v>917</v>
      </c>
      <c r="J666" t="s">
        <v>204</v>
      </c>
      <c r="K666" t="s">
        <v>204</v>
      </c>
      <c r="L666" t="s">
        <v>325</v>
      </c>
      <c r="M666" t="s">
        <v>340</v>
      </c>
      <c r="N666" t="s">
        <v>445</v>
      </c>
      <c r="O666" t="s">
        <v>339</v>
      </c>
      <c r="P666" t="s">
        <v>1212</v>
      </c>
      <c r="Q666" s="131">
        <v>133636</v>
      </c>
      <c r="R666" s="131">
        <v>1</v>
      </c>
      <c r="S666" s="131">
        <v>3619</v>
      </c>
      <c r="U666" s="131">
        <v>4836.2870000000003</v>
      </c>
      <c r="V666" s="132">
        <v>5.9999999999999995E-4</v>
      </c>
      <c r="W666" s="132">
        <f t="shared" si="10"/>
        <v>9.9964719167536312E-3</v>
      </c>
      <c r="X666" s="132">
        <v>1.0862988449508251E-3</v>
      </c>
    </row>
    <row r="667" spans="1:24">
      <c r="A667" t="s">
        <v>1213</v>
      </c>
      <c r="B667" s="4">
        <v>62</v>
      </c>
      <c r="C667" t="s">
        <v>2145</v>
      </c>
      <c r="D667" t="s">
        <v>2146</v>
      </c>
      <c r="E667" t="s">
        <v>309</v>
      </c>
      <c r="F667" t="s">
        <v>3612</v>
      </c>
      <c r="G667" t="s">
        <v>3613</v>
      </c>
      <c r="H667" t="s">
        <v>321</v>
      </c>
      <c r="I667" t="s">
        <v>917</v>
      </c>
      <c r="J667" t="s">
        <v>204</v>
      </c>
      <c r="K667" t="s">
        <v>204</v>
      </c>
      <c r="L667" t="s">
        <v>325</v>
      </c>
      <c r="M667" t="s">
        <v>340</v>
      </c>
      <c r="N667" t="s">
        <v>445</v>
      </c>
      <c r="O667" t="s">
        <v>339</v>
      </c>
      <c r="P667" t="s">
        <v>1212</v>
      </c>
      <c r="Q667" s="131">
        <v>76067</v>
      </c>
      <c r="R667" s="131">
        <v>1</v>
      </c>
      <c r="S667" s="131">
        <v>6329</v>
      </c>
      <c r="U667" s="131">
        <v>4814.28</v>
      </c>
      <c r="V667" s="132">
        <v>9.6000000000000002E-4</v>
      </c>
      <c r="W667" s="132">
        <f t="shared" si="10"/>
        <v>9.9509840543765635E-3</v>
      </c>
      <c r="X667" s="132">
        <v>1.0813557597532688E-3</v>
      </c>
    </row>
    <row r="668" spans="1:24">
      <c r="A668" t="s">
        <v>1213</v>
      </c>
      <c r="B668" s="4">
        <v>62</v>
      </c>
      <c r="C668" t="s">
        <v>2238</v>
      </c>
      <c r="D668" t="s">
        <v>2239</v>
      </c>
      <c r="E668" t="s">
        <v>309</v>
      </c>
      <c r="F668" t="s">
        <v>2238</v>
      </c>
      <c r="G668" t="s">
        <v>3785</v>
      </c>
      <c r="H668" t="s">
        <v>321</v>
      </c>
      <c r="I668" t="s">
        <v>917</v>
      </c>
      <c r="J668" t="s">
        <v>204</v>
      </c>
      <c r="K668" t="s">
        <v>204</v>
      </c>
      <c r="L668" t="s">
        <v>325</v>
      </c>
      <c r="M668" t="s">
        <v>340</v>
      </c>
      <c r="N668" t="s">
        <v>447</v>
      </c>
      <c r="O668" t="s">
        <v>339</v>
      </c>
      <c r="P668" t="s">
        <v>1212</v>
      </c>
      <c r="Q668" s="131">
        <v>13262</v>
      </c>
      <c r="R668" s="131">
        <v>1</v>
      </c>
      <c r="S668" s="131">
        <v>33200</v>
      </c>
      <c r="U668" s="131">
        <v>4402.9840000000004</v>
      </c>
      <c r="V668" s="132">
        <v>6.7000000000000002E-4</v>
      </c>
      <c r="W668" s="132">
        <f t="shared" si="10"/>
        <v>9.1008465597503981E-3</v>
      </c>
      <c r="X668" s="132">
        <v>9.8897282843986799E-4</v>
      </c>
    </row>
    <row r="669" spans="1:24">
      <c r="A669" t="s">
        <v>1213</v>
      </c>
      <c r="B669" s="4">
        <v>62</v>
      </c>
      <c r="C669" t="s">
        <v>1691</v>
      </c>
      <c r="D669" t="s">
        <v>1692</v>
      </c>
      <c r="E669" t="s">
        <v>309</v>
      </c>
      <c r="F669" t="s">
        <v>3478</v>
      </c>
      <c r="G669" t="s">
        <v>3479</v>
      </c>
      <c r="H669" t="s">
        <v>321</v>
      </c>
      <c r="I669" t="s">
        <v>917</v>
      </c>
      <c r="J669" t="s">
        <v>204</v>
      </c>
      <c r="K669" t="s">
        <v>204</v>
      </c>
      <c r="L669" t="s">
        <v>325</v>
      </c>
      <c r="M669" t="s">
        <v>340</v>
      </c>
      <c r="N669" t="s">
        <v>464</v>
      </c>
      <c r="O669" t="s">
        <v>339</v>
      </c>
      <c r="P669" t="s">
        <v>1212</v>
      </c>
      <c r="Q669" s="131">
        <v>273833</v>
      </c>
      <c r="R669" s="131">
        <v>1</v>
      </c>
      <c r="S669" s="131">
        <v>1513</v>
      </c>
      <c r="U669" s="131">
        <v>4143.0929999999998</v>
      </c>
      <c r="V669" s="132">
        <v>1.41E-3</v>
      </c>
      <c r="W669" s="132">
        <f t="shared" si="10"/>
        <v>8.5636590266455533E-3</v>
      </c>
      <c r="X669" s="132">
        <v>9.3059761350470886E-4</v>
      </c>
    </row>
    <row r="670" spans="1:24">
      <c r="A670" t="s">
        <v>1213</v>
      </c>
      <c r="B670" s="4">
        <v>62</v>
      </c>
      <c r="C670" t="s">
        <v>3125</v>
      </c>
      <c r="D670" t="s">
        <v>3126</v>
      </c>
      <c r="E670" t="s">
        <v>309</v>
      </c>
      <c r="F670" t="s">
        <v>3125</v>
      </c>
      <c r="G670" t="s">
        <v>3489</v>
      </c>
      <c r="H670" t="s">
        <v>321</v>
      </c>
      <c r="I670" t="s">
        <v>917</v>
      </c>
      <c r="J670" t="s">
        <v>204</v>
      </c>
      <c r="K670" t="s">
        <v>204</v>
      </c>
      <c r="L670" t="s">
        <v>325</v>
      </c>
      <c r="M670" t="s">
        <v>340</v>
      </c>
      <c r="N670" t="s">
        <v>441</v>
      </c>
      <c r="O670" t="s">
        <v>339</v>
      </c>
      <c r="P670" t="s">
        <v>1212</v>
      </c>
      <c r="Q670" s="131">
        <v>14392</v>
      </c>
      <c r="R670" s="131">
        <v>1</v>
      </c>
      <c r="S670" s="131">
        <v>28560</v>
      </c>
      <c r="U670" s="131">
        <v>4110.3549999999996</v>
      </c>
      <c r="V670" s="132">
        <v>2.5999999999999998E-4</v>
      </c>
      <c r="W670" s="132">
        <f t="shared" si="10"/>
        <v>8.4959904830684916E-3</v>
      </c>
      <c r="X670" s="132">
        <v>9.2324419308404315E-4</v>
      </c>
    </row>
    <row r="671" spans="1:24">
      <c r="A671" t="s">
        <v>1213</v>
      </c>
      <c r="B671" s="4">
        <v>62</v>
      </c>
      <c r="C671" t="s">
        <v>1624</v>
      </c>
      <c r="D671" t="s">
        <v>1625</v>
      </c>
      <c r="E671" t="s">
        <v>309</v>
      </c>
      <c r="F671" t="s">
        <v>1624</v>
      </c>
      <c r="G671" t="s">
        <v>3505</v>
      </c>
      <c r="H671" t="s">
        <v>321</v>
      </c>
      <c r="I671" t="s">
        <v>917</v>
      </c>
      <c r="J671" t="s">
        <v>204</v>
      </c>
      <c r="K671" t="s">
        <v>204</v>
      </c>
      <c r="L671" t="s">
        <v>325</v>
      </c>
      <c r="M671" t="s">
        <v>340</v>
      </c>
      <c r="N671" t="s">
        <v>447</v>
      </c>
      <c r="O671" t="s">
        <v>339</v>
      </c>
      <c r="P671" t="s">
        <v>1212</v>
      </c>
      <c r="Q671" s="131">
        <v>231883</v>
      </c>
      <c r="R671" s="131">
        <v>1</v>
      </c>
      <c r="S671" s="131">
        <v>1740</v>
      </c>
      <c r="U671" s="131">
        <v>4034.7640000000001</v>
      </c>
      <c r="V671" s="132">
        <v>8.3000000000000001E-4</v>
      </c>
      <c r="W671" s="132">
        <f t="shared" si="10"/>
        <v>8.3397459697343319E-3</v>
      </c>
      <c r="X671" s="132">
        <v>9.0626537938074607E-4</v>
      </c>
    </row>
    <row r="672" spans="1:24">
      <c r="A672" t="s">
        <v>1213</v>
      </c>
      <c r="B672" s="4">
        <v>62</v>
      </c>
      <c r="C672" t="s">
        <v>2178</v>
      </c>
      <c r="D672" t="s">
        <v>2179</v>
      </c>
      <c r="E672" t="s">
        <v>309</v>
      </c>
      <c r="F672" t="s">
        <v>2178</v>
      </c>
      <c r="G672" t="s">
        <v>3609</v>
      </c>
      <c r="H672" t="s">
        <v>321</v>
      </c>
      <c r="I672" t="s">
        <v>917</v>
      </c>
      <c r="J672" t="s">
        <v>204</v>
      </c>
      <c r="K672" t="s">
        <v>204</v>
      </c>
      <c r="L672" t="s">
        <v>325</v>
      </c>
      <c r="M672" t="s">
        <v>340</v>
      </c>
      <c r="N672" t="s">
        <v>464</v>
      </c>
      <c r="O672" t="s">
        <v>339</v>
      </c>
      <c r="P672" t="s">
        <v>1212</v>
      </c>
      <c r="Q672" s="131">
        <v>131445</v>
      </c>
      <c r="R672" s="131">
        <v>1</v>
      </c>
      <c r="S672" s="131">
        <v>2855</v>
      </c>
      <c r="U672" s="131">
        <v>3752.7550000000001</v>
      </c>
      <c r="V672" s="132">
        <v>6.8000000000000005E-4</v>
      </c>
      <c r="W672" s="132">
        <f t="shared" si="10"/>
        <v>7.7568411403121382E-3</v>
      </c>
      <c r="X672" s="132">
        <v>8.4292214706931849E-4</v>
      </c>
    </row>
    <row r="673" spans="1:24">
      <c r="A673" t="s">
        <v>1213</v>
      </c>
      <c r="B673" s="4">
        <v>62</v>
      </c>
      <c r="C673" t="s">
        <v>2576</v>
      </c>
      <c r="D673" t="s">
        <v>2577</v>
      </c>
      <c r="E673" t="s">
        <v>309</v>
      </c>
      <c r="F673" t="s">
        <v>2576</v>
      </c>
      <c r="G673" t="s">
        <v>3621</v>
      </c>
      <c r="H673" t="s">
        <v>321</v>
      </c>
      <c r="I673" t="s">
        <v>917</v>
      </c>
      <c r="J673" t="s">
        <v>204</v>
      </c>
      <c r="K673" t="s">
        <v>204</v>
      </c>
      <c r="L673" t="s">
        <v>325</v>
      </c>
      <c r="M673" t="s">
        <v>340</v>
      </c>
      <c r="N673" t="s">
        <v>451</v>
      </c>
      <c r="O673" t="s">
        <v>339</v>
      </c>
      <c r="P673" t="s">
        <v>1212</v>
      </c>
      <c r="Q673" s="131">
        <v>4513</v>
      </c>
      <c r="R673" s="131">
        <v>1</v>
      </c>
      <c r="S673" s="131">
        <v>81100</v>
      </c>
      <c r="U673" s="131">
        <v>3660.0430000000001</v>
      </c>
      <c r="V673" s="132">
        <v>5.9000000000000003E-4</v>
      </c>
      <c r="W673" s="132">
        <f t="shared" si="10"/>
        <v>7.565207991918327E-3</v>
      </c>
      <c r="X673" s="132">
        <v>8.2209771326026599E-4</v>
      </c>
    </row>
    <row r="674" spans="1:24">
      <c r="A674" t="s">
        <v>1213</v>
      </c>
      <c r="B674" s="4">
        <v>62</v>
      </c>
      <c r="C674" t="s">
        <v>3786</v>
      </c>
      <c r="D674" t="s">
        <v>3787</v>
      </c>
      <c r="E674" t="s">
        <v>309</v>
      </c>
      <c r="F674" t="s">
        <v>3786</v>
      </c>
      <c r="G674" t="s">
        <v>3788</v>
      </c>
      <c r="H674" t="s">
        <v>321</v>
      </c>
      <c r="I674" t="s">
        <v>917</v>
      </c>
      <c r="J674" t="s">
        <v>204</v>
      </c>
      <c r="K674" t="s">
        <v>204</v>
      </c>
      <c r="L674" t="s">
        <v>325</v>
      </c>
      <c r="M674" t="s">
        <v>340</v>
      </c>
      <c r="N674" t="s">
        <v>446</v>
      </c>
      <c r="O674" t="s">
        <v>339</v>
      </c>
      <c r="P674" t="s">
        <v>1212</v>
      </c>
      <c r="Q674" s="131">
        <v>25000</v>
      </c>
      <c r="R674" s="131">
        <v>1</v>
      </c>
      <c r="S674" s="131">
        <v>14100</v>
      </c>
      <c r="U674" s="131">
        <v>3525</v>
      </c>
      <c r="V674" s="132">
        <v>1.056E-2</v>
      </c>
      <c r="W674" s="132">
        <f t="shared" si="10"/>
        <v>7.2860778333784879E-3</v>
      </c>
      <c r="X674" s="132">
        <v>7.9176513479279828E-4</v>
      </c>
    </row>
    <row r="675" spans="1:24">
      <c r="A675" t="s">
        <v>1213</v>
      </c>
      <c r="B675" s="4">
        <v>62</v>
      </c>
      <c r="C675" t="s">
        <v>1737</v>
      </c>
      <c r="D675" t="s">
        <v>1738</v>
      </c>
      <c r="E675" t="s">
        <v>309</v>
      </c>
      <c r="F675" t="s">
        <v>3530</v>
      </c>
      <c r="G675" t="s">
        <v>3531</v>
      </c>
      <c r="H675" t="s">
        <v>321</v>
      </c>
      <c r="I675" t="s">
        <v>917</v>
      </c>
      <c r="J675" t="s">
        <v>204</v>
      </c>
      <c r="K675" t="s">
        <v>204</v>
      </c>
      <c r="L675" t="s">
        <v>325</v>
      </c>
      <c r="M675" t="s">
        <v>340</v>
      </c>
      <c r="N675" t="s">
        <v>447</v>
      </c>
      <c r="O675" t="s">
        <v>339</v>
      </c>
      <c r="P675" t="s">
        <v>1212</v>
      </c>
      <c r="Q675" s="131">
        <v>200050</v>
      </c>
      <c r="R675" s="131">
        <v>1</v>
      </c>
      <c r="S675" s="131">
        <v>1628</v>
      </c>
      <c r="U675" s="131">
        <v>3256.8139999999999</v>
      </c>
      <c r="V675" s="132">
        <v>3.2299999999999998E-3</v>
      </c>
      <c r="W675" s="132">
        <f t="shared" si="10"/>
        <v>6.7317447639253123E-3</v>
      </c>
      <c r="X675" s="132">
        <v>7.3152674488087164E-4</v>
      </c>
    </row>
    <row r="676" spans="1:24">
      <c r="A676" t="s">
        <v>1213</v>
      </c>
      <c r="B676" s="4">
        <v>62</v>
      </c>
      <c r="C676" t="s">
        <v>2789</v>
      </c>
      <c r="D676" t="s">
        <v>2790</v>
      </c>
      <c r="E676" t="s">
        <v>309</v>
      </c>
      <c r="F676" t="s">
        <v>2789</v>
      </c>
      <c r="G676" t="s">
        <v>3480</v>
      </c>
      <c r="H676" t="s">
        <v>321</v>
      </c>
      <c r="I676" t="s">
        <v>917</v>
      </c>
      <c r="J676" t="s">
        <v>204</v>
      </c>
      <c r="K676" t="s">
        <v>204</v>
      </c>
      <c r="L676" t="s">
        <v>325</v>
      </c>
      <c r="M676" t="s">
        <v>340</v>
      </c>
      <c r="N676" t="s">
        <v>441</v>
      </c>
      <c r="O676" t="s">
        <v>339</v>
      </c>
      <c r="P676" t="s">
        <v>1212</v>
      </c>
      <c r="Q676" s="131">
        <v>222965</v>
      </c>
      <c r="R676" s="131">
        <v>1</v>
      </c>
      <c r="S676" s="131">
        <v>1348</v>
      </c>
      <c r="U676" s="131">
        <v>3005.5680000000002</v>
      </c>
      <c r="V676" s="132">
        <v>4.0999999999999999E-4</v>
      </c>
      <c r="W676" s="132">
        <f t="shared" si="10"/>
        <v>6.2124262075210542E-3</v>
      </c>
      <c r="X676" s="132">
        <v>6.7509331990040324E-4</v>
      </c>
    </row>
    <row r="677" spans="1:24">
      <c r="A677" t="s">
        <v>1213</v>
      </c>
      <c r="B677" s="4">
        <v>62</v>
      </c>
      <c r="C677" t="s">
        <v>3461</v>
      </c>
      <c r="D677" t="s">
        <v>3462</v>
      </c>
      <c r="E677" t="s">
        <v>309</v>
      </c>
      <c r="F677" t="s">
        <v>3461</v>
      </c>
      <c r="G677" t="s">
        <v>3463</v>
      </c>
      <c r="H677" t="s">
        <v>321</v>
      </c>
      <c r="I677" t="s">
        <v>917</v>
      </c>
      <c r="J677" t="s">
        <v>204</v>
      </c>
      <c r="K677" t="s">
        <v>204</v>
      </c>
      <c r="L677" t="s">
        <v>325</v>
      </c>
      <c r="M677" t="s">
        <v>340</v>
      </c>
      <c r="N677" t="s">
        <v>475</v>
      </c>
      <c r="O677" t="s">
        <v>339</v>
      </c>
      <c r="P677" t="s">
        <v>1212</v>
      </c>
      <c r="Q677" s="131">
        <v>10632</v>
      </c>
      <c r="R677" s="131">
        <v>1</v>
      </c>
      <c r="S677" s="131">
        <v>28150</v>
      </c>
      <c r="U677" s="131">
        <v>2992.9079999999999</v>
      </c>
      <c r="V677" s="132">
        <v>7.6999999999999996E-4</v>
      </c>
      <c r="W677" s="132">
        <f t="shared" si="10"/>
        <v>6.1862583364939413E-3</v>
      </c>
      <c r="X677" s="132">
        <v>6.7224970384182812E-4</v>
      </c>
    </row>
    <row r="678" spans="1:24">
      <c r="A678" t="s">
        <v>1213</v>
      </c>
      <c r="B678" s="4">
        <v>62</v>
      </c>
      <c r="C678" t="s">
        <v>2203</v>
      </c>
      <c r="D678" t="s">
        <v>2204</v>
      </c>
      <c r="E678" t="s">
        <v>309</v>
      </c>
      <c r="F678" t="s">
        <v>3606</v>
      </c>
      <c r="G678" t="s">
        <v>3607</v>
      </c>
      <c r="H678" t="s">
        <v>321</v>
      </c>
      <c r="I678" t="s">
        <v>917</v>
      </c>
      <c r="J678" t="s">
        <v>204</v>
      </c>
      <c r="K678" t="s">
        <v>204</v>
      </c>
      <c r="L678" t="s">
        <v>325</v>
      </c>
      <c r="M678" t="s">
        <v>340</v>
      </c>
      <c r="N678" t="s">
        <v>459</v>
      </c>
      <c r="O678" t="s">
        <v>339</v>
      </c>
      <c r="P678" t="s">
        <v>1212</v>
      </c>
      <c r="Q678" s="131">
        <v>48927</v>
      </c>
      <c r="R678" s="131">
        <v>1</v>
      </c>
      <c r="S678" s="131">
        <v>5930</v>
      </c>
      <c r="U678" s="131">
        <v>2901.3710000000001</v>
      </c>
      <c r="V678" s="132">
        <v>4.2000000000000002E-4</v>
      </c>
      <c r="W678" s="132">
        <f t="shared" si="10"/>
        <v>5.9970538807112561E-3</v>
      </c>
      <c r="X678" s="132">
        <v>6.5168919174437331E-4</v>
      </c>
    </row>
    <row r="679" spans="1:24">
      <c r="A679" t="s">
        <v>1213</v>
      </c>
      <c r="B679" s="4">
        <v>62</v>
      </c>
      <c r="C679" t="s">
        <v>1634</v>
      </c>
      <c r="D679" t="s">
        <v>1635</v>
      </c>
      <c r="E679" t="s">
        <v>309</v>
      </c>
      <c r="F679" t="s">
        <v>3437</v>
      </c>
      <c r="G679" t="s">
        <v>3438</v>
      </c>
      <c r="H679" t="s">
        <v>321</v>
      </c>
      <c r="I679" t="s">
        <v>917</v>
      </c>
      <c r="J679" t="s">
        <v>204</v>
      </c>
      <c r="K679" t="s">
        <v>204</v>
      </c>
      <c r="L679" t="s">
        <v>325</v>
      </c>
      <c r="M679" t="s">
        <v>340</v>
      </c>
      <c r="N679" t="s">
        <v>454</v>
      </c>
      <c r="O679" t="s">
        <v>339</v>
      </c>
      <c r="P679" t="s">
        <v>1212</v>
      </c>
      <c r="Q679" s="131">
        <v>47260</v>
      </c>
      <c r="R679" s="131">
        <v>1</v>
      </c>
      <c r="S679" s="131">
        <v>5205</v>
      </c>
      <c r="U679" s="131">
        <v>2459.8829999999998</v>
      </c>
      <c r="V679" s="132">
        <v>4.6999999999999999E-4</v>
      </c>
      <c r="W679" s="132">
        <f t="shared" si="10"/>
        <v>5.0845103543275382E-3</v>
      </c>
      <c r="X679" s="132">
        <v>5.5252470782113838E-4</v>
      </c>
    </row>
    <row r="680" spans="1:24">
      <c r="A680" t="s">
        <v>1213</v>
      </c>
      <c r="B680" s="4">
        <v>62</v>
      </c>
      <c r="C680" t="s">
        <v>3694</v>
      </c>
      <c r="D680" t="s">
        <v>3695</v>
      </c>
      <c r="E680" t="s">
        <v>309</v>
      </c>
      <c r="F680" t="s">
        <v>3694</v>
      </c>
      <c r="G680" t="s">
        <v>3696</v>
      </c>
      <c r="H680" t="s">
        <v>321</v>
      </c>
      <c r="I680" t="s">
        <v>917</v>
      </c>
      <c r="J680" t="s">
        <v>204</v>
      </c>
      <c r="K680" t="s">
        <v>204</v>
      </c>
      <c r="L680" t="s">
        <v>325</v>
      </c>
      <c r="M680" t="s">
        <v>340</v>
      </c>
      <c r="N680" t="s">
        <v>451</v>
      </c>
      <c r="O680" t="s">
        <v>339</v>
      </c>
      <c r="P680" t="s">
        <v>1212</v>
      </c>
      <c r="Q680" s="131">
        <v>21669</v>
      </c>
      <c r="R680" s="131">
        <v>1</v>
      </c>
      <c r="S680" s="131">
        <v>11080</v>
      </c>
      <c r="U680" s="131">
        <v>2400.9250000000002</v>
      </c>
      <c r="V680" s="132">
        <v>6.3000000000000003E-4</v>
      </c>
      <c r="W680" s="132">
        <f t="shared" si="10"/>
        <v>4.9626457935047505E-3</v>
      </c>
      <c r="X680" s="132">
        <v>5.392819024829502E-4</v>
      </c>
    </row>
    <row r="681" spans="1:24">
      <c r="A681" t="s">
        <v>1213</v>
      </c>
      <c r="B681" s="4">
        <v>62</v>
      </c>
      <c r="C681" t="s">
        <v>2428</v>
      </c>
      <c r="D681" t="s">
        <v>2429</v>
      </c>
      <c r="E681" t="s">
        <v>309</v>
      </c>
      <c r="F681" t="s">
        <v>2428</v>
      </c>
      <c r="G681" t="s">
        <v>3459</v>
      </c>
      <c r="H681" t="s">
        <v>321</v>
      </c>
      <c r="I681" t="s">
        <v>917</v>
      </c>
      <c r="J681" t="s">
        <v>204</v>
      </c>
      <c r="K681" t="s">
        <v>204</v>
      </c>
      <c r="L681" t="s">
        <v>325</v>
      </c>
      <c r="M681" t="s">
        <v>340</v>
      </c>
      <c r="N681" t="s">
        <v>454</v>
      </c>
      <c r="O681" t="s">
        <v>339</v>
      </c>
      <c r="P681" t="s">
        <v>1212</v>
      </c>
      <c r="Q681" s="131">
        <v>1415653.8</v>
      </c>
      <c r="R681" s="131">
        <v>1</v>
      </c>
      <c r="S681" s="131">
        <v>161.9</v>
      </c>
      <c r="U681" s="131">
        <v>2291.944</v>
      </c>
      <c r="V681" s="132">
        <v>5.5000000000000003E-4</v>
      </c>
      <c r="W681" s="132">
        <f t="shared" si="10"/>
        <v>4.7373850705659075E-3</v>
      </c>
      <c r="X681" s="132">
        <v>5.1480321988582839E-4</v>
      </c>
    </row>
    <row r="682" spans="1:24">
      <c r="A682" t="s">
        <v>1213</v>
      </c>
      <c r="B682" s="4">
        <v>62</v>
      </c>
      <c r="C682" t="s">
        <v>2356</v>
      </c>
      <c r="D682" t="s">
        <v>2357</v>
      </c>
      <c r="E682" t="s">
        <v>309</v>
      </c>
      <c r="F682" t="s">
        <v>2356</v>
      </c>
      <c r="G682" t="s">
        <v>3645</v>
      </c>
      <c r="H682" t="s">
        <v>321</v>
      </c>
      <c r="I682" t="s">
        <v>917</v>
      </c>
      <c r="J682" t="s">
        <v>204</v>
      </c>
      <c r="K682" t="s">
        <v>204</v>
      </c>
      <c r="L682" t="s">
        <v>325</v>
      </c>
      <c r="M682" t="s">
        <v>340</v>
      </c>
      <c r="N682" t="s">
        <v>447</v>
      </c>
      <c r="O682" t="s">
        <v>339</v>
      </c>
      <c r="P682" t="s">
        <v>1212</v>
      </c>
      <c r="Q682" s="131">
        <v>239266</v>
      </c>
      <c r="R682" s="131">
        <v>1</v>
      </c>
      <c r="S682" s="131">
        <v>898.1</v>
      </c>
      <c r="U682" s="131">
        <v>2148.848</v>
      </c>
      <c r="V682" s="132">
        <v>4.2999999999999999E-4</v>
      </c>
      <c r="W682" s="132">
        <f t="shared" si="10"/>
        <v>4.4416095830070064E-3</v>
      </c>
      <c r="X682" s="132">
        <v>4.8266182308347091E-4</v>
      </c>
    </row>
    <row r="683" spans="1:24">
      <c r="A683" t="s">
        <v>1213</v>
      </c>
      <c r="B683" s="4">
        <v>62</v>
      </c>
      <c r="C683" t="s">
        <v>1534</v>
      </c>
      <c r="D683" t="s">
        <v>1535</v>
      </c>
      <c r="E683" t="s">
        <v>309</v>
      </c>
      <c r="F683" t="s">
        <v>1534</v>
      </c>
      <c r="G683" t="s">
        <v>3509</v>
      </c>
      <c r="H683" t="s">
        <v>321</v>
      </c>
      <c r="I683" t="s">
        <v>917</v>
      </c>
      <c r="J683" t="s">
        <v>204</v>
      </c>
      <c r="K683" t="s">
        <v>204</v>
      </c>
      <c r="L683" t="s">
        <v>325</v>
      </c>
      <c r="M683" t="s">
        <v>340</v>
      </c>
      <c r="N683" t="s">
        <v>464</v>
      </c>
      <c r="O683" t="s">
        <v>339</v>
      </c>
      <c r="P683" t="s">
        <v>1212</v>
      </c>
      <c r="Q683" s="131">
        <v>129813</v>
      </c>
      <c r="R683" s="131">
        <v>1</v>
      </c>
      <c r="S683" s="131">
        <v>1609</v>
      </c>
      <c r="U683" s="131">
        <v>2088.6909999999998</v>
      </c>
      <c r="V683" s="132">
        <v>2.7999999999999998E-4</v>
      </c>
      <c r="W683" s="132">
        <f t="shared" si="10"/>
        <v>4.3172667222346516E-3</v>
      </c>
      <c r="X683" s="132">
        <v>4.691497052923417E-4</v>
      </c>
    </row>
    <row r="684" spans="1:24">
      <c r="A684" t="s">
        <v>1213</v>
      </c>
      <c r="B684" s="4">
        <v>62</v>
      </c>
      <c r="C684" t="s">
        <v>1820</v>
      </c>
      <c r="D684" t="s">
        <v>1821</v>
      </c>
      <c r="E684" t="s">
        <v>309</v>
      </c>
      <c r="F684" t="s">
        <v>3632</v>
      </c>
      <c r="G684" t="s">
        <v>3633</v>
      </c>
      <c r="H684" t="s">
        <v>321</v>
      </c>
      <c r="I684" t="s">
        <v>917</v>
      </c>
      <c r="J684" t="s">
        <v>204</v>
      </c>
      <c r="K684" t="s">
        <v>204</v>
      </c>
      <c r="L684" t="s">
        <v>325</v>
      </c>
      <c r="M684" t="s">
        <v>340</v>
      </c>
      <c r="N684" t="s">
        <v>464</v>
      </c>
      <c r="O684" t="s">
        <v>339</v>
      </c>
      <c r="P684" t="s">
        <v>1212</v>
      </c>
      <c r="Q684" s="131">
        <v>37212</v>
      </c>
      <c r="R684" s="131">
        <v>1</v>
      </c>
      <c r="S684" s="131">
        <v>5594</v>
      </c>
      <c r="U684" s="131">
        <v>2081.6390000000001</v>
      </c>
      <c r="V684" s="132">
        <v>2.7999999999999998E-4</v>
      </c>
      <c r="W684" s="132">
        <f t="shared" si="10"/>
        <v>4.3026904326230247E-3</v>
      </c>
      <c r="X684" s="132">
        <v>4.6756572579431091E-4</v>
      </c>
    </row>
    <row r="685" spans="1:24">
      <c r="A685" t="s">
        <v>1213</v>
      </c>
      <c r="B685" s="4">
        <v>62</v>
      </c>
      <c r="C685" t="s">
        <v>3498</v>
      </c>
      <c r="D685" t="s">
        <v>3499</v>
      </c>
      <c r="E685" t="s">
        <v>309</v>
      </c>
      <c r="F685" t="s">
        <v>3500</v>
      </c>
      <c r="G685" t="s">
        <v>3501</v>
      </c>
      <c r="H685" t="s">
        <v>321</v>
      </c>
      <c r="I685" t="s">
        <v>917</v>
      </c>
      <c r="J685" t="s">
        <v>204</v>
      </c>
      <c r="K685" t="s">
        <v>204</v>
      </c>
      <c r="L685" t="s">
        <v>325</v>
      </c>
      <c r="M685" t="s">
        <v>340</v>
      </c>
      <c r="N685" t="s">
        <v>476</v>
      </c>
      <c r="O685" t="s">
        <v>339</v>
      </c>
      <c r="P685" t="s">
        <v>1212</v>
      </c>
      <c r="Q685" s="131">
        <v>41238</v>
      </c>
      <c r="R685" s="131">
        <v>1</v>
      </c>
      <c r="S685" s="131">
        <v>5029</v>
      </c>
      <c r="U685" s="131">
        <v>2073.8589999999999</v>
      </c>
      <c r="V685" s="132">
        <v>5.6999999999999998E-4</v>
      </c>
      <c r="W685" s="132">
        <f t="shared" si="10"/>
        <v>4.2866093870787166E-3</v>
      </c>
      <c r="X685" s="132">
        <v>4.6581822714220078E-4</v>
      </c>
    </row>
    <row r="686" spans="1:24">
      <c r="A686" t="s">
        <v>1213</v>
      </c>
      <c r="B686" s="4">
        <v>62</v>
      </c>
      <c r="C686" t="s">
        <v>3469</v>
      </c>
      <c r="D686" t="s">
        <v>3470</v>
      </c>
      <c r="E686" t="s">
        <v>309</v>
      </c>
      <c r="F686" t="s">
        <v>3471</v>
      </c>
      <c r="G686" t="s">
        <v>3472</v>
      </c>
      <c r="H686" t="s">
        <v>321</v>
      </c>
      <c r="I686" t="s">
        <v>917</v>
      </c>
      <c r="J686" t="s">
        <v>204</v>
      </c>
      <c r="K686" t="s">
        <v>204</v>
      </c>
      <c r="L686" t="s">
        <v>325</v>
      </c>
      <c r="M686" t="s">
        <v>340</v>
      </c>
      <c r="N686" t="s">
        <v>454</v>
      </c>
      <c r="O686" t="s">
        <v>339</v>
      </c>
      <c r="P686" t="s">
        <v>1212</v>
      </c>
      <c r="Q686" s="131">
        <v>179209</v>
      </c>
      <c r="R686" s="131">
        <v>1</v>
      </c>
      <c r="S686" s="131">
        <v>1025</v>
      </c>
      <c r="U686" s="131">
        <v>1836.8920000000001</v>
      </c>
      <c r="V686" s="132">
        <v>1.4999999999999999E-4</v>
      </c>
      <c r="W686" s="132">
        <f t="shared" si="10"/>
        <v>3.7968051300738374E-3</v>
      </c>
      <c r="X686" s="132">
        <v>4.1259206864675542E-4</v>
      </c>
    </row>
    <row r="687" spans="1:24">
      <c r="A687" t="s">
        <v>1213</v>
      </c>
      <c r="B687" s="4">
        <v>62</v>
      </c>
      <c r="C687" t="s">
        <v>2454</v>
      </c>
      <c r="D687" t="s">
        <v>2455</v>
      </c>
      <c r="E687" t="s">
        <v>309</v>
      </c>
      <c r="F687" t="s">
        <v>2454</v>
      </c>
      <c r="G687" t="s">
        <v>3618</v>
      </c>
      <c r="H687" t="s">
        <v>321</v>
      </c>
      <c r="I687" t="s">
        <v>917</v>
      </c>
      <c r="J687" t="s">
        <v>204</v>
      </c>
      <c r="K687" t="s">
        <v>204</v>
      </c>
      <c r="L687" t="s">
        <v>325</v>
      </c>
      <c r="M687" t="s">
        <v>340</v>
      </c>
      <c r="N687" t="s">
        <v>478</v>
      </c>
      <c r="O687" t="s">
        <v>339</v>
      </c>
      <c r="P687" t="s">
        <v>1212</v>
      </c>
      <c r="Q687" s="131">
        <v>126323.72</v>
      </c>
      <c r="R687" s="131">
        <v>1</v>
      </c>
      <c r="S687" s="131">
        <v>1373</v>
      </c>
      <c r="U687" s="131">
        <v>1734.425</v>
      </c>
      <c r="V687" s="132">
        <v>6.3000000000000003E-4</v>
      </c>
      <c r="W687" s="132">
        <f t="shared" si="10"/>
        <v>3.585008665576591E-3</v>
      </c>
      <c r="X687" s="132">
        <v>3.8957652309588625E-4</v>
      </c>
    </row>
    <row r="688" spans="1:24">
      <c r="A688" t="s">
        <v>1213</v>
      </c>
      <c r="B688" s="4">
        <v>62</v>
      </c>
      <c r="C688" t="s">
        <v>2211</v>
      </c>
      <c r="D688" t="s">
        <v>2212</v>
      </c>
      <c r="E688" t="s">
        <v>309</v>
      </c>
      <c r="F688" t="s">
        <v>2211</v>
      </c>
      <c r="G688" t="s">
        <v>3617</v>
      </c>
      <c r="H688" t="s">
        <v>321</v>
      </c>
      <c r="I688" t="s">
        <v>917</v>
      </c>
      <c r="J688" t="s">
        <v>204</v>
      </c>
      <c r="K688" t="s">
        <v>204</v>
      </c>
      <c r="L688" t="s">
        <v>325</v>
      </c>
      <c r="M688" t="s">
        <v>340</v>
      </c>
      <c r="N688" t="s">
        <v>454</v>
      </c>
      <c r="O688" t="s">
        <v>339</v>
      </c>
      <c r="P688" t="s">
        <v>1212</v>
      </c>
      <c r="Q688" s="131">
        <v>3891</v>
      </c>
      <c r="R688" s="131">
        <v>1</v>
      </c>
      <c r="S688" s="131">
        <v>43600</v>
      </c>
      <c r="U688" s="131">
        <v>1696.4760000000001</v>
      </c>
      <c r="V688" s="132">
        <v>2.1000000000000001E-4</v>
      </c>
      <c r="W688" s="132">
        <f t="shared" si="10"/>
        <v>3.5065691286407389E-3</v>
      </c>
      <c r="X688" s="132">
        <v>3.8105263796106304E-4</v>
      </c>
    </row>
    <row r="689" spans="1:24">
      <c r="A689" t="s">
        <v>1213</v>
      </c>
      <c r="B689" s="4">
        <v>62</v>
      </c>
      <c r="C689" t="s">
        <v>3433</v>
      </c>
      <c r="D689" t="s">
        <v>3434</v>
      </c>
      <c r="E689" t="s">
        <v>309</v>
      </c>
      <c r="F689" t="s">
        <v>3433</v>
      </c>
      <c r="G689" t="s">
        <v>3435</v>
      </c>
      <c r="H689" t="s">
        <v>321</v>
      </c>
      <c r="I689" t="s">
        <v>917</v>
      </c>
      <c r="J689" t="s">
        <v>204</v>
      </c>
      <c r="K689" t="s">
        <v>204</v>
      </c>
      <c r="L689" t="s">
        <v>325</v>
      </c>
      <c r="M689" t="s">
        <v>340</v>
      </c>
      <c r="N689" t="s">
        <v>458</v>
      </c>
      <c r="O689" t="s">
        <v>339</v>
      </c>
      <c r="P689" t="s">
        <v>1212</v>
      </c>
      <c r="Q689" s="131">
        <v>5575</v>
      </c>
      <c r="R689" s="131">
        <v>1</v>
      </c>
      <c r="S689" s="131">
        <v>29980</v>
      </c>
      <c r="U689" s="131">
        <v>1671.385</v>
      </c>
      <c r="V689" s="132">
        <v>1.2E-4</v>
      </c>
      <c r="W689" s="132">
        <f t="shared" si="10"/>
        <v>3.4547067232741286E-3</v>
      </c>
      <c r="X689" s="132">
        <v>3.7541684250089679E-4</v>
      </c>
    </row>
    <row r="690" spans="1:24">
      <c r="A690" t="s">
        <v>1213</v>
      </c>
      <c r="B690" s="4">
        <v>62</v>
      </c>
      <c r="C690" t="s">
        <v>3284</v>
      </c>
      <c r="D690" t="s">
        <v>3285</v>
      </c>
      <c r="E690" t="s">
        <v>311</v>
      </c>
      <c r="F690" t="s">
        <v>3284</v>
      </c>
      <c r="G690" t="s">
        <v>3510</v>
      </c>
      <c r="H690" t="s">
        <v>321</v>
      </c>
      <c r="I690" t="s">
        <v>917</v>
      </c>
      <c r="J690" t="s">
        <v>204</v>
      </c>
      <c r="K690" t="s">
        <v>233</v>
      </c>
      <c r="L690" t="s">
        <v>325</v>
      </c>
      <c r="M690" t="s">
        <v>340</v>
      </c>
      <c r="N690" t="s">
        <v>454</v>
      </c>
      <c r="O690" t="s">
        <v>339</v>
      </c>
      <c r="P690" t="s">
        <v>1212</v>
      </c>
      <c r="Q690" s="131">
        <v>19087</v>
      </c>
      <c r="R690" s="131">
        <v>1</v>
      </c>
      <c r="S690" s="131">
        <v>4556</v>
      </c>
      <c r="T690" s="131">
        <f>21.313-68.7090000000026/1000/R690</f>
        <v>21.244290999999997</v>
      </c>
      <c r="U690" s="131">
        <f>890.916-68.7090000000026/1000</f>
        <v>890.84729100000004</v>
      </c>
      <c r="V690" s="132">
        <v>1E-4</v>
      </c>
      <c r="W690" s="132">
        <f t="shared" si="10"/>
        <v>1.841356794292305E-3</v>
      </c>
      <c r="X690" s="132">
        <v>2.0009697175557849E-4</v>
      </c>
    </row>
    <row r="691" spans="1:24">
      <c r="A691" t="s">
        <v>1213</v>
      </c>
      <c r="B691" s="4">
        <v>62</v>
      </c>
      <c r="C691" t="s">
        <v>3789</v>
      </c>
      <c r="D691" t="s">
        <v>3790</v>
      </c>
      <c r="E691" t="s">
        <v>309</v>
      </c>
      <c r="F691" t="s">
        <v>3791</v>
      </c>
      <c r="G691" t="s">
        <v>3792</v>
      </c>
      <c r="H691" t="s">
        <v>321</v>
      </c>
      <c r="I691" t="s">
        <v>917</v>
      </c>
      <c r="J691" t="s">
        <v>204</v>
      </c>
      <c r="K691" t="s">
        <v>204</v>
      </c>
      <c r="L691" t="s">
        <v>325</v>
      </c>
      <c r="M691" t="s">
        <v>340</v>
      </c>
      <c r="N691" t="s">
        <v>450</v>
      </c>
      <c r="O691" t="s">
        <v>339</v>
      </c>
      <c r="P691" t="s">
        <v>1212</v>
      </c>
      <c r="Q691" s="131">
        <v>297600</v>
      </c>
      <c r="R691" s="131">
        <v>1</v>
      </c>
      <c r="S691" s="131">
        <v>108.6</v>
      </c>
      <c r="U691" s="131">
        <v>323.19400000000002</v>
      </c>
      <c r="V691" s="132">
        <v>7.3749999999999996E-2</v>
      </c>
      <c r="W691" s="132">
        <f t="shared" si="10"/>
        <v>6.6803308915770981E-4</v>
      </c>
      <c r="X691" s="132">
        <v>7.259396907070175E-5</v>
      </c>
    </row>
    <row r="692" spans="1:24">
      <c r="A692" t="s">
        <v>1213</v>
      </c>
      <c r="B692" s="4">
        <v>62</v>
      </c>
      <c r="C692" t="s">
        <v>3119</v>
      </c>
      <c r="D692" t="s">
        <v>3120</v>
      </c>
      <c r="E692" t="s">
        <v>80</v>
      </c>
      <c r="F692" t="s">
        <v>3718</v>
      </c>
      <c r="G692" t="s">
        <v>3719</v>
      </c>
      <c r="H692" t="s">
        <v>321</v>
      </c>
      <c r="I692" t="s">
        <v>917</v>
      </c>
      <c r="J692" t="s">
        <v>205</v>
      </c>
      <c r="K692" t="s">
        <v>224</v>
      </c>
      <c r="L692" t="s">
        <v>325</v>
      </c>
      <c r="M692" t="s">
        <v>344</v>
      </c>
      <c r="N692" t="s">
        <v>544</v>
      </c>
      <c r="O692" t="s">
        <v>339</v>
      </c>
      <c r="P692" t="s">
        <v>1216</v>
      </c>
      <c r="Q692" s="131">
        <v>32424</v>
      </c>
      <c r="R692" s="131">
        <v>3.71</v>
      </c>
      <c r="S692" s="131">
        <v>18633</v>
      </c>
      <c r="U692" s="131">
        <v>22414.202000000001</v>
      </c>
      <c r="V692" s="132">
        <v>0</v>
      </c>
      <c r="W692" s="132">
        <f t="shared" si="10"/>
        <v>4.6329537686544048E-2</v>
      </c>
      <c r="X692" s="132">
        <v>5.034548558241988E-3</v>
      </c>
    </row>
    <row r="693" spans="1:24">
      <c r="A693" t="s">
        <v>1213</v>
      </c>
      <c r="B693" s="4">
        <v>62</v>
      </c>
      <c r="C693" t="s">
        <v>3550</v>
      </c>
      <c r="D693" t="s">
        <v>3551</v>
      </c>
      <c r="E693" t="s">
        <v>80</v>
      </c>
      <c r="F693" t="s">
        <v>3552</v>
      </c>
      <c r="G693" t="s">
        <v>3553</v>
      </c>
      <c r="H693" t="s">
        <v>321</v>
      </c>
      <c r="I693" t="s">
        <v>917</v>
      </c>
      <c r="J693" t="s">
        <v>205</v>
      </c>
      <c r="K693" t="s">
        <v>224</v>
      </c>
      <c r="L693" t="s">
        <v>325</v>
      </c>
      <c r="M693" t="s">
        <v>344</v>
      </c>
      <c r="N693" t="s">
        <v>544</v>
      </c>
      <c r="O693" t="s">
        <v>339</v>
      </c>
      <c r="P693" t="s">
        <v>1216</v>
      </c>
      <c r="Q693" s="131">
        <v>13745</v>
      </c>
      <c r="R693" s="131">
        <v>3.71</v>
      </c>
      <c r="S693" s="131">
        <v>43030</v>
      </c>
      <c r="U693" s="131">
        <v>21942.697</v>
      </c>
      <c r="V693" s="132">
        <v>0</v>
      </c>
      <c r="W693" s="132">
        <f t="shared" si="10"/>
        <v>4.5354949848578907E-2</v>
      </c>
      <c r="X693" s="132">
        <v>4.9286418291978806E-3</v>
      </c>
    </row>
    <row r="694" spans="1:24">
      <c r="A694" t="s">
        <v>1213</v>
      </c>
      <c r="B694" s="4">
        <v>62</v>
      </c>
      <c r="C694" t="s">
        <v>3563</v>
      </c>
      <c r="D694" t="s">
        <v>3564</v>
      </c>
      <c r="E694" t="s">
        <v>80</v>
      </c>
      <c r="F694" t="s">
        <v>3565</v>
      </c>
      <c r="G694" t="s">
        <v>3566</v>
      </c>
      <c r="H694" t="s">
        <v>321</v>
      </c>
      <c r="I694" t="s">
        <v>917</v>
      </c>
      <c r="J694" t="s">
        <v>205</v>
      </c>
      <c r="K694" t="s">
        <v>224</v>
      </c>
      <c r="L694" t="s">
        <v>325</v>
      </c>
      <c r="M694" t="s">
        <v>344</v>
      </c>
      <c r="N694" t="s">
        <v>546</v>
      </c>
      <c r="O694" t="s">
        <v>339</v>
      </c>
      <c r="P694" t="s">
        <v>1216</v>
      </c>
      <c r="Q694" s="131">
        <v>22101</v>
      </c>
      <c r="R694" s="131">
        <v>3.71</v>
      </c>
      <c r="S694" s="131">
        <v>23300</v>
      </c>
      <c r="U694" s="131">
        <v>19104.767</v>
      </c>
      <c r="V694" s="132">
        <v>0</v>
      </c>
      <c r="W694" s="132">
        <f t="shared" si="10"/>
        <v>3.9489026766116549E-2</v>
      </c>
      <c r="X694" s="132">
        <v>4.2912023883517744E-3</v>
      </c>
    </row>
    <row r="695" spans="1:24">
      <c r="A695" t="s">
        <v>1213</v>
      </c>
      <c r="B695" s="4">
        <v>62</v>
      </c>
      <c r="C695" t="s">
        <v>3544</v>
      </c>
      <c r="D695" t="s">
        <v>3545</v>
      </c>
      <c r="E695" t="s">
        <v>80</v>
      </c>
      <c r="F695" t="s">
        <v>3546</v>
      </c>
      <c r="G695" t="s">
        <v>3547</v>
      </c>
      <c r="H695" t="s">
        <v>321</v>
      </c>
      <c r="I695" t="s">
        <v>917</v>
      </c>
      <c r="J695" t="s">
        <v>205</v>
      </c>
      <c r="K695" t="s">
        <v>224</v>
      </c>
      <c r="L695" t="s">
        <v>325</v>
      </c>
      <c r="M695" t="s">
        <v>344</v>
      </c>
      <c r="N695" t="s">
        <v>545</v>
      </c>
      <c r="O695" t="s">
        <v>339</v>
      </c>
      <c r="P695" t="s">
        <v>1216</v>
      </c>
      <c r="Q695" s="131">
        <v>27254</v>
      </c>
      <c r="R695" s="131">
        <v>3.71</v>
      </c>
      <c r="S695" s="131">
        <v>16719</v>
      </c>
      <c r="U695" s="131">
        <v>16904.972000000002</v>
      </c>
      <c r="V695" s="132">
        <v>0</v>
      </c>
      <c r="W695" s="132">
        <f t="shared" si="10"/>
        <v>3.4942111138463551E-2</v>
      </c>
      <c r="X695" s="132">
        <v>3.7970971444676546E-3</v>
      </c>
    </row>
    <row r="696" spans="1:24">
      <c r="A696" t="s">
        <v>1213</v>
      </c>
      <c r="B696" s="4">
        <v>62</v>
      </c>
      <c r="C696" t="s">
        <v>3227</v>
      </c>
      <c r="D696" t="s">
        <v>3228</v>
      </c>
      <c r="E696" t="s">
        <v>80</v>
      </c>
      <c r="F696" t="s">
        <v>3548</v>
      </c>
      <c r="G696" t="s">
        <v>3549</v>
      </c>
      <c r="H696" t="s">
        <v>321</v>
      </c>
      <c r="I696" t="s">
        <v>917</v>
      </c>
      <c r="J696" t="s">
        <v>205</v>
      </c>
      <c r="K696" t="s">
        <v>301</v>
      </c>
      <c r="L696" t="s">
        <v>325</v>
      </c>
      <c r="M696" t="s">
        <v>344</v>
      </c>
      <c r="N696" t="s">
        <v>548</v>
      </c>
      <c r="O696" t="s">
        <v>339</v>
      </c>
      <c r="P696" t="s">
        <v>1216</v>
      </c>
      <c r="Q696" s="131">
        <v>21748</v>
      </c>
      <c r="R696" s="131">
        <v>3.71</v>
      </c>
      <c r="S696" s="131">
        <v>17367</v>
      </c>
      <c r="T696" s="131">
        <f>8.524+9094.8499999/1000/R696</f>
        <v>10.975442048490565</v>
      </c>
      <c r="U696" s="131">
        <f>14044.202+9094.8499999/1000</f>
        <v>14053.296849999899</v>
      </c>
      <c r="V696" s="132">
        <v>0</v>
      </c>
      <c r="W696" s="132">
        <f t="shared" si="10"/>
        <v>2.9047777209836024E-2</v>
      </c>
      <c r="X696" s="132">
        <v>3.1565703474392558E-3</v>
      </c>
    </row>
    <row r="697" spans="1:24">
      <c r="A697" t="s">
        <v>1213</v>
      </c>
      <c r="B697" s="4">
        <v>62</v>
      </c>
      <c r="C697" t="s">
        <v>3209</v>
      </c>
      <c r="D697" t="s">
        <v>3210</v>
      </c>
      <c r="E697" t="s">
        <v>80</v>
      </c>
      <c r="F697" t="s">
        <v>3209</v>
      </c>
      <c r="G697" t="s">
        <v>3562</v>
      </c>
      <c r="H697" t="s">
        <v>321</v>
      </c>
      <c r="I697" t="s">
        <v>917</v>
      </c>
      <c r="J697" t="s">
        <v>205</v>
      </c>
      <c r="K697" t="s">
        <v>224</v>
      </c>
      <c r="L697" t="s">
        <v>325</v>
      </c>
      <c r="M697" t="s">
        <v>340</v>
      </c>
      <c r="N697" t="s">
        <v>545</v>
      </c>
      <c r="O697" t="s">
        <v>339</v>
      </c>
      <c r="P697" t="s">
        <v>1216</v>
      </c>
      <c r="Q697" s="131">
        <v>6077</v>
      </c>
      <c r="R697" s="131">
        <v>3.71</v>
      </c>
      <c r="S697" s="131">
        <v>57244</v>
      </c>
      <c r="U697" s="131">
        <v>12906.043</v>
      </c>
      <c r="V697" s="132">
        <v>0</v>
      </c>
      <c r="W697" s="132">
        <f t="shared" si="10"/>
        <v>2.6676435125937474E-2</v>
      </c>
      <c r="X697" s="132">
        <v>2.898880815755078E-3</v>
      </c>
    </row>
    <row r="698" spans="1:24">
      <c r="A698" t="s">
        <v>1213</v>
      </c>
      <c r="B698" s="4">
        <v>62</v>
      </c>
      <c r="C698" t="s">
        <v>3797</v>
      </c>
      <c r="D698" t="s">
        <v>3798</v>
      </c>
      <c r="E698" t="s">
        <v>80</v>
      </c>
      <c r="F698" t="s">
        <v>3799</v>
      </c>
      <c r="G698" t="s">
        <v>3800</v>
      </c>
      <c r="H698" t="s">
        <v>321</v>
      </c>
      <c r="I698" t="s">
        <v>917</v>
      </c>
      <c r="J698" t="s">
        <v>205</v>
      </c>
      <c r="K698" t="s">
        <v>224</v>
      </c>
      <c r="L698" t="s">
        <v>325</v>
      </c>
      <c r="M698" t="s">
        <v>344</v>
      </c>
      <c r="N698" t="s">
        <v>548</v>
      </c>
      <c r="O698" t="s">
        <v>339</v>
      </c>
      <c r="P698" t="s">
        <v>1216</v>
      </c>
      <c r="Q698" s="131">
        <v>93014</v>
      </c>
      <c r="R698" s="131">
        <v>3.71</v>
      </c>
      <c r="S698" s="131">
        <v>2291</v>
      </c>
      <c r="U698" s="131">
        <v>7905.8270000000002</v>
      </c>
      <c r="V698" s="132">
        <v>1.6199999999999999E-3</v>
      </c>
      <c r="W698" s="132">
        <f t="shared" si="10"/>
        <v>1.6341126484886569E-2</v>
      </c>
      <c r="X698" s="132">
        <v>1.7757611859017146E-3</v>
      </c>
    </row>
    <row r="699" spans="1:24">
      <c r="A699" t="s">
        <v>1213</v>
      </c>
      <c r="B699" s="4">
        <v>62</v>
      </c>
      <c r="C699" t="s">
        <v>3801</v>
      </c>
      <c r="D699" t="s">
        <v>3802</v>
      </c>
      <c r="E699" t="s">
        <v>80</v>
      </c>
      <c r="F699" t="s">
        <v>3803</v>
      </c>
      <c r="G699" t="s">
        <v>3804</v>
      </c>
      <c r="H699" t="s">
        <v>321</v>
      </c>
      <c r="I699" t="s">
        <v>917</v>
      </c>
      <c r="J699" t="s">
        <v>205</v>
      </c>
      <c r="K699" t="s">
        <v>224</v>
      </c>
      <c r="L699" t="s">
        <v>325</v>
      </c>
      <c r="M699" t="s">
        <v>344</v>
      </c>
      <c r="N699" t="s">
        <v>548</v>
      </c>
      <c r="O699" t="s">
        <v>339</v>
      </c>
      <c r="P699" t="s">
        <v>1216</v>
      </c>
      <c r="Q699" s="131">
        <v>13317</v>
      </c>
      <c r="R699" s="131">
        <v>3.71</v>
      </c>
      <c r="S699" s="131">
        <v>12144</v>
      </c>
      <c r="T699" s="131">
        <f>0.1+122.3107/1000/R699</f>
        <v>0.13296784366576819</v>
      </c>
      <c r="U699" s="131">
        <f>6000.245+122.3107/1000</f>
        <v>6000.3673106999995</v>
      </c>
      <c r="V699" s="132">
        <v>0</v>
      </c>
      <c r="W699" s="132">
        <f t="shared" si="10"/>
        <v>1.2402593831097916E-2</v>
      </c>
      <c r="X699" s="132">
        <v>1.3477678390248753E-3</v>
      </c>
    </row>
    <row r="700" spans="1:24">
      <c r="A700" t="s">
        <v>1213</v>
      </c>
      <c r="B700" s="4">
        <v>62</v>
      </c>
      <c r="C700" t="s">
        <v>3793</v>
      </c>
      <c r="D700" t="s">
        <v>3794</v>
      </c>
      <c r="E700" t="s">
        <v>309</v>
      </c>
      <c r="F700" t="s">
        <v>3795</v>
      </c>
      <c r="G700" t="s">
        <v>3796</v>
      </c>
      <c r="H700" t="s">
        <v>321</v>
      </c>
      <c r="I700" t="s">
        <v>917</v>
      </c>
      <c r="J700" t="s">
        <v>205</v>
      </c>
      <c r="K700" t="s">
        <v>204</v>
      </c>
      <c r="L700" t="s">
        <v>325</v>
      </c>
      <c r="M700" t="s">
        <v>346</v>
      </c>
      <c r="N700" t="s">
        <v>544</v>
      </c>
      <c r="O700" t="s">
        <v>339</v>
      </c>
      <c r="P700" t="s">
        <v>1216</v>
      </c>
      <c r="Q700" s="131">
        <v>135410.76</v>
      </c>
      <c r="R700" s="131">
        <v>3.71</v>
      </c>
      <c r="S700" s="131">
        <v>706</v>
      </c>
      <c r="U700" s="131">
        <v>3546.76</v>
      </c>
      <c r="V700" s="132">
        <v>1.2529999999999999E-2</v>
      </c>
      <c r="W700" s="132">
        <f t="shared" si="10"/>
        <v>7.3310551535641097E-3</v>
      </c>
      <c r="X700" s="132">
        <v>7.9665274027736319E-4</v>
      </c>
    </row>
    <row r="701" spans="1:24">
      <c r="A701" t="s">
        <v>1213</v>
      </c>
      <c r="B701" s="4">
        <v>62</v>
      </c>
      <c r="C701" t="s">
        <v>3805</v>
      </c>
      <c r="D701" t="s">
        <v>3806</v>
      </c>
      <c r="E701" t="s">
        <v>311</v>
      </c>
      <c r="F701" t="s">
        <v>3807</v>
      </c>
      <c r="G701" t="s">
        <v>3808</v>
      </c>
      <c r="H701" t="s">
        <v>321</v>
      </c>
      <c r="I701" t="s">
        <v>917</v>
      </c>
      <c r="J701" t="s">
        <v>205</v>
      </c>
      <c r="K701" t="s">
        <v>204</v>
      </c>
      <c r="L701" t="s">
        <v>325</v>
      </c>
      <c r="M701" t="s">
        <v>346</v>
      </c>
      <c r="N701" t="s">
        <v>544</v>
      </c>
      <c r="O701" t="s">
        <v>339</v>
      </c>
      <c r="P701" t="s">
        <v>1216</v>
      </c>
      <c r="Q701" s="131">
        <v>4387</v>
      </c>
      <c r="R701" s="131">
        <v>3.71</v>
      </c>
      <c r="S701" s="131">
        <v>16717</v>
      </c>
      <c r="U701" s="131">
        <v>2720.82</v>
      </c>
      <c r="V701" s="132">
        <v>8.0000000000000007E-5</v>
      </c>
      <c r="W701" s="132">
        <f t="shared" si="10"/>
        <v>5.6238599405993928E-3</v>
      </c>
      <c r="X701" s="132">
        <v>6.1113486923317485E-4</v>
      </c>
    </row>
    <row r="702" spans="1:24">
      <c r="A702" t="s">
        <v>1213</v>
      </c>
      <c r="B702" s="4">
        <v>62</v>
      </c>
      <c r="C702" t="s">
        <v>3809</v>
      </c>
      <c r="D702" t="s">
        <v>3810</v>
      </c>
      <c r="E702" t="s">
        <v>309</v>
      </c>
      <c r="F702" t="s">
        <v>3811</v>
      </c>
      <c r="G702" t="s">
        <v>3812</v>
      </c>
      <c r="H702" t="s">
        <v>321</v>
      </c>
      <c r="I702" t="s">
        <v>917</v>
      </c>
      <c r="J702" t="s">
        <v>205</v>
      </c>
      <c r="K702" t="s">
        <v>204</v>
      </c>
      <c r="L702" t="s">
        <v>325</v>
      </c>
      <c r="M702" t="s">
        <v>346</v>
      </c>
      <c r="N702" t="s">
        <v>546</v>
      </c>
      <c r="O702" t="s">
        <v>339</v>
      </c>
      <c r="P702" t="s">
        <v>1216</v>
      </c>
      <c r="Q702" s="131">
        <v>152414</v>
      </c>
      <c r="R702" s="131">
        <v>3.71</v>
      </c>
      <c r="S702" s="131">
        <v>191</v>
      </c>
      <c r="U702" s="131">
        <v>1080.021</v>
      </c>
      <c r="V702" s="132">
        <v>1.97E-3</v>
      </c>
      <c r="W702" s="132">
        <f t="shared" si="10"/>
        <v>2.2323736362222036E-3</v>
      </c>
      <c r="X702" s="132">
        <v>2.4258807734583058E-4</v>
      </c>
    </row>
    <row r="703" spans="1:24">
      <c r="A703" t="s">
        <v>1213</v>
      </c>
      <c r="B703" s="4">
        <v>62</v>
      </c>
      <c r="C703" t="s">
        <v>3813</v>
      </c>
      <c r="D703" t="s">
        <v>3814</v>
      </c>
      <c r="E703" t="s">
        <v>311</v>
      </c>
      <c r="F703" t="s">
        <v>3815</v>
      </c>
      <c r="G703" t="s">
        <v>3816</v>
      </c>
      <c r="H703" t="s">
        <v>321</v>
      </c>
      <c r="I703" t="s">
        <v>917</v>
      </c>
      <c r="J703" t="s">
        <v>205</v>
      </c>
      <c r="K703" t="s">
        <v>224</v>
      </c>
      <c r="L703" t="s">
        <v>325</v>
      </c>
      <c r="M703" t="s">
        <v>346</v>
      </c>
      <c r="N703" t="s">
        <v>486</v>
      </c>
      <c r="O703" t="s">
        <v>339</v>
      </c>
      <c r="P703" t="s">
        <v>1216</v>
      </c>
      <c r="Q703" s="131">
        <v>24147</v>
      </c>
      <c r="R703" s="131">
        <v>3.71</v>
      </c>
      <c r="S703" s="131">
        <v>702</v>
      </c>
      <c r="U703" s="131">
        <v>628.88900000000001</v>
      </c>
      <c r="V703" s="132">
        <v>2.1000000000000001E-4</v>
      </c>
      <c r="W703" s="132">
        <f t="shared" si="10"/>
        <v>1.2998962276753372E-3</v>
      </c>
      <c r="X703" s="132">
        <v>1.4125741385949167E-4</v>
      </c>
    </row>
    <row r="704" spans="1:24">
      <c r="A704" t="s">
        <v>1213</v>
      </c>
      <c r="B704" s="4">
        <v>62</v>
      </c>
      <c r="C704" t="s">
        <v>3825</v>
      </c>
      <c r="D704" t="s">
        <v>3826</v>
      </c>
      <c r="E704" t="s">
        <v>80</v>
      </c>
      <c r="F704" t="s">
        <v>3827</v>
      </c>
      <c r="G704" t="s">
        <v>3828</v>
      </c>
      <c r="H704" t="s">
        <v>321</v>
      </c>
      <c r="I704" t="s">
        <v>917</v>
      </c>
      <c r="J704" t="s">
        <v>205</v>
      </c>
      <c r="K704" t="s">
        <v>272</v>
      </c>
      <c r="L704" t="s">
        <v>325</v>
      </c>
      <c r="M704" t="s">
        <v>314</v>
      </c>
      <c r="N704" t="s">
        <v>568</v>
      </c>
      <c r="O704" t="s">
        <v>339</v>
      </c>
      <c r="P704" t="s">
        <v>1218</v>
      </c>
      <c r="Q704" s="131">
        <v>88206</v>
      </c>
      <c r="R704" s="131">
        <v>4.1524000000000001</v>
      </c>
      <c r="S704" s="131">
        <v>102</v>
      </c>
      <c r="U704" s="131">
        <v>373.59199999999998</v>
      </c>
      <c r="V704" s="132">
        <v>1.4400000000000001E-3</v>
      </c>
      <c r="W704" s="132">
        <f t="shared" si="10"/>
        <v>7.7220436593688959E-4</v>
      </c>
      <c r="X704" s="132">
        <v>8.3914076663123708E-5</v>
      </c>
    </row>
    <row r="705" spans="1:24">
      <c r="A705" t="s">
        <v>1213</v>
      </c>
      <c r="B705" s="4">
        <v>62</v>
      </c>
      <c r="C705" t="s">
        <v>3817</v>
      </c>
      <c r="D705" t="s">
        <v>3818</v>
      </c>
      <c r="E705" t="s">
        <v>80</v>
      </c>
      <c r="F705" t="s">
        <v>3819</v>
      </c>
      <c r="G705" t="s">
        <v>3820</v>
      </c>
      <c r="H705" t="s">
        <v>321</v>
      </c>
      <c r="I705" t="s">
        <v>917</v>
      </c>
      <c r="J705" t="s">
        <v>205</v>
      </c>
      <c r="K705" t="s">
        <v>224</v>
      </c>
      <c r="L705" t="s">
        <v>325</v>
      </c>
      <c r="M705" t="s">
        <v>344</v>
      </c>
      <c r="N705" t="s">
        <v>569</v>
      </c>
      <c r="O705" t="s">
        <v>339</v>
      </c>
      <c r="P705" t="s">
        <v>1216</v>
      </c>
      <c r="Q705" s="131">
        <v>0</v>
      </c>
      <c r="R705" s="131">
        <v>3.71</v>
      </c>
      <c r="S705" s="131">
        <v>0</v>
      </c>
      <c r="T705" s="131">
        <v>14.368</v>
      </c>
      <c r="U705" s="131">
        <v>53.305999999999997</v>
      </c>
      <c r="V705" t="s">
        <v>1871</v>
      </c>
      <c r="W705" s="132">
        <f t="shared" si="10"/>
        <v>1.1018203262016274E-4</v>
      </c>
      <c r="X705" s="132">
        <v>1.1973285751848199E-5</v>
      </c>
    </row>
    <row r="706" spans="1:24">
      <c r="A706" t="s">
        <v>1213</v>
      </c>
      <c r="B706" s="4">
        <v>62</v>
      </c>
      <c r="C706" t="s">
        <v>3856</v>
      </c>
      <c r="D706" t="s">
        <v>3857</v>
      </c>
      <c r="E706" t="s">
        <v>80</v>
      </c>
      <c r="F706" t="s">
        <v>3856</v>
      </c>
      <c r="G706" t="s">
        <v>3858</v>
      </c>
      <c r="H706" t="s">
        <v>321</v>
      </c>
      <c r="I706" t="s">
        <v>917</v>
      </c>
      <c r="J706" t="s">
        <v>205</v>
      </c>
      <c r="K706" t="s">
        <v>238</v>
      </c>
      <c r="L706" t="s">
        <v>325</v>
      </c>
      <c r="M706" t="s">
        <v>368</v>
      </c>
      <c r="N706" t="s">
        <v>568</v>
      </c>
      <c r="O706" t="s">
        <v>339</v>
      </c>
      <c r="P706" t="s">
        <v>1218</v>
      </c>
      <c r="Q706" s="131">
        <v>720</v>
      </c>
      <c r="R706" s="131">
        <v>4.1524000000000001</v>
      </c>
      <c r="S706" s="131">
        <v>24</v>
      </c>
      <c r="U706" s="131">
        <v>0.71799999999999997</v>
      </c>
      <c r="V706" s="132">
        <v>1.0000000000000001E-5</v>
      </c>
      <c r="W706" s="132">
        <f t="shared" si="10"/>
        <v>1.4840862083307103E-6</v>
      </c>
      <c r="X706" s="132">
        <v>1.6127301185283095E-7</v>
      </c>
    </row>
    <row r="707" spans="1:24">
      <c r="A707" t="s">
        <v>1213</v>
      </c>
      <c r="B707" s="4">
        <v>62</v>
      </c>
      <c r="C707" t="s">
        <v>3825</v>
      </c>
      <c r="D707" t="s">
        <v>3826</v>
      </c>
      <c r="E707" t="s">
        <v>80</v>
      </c>
      <c r="F707" t="s">
        <v>3829</v>
      </c>
      <c r="G707" t="s">
        <v>3830</v>
      </c>
      <c r="H707" t="s">
        <v>321</v>
      </c>
      <c r="I707" t="s">
        <v>917</v>
      </c>
      <c r="J707" t="s">
        <v>205</v>
      </c>
      <c r="K707" t="s">
        <v>272</v>
      </c>
      <c r="L707" s="134"/>
      <c r="M707" t="s">
        <v>314</v>
      </c>
      <c r="N707" t="s">
        <v>568</v>
      </c>
      <c r="O707" t="s">
        <v>339</v>
      </c>
      <c r="P707" t="s">
        <v>1218</v>
      </c>
      <c r="Q707" s="131">
        <v>88206</v>
      </c>
      <c r="R707" s="131">
        <v>4.1524000000000001</v>
      </c>
      <c r="S707" s="131">
        <v>0</v>
      </c>
      <c r="U707" s="131">
        <v>0</v>
      </c>
      <c r="W707" s="132">
        <f t="shared" ref="W707:W770" si="11">U707/SUMIF(B:B,B707,U:U)</f>
        <v>0</v>
      </c>
      <c r="X707" s="132">
        <v>0</v>
      </c>
    </row>
    <row r="708" spans="1:24">
      <c r="A708" t="s">
        <v>1213</v>
      </c>
      <c r="B708" s="4">
        <v>9300</v>
      </c>
      <c r="C708" t="s">
        <v>2893</v>
      </c>
      <c r="D708" t="s">
        <v>2894</v>
      </c>
      <c r="E708" t="s">
        <v>309</v>
      </c>
      <c r="F708" t="s">
        <v>3859</v>
      </c>
      <c r="G708" t="s">
        <v>3860</v>
      </c>
      <c r="H708" t="s">
        <v>321</v>
      </c>
      <c r="I708" t="s">
        <v>917</v>
      </c>
      <c r="J708" t="s">
        <v>204</v>
      </c>
      <c r="K708" t="s">
        <v>204</v>
      </c>
      <c r="L708" t="s">
        <v>325</v>
      </c>
      <c r="M708" t="s">
        <v>340</v>
      </c>
      <c r="N708" t="s">
        <v>447</v>
      </c>
      <c r="O708" t="s">
        <v>339</v>
      </c>
      <c r="P708" t="s">
        <v>1212</v>
      </c>
      <c r="Q708" s="131">
        <v>3323.01</v>
      </c>
      <c r="R708" s="131">
        <v>1</v>
      </c>
      <c r="S708" s="131">
        <v>185.7</v>
      </c>
      <c r="U708" s="131">
        <v>6.1710000000000003</v>
      </c>
      <c r="V708" s="132">
        <v>6.0000000000000002E-5</v>
      </c>
      <c r="W708" s="132">
        <f t="shared" si="11"/>
        <v>1</v>
      </c>
      <c r="X708" s="132">
        <v>2.0205444321436415E-5</v>
      </c>
    </row>
    <row r="709" spans="1:24">
      <c r="A709" t="s">
        <v>1213</v>
      </c>
      <c r="B709" s="4">
        <v>9301</v>
      </c>
      <c r="C709" t="s">
        <v>1573</v>
      </c>
      <c r="D709" t="s">
        <v>1574</v>
      </c>
      <c r="E709" t="s">
        <v>309</v>
      </c>
      <c r="F709" t="s">
        <v>1573</v>
      </c>
      <c r="G709" t="s">
        <v>3404</v>
      </c>
      <c r="H709" t="s">
        <v>321</v>
      </c>
      <c r="I709" t="s">
        <v>917</v>
      </c>
      <c r="J709" t="s">
        <v>204</v>
      </c>
      <c r="K709" t="s">
        <v>204</v>
      </c>
      <c r="L709" t="s">
        <v>325</v>
      </c>
      <c r="M709" t="s">
        <v>340</v>
      </c>
      <c r="N709" t="s">
        <v>448</v>
      </c>
      <c r="O709" t="s">
        <v>339</v>
      </c>
      <c r="P709" t="s">
        <v>1212</v>
      </c>
      <c r="Q709" s="131">
        <v>301000.52</v>
      </c>
      <c r="R709" s="131">
        <v>1</v>
      </c>
      <c r="S709" s="131">
        <v>3644</v>
      </c>
      <c r="U709" s="131">
        <v>10968.459000000001</v>
      </c>
      <c r="V709" s="132">
        <v>1.9000000000000001E-4</v>
      </c>
      <c r="W709" s="132">
        <f t="shared" si="11"/>
        <v>6.9441980171522963E-2</v>
      </c>
      <c r="X709" s="132">
        <v>1.5064420144126607E-2</v>
      </c>
    </row>
    <row r="710" spans="1:24">
      <c r="A710" t="s">
        <v>1213</v>
      </c>
      <c r="B710" s="4">
        <v>9301</v>
      </c>
      <c r="C710" t="s">
        <v>1600</v>
      </c>
      <c r="D710" t="s">
        <v>1601</v>
      </c>
      <c r="E710" t="s">
        <v>309</v>
      </c>
      <c r="F710" t="s">
        <v>1600</v>
      </c>
      <c r="G710" t="s">
        <v>3406</v>
      </c>
      <c r="H710" t="s">
        <v>321</v>
      </c>
      <c r="I710" t="s">
        <v>917</v>
      </c>
      <c r="J710" t="s">
        <v>204</v>
      </c>
      <c r="K710" t="s">
        <v>204</v>
      </c>
      <c r="L710" t="s">
        <v>325</v>
      </c>
      <c r="M710" t="s">
        <v>340</v>
      </c>
      <c r="N710" t="s">
        <v>448</v>
      </c>
      <c r="O710" t="s">
        <v>339</v>
      </c>
      <c r="P710" t="s">
        <v>1212</v>
      </c>
      <c r="Q710" s="131">
        <v>292223.37</v>
      </c>
      <c r="R710" s="131">
        <v>1</v>
      </c>
      <c r="S710" s="131">
        <v>3729</v>
      </c>
      <c r="U710" s="131">
        <v>10897.009</v>
      </c>
      <c r="V710" s="132">
        <v>2.2000000000000001E-4</v>
      </c>
      <c r="W710" s="132">
        <f t="shared" si="11"/>
        <v>6.8989625881530597E-2</v>
      </c>
      <c r="X710" s="132">
        <v>1.4966288508743928E-2</v>
      </c>
    </row>
    <row r="711" spans="1:24">
      <c r="A711" t="s">
        <v>1213</v>
      </c>
      <c r="B711" s="4">
        <v>9301</v>
      </c>
      <c r="C711" t="s">
        <v>2228</v>
      </c>
      <c r="D711" t="s">
        <v>2229</v>
      </c>
      <c r="E711" t="s">
        <v>309</v>
      </c>
      <c r="F711" t="s">
        <v>2228</v>
      </c>
      <c r="G711" t="s">
        <v>3439</v>
      </c>
      <c r="H711" t="s">
        <v>321</v>
      </c>
      <c r="I711" t="s">
        <v>917</v>
      </c>
      <c r="J711" t="s">
        <v>204</v>
      </c>
      <c r="K711" t="s">
        <v>204</v>
      </c>
      <c r="L711" t="s">
        <v>325</v>
      </c>
      <c r="M711" t="s">
        <v>340</v>
      </c>
      <c r="N711" t="s">
        <v>441</v>
      </c>
      <c r="O711" t="s">
        <v>339</v>
      </c>
      <c r="P711" t="s">
        <v>1212</v>
      </c>
      <c r="Q711" s="131">
        <v>113250</v>
      </c>
      <c r="R711" s="131">
        <v>1</v>
      </c>
      <c r="S711" s="131">
        <v>6254</v>
      </c>
      <c r="U711" s="131">
        <v>7082.6549999999997</v>
      </c>
      <c r="V711" s="132">
        <v>9.6000000000000002E-4</v>
      </c>
      <c r="W711" s="132">
        <f t="shared" si="11"/>
        <v>4.4840719017296589E-2</v>
      </c>
      <c r="X711" s="132">
        <v>9.7275369909208785E-3</v>
      </c>
    </row>
    <row r="712" spans="1:24">
      <c r="A712" t="s">
        <v>1213</v>
      </c>
      <c r="B712" s="4">
        <v>9301</v>
      </c>
      <c r="C712" t="s">
        <v>2343</v>
      </c>
      <c r="D712" t="s">
        <v>2344</v>
      </c>
      <c r="E712" t="s">
        <v>309</v>
      </c>
      <c r="F712" t="s">
        <v>3619</v>
      </c>
      <c r="G712" t="s">
        <v>3620</v>
      </c>
      <c r="H712" t="s">
        <v>321</v>
      </c>
      <c r="I712" t="s">
        <v>917</v>
      </c>
      <c r="J712" t="s">
        <v>204</v>
      </c>
      <c r="K712" t="s">
        <v>204</v>
      </c>
      <c r="L712" t="s">
        <v>325</v>
      </c>
      <c r="M712" t="s">
        <v>340</v>
      </c>
      <c r="N712" t="s">
        <v>476</v>
      </c>
      <c r="O712" t="s">
        <v>339</v>
      </c>
      <c r="P712" t="s">
        <v>1212</v>
      </c>
      <c r="Q712" s="131">
        <v>20084.55</v>
      </c>
      <c r="R712" s="131">
        <v>1</v>
      </c>
      <c r="S712" s="131">
        <v>29830</v>
      </c>
      <c r="U712" s="131">
        <v>5991.2209999999995</v>
      </c>
      <c r="V712" s="132">
        <v>1.2600000000000001E-3</v>
      </c>
      <c r="W712" s="132">
        <f t="shared" si="11"/>
        <v>3.7930784067772144E-2</v>
      </c>
      <c r="X712" s="132">
        <v>8.2285278470124509E-3</v>
      </c>
    </row>
    <row r="713" spans="1:24">
      <c r="A713" t="s">
        <v>1213</v>
      </c>
      <c r="B713" s="4">
        <v>9301</v>
      </c>
      <c r="C713" t="s">
        <v>3113</v>
      </c>
      <c r="D713" t="s">
        <v>3114</v>
      </c>
      <c r="E713" t="s">
        <v>309</v>
      </c>
      <c r="F713" t="s">
        <v>3113</v>
      </c>
      <c r="G713" t="s">
        <v>3413</v>
      </c>
      <c r="H713" t="s">
        <v>321</v>
      </c>
      <c r="I713" t="s">
        <v>917</v>
      </c>
      <c r="J713" t="s">
        <v>204</v>
      </c>
      <c r="K713" t="s">
        <v>204</v>
      </c>
      <c r="L713" t="s">
        <v>325</v>
      </c>
      <c r="M713" t="s">
        <v>340</v>
      </c>
      <c r="N713" t="s">
        <v>448</v>
      </c>
      <c r="O713" t="s">
        <v>339</v>
      </c>
      <c r="P713" t="s">
        <v>1212</v>
      </c>
      <c r="Q713" s="131">
        <v>273150</v>
      </c>
      <c r="R713" s="131">
        <v>1</v>
      </c>
      <c r="S713" s="131">
        <v>2085</v>
      </c>
      <c r="U713" s="131">
        <v>5695.1779999999999</v>
      </c>
      <c r="V713" s="132">
        <v>2.2000000000000001E-4</v>
      </c>
      <c r="W713" s="132">
        <f t="shared" si="11"/>
        <v>3.6056517852625772E-2</v>
      </c>
      <c r="X713" s="132">
        <v>7.8219332531203039E-3</v>
      </c>
    </row>
    <row r="714" spans="1:24">
      <c r="A714" t="s">
        <v>1213</v>
      </c>
      <c r="B714" s="4">
        <v>9301</v>
      </c>
      <c r="C714" t="s">
        <v>1807</v>
      </c>
      <c r="D714" t="s">
        <v>1808</v>
      </c>
      <c r="E714" t="s">
        <v>309</v>
      </c>
      <c r="F714" t="s">
        <v>1807</v>
      </c>
      <c r="G714" t="s">
        <v>3409</v>
      </c>
      <c r="H714" t="s">
        <v>321</v>
      </c>
      <c r="I714" t="s">
        <v>917</v>
      </c>
      <c r="J714" t="s">
        <v>204</v>
      </c>
      <c r="K714" t="s">
        <v>204</v>
      </c>
      <c r="L714" t="s">
        <v>325</v>
      </c>
      <c r="M714" t="s">
        <v>340</v>
      </c>
      <c r="N714" t="s">
        <v>464</v>
      </c>
      <c r="O714" t="s">
        <v>339</v>
      </c>
      <c r="P714" t="s">
        <v>1212</v>
      </c>
      <c r="Q714" s="131">
        <v>18524</v>
      </c>
      <c r="R714" s="131">
        <v>1</v>
      </c>
      <c r="S714" s="131">
        <v>25940</v>
      </c>
      <c r="U714" s="131">
        <v>4805.1260000000002</v>
      </c>
      <c r="V714" s="132">
        <v>1.4999999999999999E-4</v>
      </c>
      <c r="W714" s="132">
        <f t="shared" si="11"/>
        <v>3.042154457738042E-2</v>
      </c>
      <c r="X714" s="132">
        <v>6.5995083638883557E-3</v>
      </c>
    </row>
    <row r="715" spans="1:24">
      <c r="A715" t="s">
        <v>1213</v>
      </c>
      <c r="B715" s="4">
        <v>9301</v>
      </c>
      <c r="C715" t="s">
        <v>3125</v>
      </c>
      <c r="D715" t="s">
        <v>3126</v>
      </c>
      <c r="E715" t="s">
        <v>309</v>
      </c>
      <c r="F715" t="s">
        <v>3125</v>
      </c>
      <c r="G715" t="s">
        <v>3489</v>
      </c>
      <c r="H715" t="s">
        <v>321</v>
      </c>
      <c r="I715" t="s">
        <v>917</v>
      </c>
      <c r="J715" t="s">
        <v>204</v>
      </c>
      <c r="K715" t="s">
        <v>204</v>
      </c>
      <c r="L715" t="s">
        <v>325</v>
      </c>
      <c r="M715" t="s">
        <v>340</v>
      </c>
      <c r="N715" t="s">
        <v>441</v>
      </c>
      <c r="O715" t="s">
        <v>339</v>
      </c>
      <c r="P715" t="s">
        <v>1212</v>
      </c>
      <c r="Q715" s="131">
        <v>14966</v>
      </c>
      <c r="R715" s="131">
        <v>1</v>
      </c>
      <c r="S715" s="131">
        <v>28560</v>
      </c>
      <c r="U715" s="131">
        <v>4274.29</v>
      </c>
      <c r="V715" s="132">
        <v>2.7E-4</v>
      </c>
      <c r="W715" s="132">
        <f t="shared" si="11"/>
        <v>2.7060789617514992E-2</v>
      </c>
      <c r="X715" s="132">
        <v>5.8704418166525404E-3</v>
      </c>
    </row>
    <row r="716" spans="1:24">
      <c r="A716" t="s">
        <v>1213</v>
      </c>
      <c r="B716" s="4">
        <v>9301</v>
      </c>
      <c r="C716" t="s">
        <v>2576</v>
      </c>
      <c r="D716" t="s">
        <v>2577</v>
      </c>
      <c r="E716" t="s">
        <v>309</v>
      </c>
      <c r="F716" t="s">
        <v>2576</v>
      </c>
      <c r="G716" t="s">
        <v>3621</v>
      </c>
      <c r="H716" t="s">
        <v>321</v>
      </c>
      <c r="I716" t="s">
        <v>917</v>
      </c>
      <c r="J716" t="s">
        <v>204</v>
      </c>
      <c r="K716" t="s">
        <v>204</v>
      </c>
      <c r="L716" t="s">
        <v>325</v>
      </c>
      <c r="M716" t="s">
        <v>340</v>
      </c>
      <c r="N716" t="s">
        <v>451</v>
      </c>
      <c r="O716" t="s">
        <v>339</v>
      </c>
      <c r="P716" t="s">
        <v>1212</v>
      </c>
      <c r="Q716" s="131">
        <v>5015.67</v>
      </c>
      <c r="R716" s="131">
        <v>1</v>
      </c>
      <c r="S716" s="131">
        <v>81100</v>
      </c>
      <c r="U716" s="131">
        <v>4067.7080000000001</v>
      </c>
      <c r="V716" s="132">
        <v>6.4999999999999997E-4</v>
      </c>
      <c r="W716" s="132">
        <f t="shared" si="11"/>
        <v>2.5752906427379211E-2</v>
      </c>
      <c r="X716" s="132">
        <v>5.5867157214723557E-3</v>
      </c>
    </row>
    <row r="717" spans="1:24">
      <c r="A717" t="s">
        <v>1213</v>
      </c>
      <c r="B717" s="4">
        <v>9301</v>
      </c>
      <c r="C717" t="s">
        <v>1986</v>
      </c>
      <c r="D717" t="s">
        <v>1987</v>
      </c>
      <c r="E717" t="s">
        <v>309</v>
      </c>
      <c r="F717" t="s">
        <v>1986</v>
      </c>
      <c r="G717" t="s">
        <v>3445</v>
      </c>
      <c r="H717" t="s">
        <v>321</v>
      </c>
      <c r="I717" t="s">
        <v>917</v>
      </c>
      <c r="J717" t="s">
        <v>204</v>
      </c>
      <c r="K717" t="s">
        <v>204</v>
      </c>
      <c r="L717" t="s">
        <v>325</v>
      </c>
      <c r="M717" t="s">
        <v>340</v>
      </c>
      <c r="N717" t="s">
        <v>484</v>
      </c>
      <c r="O717" t="s">
        <v>339</v>
      </c>
      <c r="P717" t="s">
        <v>1212</v>
      </c>
      <c r="Q717" s="131">
        <v>899800</v>
      </c>
      <c r="R717" s="131">
        <v>1</v>
      </c>
      <c r="S717" s="131">
        <v>428.6</v>
      </c>
      <c r="T717" s="131">
        <v>132.30500000000001</v>
      </c>
      <c r="U717" s="131">
        <v>3988.848</v>
      </c>
      <c r="V717" s="132">
        <v>3.3E-4</v>
      </c>
      <c r="W717" s="132">
        <f t="shared" si="11"/>
        <v>2.5253638977291069E-2</v>
      </c>
      <c r="X717" s="132">
        <v>5.4784069633718943E-3</v>
      </c>
    </row>
    <row r="718" spans="1:24">
      <c r="A718" t="s">
        <v>1213</v>
      </c>
      <c r="B718" s="4">
        <v>9301</v>
      </c>
      <c r="C718" t="s">
        <v>3834</v>
      </c>
      <c r="D718" t="s">
        <v>3835</v>
      </c>
      <c r="E718" t="s">
        <v>309</v>
      </c>
      <c r="F718" t="s">
        <v>3834</v>
      </c>
      <c r="G718" t="s">
        <v>3836</v>
      </c>
      <c r="H718" t="s">
        <v>321</v>
      </c>
      <c r="I718" t="s">
        <v>917</v>
      </c>
      <c r="J718" t="s">
        <v>204</v>
      </c>
      <c r="K718" t="s">
        <v>204</v>
      </c>
      <c r="L718" t="s">
        <v>325</v>
      </c>
      <c r="M718" t="s">
        <v>340</v>
      </c>
      <c r="N718" t="s">
        <v>448</v>
      </c>
      <c r="O718" t="s">
        <v>339</v>
      </c>
      <c r="P718" t="s">
        <v>1212</v>
      </c>
      <c r="Q718" s="131">
        <v>23704</v>
      </c>
      <c r="R718" s="131">
        <v>1</v>
      </c>
      <c r="S718" s="131">
        <v>16370</v>
      </c>
      <c r="U718" s="131">
        <v>3880.3449999999998</v>
      </c>
      <c r="V718" s="132">
        <v>6.7000000000000002E-4</v>
      </c>
      <c r="W718" s="132">
        <f t="shared" si="11"/>
        <v>2.4566699893637588E-2</v>
      </c>
      <c r="X718" s="132">
        <v>5.3293855941077004E-3</v>
      </c>
    </row>
    <row r="719" spans="1:24">
      <c r="A719" t="s">
        <v>1213</v>
      </c>
      <c r="B719" s="4">
        <v>9301</v>
      </c>
      <c r="C719" t="s">
        <v>3410</v>
      </c>
      <c r="D719" t="s">
        <v>3411</v>
      </c>
      <c r="E719" t="s">
        <v>309</v>
      </c>
      <c r="F719" t="s">
        <v>3410</v>
      </c>
      <c r="G719" t="s">
        <v>3412</v>
      </c>
      <c r="H719" t="s">
        <v>321</v>
      </c>
      <c r="I719" t="s">
        <v>917</v>
      </c>
      <c r="J719" t="s">
        <v>204</v>
      </c>
      <c r="K719" t="s">
        <v>204</v>
      </c>
      <c r="L719" t="s">
        <v>325</v>
      </c>
      <c r="M719" t="s">
        <v>340</v>
      </c>
      <c r="N719" t="s">
        <v>480</v>
      </c>
      <c r="O719" t="s">
        <v>339</v>
      </c>
      <c r="P719" t="s">
        <v>1212</v>
      </c>
      <c r="Q719" s="131">
        <v>5900</v>
      </c>
      <c r="R719" s="131">
        <v>1</v>
      </c>
      <c r="S719" s="131">
        <v>64880</v>
      </c>
      <c r="U719" s="131">
        <v>3827.92</v>
      </c>
      <c r="V719" s="132">
        <v>8.0000000000000007E-5</v>
      </c>
      <c r="W719" s="132">
        <f t="shared" si="11"/>
        <v>2.4234794034255512E-2</v>
      </c>
      <c r="X719" s="132">
        <v>5.2573834809525313E-3</v>
      </c>
    </row>
    <row r="720" spans="1:24">
      <c r="A720" t="s">
        <v>1213</v>
      </c>
      <c r="B720" s="4">
        <v>9301</v>
      </c>
      <c r="C720" t="s">
        <v>2203</v>
      </c>
      <c r="D720" t="s">
        <v>2204</v>
      </c>
      <c r="E720" t="s">
        <v>309</v>
      </c>
      <c r="F720" t="s">
        <v>3606</v>
      </c>
      <c r="G720" t="s">
        <v>3607</v>
      </c>
      <c r="H720" t="s">
        <v>321</v>
      </c>
      <c r="I720" t="s">
        <v>917</v>
      </c>
      <c r="J720" t="s">
        <v>204</v>
      </c>
      <c r="K720" t="s">
        <v>204</v>
      </c>
      <c r="L720" t="s">
        <v>325</v>
      </c>
      <c r="M720" t="s">
        <v>340</v>
      </c>
      <c r="N720" t="s">
        <v>459</v>
      </c>
      <c r="O720" t="s">
        <v>339</v>
      </c>
      <c r="P720" t="s">
        <v>1212</v>
      </c>
      <c r="Q720" s="131">
        <v>60151.69</v>
      </c>
      <c r="R720" s="131">
        <v>1</v>
      </c>
      <c r="S720" s="131">
        <v>5930</v>
      </c>
      <c r="U720" s="131">
        <v>3566.9949999999999</v>
      </c>
      <c r="V720" s="132">
        <v>5.1000000000000004E-4</v>
      </c>
      <c r="W720" s="132">
        <f t="shared" si="11"/>
        <v>2.2582862010235124E-2</v>
      </c>
      <c r="X720" s="132">
        <v>4.8990210322160006E-3</v>
      </c>
    </row>
    <row r="721" spans="1:24">
      <c r="A721" t="s">
        <v>1213</v>
      </c>
      <c r="B721" s="4">
        <v>9301</v>
      </c>
      <c r="C721" t="s">
        <v>1881</v>
      </c>
      <c r="D721" t="s">
        <v>1882</v>
      </c>
      <c r="E721" t="s">
        <v>309</v>
      </c>
      <c r="F721" t="s">
        <v>3407</v>
      </c>
      <c r="G721" t="s">
        <v>3408</v>
      </c>
      <c r="H721" t="s">
        <v>321</v>
      </c>
      <c r="I721" t="s">
        <v>917</v>
      </c>
      <c r="J721" t="s">
        <v>204</v>
      </c>
      <c r="K721" t="s">
        <v>204</v>
      </c>
      <c r="L721" t="s">
        <v>325</v>
      </c>
      <c r="M721" t="s">
        <v>340</v>
      </c>
      <c r="N721" t="s">
        <v>448</v>
      </c>
      <c r="O721" t="s">
        <v>339</v>
      </c>
      <c r="P721" t="s">
        <v>1212</v>
      </c>
      <c r="Q721" s="131">
        <v>23682.79</v>
      </c>
      <c r="R721" s="131">
        <v>1</v>
      </c>
      <c r="S721" s="131">
        <v>14550</v>
      </c>
      <c r="U721" s="131">
        <v>3445.846</v>
      </c>
      <c r="V721" s="132">
        <v>9.0000000000000006E-5</v>
      </c>
      <c r="W721" s="132">
        <f t="shared" si="11"/>
        <v>2.1815860332442479E-2</v>
      </c>
      <c r="X721" s="132">
        <v>4.7326312562191363E-3</v>
      </c>
    </row>
    <row r="722" spans="1:24">
      <c r="A722" t="s">
        <v>1213</v>
      </c>
      <c r="B722" s="4">
        <v>9301</v>
      </c>
      <c r="C722" t="s">
        <v>2089</v>
      </c>
      <c r="D722" t="s">
        <v>2090</v>
      </c>
      <c r="E722" t="s">
        <v>309</v>
      </c>
      <c r="F722" t="s">
        <v>2089</v>
      </c>
      <c r="G722" t="s">
        <v>3405</v>
      </c>
      <c r="H722" t="s">
        <v>321</v>
      </c>
      <c r="I722" t="s">
        <v>917</v>
      </c>
      <c r="J722" t="s">
        <v>204</v>
      </c>
      <c r="K722" t="s">
        <v>204</v>
      </c>
      <c r="L722" t="s">
        <v>325</v>
      </c>
      <c r="M722" t="s">
        <v>340</v>
      </c>
      <c r="N722" t="s">
        <v>467</v>
      </c>
      <c r="O722" t="s">
        <v>339</v>
      </c>
      <c r="P722" t="s">
        <v>1212</v>
      </c>
      <c r="Q722" s="131">
        <v>49100</v>
      </c>
      <c r="R722" s="131">
        <v>1</v>
      </c>
      <c r="S722" s="131">
        <v>6629</v>
      </c>
      <c r="U722" s="131">
        <v>3254.8389999999999</v>
      </c>
      <c r="V722" s="132">
        <v>4.0000000000000003E-5</v>
      </c>
      <c r="W722" s="132">
        <f t="shared" si="11"/>
        <v>2.0606583413358213E-2</v>
      </c>
      <c r="X722" s="132">
        <v>4.4702963467784214E-3</v>
      </c>
    </row>
    <row r="723" spans="1:24">
      <c r="A723" t="s">
        <v>1213</v>
      </c>
      <c r="B723" s="4">
        <v>9301</v>
      </c>
      <c r="C723" t="s">
        <v>1893</v>
      </c>
      <c r="D723" t="s">
        <v>1894</v>
      </c>
      <c r="E723" t="s">
        <v>309</v>
      </c>
      <c r="F723" t="s">
        <v>1893</v>
      </c>
      <c r="G723" t="s">
        <v>3599</v>
      </c>
      <c r="H723" t="s">
        <v>321</v>
      </c>
      <c r="I723" t="s">
        <v>917</v>
      </c>
      <c r="J723" t="s">
        <v>204</v>
      </c>
      <c r="K723" t="s">
        <v>204</v>
      </c>
      <c r="L723" t="s">
        <v>325</v>
      </c>
      <c r="M723" t="s">
        <v>340</v>
      </c>
      <c r="N723" t="s">
        <v>464</v>
      </c>
      <c r="O723" t="s">
        <v>339</v>
      </c>
      <c r="P723" t="s">
        <v>1212</v>
      </c>
      <c r="Q723" s="131">
        <v>33000</v>
      </c>
      <c r="R723" s="131">
        <v>1</v>
      </c>
      <c r="S723" s="131">
        <v>9550</v>
      </c>
      <c r="U723" s="131">
        <v>3151.5</v>
      </c>
      <c r="V723" s="132">
        <v>8.9999999999999998E-4</v>
      </c>
      <c r="W723" s="132">
        <f t="shared" si="11"/>
        <v>1.9952337927374723E-2</v>
      </c>
      <c r="X723" s="132">
        <v>4.328367374506756E-3</v>
      </c>
    </row>
    <row r="724" spans="1:24">
      <c r="A724" t="s">
        <v>1213</v>
      </c>
      <c r="B724" s="4">
        <v>9301</v>
      </c>
      <c r="C724" t="s">
        <v>1861</v>
      </c>
      <c r="D724" t="s">
        <v>1862</v>
      </c>
      <c r="E724" t="s">
        <v>309</v>
      </c>
      <c r="F724" t="s">
        <v>1861</v>
      </c>
      <c r="G724" t="s">
        <v>3460</v>
      </c>
      <c r="H724" t="s">
        <v>321</v>
      </c>
      <c r="I724" t="s">
        <v>917</v>
      </c>
      <c r="J724" t="s">
        <v>204</v>
      </c>
      <c r="K724" t="s">
        <v>204</v>
      </c>
      <c r="L724" t="s">
        <v>325</v>
      </c>
      <c r="M724" t="s">
        <v>340</v>
      </c>
      <c r="N724" t="s">
        <v>464</v>
      </c>
      <c r="O724" t="s">
        <v>339</v>
      </c>
      <c r="P724" t="s">
        <v>1212</v>
      </c>
      <c r="Q724" s="131">
        <v>10550.78</v>
      </c>
      <c r="R724" s="131">
        <v>1</v>
      </c>
      <c r="S724" s="131">
        <v>28210</v>
      </c>
      <c r="U724" s="131">
        <v>2976.375</v>
      </c>
      <c r="V724" s="132">
        <v>2.2000000000000001E-4</v>
      </c>
      <c r="W724" s="132">
        <f t="shared" si="11"/>
        <v>1.8843610914989668E-2</v>
      </c>
      <c r="X724" s="132">
        <v>4.0878452940814047E-3</v>
      </c>
    </row>
    <row r="725" spans="1:24">
      <c r="A725" t="s">
        <v>1213</v>
      </c>
      <c r="B725" s="4">
        <v>9301</v>
      </c>
      <c r="C725" t="s">
        <v>1674</v>
      </c>
      <c r="D725" t="s">
        <v>1675</v>
      </c>
      <c r="E725" t="s">
        <v>309</v>
      </c>
      <c r="F725" t="s">
        <v>1674</v>
      </c>
      <c r="G725" t="s">
        <v>3464</v>
      </c>
      <c r="H725" t="s">
        <v>321</v>
      </c>
      <c r="I725" t="s">
        <v>917</v>
      </c>
      <c r="J725" t="s">
        <v>204</v>
      </c>
      <c r="K725" t="s">
        <v>204</v>
      </c>
      <c r="L725" t="s">
        <v>325</v>
      </c>
      <c r="M725" t="s">
        <v>340</v>
      </c>
      <c r="N725" t="s">
        <v>464</v>
      </c>
      <c r="O725" t="s">
        <v>339</v>
      </c>
      <c r="P725" t="s">
        <v>1212</v>
      </c>
      <c r="Q725" s="131">
        <v>6870.1</v>
      </c>
      <c r="R725" s="131">
        <v>1</v>
      </c>
      <c r="S725" s="131">
        <v>41490</v>
      </c>
      <c r="U725" s="131">
        <v>2850.404</v>
      </c>
      <c r="V725" s="132">
        <v>2.7999999999999998E-4</v>
      </c>
      <c r="W725" s="132">
        <f t="shared" si="11"/>
        <v>1.8046080862300688E-2</v>
      </c>
      <c r="X725" s="132">
        <v>3.9148328344482172E-3</v>
      </c>
    </row>
    <row r="726" spans="1:24">
      <c r="A726" t="s">
        <v>1213</v>
      </c>
      <c r="B726" s="4">
        <v>9301</v>
      </c>
      <c r="C726" t="s">
        <v>3679</v>
      </c>
      <c r="D726" t="s">
        <v>3680</v>
      </c>
      <c r="E726" t="s">
        <v>309</v>
      </c>
      <c r="F726" t="s">
        <v>3681</v>
      </c>
      <c r="G726" t="s">
        <v>3682</v>
      </c>
      <c r="H726" t="s">
        <v>321</v>
      </c>
      <c r="I726" t="s">
        <v>917</v>
      </c>
      <c r="J726" t="s">
        <v>204</v>
      </c>
      <c r="K726" t="s">
        <v>204</v>
      </c>
      <c r="L726" t="s">
        <v>325</v>
      </c>
      <c r="M726" t="s">
        <v>340</v>
      </c>
      <c r="N726" t="s">
        <v>451</v>
      </c>
      <c r="O726" t="s">
        <v>339</v>
      </c>
      <c r="P726" t="s">
        <v>1212</v>
      </c>
      <c r="Q726" s="131">
        <v>26745.08</v>
      </c>
      <c r="R726" s="131">
        <v>1</v>
      </c>
      <c r="S726" s="131">
        <v>10500</v>
      </c>
      <c r="U726" s="131">
        <v>2808.2330000000002</v>
      </c>
      <c r="V726" s="132">
        <v>5.1000000000000004E-4</v>
      </c>
      <c r="W726" s="132">
        <f t="shared" si="11"/>
        <v>1.7779093699763701E-2</v>
      </c>
      <c r="X726" s="132">
        <v>3.8569138813940129E-3</v>
      </c>
    </row>
    <row r="727" spans="1:24">
      <c r="A727" t="s">
        <v>1213</v>
      </c>
      <c r="B727" s="4">
        <v>9301</v>
      </c>
      <c r="C727" t="s">
        <v>3415</v>
      </c>
      <c r="D727" t="s">
        <v>3416</v>
      </c>
      <c r="E727" t="s">
        <v>309</v>
      </c>
      <c r="F727" t="s">
        <v>3415</v>
      </c>
      <c r="G727" t="s">
        <v>3417</v>
      </c>
      <c r="H727" t="s">
        <v>321</v>
      </c>
      <c r="I727" t="s">
        <v>917</v>
      </c>
      <c r="J727" t="s">
        <v>204</v>
      </c>
      <c r="K727" t="s">
        <v>204</v>
      </c>
      <c r="L727" t="s">
        <v>325</v>
      </c>
      <c r="M727" t="s">
        <v>340</v>
      </c>
      <c r="N727" t="s">
        <v>458</v>
      </c>
      <c r="O727" t="s">
        <v>339</v>
      </c>
      <c r="P727" t="s">
        <v>1212</v>
      </c>
      <c r="Q727" s="131">
        <v>3360.42</v>
      </c>
      <c r="R727" s="131">
        <v>1</v>
      </c>
      <c r="S727" s="131">
        <v>77890</v>
      </c>
      <c r="U727" s="131">
        <v>2617.431</v>
      </c>
      <c r="V727" s="132">
        <v>1.2E-4</v>
      </c>
      <c r="W727" s="132">
        <f t="shared" si="11"/>
        <v>1.6571114648131477E-2</v>
      </c>
      <c r="X727" s="132">
        <v>3.5948605252808484E-3</v>
      </c>
    </row>
    <row r="728" spans="1:24">
      <c r="A728" t="s">
        <v>1213</v>
      </c>
      <c r="B728" s="4">
        <v>9301</v>
      </c>
      <c r="C728" t="s">
        <v>2361</v>
      </c>
      <c r="D728" t="s">
        <v>2362</v>
      </c>
      <c r="E728" t="s">
        <v>309</v>
      </c>
      <c r="F728" t="s">
        <v>2361</v>
      </c>
      <c r="G728" t="s">
        <v>3440</v>
      </c>
      <c r="H728" t="s">
        <v>321</v>
      </c>
      <c r="I728" t="s">
        <v>917</v>
      </c>
      <c r="J728" t="s">
        <v>204</v>
      </c>
      <c r="K728" t="s">
        <v>204</v>
      </c>
      <c r="L728" t="s">
        <v>325</v>
      </c>
      <c r="M728" t="s">
        <v>340</v>
      </c>
      <c r="N728" t="s">
        <v>446</v>
      </c>
      <c r="O728" t="s">
        <v>339</v>
      </c>
      <c r="P728" t="s">
        <v>1212</v>
      </c>
      <c r="Q728" s="131">
        <v>3485</v>
      </c>
      <c r="R728" s="131">
        <v>1</v>
      </c>
      <c r="S728" s="131">
        <v>74080</v>
      </c>
      <c r="U728" s="131">
        <v>2581.6880000000001</v>
      </c>
      <c r="V728" s="132">
        <v>8.0000000000000007E-5</v>
      </c>
      <c r="W728" s="132">
        <f t="shared" si="11"/>
        <v>1.6344823544041948E-2</v>
      </c>
      <c r="X728" s="132">
        <v>3.54576998583392E-3</v>
      </c>
    </row>
    <row r="729" spans="1:24">
      <c r="A729" t="s">
        <v>1213</v>
      </c>
      <c r="B729" s="4">
        <v>9301</v>
      </c>
      <c r="C729" t="s">
        <v>2404</v>
      </c>
      <c r="D729" t="s">
        <v>2405</v>
      </c>
      <c r="E729" t="s">
        <v>309</v>
      </c>
      <c r="F729" t="s">
        <v>2404</v>
      </c>
      <c r="G729" t="s">
        <v>3418</v>
      </c>
      <c r="H729" t="s">
        <v>321</v>
      </c>
      <c r="I729" t="s">
        <v>917</v>
      </c>
      <c r="J729" t="s">
        <v>204</v>
      </c>
      <c r="K729" t="s">
        <v>204</v>
      </c>
      <c r="L729" t="s">
        <v>325</v>
      </c>
      <c r="M729" t="s">
        <v>340</v>
      </c>
      <c r="N729" t="s">
        <v>440</v>
      </c>
      <c r="O729" t="s">
        <v>339</v>
      </c>
      <c r="P729" t="s">
        <v>1212</v>
      </c>
      <c r="Q729" s="131">
        <v>81185.990000000005</v>
      </c>
      <c r="R729" s="131">
        <v>1</v>
      </c>
      <c r="S729" s="131">
        <v>3016</v>
      </c>
      <c r="U729" s="131">
        <v>2448.569</v>
      </c>
      <c r="V729" s="132">
        <v>3.2000000000000003E-4</v>
      </c>
      <c r="W729" s="132">
        <f t="shared" si="11"/>
        <v>1.5502039069171504E-2</v>
      </c>
      <c r="X729" s="132">
        <v>3.362940242369866E-3</v>
      </c>
    </row>
    <row r="730" spans="1:24">
      <c r="A730" t="s">
        <v>1213</v>
      </c>
      <c r="B730" s="4">
        <v>9301</v>
      </c>
      <c r="C730" t="s">
        <v>2436</v>
      </c>
      <c r="D730" t="s">
        <v>2437</v>
      </c>
      <c r="E730" t="s">
        <v>309</v>
      </c>
      <c r="F730" t="s">
        <v>2436</v>
      </c>
      <c r="G730" t="s">
        <v>3426</v>
      </c>
      <c r="H730" t="s">
        <v>321</v>
      </c>
      <c r="I730" t="s">
        <v>917</v>
      </c>
      <c r="J730" t="s">
        <v>204</v>
      </c>
      <c r="K730" t="s">
        <v>204</v>
      </c>
      <c r="L730" t="s">
        <v>325</v>
      </c>
      <c r="M730" t="s">
        <v>340</v>
      </c>
      <c r="N730" t="s">
        <v>475</v>
      </c>
      <c r="O730" t="s">
        <v>339</v>
      </c>
      <c r="P730" t="s">
        <v>1212</v>
      </c>
      <c r="Q730" s="131">
        <v>72000</v>
      </c>
      <c r="R730" s="131">
        <v>1</v>
      </c>
      <c r="S730" s="131">
        <v>3310</v>
      </c>
      <c r="U730" s="131">
        <v>2383.1999999999998</v>
      </c>
      <c r="V730" s="132">
        <v>2.5999999999999998E-4</v>
      </c>
      <c r="W730" s="132">
        <f t="shared" si="11"/>
        <v>1.5088183959549242E-2</v>
      </c>
      <c r="X730" s="132">
        <v>3.2731604400839283E-3</v>
      </c>
    </row>
    <row r="731" spans="1:24">
      <c r="A731" t="s">
        <v>1213</v>
      </c>
      <c r="B731" s="4">
        <v>9301</v>
      </c>
      <c r="C731" t="s">
        <v>2128</v>
      </c>
      <c r="D731" t="s">
        <v>2129</v>
      </c>
      <c r="E731" t="s">
        <v>309</v>
      </c>
      <c r="F731" t="s">
        <v>3419</v>
      </c>
      <c r="G731" t="s">
        <v>3420</v>
      </c>
      <c r="H731" t="s">
        <v>321</v>
      </c>
      <c r="I731" t="s">
        <v>917</v>
      </c>
      <c r="J731" t="s">
        <v>204</v>
      </c>
      <c r="K731" t="s">
        <v>204</v>
      </c>
      <c r="L731" t="s">
        <v>325</v>
      </c>
      <c r="M731" t="s">
        <v>340</v>
      </c>
      <c r="N731" t="s">
        <v>445</v>
      </c>
      <c r="O731" t="s">
        <v>339</v>
      </c>
      <c r="P731" t="s">
        <v>1212</v>
      </c>
      <c r="Q731" s="131">
        <v>54647.19</v>
      </c>
      <c r="R731" s="131">
        <v>1</v>
      </c>
      <c r="S731" s="131">
        <v>4200</v>
      </c>
      <c r="U731" s="131">
        <v>2295.1819999999998</v>
      </c>
      <c r="V731" s="132">
        <v>2.1000000000000001E-4</v>
      </c>
      <c r="W731" s="132">
        <f t="shared" si="11"/>
        <v>1.4530936655188884E-2</v>
      </c>
      <c r="X731" s="132">
        <v>3.1522738021117452E-3</v>
      </c>
    </row>
    <row r="732" spans="1:24">
      <c r="A732" t="s">
        <v>1213</v>
      </c>
      <c r="B732" s="4">
        <v>9301</v>
      </c>
      <c r="C732" t="s">
        <v>2195</v>
      </c>
      <c r="D732" t="s">
        <v>2196</v>
      </c>
      <c r="E732" t="s">
        <v>309</v>
      </c>
      <c r="F732" t="s">
        <v>3610</v>
      </c>
      <c r="G732" t="s">
        <v>3611</v>
      </c>
      <c r="H732" t="s">
        <v>321</v>
      </c>
      <c r="I732" t="s">
        <v>917</v>
      </c>
      <c r="J732" t="s">
        <v>204</v>
      </c>
      <c r="K732" t="s">
        <v>204</v>
      </c>
      <c r="L732" t="s">
        <v>325</v>
      </c>
      <c r="M732" t="s">
        <v>340</v>
      </c>
      <c r="N732" t="s">
        <v>445</v>
      </c>
      <c r="O732" t="s">
        <v>339</v>
      </c>
      <c r="P732" t="s">
        <v>1212</v>
      </c>
      <c r="Q732" s="131">
        <v>61200</v>
      </c>
      <c r="R732" s="131">
        <v>1</v>
      </c>
      <c r="S732" s="131">
        <v>3619</v>
      </c>
      <c r="U732" s="131">
        <v>2214.828</v>
      </c>
      <c r="V732" s="132">
        <v>2.7E-4</v>
      </c>
      <c r="W732" s="132">
        <f t="shared" si="11"/>
        <v>1.402221060035269E-2</v>
      </c>
      <c r="X732" s="132">
        <v>3.0419131382973343E-3</v>
      </c>
    </row>
    <row r="733" spans="1:24">
      <c r="A733" t="s">
        <v>1213</v>
      </c>
      <c r="B733" s="4">
        <v>9301</v>
      </c>
      <c r="C733" t="s">
        <v>2178</v>
      </c>
      <c r="D733" t="s">
        <v>2179</v>
      </c>
      <c r="E733" t="s">
        <v>309</v>
      </c>
      <c r="F733" t="s">
        <v>2178</v>
      </c>
      <c r="G733" t="s">
        <v>3609</v>
      </c>
      <c r="H733" t="s">
        <v>321</v>
      </c>
      <c r="I733" t="s">
        <v>917</v>
      </c>
      <c r="J733" t="s">
        <v>204</v>
      </c>
      <c r="K733" t="s">
        <v>204</v>
      </c>
      <c r="L733" t="s">
        <v>325</v>
      </c>
      <c r="M733" t="s">
        <v>340</v>
      </c>
      <c r="N733" t="s">
        <v>464</v>
      </c>
      <c r="O733" t="s">
        <v>339</v>
      </c>
      <c r="P733" t="s">
        <v>1212</v>
      </c>
      <c r="Q733" s="131">
        <v>69656</v>
      </c>
      <c r="R733" s="131">
        <v>1</v>
      </c>
      <c r="S733" s="131">
        <v>2855</v>
      </c>
      <c r="U733" s="131">
        <v>1988.6790000000001</v>
      </c>
      <c r="V733" s="132">
        <v>3.6000000000000002E-4</v>
      </c>
      <c r="W733" s="132">
        <f t="shared" si="11"/>
        <v>1.2590447544684639E-2</v>
      </c>
      <c r="X733" s="132">
        <v>2.7313131213602161E-3</v>
      </c>
    </row>
    <row r="734" spans="1:24">
      <c r="A734" t="s">
        <v>1213</v>
      </c>
      <c r="B734" s="4">
        <v>9301</v>
      </c>
      <c r="C734" t="s">
        <v>3423</v>
      </c>
      <c r="D734" t="s">
        <v>3424</v>
      </c>
      <c r="E734" t="s">
        <v>309</v>
      </c>
      <c r="F734" t="s">
        <v>3423</v>
      </c>
      <c r="G734" t="s">
        <v>3425</v>
      </c>
      <c r="H734" t="s">
        <v>321</v>
      </c>
      <c r="I734" t="s">
        <v>917</v>
      </c>
      <c r="J734" t="s">
        <v>204</v>
      </c>
      <c r="K734" t="s">
        <v>204</v>
      </c>
      <c r="L734" t="s">
        <v>325</v>
      </c>
      <c r="M734" t="s">
        <v>340</v>
      </c>
      <c r="N734" t="s">
        <v>458</v>
      </c>
      <c r="O734" t="s">
        <v>339</v>
      </c>
      <c r="P734" t="s">
        <v>1212</v>
      </c>
      <c r="Q734" s="131">
        <v>11900</v>
      </c>
      <c r="R734" s="131">
        <v>1</v>
      </c>
      <c r="S734" s="131">
        <v>16470</v>
      </c>
      <c r="U734" s="131">
        <v>1959.93</v>
      </c>
      <c r="V734" s="132">
        <v>1.1E-4</v>
      </c>
      <c r="W734" s="132">
        <f t="shared" si="11"/>
        <v>1.2408435879422352E-2</v>
      </c>
      <c r="X734" s="132">
        <v>2.6918283573907748E-3</v>
      </c>
    </row>
    <row r="735" spans="1:24">
      <c r="A735" t="s">
        <v>1213</v>
      </c>
      <c r="B735" s="4">
        <v>9301</v>
      </c>
      <c r="C735" t="s">
        <v>2145</v>
      </c>
      <c r="D735" t="s">
        <v>2146</v>
      </c>
      <c r="E735" t="s">
        <v>309</v>
      </c>
      <c r="F735" t="s">
        <v>3612</v>
      </c>
      <c r="G735" t="s">
        <v>3613</v>
      </c>
      <c r="H735" t="s">
        <v>321</v>
      </c>
      <c r="I735" t="s">
        <v>917</v>
      </c>
      <c r="J735" t="s">
        <v>204</v>
      </c>
      <c r="K735" t="s">
        <v>204</v>
      </c>
      <c r="L735" t="s">
        <v>325</v>
      </c>
      <c r="M735" t="s">
        <v>340</v>
      </c>
      <c r="N735" t="s">
        <v>445</v>
      </c>
      <c r="O735" t="s">
        <v>339</v>
      </c>
      <c r="P735" t="s">
        <v>1212</v>
      </c>
      <c r="Q735" s="131">
        <v>30960.54</v>
      </c>
      <c r="R735" s="131">
        <v>1</v>
      </c>
      <c r="S735" s="131">
        <v>6329</v>
      </c>
      <c r="U735" s="131">
        <v>1959.4929999999999</v>
      </c>
      <c r="V735" s="132">
        <v>3.8999999999999999E-4</v>
      </c>
      <c r="W735" s="132">
        <f t="shared" si="11"/>
        <v>1.2405669205878241E-2</v>
      </c>
      <c r="X735" s="132">
        <v>2.6912281681022898E-3</v>
      </c>
    </row>
    <row r="736" spans="1:24">
      <c r="A736" t="s">
        <v>1213</v>
      </c>
      <c r="B736" s="4">
        <v>9301</v>
      </c>
      <c r="C736" t="s">
        <v>2454</v>
      </c>
      <c r="D736" t="s">
        <v>2455</v>
      </c>
      <c r="E736" t="s">
        <v>309</v>
      </c>
      <c r="F736" t="s">
        <v>2454</v>
      </c>
      <c r="G736" t="s">
        <v>3618</v>
      </c>
      <c r="H736" t="s">
        <v>321</v>
      </c>
      <c r="I736" t="s">
        <v>917</v>
      </c>
      <c r="J736" t="s">
        <v>204</v>
      </c>
      <c r="K736" t="s">
        <v>204</v>
      </c>
      <c r="L736" t="s">
        <v>325</v>
      </c>
      <c r="M736" t="s">
        <v>340</v>
      </c>
      <c r="N736" t="s">
        <v>478</v>
      </c>
      <c r="O736" t="s">
        <v>339</v>
      </c>
      <c r="P736" t="s">
        <v>1212</v>
      </c>
      <c r="Q736" s="131">
        <v>134200</v>
      </c>
      <c r="R736" s="131">
        <v>1</v>
      </c>
      <c r="S736" s="131">
        <v>1373</v>
      </c>
      <c r="U736" s="131">
        <v>1842.566</v>
      </c>
      <c r="V736" s="132">
        <v>6.7000000000000002E-4</v>
      </c>
      <c r="W736" s="132">
        <f t="shared" si="11"/>
        <v>1.1665397266536929E-2</v>
      </c>
      <c r="X736" s="132">
        <v>2.5306370172220897E-3</v>
      </c>
    </row>
    <row r="737" spans="1:24">
      <c r="A737" t="s">
        <v>1213</v>
      </c>
      <c r="B737" s="4">
        <v>9301</v>
      </c>
      <c r="C737" t="s">
        <v>2973</v>
      </c>
      <c r="D737" t="s">
        <v>2974</v>
      </c>
      <c r="E737" t="s">
        <v>309</v>
      </c>
      <c r="F737" t="s">
        <v>2973</v>
      </c>
      <c r="G737" t="s">
        <v>3843</v>
      </c>
      <c r="H737" t="s">
        <v>321</v>
      </c>
      <c r="I737" t="s">
        <v>917</v>
      </c>
      <c r="J737" t="s">
        <v>204</v>
      </c>
      <c r="K737" t="s">
        <v>204</v>
      </c>
      <c r="L737" t="s">
        <v>325</v>
      </c>
      <c r="M737" t="s">
        <v>340</v>
      </c>
      <c r="N737" t="s">
        <v>458</v>
      </c>
      <c r="O737" t="s">
        <v>339</v>
      </c>
      <c r="P737" t="s">
        <v>1212</v>
      </c>
      <c r="Q737" s="131">
        <v>11200</v>
      </c>
      <c r="R737" s="131">
        <v>1</v>
      </c>
      <c r="S737" s="131">
        <v>15700</v>
      </c>
      <c r="U737" s="131">
        <v>1758.4</v>
      </c>
      <c r="V737" s="132">
        <v>8.5999999999999998E-4</v>
      </c>
      <c r="W737" s="132">
        <f t="shared" si="11"/>
        <v>1.1132537208153487E-2</v>
      </c>
      <c r="X737" s="132">
        <v>2.4150408349461147E-3</v>
      </c>
    </row>
    <row r="738" spans="1:24">
      <c r="A738" t="s">
        <v>1213</v>
      </c>
      <c r="B738" s="4">
        <v>9301</v>
      </c>
      <c r="C738" t="s">
        <v>3861</v>
      </c>
      <c r="D738" t="s">
        <v>3862</v>
      </c>
      <c r="E738" t="s">
        <v>309</v>
      </c>
      <c r="F738" t="s">
        <v>3861</v>
      </c>
      <c r="G738" t="s">
        <v>3863</v>
      </c>
      <c r="H738" t="s">
        <v>321</v>
      </c>
      <c r="I738" t="s">
        <v>917</v>
      </c>
      <c r="J738" t="s">
        <v>204</v>
      </c>
      <c r="K738" t="s">
        <v>204</v>
      </c>
      <c r="L738" t="s">
        <v>325</v>
      </c>
      <c r="M738" t="s">
        <v>340</v>
      </c>
      <c r="N738" t="s">
        <v>439</v>
      </c>
      <c r="O738" t="s">
        <v>339</v>
      </c>
      <c r="P738" t="s">
        <v>1212</v>
      </c>
      <c r="Q738" s="131">
        <v>32810</v>
      </c>
      <c r="R738" s="131">
        <v>1</v>
      </c>
      <c r="S738" s="131">
        <v>4823</v>
      </c>
      <c r="U738" s="131">
        <v>1582.4259999999999</v>
      </c>
      <c r="V738" s="132">
        <v>1.33E-3</v>
      </c>
      <c r="W738" s="132">
        <f t="shared" si="11"/>
        <v>1.0018435125198753E-2</v>
      </c>
      <c r="X738" s="132">
        <v>2.173352711715446E-3</v>
      </c>
    </row>
    <row r="739" spans="1:24">
      <c r="A739" t="s">
        <v>1213</v>
      </c>
      <c r="B739" s="4">
        <v>9301</v>
      </c>
      <c r="C739" t="s">
        <v>1825</v>
      </c>
      <c r="D739" t="s">
        <v>1826</v>
      </c>
      <c r="E739" t="s">
        <v>309</v>
      </c>
      <c r="F739" t="s">
        <v>3864</v>
      </c>
      <c r="G739" t="s">
        <v>3865</v>
      </c>
      <c r="H739" t="s">
        <v>321</v>
      </c>
      <c r="I739" t="s">
        <v>917</v>
      </c>
      <c r="J739" t="s">
        <v>204</v>
      </c>
      <c r="K739" t="s">
        <v>204</v>
      </c>
      <c r="L739" t="s">
        <v>325</v>
      </c>
      <c r="M739" t="s">
        <v>340</v>
      </c>
      <c r="N739" t="s">
        <v>441</v>
      </c>
      <c r="O739" t="s">
        <v>339</v>
      </c>
      <c r="P739" t="s">
        <v>1212</v>
      </c>
      <c r="Q739" s="131">
        <v>34364</v>
      </c>
      <c r="R739" s="131">
        <v>1</v>
      </c>
      <c r="S739" s="131">
        <v>4541</v>
      </c>
      <c r="U739" s="131">
        <v>1560.4690000000001</v>
      </c>
      <c r="V739" s="132">
        <v>2.6199999999999999E-3</v>
      </c>
      <c r="W739" s="132">
        <f t="shared" si="11"/>
        <v>9.8794240244938943E-3</v>
      </c>
      <c r="X739" s="132">
        <v>2.1431962901885399E-3</v>
      </c>
    </row>
    <row r="740" spans="1:24">
      <c r="A740" t="s">
        <v>1213</v>
      </c>
      <c r="B740" s="4">
        <v>9301</v>
      </c>
      <c r="C740" t="s">
        <v>2428</v>
      </c>
      <c r="D740" t="s">
        <v>2429</v>
      </c>
      <c r="E740" t="s">
        <v>309</v>
      </c>
      <c r="F740" t="s">
        <v>2428</v>
      </c>
      <c r="G740" t="s">
        <v>3459</v>
      </c>
      <c r="H740" t="s">
        <v>321</v>
      </c>
      <c r="I740" t="s">
        <v>917</v>
      </c>
      <c r="J740" t="s">
        <v>204</v>
      </c>
      <c r="K740" t="s">
        <v>204</v>
      </c>
      <c r="L740" t="s">
        <v>325</v>
      </c>
      <c r="M740" t="s">
        <v>340</v>
      </c>
      <c r="N740" t="s">
        <v>454</v>
      </c>
      <c r="O740" t="s">
        <v>339</v>
      </c>
      <c r="P740" t="s">
        <v>1212</v>
      </c>
      <c r="Q740" s="131">
        <v>908400.16</v>
      </c>
      <c r="R740" s="131">
        <v>1</v>
      </c>
      <c r="S740" s="131">
        <v>161.9</v>
      </c>
      <c r="U740" s="131">
        <v>1470.7</v>
      </c>
      <c r="V740" s="132">
        <v>3.5E-4</v>
      </c>
      <c r="W740" s="132">
        <f t="shared" si="11"/>
        <v>9.3110910327748701E-3</v>
      </c>
      <c r="X740" s="132">
        <v>2.0199047747698194E-3</v>
      </c>
    </row>
    <row r="741" spans="1:24">
      <c r="A741" t="s">
        <v>1213</v>
      </c>
      <c r="B741" s="4">
        <v>9301</v>
      </c>
      <c r="C741" t="s">
        <v>3660</v>
      </c>
      <c r="D741" t="s">
        <v>3661</v>
      </c>
      <c r="E741" t="s">
        <v>309</v>
      </c>
      <c r="F741" t="s">
        <v>3660</v>
      </c>
      <c r="G741" t="s">
        <v>3662</v>
      </c>
      <c r="H741" t="s">
        <v>321</v>
      </c>
      <c r="I741" t="s">
        <v>917</v>
      </c>
      <c r="J741" t="s">
        <v>204</v>
      </c>
      <c r="K741" t="s">
        <v>204</v>
      </c>
      <c r="L741" t="s">
        <v>325</v>
      </c>
      <c r="M741" t="s">
        <v>340</v>
      </c>
      <c r="N741" t="s">
        <v>459</v>
      </c>
      <c r="O741" t="s">
        <v>339</v>
      </c>
      <c r="P741" t="s">
        <v>1212</v>
      </c>
      <c r="Q741" s="131">
        <v>79000</v>
      </c>
      <c r="R741" s="131">
        <v>1</v>
      </c>
      <c r="S741" s="131">
        <v>1757</v>
      </c>
      <c r="U741" s="131">
        <v>1388.03</v>
      </c>
      <c r="V741" s="132">
        <v>7.9000000000000001E-4</v>
      </c>
      <c r="W741" s="132">
        <f t="shared" si="11"/>
        <v>8.7877022412609657E-3</v>
      </c>
      <c r="X741" s="132">
        <v>1.9063632450695264E-3</v>
      </c>
    </row>
    <row r="742" spans="1:24">
      <c r="A742" t="s">
        <v>1213</v>
      </c>
      <c r="B742" s="4">
        <v>9301</v>
      </c>
      <c r="C742" t="s">
        <v>3866</v>
      </c>
      <c r="D742" t="s">
        <v>3867</v>
      </c>
      <c r="E742" t="s">
        <v>309</v>
      </c>
      <c r="F742" t="s">
        <v>3866</v>
      </c>
      <c r="G742" t="s">
        <v>3868</v>
      </c>
      <c r="H742" t="s">
        <v>321</v>
      </c>
      <c r="I742" t="s">
        <v>917</v>
      </c>
      <c r="J742" t="s">
        <v>204</v>
      </c>
      <c r="K742" t="s">
        <v>204</v>
      </c>
      <c r="L742" t="s">
        <v>325</v>
      </c>
      <c r="M742" t="s">
        <v>340</v>
      </c>
      <c r="N742" t="s">
        <v>451</v>
      </c>
      <c r="O742" t="s">
        <v>339</v>
      </c>
      <c r="P742" t="s">
        <v>1212</v>
      </c>
      <c r="Q742" s="131">
        <v>8290</v>
      </c>
      <c r="R742" s="131">
        <v>1</v>
      </c>
      <c r="S742" s="131">
        <v>16700</v>
      </c>
      <c r="U742" s="131">
        <v>1384.43</v>
      </c>
      <c r="V742" s="132">
        <v>7.7999999999999999E-4</v>
      </c>
      <c r="W742" s="132">
        <f t="shared" si="11"/>
        <v>8.7649104225909526E-3</v>
      </c>
      <c r="X742" s="132">
        <v>1.9014188939515751E-3</v>
      </c>
    </row>
    <row r="743" spans="1:24">
      <c r="A743" t="s">
        <v>1213</v>
      </c>
      <c r="B743" s="4">
        <v>9301</v>
      </c>
      <c r="C743" t="s">
        <v>1660</v>
      </c>
      <c r="D743" t="s">
        <v>1661</v>
      </c>
      <c r="E743" t="s">
        <v>309</v>
      </c>
      <c r="F743" t="s">
        <v>1660</v>
      </c>
      <c r="G743" t="s">
        <v>3869</v>
      </c>
      <c r="H743" t="s">
        <v>321</v>
      </c>
      <c r="I743" t="s">
        <v>917</v>
      </c>
      <c r="J743" t="s">
        <v>204</v>
      </c>
      <c r="K743" t="s">
        <v>204</v>
      </c>
      <c r="L743" t="s">
        <v>325</v>
      </c>
      <c r="M743" t="s">
        <v>340</v>
      </c>
      <c r="N743" t="s">
        <v>451</v>
      </c>
      <c r="O743" t="s">
        <v>339</v>
      </c>
      <c r="P743" t="s">
        <v>1212</v>
      </c>
      <c r="Q743" s="131">
        <v>361326</v>
      </c>
      <c r="R743" s="131">
        <v>1</v>
      </c>
      <c r="S743" s="131">
        <v>382.7</v>
      </c>
      <c r="U743" s="131">
        <v>1382.7950000000001</v>
      </c>
      <c r="V743" s="132">
        <v>1.41E-3</v>
      </c>
      <c r="W743" s="132">
        <f t="shared" si="11"/>
        <v>8.7545591382783214E-3</v>
      </c>
      <c r="X743" s="132">
        <v>1.8991733344855054E-3</v>
      </c>
    </row>
    <row r="744" spans="1:24">
      <c r="A744" t="s">
        <v>1213</v>
      </c>
      <c r="B744" s="4">
        <v>9301</v>
      </c>
      <c r="C744" t="s">
        <v>3642</v>
      </c>
      <c r="D744" t="s">
        <v>3643</v>
      </c>
      <c r="E744" t="s">
        <v>309</v>
      </c>
      <c r="F744" t="s">
        <v>3642</v>
      </c>
      <c r="G744" t="s">
        <v>3644</v>
      </c>
      <c r="H744" t="s">
        <v>321</v>
      </c>
      <c r="I744" t="s">
        <v>917</v>
      </c>
      <c r="J744" t="s">
        <v>204</v>
      </c>
      <c r="K744" t="s">
        <v>204</v>
      </c>
      <c r="L744" t="s">
        <v>325</v>
      </c>
      <c r="M744" t="s">
        <v>340</v>
      </c>
      <c r="N744" t="s">
        <v>445</v>
      </c>
      <c r="O744" t="s">
        <v>339</v>
      </c>
      <c r="P744" t="s">
        <v>1212</v>
      </c>
      <c r="Q744" s="131">
        <v>252000.4</v>
      </c>
      <c r="R744" s="131">
        <v>1</v>
      </c>
      <c r="S744" s="131">
        <v>508.2</v>
      </c>
      <c r="U744" s="131">
        <v>1280.6659999999999</v>
      </c>
      <c r="V744" s="132">
        <v>2.4000000000000001E-4</v>
      </c>
      <c r="W744" s="132">
        <f t="shared" si="11"/>
        <v>8.107974235792249E-3</v>
      </c>
      <c r="X744" s="132">
        <v>1.7589062135618179E-3</v>
      </c>
    </row>
    <row r="745" spans="1:24">
      <c r="A745" t="s">
        <v>1213</v>
      </c>
      <c r="B745" s="4">
        <v>9301</v>
      </c>
      <c r="C745" t="s">
        <v>2328</v>
      </c>
      <c r="D745" t="s">
        <v>2329</v>
      </c>
      <c r="E745" t="s">
        <v>309</v>
      </c>
      <c r="F745" t="s">
        <v>2328</v>
      </c>
      <c r="G745" t="s">
        <v>3639</v>
      </c>
      <c r="H745" t="s">
        <v>321</v>
      </c>
      <c r="I745" t="s">
        <v>917</v>
      </c>
      <c r="J745" t="s">
        <v>204</v>
      </c>
      <c r="K745" t="s">
        <v>204</v>
      </c>
      <c r="L745" t="s">
        <v>325</v>
      </c>
      <c r="M745" t="s">
        <v>340</v>
      </c>
      <c r="N745" t="s">
        <v>465</v>
      </c>
      <c r="O745" t="s">
        <v>339</v>
      </c>
      <c r="P745" t="s">
        <v>1212</v>
      </c>
      <c r="Q745" s="131">
        <v>22621.8</v>
      </c>
      <c r="R745" s="131">
        <v>1</v>
      </c>
      <c r="S745" s="131">
        <v>5570</v>
      </c>
      <c r="U745" s="131">
        <v>1260.0340000000001</v>
      </c>
      <c r="V745" s="132">
        <v>3.1E-4</v>
      </c>
      <c r="W745" s="132">
        <f t="shared" si="11"/>
        <v>7.9773517905701048E-3</v>
      </c>
      <c r="X745" s="132">
        <v>1.7305695879324913E-3</v>
      </c>
    </row>
    <row r="746" spans="1:24">
      <c r="A746" t="s">
        <v>1213</v>
      </c>
      <c r="B746" s="4">
        <v>9301</v>
      </c>
      <c r="C746" t="s">
        <v>3498</v>
      </c>
      <c r="D746" t="s">
        <v>3499</v>
      </c>
      <c r="E746" t="s">
        <v>309</v>
      </c>
      <c r="F746" t="s">
        <v>3500</v>
      </c>
      <c r="G746" t="s">
        <v>3501</v>
      </c>
      <c r="H746" t="s">
        <v>321</v>
      </c>
      <c r="I746" t="s">
        <v>917</v>
      </c>
      <c r="J746" t="s">
        <v>204</v>
      </c>
      <c r="K746" t="s">
        <v>204</v>
      </c>
      <c r="L746" t="s">
        <v>325</v>
      </c>
      <c r="M746" t="s">
        <v>340</v>
      </c>
      <c r="N746" t="s">
        <v>476</v>
      </c>
      <c r="O746" t="s">
        <v>339</v>
      </c>
      <c r="P746" t="s">
        <v>1212</v>
      </c>
      <c r="Q746" s="131">
        <v>24500</v>
      </c>
      <c r="R746" s="131">
        <v>1</v>
      </c>
      <c r="S746" s="131">
        <v>5029</v>
      </c>
      <c r="U746" s="131">
        <v>1232.105</v>
      </c>
      <c r="V746" s="132">
        <v>3.4000000000000002E-4</v>
      </c>
      <c r="W746" s="132">
        <f t="shared" si="11"/>
        <v>7.8005315951159872E-3</v>
      </c>
      <c r="X746" s="132">
        <v>1.6922110372732499E-3</v>
      </c>
    </row>
    <row r="747" spans="1:24">
      <c r="A747" t="s">
        <v>1213</v>
      </c>
      <c r="B747" s="4">
        <v>9301</v>
      </c>
      <c r="C747" t="s">
        <v>3694</v>
      </c>
      <c r="D747" t="s">
        <v>3695</v>
      </c>
      <c r="E747" t="s">
        <v>309</v>
      </c>
      <c r="F747" t="s">
        <v>3694</v>
      </c>
      <c r="G747" t="s">
        <v>3696</v>
      </c>
      <c r="H747" t="s">
        <v>321</v>
      </c>
      <c r="I747" t="s">
        <v>917</v>
      </c>
      <c r="J747" t="s">
        <v>204</v>
      </c>
      <c r="K747" t="s">
        <v>204</v>
      </c>
      <c r="L747" t="s">
        <v>325</v>
      </c>
      <c r="M747" t="s">
        <v>340</v>
      </c>
      <c r="N747" t="s">
        <v>451</v>
      </c>
      <c r="O747" t="s">
        <v>339</v>
      </c>
      <c r="P747" t="s">
        <v>1212</v>
      </c>
      <c r="Q747" s="131">
        <v>11004.32</v>
      </c>
      <c r="R747" s="131">
        <v>1</v>
      </c>
      <c r="S747" s="131">
        <v>11080</v>
      </c>
      <c r="U747" s="131">
        <v>1219.279</v>
      </c>
      <c r="V747" s="132">
        <v>3.2000000000000003E-4</v>
      </c>
      <c r="W747" s="132">
        <f t="shared" si="11"/>
        <v>7.7193294100433201E-3</v>
      </c>
      <c r="X747" s="132">
        <v>1.6745954129846813E-3</v>
      </c>
    </row>
    <row r="748" spans="1:24">
      <c r="A748" t="s">
        <v>1213</v>
      </c>
      <c r="B748" s="4">
        <v>9301</v>
      </c>
      <c r="C748" t="s">
        <v>2238</v>
      </c>
      <c r="D748" t="s">
        <v>2239</v>
      </c>
      <c r="E748" t="s">
        <v>309</v>
      </c>
      <c r="F748" t="s">
        <v>2238</v>
      </c>
      <c r="G748" t="s">
        <v>3785</v>
      </c>
      <c r="H748" t="s">
        <v>321</v>
      </c>
      <c r="I748" t="s">
        <v>917</v>
      </c>
      <c r="J748" t="s">
        <v>204</v>
      </c>
      <c r="K748" t="s">
        <v>204</v>
      </c>
      <c r="L748" t="s">
        <v>325</v>
      </c>
      <c r="M748" t="s">
        <v>340</v>
      </c>
      <c r="N748" t="s">
        <v>447</v>
      </c>
      <c r="O748" t="s">
        <v>339</v>
      </c>
      <c r="P748" t="s">
        <v>1212</v>
      </c>
      <c r="Q748" s="131">
        <v>3650</v>
      </c>
      <c r="R748" s="131">
        <v>1</v>
      </c>
      <c r="S748" s="131">
        <v>33200</v>
      </c>
      <c r="U748" s="131">
        <v>1211.8</v>
      </c>
      <c r="V748" s="132">
        <v>1.8000000000000001E-4</v>
      </c>
      <c r="W748" s="132">
        <f t="shared" si="11"/>
        <v>7.6719794067563662E-3</v>
      </c>
      <c r="X748" s="132">
        <v>1.6643235235371369E-3</v>
      </c>
    </row>
    <row r="749" spans="1:24">
      <c r="A749" t="s">
        <v>1213</v>
      </c>
      <c r="B749" s="4">
        <v>9301</v>
      </c>
      <c r="C749" t="s">
        <v>3455</v>
      </c>
      <c r="D749" t="s">
        <v>3456</v>
      </c>
      <c r="E749" t="s">
        <v>309</v>
      </c>
      <c r="F749" t="s">
        <v>3457</v>
      </c>
      <c r="G749" t="s">
        <v>3458</v>
      </c>
      <c r="H749" t="s">
        <v>321</v>
      </c>
      <c r="I749" t="s">
        <v>917</v>
      </c>
      <c r="J749" t="s">
        <v>204</v>
      </c>
      <c r="K749" t="s">
        <v>204</v>
      </c>
      <c r="L749" t="s">
        <v>327</v>
      </c>
      <c r="M749" t="s">
        <v>340</v>
      </c>
      <c r="N749" t="s">
        <v>455</v>
      </c>
      <c r="O749" t="s">
        <v>339</v>
      </c>
      <c r="P749" t="s">
        <v>1212</v>
      </c>
      <c r="Q749" s="131">
        <v>747</v>
      </c>
      <c r="R749" s="131">
        <v>1</v>
      </c>
      <c r="S749" s="131">
        <f>U749*1000/Q749*100</f>
        <v>5655.9035705664128</v>
      </c>
      <c r="U749" s="131">
        <f>42249.5996721311/1000</f>
        <v>42.249599672131104</v>
      </c>
      <c r="V749" s="132">
        <v>1.4499999999999999E-3</v>
      </c>
      <c r="W749" s="132">
        <f t="shared" si="11"/>
        <v>2.6748478183552597E-4</v>
      </c>
      <c r="X749" s="132">
        <v>5.8026904269974177E-5</v>
      </c>
    </row>
    <row r="750" spans="1:24">
      <c r="A750" t="s">
        <v>1213</v>
      </c>
      <c r="B750" s="4">
        <v>9301</v>
      </c>
      <c r="C750" t="s">
        <v>1534</v>
      </c>
      <c r="D750" t="s">
        <v>1535</v>
      </c>
      <c r="E750" t="s">
        <v>309</v>
      </c>
      <c r="F750" t="s">
        <v>1534</v>
      </c>
      <c r="G750" t="s">
        <v>3509</v>
      </c>
      <c r="H750" t="s">
        <v>321</v>
      </c>
      <c r="I750" t="s">
        <v>917</v>
      </c>
      <c r="J750" t="s">
        <v>204</v>
      </c>
      <c r="K750" t="s">
        <v>204</v>
      </c>
      <c r="L750" t="s">
        <v>325</v>
      </c>
      <c r="M750" t="s">
        <v>340</v>
      </c>
      <c r="N750" t="s">
        <v>464</v>
      </c>
      <c r="O750" t="s">
        <v>339</v>
      </c>
      <c r="P750" t="s">
        <v>1212</v>
      </c>
      <c r="Q750" s="131">
        <v>59200.04</v>
      </c>
      <c r="R750" s="131">
        <v>1</v>
      </c>
      <c r="S750" s="131">
        <v>1609</v>
      </c>
      <c r="U750" s="131">
        <v>952.529</v>
      </c>
      <c r="V750" s="132">
        <v>1.2999999999999999E-4</v>
      </c>
      <c r="W750" s="132">
        <f t="shared" si="11"/>
        <v>6.0305189572027029E-3</v>
      </c>
      <c r="X750" s="132">
        <v>1.3082327294531321E-3</v>
      </c>
    </row>
    <row r="751" spans="1:24">
      <c r="A751" t="s">
        <v>1213</v>
      </c>
      <c r="B751" s="4">
        <v>9301</v>
      </c>
      <c r="C751" t="s">
        <v>1973</v>
      </c>
      <c r="D751" t="s">
        <v>1974</v>
      </c>
      <c r="E751" t="s">
        <v>309</v>
      </c>
      <c r="F751" t="s">
        <v>3512</v>
      </c>
      <c r="G751" t="s">
        <v>3513</v>
      </c>
      <c r="H751" t="s">
        <v>321</v>
      </c>
      <c r="I751" t="s">
        <v>917</v>
      </c>
      <c r="J751" t="s">
        <v>204</v>
      </c>
      <c r="K751" t="s">
        <v>204</v>
      </c>
      <c r="L751" t="s">
        <v>325</v>
      </c>
      <c r="M751" t="s">
        <v>340</v>
      </c>
      <c r="N751" t="s">
        <v>464</v>
      </c>
      <c r="O751" t="s">
        <v>339</v>
      </c>
      <c r="P751" t="s">
        <v>1212</v>
      </c>
      <c r="Q751" s="131">
        <v>91575.75</v>
      </c>
      <c r="R751" s="131">
        <v>1</v>
      </c>
      <c r="S751" s="131">
        <v>954</v>
      </c>
      <c r="U751" s="131">
        <v>873.63300000000004</v>
      </c>
      <c r="V751" s="132">
        <v>1.2E-4</v>
      </c>
      <c r="W751" s="132">
        <f t="shared" si="11"/>
        <v>5.5310235889278634E-3</v>
      </c>
      <c r="X751" s="132">
        <v>1.1998745278414917E-3</v>
      </c>
    </row>
    <row r="752" spans="1:24">
      <c r="A752" t="s">
        <v>1213</v>
      </c>
      <c r="B752" s="4">
        <v>9301</v>
      </c>
      <c r="C752" t="s">
        <v>3870</v>
      </c>
      <c r="D752" t="s">
        <v>3871</v>
      </c>
      <c r="E752" t="s">
        <v>309</v>
      </c>
      <c r="F752" t="s">
        <v>3872</v>
      </c>
      <c r="G752" t="s">
        <v>3873</v>
      </c>
      <c r="H752" t="s">
        <v>321</v>
      </c>
      <c r="I752" t="s">
        <v>917</v>
      </c>
      <c r="J752" t="s">
        <v>204</v>
      </c>
      <c r="K752" t="s">
        <v>204</v>
      </c>
      <c r="L752" t="s">
        <v>325</v>
      </c>
      <c r="M752" t="s">
        <v>340</v>
      </c>
      <c r="N752" t="s">
        <v>462</v>
      </c>
      <c r="O752" t="s">
        <v>339</v>
      </c>
      <c r="P752" t="s">
        <v>1212</v>
      </c>
      <c r="Q752" s="131">
        <v>24709</v>
      </c>
      <c r="R752" s="131">
        <v>1</v>
      </c>
      <c r="S752" s="131">
        <v>3248</v>
      </c>
      <c r="U752" s="131">
        <v>802.548</v>
      </c>
      <c r="V752" s="132">
        <v>8.9999999999999998E-4</v>
      </c>
      <c r="W752" s="132">
        <f t="shared" si="11"/>
        <v>5.0809801361062128E-3</v>
      </c>
      <c r="X752" s="132">
        <v>1.10224419472494E-3</v>
      </c>
    </row>
    <row r="753" spans="1:24">
      <c r="A753" t="s">
        <v>1213</v>
      </c>
      <c r="B753" s="4">
        <v>9301</v>
      </c>
      <c r="C753" t="s">
        <v>2771</v>
      </c>
      <c r="D753" t="s">
        <v>2772</v>
      </c>
      <c r="E753" t="s">
        <v>309</v>
      </c>
      <c r="F753" t="s">
        <v>2771</v>
      </c>
      <c r="G753" t="s">
        <v>3842</v>
      </c>
      <c r="H753" t="s">
        <v>321</v>
      </c>
      <c r="I753" t="s">
        <v>917</v>
      </c>
      <c r="J753" t="s">
        <v>204</v>
      </c>
      <c r="K753" t="s">
        <v>204</v>
      </c>
      <c r="L753" t="s">
        <v>325</v>
      </c>
      <c r="M753" t="s">
        <v>340</v>
      </c>
      <c r="N753" t="s">
        <v>447</v>
      </c>
      <c r="O753" t="s">
        <v>339</v>
      </c>
      <c r="P753" t="s">
        <v>1212</v>
      </c>
      <c r="Q753" s="131">
        <v>44094</v>
      </c>
      <c r="R753" s="131">
        <v>1</v>
      </c>
      <c r="S753" s="131">
        <v>1750</v>
      </c>
      <c r="U753" s="131">
        <v>771.64499999999998</v>
      </c>
      <c r="V753" s="132">
        <v>2.1000000000000001E-4</v>
      </c>
      <c r="W753" s="132">
        <f t="shared" si="11"/>
        <v>4.8853313660063673E-3</v>
      </c>
      <c r="X753" s="132">
        <v>1.0598010606699241E-3</v>
      </c>
    </row>
    <row r="754" spans="1:24">
      <c r="A754" t="s">
        <v>1213</v>
      </c>
      <c r="B754" s="4">
        <v>9301</v>
      </c>
      <c r="C754" t="s">
        <v>3874</v>
      </c>
      <c r="D754" t="s">
        <v>3875</v>
      </c>
      <c r="E754" t="s">
        <v>309</v>
      </c>
      <c r="F754" t="s">
        <v>3876</v>
      </c>
      <c r="G754" t="s">
        <v>3877</v>
      </c>
      <c r="H754" t="s">
        <v>321</v>
      </c>
      <c r="I754" t="s">
        <v>917</v>
      </c>
      <c r="J754" t="s">
        <v>204</v>
      </c>
      <c r="K754" t="s">
        <v>204</v>
      </c>
      <c r="L754" t="s">
        <v>325</v>
      </c>
      <c r="M754" t="s">
        <v>340</v>
      </c>
      <c r="N754" t="s">
        <v>462</v>
      </c>
      <c r="O754" t="s">
        <v>339</v>
      </c>
      <c r="P754" t="s">
        <v>1212</v>
      </c>
      <c r="Q754" s="131">
        <v>10470</v>
      </c>
      <c r="R754" s="131">
        <v>1</v>
      </c>
      <c r="S754" s="131">
        <v>6557</v>
      </c>
      <c r="U754" s="131">
        <v>686.51800000000003</v>
      </c>
      <c r="V754" s="132">
        <v>5.0000000000000001E-4</v>
      </c>
      <c r="W754" s="132">
        <f t="shared" si="11"/>
        <v>4.3463871582501796E-3</v>
      </c>
      <c r="X754" s="132">
        <v>9.4288501133162918E-4</v>
      </c>
    </row>
    <row r="755" spans="1:24">
      <c r="A755" t="s">
        <v>1213</v>
      </c>
      <c r="B755" s="4">
        <v>9301</v>
      </c>
      <c r="C755" t="s">
        <v>2136</v>
      </c>
      <c r="D755" t="s">
        <v>2137</v>
      </c>
      <c r="E755" t="s">
        <v>309</v>
      </c>
      <c r="F755" t="s">
        <v>2136</v>
      </c>
      <c r="G755" t="s">
        <v>3616</v>
      </c>
      <c r="H755" t="s">
        <v>321</v>
      </c>
      <c r="I755" t="s">
        <v>917</v>
      </c>
      <c r="J755" t="s">
        <v>204</v>
      </c>
      <c r="K755" t="s">
        <v>204</v>
      </c>
      <c r="L755" t="s">
        <v>325</v>
      </c>
      <c r="M755" t="s">
        <v>340</v>
      </c>
      <c r="N755" t="s">
        <v>440</v>
      </c>
      <c r="O755" t="s">
        <v>339</v>
      </c>
      <c r="P755" t="s">
        <v>1212</v>
      </c>
      <c r="Q755" s="131">
        <v>1587</v>
      </c>
      <c r="R755" s="131">
        <v>1</v>
      </c>
      <c r="S755" s="131">
        <v>39190</v>
      </c>
      <c r="T755" s="131">
        <v>29.068999999999999</v>
      </c>
      <c r="U755" s="131">
        <v>651.01499999999999</v>
      </c>
      <c r="V755" s="132">
        <v>1.2E-4</v>
      </c>
      <c r="W755" s="132">
        <f t="shared" si="11"/>
        <v>4.1216155087386496E-3</v>
      </c>
      <c r="X755" s="132">
        <v>8.9412409529256414E-4</v>
      </c>
    </row>
    <row r="756" spans="1:24">
      <c r="A756" t="s">
        <v>1213</v>
      </c>
      <c r="B756" s="4">
        <v>9301</v>
      </c>
      <c r="C756" t="s">
        <v>3628</v>
      </c>
      <c r="D756" t="s">
        <v>3629</v>
      </c>
      <c r="E756" t="s">
        <v>309</v>
      </c>
      <c r="F756" t="s">
        <v>3630</v>
      </c>
      <c r="G756" t="s">
        <v>3631</v>
      </c>
      <c r="H756" t="s">
        <v>321</v>
      </c>
      <c r="I756" t="s">
        <v>917</v>
      </c>
      <c r="J756" t="s">
        <v>204</v>
      </c>
      <c r="K756" t="s">
        <v>204</v>
      </c>
      <c r="L756" t="s">
        <v>325</v>
      </c>
      <c r="M756" t="s">
        <v>340</v>
      </c>
      <c r="N756" t="s">
        <v>478</v>
      </c>
      <c r="O756" t="s">
        <v>339</v>
      </c>
      <c r="P756" t="s">
        <v>1212</v>
      </c>
      <c r="Q756" s="131">
        <v>114000</v>
      </c>
      <c r="R756" s="131">
        <v>1</v>
      </c>
      <c r="S756" s="131">
        <v>561</v>
      </c>
      <c r="U756" s="131">
        <v>639.54</v>
      </c>
      <c r="V756" s="132">
        <v>5.8E-4</v>
      </c>
      <c r="W756" s="132">
        <f t="shared" si="11"/>
        <v>4.0489665867279798E-3</v>
      </c>
      <c r="X756" s="132">
        <v>8.7836397610409345E-4</v>
      </c>
    </row>
    <row r="757" spans="1:24">
      <c r="A757" t="s">
        <v>1213</v>
      </c>
      <c r="B757" s="4">
        <v>9301</v>
      </c>
      <c r="C757" t="s">
        <v>1713</v>
      </c>
      <c r="D757" t="s">
        <v>1714</v>
      </c>
      <c r="E757" t="s">
        <v>309</v>
      </c>
      <c r="F757" t="s">
        <v>1713</v>
      </c>
      <c r="G757" t="s">
        <v>3878</v>
      </c>
      <c r="H757" t="s">
        <v>321</v>
      </c>
      <c r="I757" t="s">
        <v>917</v>
      </c>
      <c r="J757" t="s">
        <v>204</v>
      </c>
      <c r="K757" t="s">
        <v>204</v>
      </c>
      <c r="L757" t="s">
        <v>325</v>
      </c>
      <c r="M757" t="s">
        <v>340</v>
      </c>
      <c r="N757" t="s">
        <v>459</v>
      </c>
      <c r="O757" t="s">
        <v>339</v>
      </c>
      <c r="P757" t="s">
        <v>1212</v>
      </c>
      <c r="Q757" s="131">
        <v>3922</v>
      </c>
      <c r="R757" s="131">
        <v>1</v>
      </c>
      <c r="S757" s="131">
        <v>15960</v>
      </c>
      <c r="U757" s="131">
        <v>625.95100000000002</v>
      </c>
      <c r="V757" s="132">
        <v>1.16E-3</v>
      </c>
      <c r="W757" s="132">
        <f t="shared" si="11"/>
        <v>3.9629338023094195E-3</v>
      </c>
      <c r="X757" s="132">
        <v>8.5970042406469257E-4</v>
      </c>
    </row>
    <row r="758" spans="1:24">
      <c r="A758" t="s">
        <v>1213</v>
      </c>
      <c r="B758" s="4">
        <v>9301</v>
      </c>
      <c r="C758" t="s">
        <v>3469</v>
      </c>
      <c r="D758" t="s">
        <v>3470</v>
      </c>
      <c r="E758" t="s">
        <v>309</v>
      </c>
      <c r="F758" t="s">
        <v>3471</v>
      </c>
      <c r="G758" t="s">
        <v>3472</v>
      </c>
      <c r="H758" t="s">
        <v>321</v>
      </c>
      <c r="I758" t="s">
        <v>917</v>
      </c>
      <c r="J758" t="s">
        <v>204</v>
      </c>
      <c r="K758" t="s">
        <v>204</v>
      </c>
      <c r="L758" t="s">
        <v>325</v>
      </c>
      <c r="M758" t="s">
        <v>340</v>
      </c>
      <c r="N758" t="s">
        <v>454</v>
      </c>
      <c r="O758" t="s">
        <v>339</v>
      </c>
      <c r="P758" t="s">
        <v>1212</v>
      </c>
      <c r="Q758" s="131">
        <v>60200</v>
      </c>
      <c r="R758" s="131">
        <v>1</v>
      </c>
      <c r="S758" s="131">
        <v>1025</v>
      </c>
      <c r="U758" s="131">
        <v>617.04999999999995</v>
      </c>
      <c r="V758" s="132">
        <v>5.0000000000000002E-5</v>
      </c>
      <c r="W758" s="132">
        <f t="shared" si="11"/>
        <v>3.9065810306478099E-3</v>
      </c>
      <c r="X758" s="132">
        <v>8.4747551592555725E-4</v>
      </c>
    </row>
    <row r="759" spans="1:24">
      <c r="A759" t="s">
        <v>1213</v>
      </c>
      <c r="B759" s="4">
        <v>9301</v>
      </c>
      <c r="C759" t="s">
        <v>3284</v>
      </c>
      <c r="D759" t="s">
        <v>3285</v>
      </c>
      <c r="E759" t="s">
        <v>311</v>
      </c>
      <c r="F759" t="s">
        <v>3284</v>
      </c>
      <c r="G759" t="s">
        <v>3510</v>
      </c>
      <c r="H759" t="s">
        <v>321</v>
      </c>
      <c r="I759" t="s">
        <v>917</v>
      </c>
      <c r="J759" t="s">
        <v>204</v>
      </c>
      <c r="K759" t="s">
        <v>233</v>
      </c>
      <c r="L759" t="s">
        <v>325</v>
      </c>
      <c r="M759" t="s">
        <v>340</v>
      </c>
      <c r="N759" t="s">
        <v>454</v>
      </c>
      <c r="O759" t="s">
        <v>339</v>
      </c>
      <c r="P759" t="s">
        <v>1212</v>
      </c>
      <c r="Q759" s="131">
        <v>12800</v>
      </c>
      <c r="R759" s="131">
        <v>1</v>
      </c>
      <c r="S759" s="131">
        <v>4556</v>
      </c>
      <c r="T759" s="131">
        <f>14.292-46.0799999999999/1000/R759</f>
        <v>14.24592</v>
      </c>
      <c r="U759" s="131">
        <f>597.46-46.0799999999999/1000</f>
        <v>597.41392000000008</v>
      </c>
      <c r="V759" s="132">
        <v>6.9999999999999994E-5</v>
      </c>
      <c r="W759" s="132">
        <f t="shared" si="11"/>
        <v>3.7822638154395081E-3</v>
      </c>
      <c r="X759" s="132">
        <v>8.2050671756439455E-4</v>
      </c>
    </row>
    <row r="760" spans="1:24">
      <c r="A760" t="s">
        <v>1213</v>
      </c>
      <c r="B760" s="4">
        <v>9301</v>
      </c>
      <c r="C760" t="s">
        <v>3848</v>
      </c>
      <c r="D760" t="s">
        <v>3849</v>
      </c>
      <c r="E760" t="s">
        <v>309</v>
      </c>
      <c r="F760" t="s">
        <v>3850</v>
      </c>
      <c r="G760" t="s">
        <v>3851</v>
      </c>
      <c r="H760" t="s">
        <v>321</v>
      </c>
      <c r="I760" t="s">
        <v>917</v>
      </c>
      <c r="J760" t="s">
        <v>204</v>
      </c>
      <c r="K760" t="s">
        <v>204</v>
      </c>
      <c r="L760" t="s">
        <v>325</v>
      </c>
      <c r="M760" t="s">
        <v>340</v>
      </c>
      <c r="N760" t="s">
        <v>480</v>
      </c>
      <c r="O760" t="s">
        <v>339</v>
      </c>
      <c r="P760" t="s">
        <v>1212</v>
      </c>
      <c r="Q760" s="131">
        <v>13150.11</v>
      </c>
      <c r="R760" s="131">
        <v>1</v>
      </c>
      <c r="S760" s="131">
        <v>4432</v>
      </c>
      <c r="U760" s="131">
        <v>582.81299999999999</v>
      </c>
      <c r="V760" s="132">
        <v>2.7E-4</v>
      </c>
      <c r="W760" s="132">
        <f t="shared" si="11"/>
        <v>3.6898245040352354E-3</v>
      </c>
      <c r="X760" s="132">
        <v>8.0045336336297189E-4</v>
      </c>
    </row>
    <row r="761" spans="1:24">
      <c r="A761" t="s">
        <v>1213</v>
      </c>
      <c r="B761" s="4">
        <v>9301</v>
      </c>
      <c r="C761" t="s">
        <v>2757</v>
      </c>
      <c r="D761" t="s">
        <v>2758</v>
      </c>
      <c r="E761" t="s">
        <v>309</v>
      </c>
      <c r="F761" t="s">
        <v>3879</v>
      </c>
      <c r="G761" t="s">
        <v>3880</v>
      </c>
      <c r="H761" t="s">
        <v>321</v>
      </c>
      <c r="I761" t="s">
        <v>917</v>
      </c>
      <c r="J761" t="s">
        <v>204</v>
      </c>
      <c r="K761" t="s">
        <v>204</v>
      </c>
      <c r="L761" t="s">
        <v>325</v>
      </c>
      <c r="M761" t="s">
        <v>340</v>
      </c>
      <c r="N761" t="s">
        <v>440</v>
      </c>
      <c r="O761" t="s">
        <v>339</v>
      </c>
      <c r="P761" t="s">
        <v>1212</v>
      </c>
      <c r="Q761" s="131">
        <v>583000</v>
      </c>
      <c r="R761" s="131">
        <v>1</v>
      </c>
      <c r="S761" s="131">
        <v>96.1</v>
      </c>
      <c r="U761" s="131">
        <v>560.26300000000003</v>
      </c>
      <c r="V761" s="132">
        <v>1.8000000000000001E-4</v>
      </c>
      <c r="W761" s="132">
        <f t="shared" si="11"/>
        <v>3.5470590843105646E-3</v>
      </c>
      <c r="X761" s="132">
        <v>7.6948249733246985E-4</v>
      </c>
    </row>
    <row r="762" spans="1:24">
      <c r="A762" t="s">
        <v>1213</v>
      </c>
      <c r="B762" s="4">
        <v>9301</v>
      </c>
      <c r="C762" t="s">
        <v>1909</v>
      </c>
      <c r="D762" t="s">
        <v>1910</v>
      </c>
      <c r="E762" t="s">
        <v>309</v>
      </c>
      <c r="F762" t="s">
        <v>1909</v>
      </c>
      <c r="G762" t="s">
        <v>3881</v>
      </c>
      <c r="H762" t="s">
        <v>321</v>
      </c>
      <c r="I762" t="s">
        <v>917</v>
      </c>
      <c r="J762" t="s">
        <v>204</v>
      </c>
      <c r="K762" t="s">
        <v>204</v>
      </c>
      <c r="L762" t="s">
        <v>325</v>
      </c>
      <c r="M762" t="s">
        <v>340</v>
      </c>
      <c r="N762" t="s">
        <v>464</v>
      </c>
      <c r="O762" t="s">
        <v>339</v>
      </c>
      <c r="P762" t="s">
        <v>1212</v>
      </c>
      <c r="Q762" s="131">
        <v>313000</v>
      </c>
      <c r="R762" s="131">
        <v>1</v>
      </c>
      <c r="S762" s="131">
        <v>177.8</v>
      </c>
      <c r="U762" s="131">
        <v>556.51400000000001</v>
      </c>
      <c r="V762" s="132">
        <v>4.2000000000000002E-4</v>
      </c>
      <c r="W762" s="132">
        <f t="shared" si="11"/>
        <v>3.5233239375900417E-3</v>
      </c>
      <c r="X762" s="132">
        <v>7.6433350501546973E-4</v>
      </c>
    </row>
    <row r="763" spans="1:24">
      <c r="A763" t="s">
        <v>1213</v>
      </c>
      <c r="B763" s="4">
        <v>9301</v>
      </c>
      <c r="C763" t="s">
        <v>3882</v>
      </c>
      <c r="D763" t="s">
        <v>3883</v>
      </c>
      <c r="E763" t="s">
        <v>309</v>
      </c>
      <c r="F763" t="s">
        <v>3884</v>
      </c>
      <c r="G763" t="s">
        <v>3885</v>
      </c>
      <c r="H763" t="s">
        <v>321</v>
      </c>
      <c r="I763" t="s">
        <v>917</v>
      </c>
      <c r="J763" t="s">
        <v>204</v>
      </c>
      <c r="K763" t="s">
        <v>204</v>
      </c>
      <c r="L763" t="s">
        <v>325</v>
      </c>
      <c r="M763" t="s">
        <v>340</v>
      </c>
      <c r="N763" t="s">
        <v>439</v>
      </c>
      <c r="O763" t="s">
        <v>339</v>
      </c>
      <c r="P763" t="s">
        <v>1212</v>
      </c>
      <c r="Q763" s="131">
        <v>93000</v>
      </c>
      <c r="R763" s="131">
        <v>1</v>
      </c>
      <c r="S763" s="131">
        <v>591.1</v>
      </c>
      <c r="U763" s="131">
        <v>549.72299999999996</v>
      </c>
      <c r="V763" s="132">
        <v>1.2899999999999999E-3</v>
      </c>
      <c r="W763" s="132">
        <f t="shared" si="11"/>
        <v>3.4803297040933569E-3</v>
      </c>
      <c r="X763" s="132">
        <v>7.550065360038005E-4</v>
      </c>
    </row>
    <row r="764" spans="1:24">
      <c r="A764" t="s">
        <v>1213</v>
      </c>
      <c r="B764" s="4">
        <v>9301</v>
      </c>
      <c r="C764" t="s">
        <v>3430</v>
      </c>
      <c r="D764" t="s">
        <v>3431</v>
      </c>
      <c r="E764" t="s">
        <v>309</v>
      </c>
      <c r="F764" t="s">
        <v>3430</v>
      </c>
      <c r="G764" t="s">
        <v>3432</v>
      </c>
      <c r="H764" t="s">
        <v>321</v>
      </c>
      <c r="I764" t="s">
        <v>917</v>
      </c>
      <c r="J764" t="s">
        <v>204</v>
      </c>
      <c r="K764" t="s">
        <v>204</v>
      </c>
      <c r="L764" t="s">
        <v>325</v>
      </c>
      <c r="M764" t="s">
        <v>340</v>
      </c>
      <c r="N764" t="s">
        <v>463</v>
      </c>
      <c r="O764" t="s">
        <v>339</v>
      </c>
      <c r="P764" t="s">
        <v>1212</v>
      </c>
      <c r="Q764" s="131">
        <v>2175.84</v>
      </c>
      <c r="R764" s="131">
        <v>1</v>
      </c>
      <c r="S764" s="131">
        <v>24950</v>
      </c>
      <c r="U764" s="131">
        <v>542.87199999999996</v>
      </c>
      <c r="V764" s="132">
        <v>2.4000000000000001E-4</v>
      </c>
      <c r="W764" s="132">
        <f t="shared" si="11"/>
        <v>3.4369556069521719E-3</v>
      </c>
      <c r="X764" s="132">
        <v>7.4559716114016553E-4</v>
      </c>
    </row>
    <row r="765" spans="1:24">
      <c r="A765" t="s">
        <v>1213</v>
      </c>
      <c r="B765" s="4">
        <v>9301</v>
      </c>
      <c r="C765" t="s">
        <v>3441</v>
      </c>
      <c r="D765" t="s">
        <v>3442</v>
      </c>
      <c r="E765" t="s">
        <v>309</v>
      </c>
      <c r="F765" t="s">
        <v>3443</v>
      </c>
      <c r="G765" t="s">
        <v>3444</v>
      </c>
      <c r="H765" t="s">
        <v>321</v>
      </c>
      <c r="I765" t="s">
        <v>917</v>
      </c>
      <c r="J765" t="s">
        <v>204</v>
      </c>
      <c r="K765" t="s">
        <v>204</v>
      </c>
      <c r="L765" t="s">
        <v>325</v>
      </c>
      <c r="M765" t="s">
        <v>340</v>
      </c>
      <c r="N765" t="s">
        <v>465</v>
      </c>
      <c r="O765" t="s">
        <v>339</v>
      </c>
      <c r="P765" t="s">
        <v>1212</v>
      </c>
      <c r="Q765" s="131">
        <v>12380</v>
      </c>
      <c r="R765" s="131">
        <v>1</v>
      </c>
      <c r="S765" s="131">
        <v>4288</v>
      </c>
      <c r="U765" s="131">
        <v>530.85400000000004</v>
      </c>
      <c r="V765" s="132">
        <v>2.0000000000000001E-4</v>
      </c>
      <c r="W765" s="132">
        <f t="shared" si="11"/>
        <v>3.3608689189587758E-3</v>
      </c>
      <c r="X765" s="132">
        <v>7.2909126899140398E-4</v>
      </c>
    </row>
    <row r="766" spans="1:24">
      <c r="A766" t="s">
        <v>1213</v>
      </c>
      <c r="B766" s="4">
        <v>9301</v>
      </c>
      <c r="C766" t="s">
        <v>3646</v>
      </c>
      <c r="D766" t="s">
        <v>3647</v>
      </c>
      <c r="E766" t="s">
        <v>309</v>
      </c>
      <c r="F766" t="s">
        <v>3648</v>
      </c>
      <c r="G766" t="s">
        <v>3649</v>
      </c>
      <c r="H766" t="s">
        <v>321</v>
      </c>
      <c r="I766" t="s">
        <v>917</v>
      </c>
      <c r="J766" t="s">
        <v>204</v>
      </c>
      <c r="K766" t="s">
        <v>204</v>
      </c>
      <c r="L766" t="s">
        <v>325</v>
      </c>
      <c r="M766" t="s">
        <v>340</v>
      </c>
      <c r="N766" t="s">
        <v>477</v>
      </c>
      <c r="O766" t="s">
        <v>339</v>
      </c>
      <c r="P766" t="s">
        <v>1212</v>
      </c>
      <c r="Q766" s="131">
        <v>1534</v>
      </c>
      <c r="R766" s="131">
        <v>1</v>
      </c>
      <c r="S766" s="131">
        <v>34100</v>
      </c>
      <c r="U766" s="131">
        <v>523.09400000000005</v>
      </c>
      <c r="V766" s="132">
        <v>2.5000000000000001E-4</v>
      </c>
      <c r="W766" s="132">
        <f t="shared" si="11"/>
        <v>3.3117398876034124E-3</v>
      </c>
      <c r="X766" s="132">
        <v>7.1843344547048622E-4</v>
      </c>
    </row>
    <row r="767" spans="1:24">
      <c r="A767" t="s">
        <v>1213</v>
      </c>
      <c r="B767" s="4">
        <v>9301</v>
      </c>
      <c r="C767" t="s">
        <v>3433</v>
      </c>
      <c r="D767" t="s">
        <v>3434</v>
      </c>
      <c r="E767" t="s">
        <v>309</v>
      </c>
      <c r="F767" t="s">
        <v>3433</v>
      </c>
      <c r="G767" t="s">
        <v>3435</v>
      </c>
      <c r="H767" t="s">
        <v>321</v>
      </c>
      <c r="I767" t="s">
        <v>917</v>
      </c>
      <c r="J767" t="s">
        <v>204</v>
      </c>
      <c r="K767" t="s">
        <v>204</v>
      </c>
      <c r="L767" t="s">
        <v>325</v>
      </c>
      <c r="M767" t="s">
        <v>340</v>
      </c>
      <c r="N767" t="s">
        <v>458</v>
      </c>
      <c r="O767" t="s">
        <v>339</v>
      </c>
      <c r="P767" t="s">
        <v>1212</v>
      </c>
      <c r="Q767" s="131">
        <v>1715</v>
      </c>
      <c r="R767" s="131">
        <v>1</v>
      </c>
      <c r="S767" s="131">
        <v>29980</v>
      </c>
      <c r="U767" s="131">
        <v>514.15700000000004</v>
      </c>
      <c r="V767" s="132">
        <v>4.0000000000000003E-5</v>
      </c>
      <c r="W767" s="132">
        <f t="shared" si="11"/>
        <v>3.2551591977551027E-3</v>
      </c>
      <c r="X767" s="132">
        <v>7.0615909382017151E-4</v>
      </c>
    </row>
    <row r="768" spans="1:24">
      <c r="A768" t="s">
        <v>1213</v>
      </c>
      <c r="B768" s="4">
        <v>9301</v>
      </c>
      <c r="C768" t="s">
        <v>2872</v>
      </c>
      <c r="D768" t="s">
        <v>2873</v>
      </c>
      <c r="E768" t="s">
        <v>309</v>
      </c>
      <c r="F768" t="s">
        <v>2872</v>
      </c>
      <c r="G768" t="s">
        <v>3886</v>
      </c>
      <c r="H768" t="s">
        <v>321</v>
      </c>
      <c r="I768" t="s">
        <v>917</v>
      </c>
      <c r="J768" t="s">
        <v>204</v>
      </c>
      <c r="K768" t="s">
        <v>204</v>
      </c>
      <c r="L768" t="s">
        <v>325</v>
      </c>
      <c r="M768" t="s">
        <v>340</v>
      </c>
      <c r="N768" t="s">
        <v>441</v>
      </c>
      <c r="O768" t="s">
        <v>339</v>
      </c>
      <c r="P768" t="s">
        <v>1212</v>
      </c>
      <c r="Q768" s="131">
        <v>22000</v>
      </c>
      <c r="R768" s="131">
        <v>1</v>
      </c>
      <c r="S768" s="131">
        <v>2271</v>
      </c>
      <c r="U768" s="131">
        <v>499.62</v>
      </c>
      <c r="V768" s="132">
        <v>4.8000000000000001E-4</v>
      </c>
      <c r="W768" s="132">
        <f t="shared" si="11"/>
        <v>3.1631245677534378E-3</v>
      </c>
      <c r="X768" s="132">
        <v>6.8619352931970979E-4</v>
      </c>
    </row>
    <row r="769" spans="1:24">
      <c r="A769" t="s">
        <v>1213</v>
      </c>
      <c r="B769" s="4">
        <v>9301</v>
      </c>
      <c r="C769" t="s">
        <v>2897</v>
      </c>
      <c r="D769" t="s">
        <v>2898</v>
      </c>
      <c r="E769" t="s">
        <v>309</v>
      </c>
      <c r="F769" t="s">
        <v>2897</v>
      </c>
      <c r="G769" t="s">
        <v>3675</v>
      </c>
      <c r="H769" t="s">
        <v>321</v>
      </c>
      <c r="I769" t="s">
        <v>917</v>
      </c>
      <c r="J769" t="s">
        <v>204</v>
      </c>
      <c r="K769" t="s">
        <v>204</v>
      </c>
      <c r="L769" t="s">
        <v>325</v>
      </c>
      <c r="M769" t="s">
        <v>340</v>
      </c>
      <c r="N769" t="s">
        <v>447</v>
      </c>
      <c r="O769" t="s">
        <v>339</v>
      </c>
      <c r="P769" t="s">
        <v>1212</v>
      </c>
      <c r="Q769" s="131">
        <v>5268</v>
      </c>
      <c r="R769" s="131">
        <v>1</v>
      </c>
      <c r="S769" s="131">
        <v>9062</v>
      </c>
      <c r="U769" s="131">
        <v>477.38600000000002</v>
      </c>
      <c r="V769" s="132">
        <v>2.3000000000000001E-4</v>
      </c>
      <c r="W769" s="132">
        <f t="shared" si="11"/>
        <v>3.0223597632231349E-3</v>
      </c>
      <c r="X769" s="132">
        <v>6.5565666744289459E-4</v>
      </c>
    </row>
    <row r="770" spans="1:24">
      <c r="A770" t="s">
        <v>1213</v>
      </c>
      <c r="B770" s="4">
        <v>9301</v>
      </c>
      <c r="C770" t="s">
        <v>3887</v>
      </c>
      <c r="D770" t="s">
        <v>3888</v>
      </c>
      <c r="E770" t="s">
        <v>309</v>
      </c>
      <c r="F770" t="s">
        <v>3887</v>
      </c>
      <c r="G770" t="s">
        <v>3889</v>
      </c>
      <c r="H770" t="s">
        <v>321</v>
      </c>
      <c r="I770" t="s">
        <v>917</v>
      </c>
      <c r="J770" t="s">
        <v>204</v>
      </c>
      <c r="K770" t="s">
        <v>204</v>
      </c>
      <c r="L770" t="s">
        <v>325</v>
      </c>
      <c r="M770" t="s">
        <v>340</v>
      </c>
      <c r="N770" t="s">
        <v>477</v>
      </c>
      <c r="O770" t="s">
        <v>339</v>
      </c>
      <c r="P770" t="s">
        <v>1212</v>
      </c>
      <c r="Q770" s="131">
        <v>315500</v>
      </c>
      <c r="R770" s="131">
        <v>1</v>
      </c>
      <c r="S770" s="131">
        <v>150.30000000000001</v>
      </c>
      <c r="U770" s="131">
        <v>474.197</v>
      </c>
      <c r="V770" s="132">
        <v>6.2E-4</v>
      </c>
      <c r="W770" s="132">
        <f t="shared" si="11"/>
        <v>3.0021700105179474E-3</v>
      </c>
      <c r="X770" s="132">
        <v>6.5127679641090912E-4</v>
      </c>
    </row>
    <row r="771" spans="1:24">
      <c r="A771" t="s">
        <v>1213</v>
      </c>
      <c r="B771" s="4">
        <v>9301</v>
      </c>
      <c r="C771" t="s">
        <v>1718</v>
      </c>
      <c r="D771" t="s">
        <v>1719</v>
      </c>
      <c r="E771" t="s">
        <v>309</v>
      </c>
      <c r="F771" t="s">
        <v>3664</v>
      </c>
      <c r="G771" t="s">
        <v>3665</v>
      </c>
      <c r="H771" t="s">
        <v>321</v>
      </c>
      <c r="I771" t="s">
        <v>917</v>
      </c>
      <c r="J771" t="s">
        <v>204</v>
      </c>
      <c r="K771" t="s">
        <v>204</v>
      </c>
      <c r="L771" t="s">
        <v>325</v>
      </c>
      <c r="M771" t="s">
        <v>340</v>
      </c>
      <c r="N771" t="s">
        <v>440</v>
      </c>
      <c r="O771" t="s">
        <v>339</v>
      </c>
      <c r="P771" t="s">
        <v>1212</v>
      </c>
      <c r="Q771" s="131">
        <v>8280</v>
      </c>
      <c r="R771" s="131">
        <v>1</v>
      </c>
      <c r="S771" s="131">
        <v>5597</v>
      </c>
      <c r="U771" s="131">
        <v>463.43200000000002</v>
      </c>
      <c r="V771" s="132">
        <v>6.6E-4</v>
      </c>
      <c r="W771" s="132">
        <f t="shared" ref="W771:W834" si="12">U771/SUMIF(B:B,B771,U:U)</f>
        <v>2.9340161416338642E-3</v>
      </c>
      <c r="X771" s="132">
        <v>6.3649181313736797E-4</v>
      </c>
    </row>
    <row r="772" spans="1:24">
      <c r="A772" t="s">
        <v>1213</v>
      </c>
      <c r="B772" s="4">
        <v>9301</v>
      </c>
      <c r="C772" t="s">
        <v>3064</v>
      </c>
      <c r="D772" t="s">
        <v>3065</v>
      </c>
      <c r="E772" t="s">
        <v>309</v>
      </c>
      <c r="F772" t="s">
        <v>3676</v>
      </c>
      <c r="G772" t="s">
        <v>3677</v>
      </c>
      <c r="H772" t="s">
        <v>321</v>
      </c>
      <c r="I772" t="s">
        <v>917</v>
      </c>
      <c r="J772" t="s">
        <v>204</v>
      </c>
      <c r="K772" t="s">
        <v>204</v>
      </c>
      <c r="L772" t="s">
        <v>325</v>
      </c>
      <c r="M772" t="s">
        <v>340</v>
      </c>
      <c r="N772" t="s">
        <v>451</v>
      </c>
      <c r="O772" t="s">
        <v>339</v>
      </c>
      <c r="P772" t="s">
        <v>1212</v>
      </c>
      <c r="Q772" s="131">
        <v>7550</v>
      </c>
      <c r="R772" s="131">
        <v>1</v>
      </c>
      <c r="S772" s="131">
        <v>5852</v>
      </c>
      <c r="U772" s="131">
        <v>441.82600000000002</v>
      </c>
      <c r="V772" s="132">
        <v>1.2E-4</v>
      </c>
      <c r="W772" s="132">
        <f t="shared" si="12"/>
        <v>2.7972272432493302E-3</v>
      </c>
      <c r="X772" s="132">
        <v>6.0681746584446202E-4</v>
      </c>
    </row>
    <row r="773" spans="1:24">
      <c r="A773" t="s">
        <v>1213</v>
      </c>
      <c r="B773" s="4">
        <v>9301</v>
      </c>
      <c r="C773" t="s">
        <v>3486</v>
      </c>
      <c r="D773" t="s">
        <v>3487</v>
      </c>
      <c r="E773" t="s">
        <v>309</v>
      </c>
      <c r="F773" t="s">
        <v>3486</v>
      </c>
      <c r="G773" t="s">
        <v>3488</v>
      </c>
      <c r="H773" t="s">
        <v>321</v>
      </c>
      <c r="I773" t="s">
        <v>917</v>
      </c>
      <c r="J773" t="s">
        <v>204</v>
      </c>
      <c r="K773" t="s">
        <v>204</v>
      </c>
      <c r="L773" t="s">
        <v>325</v>
      </c>
      <c r="M773" t="s">
        <v>340</v>
      </c>
      <c r="N773" t="s">
        <v>475</v>
      </c>
      <c r="O773" t="s">
        <v>339</v>
      </c>
      <c r="P773" t="s">
        <v>1212</v>
      </c>
      <c r="Q773" s="131">
        <v>6500</v>
      </c>
      <c r="R773" s="131">
        <v>1</v>
      </c>
      <c r="S773" s="131">
        <v>6601</v>
      </c>
      <c r="U773" s="131">
        <v>429.065</v>
      </c>
      <c r="V773" s="132">
        <v>1.2999999999999999E-4</v>
      </c>
      <c r="W773" s="132">
        <f t="shared" si="12"/>
        <v>2.7164365771248722E-3</v>
      </c>
      <c r="X773" s="132">
        <v>5.8929111456218985E-4</v>
      </c>
    </row>
    <row r="774" spans="1:24">
      <c r="A774" t="s">
        <v>1213</v>
      </c>
      <c r="B774" s="4">
        <v>9301</v>
      </c>
      <c r="C774" t="s">
        <v>2905</v>
      </c>
      <c r="D774" t="s">
        <v>2906</v>
      </c>
      <c r="E774" t="s">
        <v>309</v>
      </c>
      <c r="F774" t="s">
        <v>2905</v>
      </c>
      <c r="G774" t="s">
        <v>3844</v>
      </c>
      <c r="H774" t="s">
        <v>321</v>
      </c>
      <c r="I774" t="s">
        <v>917</v>
      </c>
      <c r="J774" t="s">
        <v>204</v>
      </c>
      <c r="K774" t="s">
        <v>204</v>
      </c>
      <c r="L774" t="s">
        <v>325</v>
      </c>
      <c r="M774" t="s">
        <v>340</v>
      </c>
      <c r="N774" t="s">
        <v>477</v>
      </c>
      <c r="O774" t="s">
        <v>339</v>
      </c>
      <c r="P774" t="s">
        <v>1212</v>
      </c>
      <c r="Q774" s="131">
        <v>20881</v>
      </c>
      <c r="R774" s="131">
        <v>1</v>
      </c>
      <c r="S774" s="131">
        <v>2000</v>
      </c>
      <c r="U774" s="131">
        <v>417.62</v>
      </c>
      <c r="V774" s="132">
        <v>1.24E-3</v>
      </c>
      <c r="W774" s="132">
        <f t="shared" si="12"/>
        <v>2.643977586936453E-3</v>
      </c>
      <c r="X774" s="132">
        <v>5.7357219829970224E-4</v>
      </c>
    </row>
    <row r="775" spans="1:24">
      <c r="A775" t="s">
        <v>1213</v>
      </c>
      <c r="B775" s="4">
        <v>9301</v>
      </c>
      <c r="C775" t="s">
        <v>2223</v>
      </c>
      <c r="D775" t="s">
        <v>2224</v>
      </c>
      <c r="E775" t="s">
        <v>309</v>
      </c>
      <c r="F775" t="s">
        <v>2223</v>
      </c>
      <c r="G775" t="s">
        <v>3678</v>
      </c>
      <c r="H775" t="s">
        <v>321</v>
      </c>
      <c r="I775" t="s">
        <v>917</v>
      </c>
      <c r="J775" t="s">
        <v>204</v>
      </c>
      <c r="K775" t="s">
        <v>204</v>
      </c>
      <c r="L775" t="s">
        <v>325</v>
      </c>
      <c r="M775" t="s">
        <v>340</v>
      </c>
      <c r="N775" t="s">
        <v>464</v>
      </c>
      <c r="O775" t="s">
        <v>339</v>
      </c>
      <c r="P775" t="s">
        <v>1212</v>
      </c>
      <c r="Q775" s="131">
        <v>2620.3000000000002</v>
      </c>
      <c r="R775" s="131">
        <v>1</v>
      </c>
      <c r="S775" s="131">
        <v>15900</v>
      </c>
      <c r="U775" s="131">
        <v>416.62799999999999</v>
      </c>
      <c r="V775" s="132">
        <v>1.4999999999999999E-4</v>
      </c>
      <c r="W775" s="132">
        <f t="shared" si="12"/>
        <v>2.6376971746807157E-3</v>
      </c>
      <c r="X775" s="132">
        <v>5.7220975488053325E-4</v>
      </c>
    </row>
    <row r="776" spans="1:24">
      <c r="A776" t="s">
        <v>1213</v>
      </c>
      <c r="B776" s="4">
        <v>9301</v>
      </c>
      <c r="C776" t="s">
        <v>3634</v>
      </c>
      <c r="D776" t="s">
        <v>3635</v>
      </c>
      <c r="E776" t="s">
        <v>309</v>
      </c>
      <c r="F776" t="s">
        <v>3634</v>
      </c>
      <c r="G776" t="s">
        <v>3636</v>
      </c>
      <c r="H776" t="s">
        <v>321</v>
      </c>
      <c r="I776" t="s">
        <v>917</v>
      </c>
      <c r="J776" t="s">
        <v>204</v>
      </c>
      <c r="K776" t="s">
        <v>204</v>
      </c>
      <c r="L776" t="s">
        <v>325</v>
      </c>
      <c r="M776" t="s">
        <v>340</v>
      </c>
      <c r="N776" t="s">
        <v>462</v>
      </c>
      <c r="O776" t="s">
        <v>339</v>
      </c>
      <c r="P776" t="s">
        <v>1212</v>
      </c>
      <c r="Q776" s="131">
        <v>19390</v>
      </c>
      <c r="R776" s="131">
        <v>1</v>
      </c>
      <c r="S776" s="131">
        <v>2141</v>
      </c>
      <c r="U776" s="131">
        <v>415.14</v>
      </c>
      <c r="V776" s="132">
        <v>2.0000000000000001E-4</v>
      </c>
      <c r="W776" s="132">
        <f t="shared" si="12"/>
        <v>2.6282765562971101E-3</v>
      </c>
      <c r="X776" s="132">
        <v>5.7016608975178E-4</v>
      </c>
    </row>
    <row r="777" spans="1:24">
      <c r="A777" t="s">
        <v>1213</v>
      </c>
      <c r="B777" s="4">
        <v>9301</v>
      </c>
      <c r="C777" t="s">
        <v>3890</v>
      </c>
      <c r="D777" t="s">
        <v>3891</v>
      </c>
      <c r="E777" t="s">
        <v>309</v>
      </c>
      <c r="F777" t="s">
        <v>3892</v>
      </c>
      <c r="G777" t="s">
        <v>3893</v>
      </c>
      <c r="H777" t="s">
        <v>321</v>
      </c>
      <c r="I777" t="s">
        <v>917</v>
      </c>
      <c r="J777" t="s">
        <v>204</v>
      </c>
      <c r="K777" t="s">
        <v>204</v>
      </c>
      <c r="L777" t="s">
        <v>325</v>
      </c>
      <c r="M777" t="s">
        <v>340</v>
      </c>
      <c r="N777" t="s">
        <v>462</v>
      </c>
      <c r="O777" t="s">
        <v>339</v>
      </c>
      <c r="P777" t="s">
        <v>1212</v>
      </c>
      <c r="Q777" s="131">
        <v>996.47</v>
      </c>
      <c r="R777" s="131">
        <v>1</v>
      </c>
      <c r="S777" s="131">
        <v>40790</v>
      </c>
      <c r="U777" s="131">
        <v>406.46</v>
      </c>
      <c r="V777" s="132">
        <v>8.0999999999999996E-4</v>
      </c>
      <c r="W777" s="132">
        <f t="shared" si="12"/>
        <v>2.5733229490594095E-3</v>
      </c>
      <c r="X777" s="132">
        <v>5.5824470983405238E-4</v>
      </c>
    </row>
    <row r="778" spans="1:24">
      <c r="A778" t="s">
        <v>1213</v>
      </c>
      <c r="B778" s="4">
        <v>9301</v>
      </c>
      <c r="C778" t="s">
        <v>2141</v>
      </c>
      <c r="D778" t="s">
        <v>2142</v>
      </c>
      <c r="E778" t="s">
        <v>309</v>
      </c>
      <c r="F778" t="s">
        <v>2141</v>
      </c>
      <c r="G778" t="s">
        <v>3894</v>
      </c>
      <c r="H778" t="s">
        <v>321</v>
      </c>
      <c r="I778" t="s">
        <v>917</v>
      </c>
      <c r="J778" t="s">
        <v>204</v>
      </c>
      <c r="K778" t="s">
        <v>204</v>
      </c>
      <c r="L778" t="s">
        <v>325</v>
      </c>
      <c r="M778" t="s">
        <v>340</v>
      </c>
      <c r="N778" t="s">
        <v>475</v>
      </c>
      <c r="O778" t="s">
        <v>339</v>
      </c>
      <c r="P778" t="s">
        <v>1212</v>
      </c>
      <c r="Q778" s="131">
        <v>5395</v>
      </c>
      <c r="R778" s="131">
        <v>1</v>
      </c>
      <c r="S778" s="131">
        <v>7280</v>
      </c>
      <c r="U778" s="131">
        <v>392.75599999999997</v>
      </c>
      <c r="V778" s="132">
        <v>2.2000000000000001E-4</v>
      </c>
      <c r="W778" s="132">
        <f t="shared" si="12"/>
        <v>2.4865620926555563E-3</v>
      </c>
      <c r="X778" s="132">
        <v>5.3942321324505012E-4</v>
      </c>
    </row>
    <row r="779" spans="1:24">
      <c r="A779" t="s">
        <v>1213</v>
      </c>
      <c r="B779" s="4">
        <v>9301</v>
      </c>
      <c r="C779" t="s">
        <v>3895</v>
      </c>
      <c r="D779" t="s">
        <v>3896</v>
      </c>
      <c r="E779" t="s">
        <v>309</v>
      </c>
      <c r="F779" t="s">
        <v>3895</v>
      </c>
      <c r="G779" t="s">
        <v>3897</v>
      </c>
      <c r="H779" t="s">
        <v>321</v>
      </c>
      <c r="I779" t="s">
        <v>917</v>
      </c>
      <c r="J779" t="s">
        <v>204</v>
      </c>
      <c r="K779" t="s">
        <v>204</v>
      </c>
      <c r="L779" t="s">
        <v>325</v>
      </c>
      <c r="M779" t="s">
        <v>340</v>
      </c>
      <c r="N779" t="s">
        <v>476</v>
      </c>
      <c r="O779" t="s">
        <v>339</v>
      </c>
      <c r="P779" t="s">
        <v>1212</v>
      </c>
      <c r="Q779" s="131">
        <v>4300</v>
      </c>
      <c r="R779" s="131">
        <v>1</v>
      </c>
      <c r="S779" s="131">
        <v>9030</v>
      </c>
      <c r="U779" s="131">
        <v>388.29</v>
      </c>
      <c r="V779" s="132">
        <v>5.5999999999999995E-4</v>
      </c>
      <c r="W779" s="132">
        <f t="shared" si="12"/>
        <v>2.4582875753832562E-3</v>
      </c>
      <c r="X779" s="132">
        <v>5.3328947099705803E-4</v>
      </c>
    </row>
    <row r="780" spans="1:24">
      <c r="A780" t="s">
        <v>1213</v>
      </c>
      <c r="B780" s="4">
        <v>9301</v>
      </c>
      <c r="C780" t="s">
        <v>3898</v>
      </c>
      <c r="D780" t="s">
        <v>3899</v>
      </c>
      <c r="E780" t="s">
        <v>309</v>
      </c>
      <c r="F780" t="s">
        <v>3900</v>
      </c>
      <c r="G780" t="s">
        <v>3901</v>
      </c>
      <c r="H780" t="s">
        <v>321</v>
      </c>
      <c r="I780" t="s">
        <v>917</v>
      </c>
      <c r="J780" t="s">
        <v>204</v>
      </c>
      <c r="K780" t="s">
        <v>204</v>
      </c>
      <c r="L780" t="s">
        <v>325</v>
      </c>
      <c r="M780" t="s">
        <v>340</v>
      </c>
      <c r="N780" t="s">
        <v>476</v>
      </c>
      <c r="O780" t="s">
        <v>339</v>
      </c>
      <c r="P780" t="s">
        <v>1212</v>
      </c>
      <c r="Q780" s="131">
        <v>1400</v>
      </c>
      <c r="R780" s="131">
        <v>1</v>
      </c>
      <c r="S780" s="131">
        <v>26690</v>
      </c>
      <c r="U780" s="131">
        <v>373.66</v>
      </c>
      <c r="V780" s="132">
        <v>2.9999999999999997E-4</v>
      </c>
      <c r="W780" s="132">
        <f t="shared" si="12"/>
        <v>2.365664156732616E-3</v>
      </c>
      <c r="X780" s="132">
        <v>5.1319617742604938E-4</v>
      </c>
    </row>
    <row r="781" spans="1:24">
      <c r="A781" t="s">
        <v>1213</v>
      </c>
      <c r="B781" s="4">
        <v>9301</v>
      </c>
      <c r="C781" t="s">
        <v>3902</v>
      </c>
      <c r="D781" t="s">
        <v>3903</v>
      </c>
      <c r="E781" t="s">
        <v>309</v>
      </c>
      <c r="F781" t="s">
        <v>3902</v>
      </c>
      <c r="G781" t="s">
        <v>3904</v>
      </c>
      <c r="H781" t="s">
        <v>321</v>
      </c>
      <c r="I781" t="s">
        <v>917</v>
      </c>
      <c r="J781" t="s">
        <v>204</v>
      </c>
      <c r="K781" t="s">
        <v>204</v>
      </c>
      <c r="L781" t="s">
        <v>325</v>
      </c>
      <c r="M781" t="s">
        <v>340</v>
      </c>
      <c r="N781" t="s">
        <v>469</v>
      </c>
      <c r="O781" t="s">
        <v>339</v>
      </c>
      <c r="P781" t="s">
        <v>1212</v>
      </c>
      <c r="Q781" s="131">
        <v>18950</v>
      </c>
      <c r="R781" s="131">
        <v>1</v>
      </c>
      <c r="S781" s="131">
        <v>1947</v>
      </c>
      <c r="U781" s="131">
        <v>368.95699999999999</v>
      </c>
      <c r="V781" s="132">
        <v>3.3E-4</v>
      </c>
      <c r="W781" s="132">
        <f t="shared" si="12"/>
        <v>2.3358891780645391E-3</v>
      </c>
      <c r="X781" s="132">
        <v>5.0673693206279211E-4</v>
      </c>
    </row>
    <row r="782" spans="1:24">
      <c r="A782" t="s">
        <v>1213</v>
      </c>
      <c r="B782" s="4">
        <v>9301</v>
      </c>
      <c r="C782" t="s">
        <v>3905</v>
      </c>
      <c r="D782" t="s">
        <v>3906</v>
      </c>
      <c r="E782" t="s">
        <v>309</v>
      </c>
      <c r="F782" t="s">
        <v>3907</v>
      </c>
      <c r="G782" t="s">
        <v>3908</v>
      </c>
      <c r="H782" t="s">
        <v>321</v>
      </c>
      <c r="I782" t="s">
        <v>917</v>
      </c>
      <c r="J782" t="s">
        <v>204</v>
      </c>
      <c r="K782" t="s">
        <v>204</v>
      </c>
      <c r="L782" t="s">
        <v>325</v>
      </c>
      <c r="M782" t="s">
        <v>340</v>
      </c>
      <c r="N782" t="s">
        <v>477</v>
      </c>
      <c r="O782" t="s">
        <v>339</v>
      </c>
      <c r="P782" t="s">
        <v>1212</v>
      </c>
      <c r="Q782" s="131">
        <v>101730.78</v>
      </c>
      <c r="R782" s="131">
        <v>1</v>
      </c>
      <c r="S782" s="131">
        <v>355.4</v>
      </c>
      <c r="U782" s="131">
        <v>361.55099999999999</v>
      </c>
      <c r="V782" s="132">
        <v>1.8400000000000001E-3</v>
      </c>
      <c r="W782" s="132">
        <f t="shared" si="12"/>
        <v>2.289001342211727E-3</v>
      </c>
      <c r="X782" s="132">
        <v>4.965653030684728E-4</v>
      </c>
    </row>
    <row r="783" spans="1:24">
      <c r="A783" t="s">
        <v>1213</v>
      </c>
      <c r="B783" s="4">
        <v>9301</v>
      </c>
      <c r="C783" t="s">
        <v>3320</v>
      </c>
      <c r="D783" t="s">
        <v>3321</v>
      </c>
      <c r="E783" t="s">
        <v>309</v>
      </c>
      <c r="F783" t="s">
        <v>3320</v>
      </c>
      <c r="G783" t="s">
        <v>3414</v>
      </c>
      <c r="H783" t="s">
        <v>321</v>
      </c>
      <c r="I783" t="s">
        <v>917</v>
      </c>
      <c r="J783" t="s">
        <v>204</v>
      </c>
      <c r="K783" t="s">
        <v>204</v>
      </c>
      <c r="L783" t="s">
        <v>325</v>
      </c>
      <c r="M783" t="s">
        <v>340</v>
      </c>
      <c r="N783" t="s">
        <v>441</v>
      </c>
      <c r="O783" t="s">
        <v>339</v>
      </c>
      <c r="P783" t="s">
        <v>1212</v>
      </c>
      <c r="Q783" s="131">
        <v>24000</v>
      </c>
      <c r="R783" s="131">
        <v>1</v>
      </c>
      <c r="S783" s="131">
        <v>1472</v>
      </c>
      <c r="U783" s="131">
        <v>353.28</v>
      </c>
      <c r="V783" s="132">
        <v>1.2999999999999999E-4</v>
      </c>
      <c r="W783" s="132">
        <f t="shared" si="12"/>
        <v>2.23663713881737E-3</v>
      </c>
      <c r="X783" s="132">
        <v>4.8520565637497911E-4</v>
      </c>
    </row>
    <row r="784" spans="1:24">
      <c r="A784" t="s">
        <v>1213</v>
      </c>
      <c r="B784" s="4">
        <v>9301</v>
      </c>
      <c r="C784" t="s">
        <v>2595</v>
      </c>
      <c r="D784" t="s">
        <v>2596</v>
      </c>
      <c r="E784" t="s">
        <v>309</v>
      </c>
      <c r="F784" t="s">
        <v>2595</v>
      </c>
      <c r="G784" t="s">
        <v>3638</v>
      </c>
      <c r="H784" t="s">
        <v>321</v>
      </c>
      <c r="I784" t="s">
        <v>917</v>
      </c>
      <c r="J784" t="s">
        <v>204</v>
      </c>
      <c r="K784" t="s">
        <v>204</v>
      </c>
      <c r="L784" t="s">
        <v>325</v>
      </c>
      <c r="M784" t="s">
        <v>340</v>
      </c>
      <c r="N784" t="s">
        <v>484</v>
      </c>
      <c r="O784" t="s">
        <v>339</v>
      </c>
      <c r="P784" t="s">
        <v>1212</v>
      </c>
      <c r="Q784" s="131">
        <v>21900</v>
      </c>
      <c r="R784" s="131">
        <v>1</v>
      </c>
      <c r="S784" s="131">
        <v>1606</v>
      </c>
      <c r="U784" s="131">
        <v>351.714</v>
      </c>
      <c r="V784" s="132">
        <v>1.1E-4</v>
      </c>
      <c r="W784" s="132">
        <f t="shared" si="12"/>
        <v>2.2267226976959141E-3</v>
      </c>
      <c r="X784" s="132">
        <v>4.8305486363867025E-4</v>
      </c>
    </row>
    <row r="785" spans="1:24">
      <c r="A785" t="s">
        <v>1213</v>
      </c>
      <c r="B785" s="4">
        <v>9301</v>
      </c>
      <c r="C785" t="s">
        <v>3909</v>
      </c>
      <c r="D785" t="s">
        <v>3910</v>
      </c>
      <c r="E785" t="s">
        <v>309</v>
      </c>
      <c r="F785" t="s">
        <v>3911</v>
      </c>
      <c r="G785" t="s">
        <v>3912</v>
      </c>
      <c r="H785" t="s">
        <v>321</v>
      </c>
      <c r="I785" t="s">
        <v>917</v>
      </c>
      <c r="J785" t="s">
        <v>204</v>
      </c>
      <c r="K785" t="s">
        <v>204</v>
      </c>
      <c r="L785" t="s">
        <v>325</v>
      </c>
      <c r="M785" t="s">
        <v>340</v>
      </c>
      <c r="N785" t="s">
        <v>460</v>
      </c>
      <c r="O785" t="s">
        <v>339</v>
      </c>
      <c r="P785" t="s">
        <v>1212</v>
      </c>
      <c r="Q785" s="131">
        <v>20350</v>
      </c>
      <c r="R785" s="131">
        <v>1</v>
      </c>
      <c r="S785" s="131">
        <v>1704</v>
      </c>
      <c r="U785" s="131">
        <v>346.76400000000001</v>
      </c>
      <c r="V785" s="132">
        <v>5.8E-4</v>
      </c>
      <c r="W785" s="132">
        <f t="shared" si="12"/>
        <v>2.1953839470246449E-3</v>
      </c>
      <c r="X785" s="132">
        <v>4.7625638085148684E-4</v>
      </c>
    </row>
    <row r="786" spans="1:24">
      <c r="A786" t="s">
        <v>1213</v>
      </c>
      <c r="B786" s="4">
        <v>9301</v>
      </c>
      <c r="C786" t="s">
        <v>2767</v>
      </c>
      <c r="D786" t="s">
        <v>2768</v>
      </c>
      <c r="E786" t="s">
        <v>309</v>
      </c>
      <c r="F786" t="s">
        <v>3913</v>
      </c>
      <c r="G786" t="s">
        <v>3914</v>
      </c>
      <c r="H786" t="s">
        <v>321</v>
      </c>
      <c r="I786" t="s">
        <v>917</v>
      </c>
      <c r="J786" t="s">
        <v>204</v>
      </c>
      <c r="K786" t="s">
        <v>204</v>
      </c>
      <c r="L786" t="s">
        <v>325</v>
      </c>
      <c r="M786" t="s">
        <v>340</v>
      </c>
      <c r="N786" t="s">
        <v>440</v>
      </c>
      <c r="O786" t="s">
        <v>339</v>
      </c>
      <c r="P786" t="s">
        <v>1212</v>
      </c>
      <c r="Q786" s="131">
        <v>16820</v>
      </c>
      <c r="R786" s="131">
        <v>1</v>
      </c>
      <c r="S786" s="131">
        <v>2007</v>
      </c>
      <c r="U786" s="131">
        <v>337.577</v>
      </c>
      <c r="V786" s="132">
        <v>9.3999999999999997E-4</v>
      </c>
      <c r="W786" s="132">
        <f t="shared" si="12"/>
        <v>2.1372204919909176E-3</v>
      </c>
      <c r="X786" s="132">
        <v>4.6363867148464767E-4</v>
      </c>
    </row>
    <row r="787" spans="1:24">
      <c r="A787" t="s">
        <v>1213</v>
      </c>
      <c r="B787" s="4">
        <v>9301</v>
      </c>
      <c r="C787" t="s">
        <v>3915</v>
      </c>
      <c r="D787" t="s">
        <v>3916</v>
      </c>
      <c r="E787" t="s">
        <v>309</v>
      </c>
      <c r="F787" t="s">
        <v>3915</v>
      </c>
      <c r="G787" t="s">
        <v>3917</v>
      </c>
      <c r="H787" t="s">
        <v>321</v>
      </c>
      <c r="I787" t="s">
        <v>917</v>
      </c>
      <c r="J787" t="s">
        <v>204</v>
      </c>
      <c r="K787" t="s">
        <v>204</v>
      </c>
      <c r="L787" t="s">
        <v>325</v>
      </c>
      <c r="M787" t="s">
        <v>340</v>
      </c>
      <c r="N787" t="s">
        <v>466</v>
      </c>
      <c r="O787" t="s">
        <v>339</v>
      </c>
      <c r="P787" t="s">
        <v>1212</v>
      </c>
      <c r="Q787" s="131">
        <v>78800</v>
      </c>
      <c r="R787" s="131">
        <v>1</v>
      </c>
      <c r="S787" s="131">
        <v>416.3</v>
      </c>
      <c r="U787" s="131">
        <v>328.04399999999998</v>
      </c>
      <c r="V787" s="132">
        <v>1.1900000000000001E-3</v>
      </c>
      <c r="W787" s="132">
        <f t="shared" si="12"/>
        <v>2.0768664899405722E-3</v>
      </c>
      <c r="X787" s="132">
        <v>4.5054575503813873E-4</v>
      </c>
    </row>
    <row r="788" spans="1:24">
      <c r="A788" t="s">
        <v>1213</v>
      </c>
      <c r="B788" s="4">
        <v>9301</v>
      </c>
      <c r="C788" t="s">
        <v>3461</v>
      </c>
      <c r="D788" t="s">
        <v>3462</v>
      </c>
      <c r="E788" t="s">
        <v>309</v>
      </c>
      <c r="F788" t="s">
        <v>3461</v>
      </c>
      <c r="G788" t="s">
        <v>3463</v>
      </c>
      <c r="H788" t="s">
        <v>321</v>
      </c>
      <c r="I788" t="s">
        <v>917</v>
      </c>
      <c r="J788" t="s">
        <v>204</v>
      </c>
      <c r="K788" t="s">
        <v>204</v>
      </c>
      <c r="L788" t="s">
        <v>325</v>
      </c>
      <c r="M788" t="s">
        <v>340</v>
      </c>
      <c r="N788" t="s">
        <v>475</v>
      </c>
      <c r="O788" t="s">
        <v>339</v>
      </c>
      <c r="P788" t="s">
        <v>1212</v>
      </c>
      <c r="Q788" s="131">
        <v>1125</v>
      </c>
      <c r="R788" s="131">
        <v>1</v>
      </c>
      <c r="S788" s="131">
        <v>28150</v>
      </c>
      <c r="U788" s="131">
        <v>316.68799999999999</v>
      </c>
      <c r="V788" s="132">
        <v>8.0000000000000007E-5</v>
      </c>
      <c r="W788" s="132">
        <f t="shared" si="12"/>
        <v>2.0049709641581613E-3</v>
      </c>
      <c r="X788" s="132">
        <v>4.3494907412273379E-4</v>
      </c>
    </row>
    <row r="789" spans="1:24">
      <c r="A789" t="s">
        <v>1213</v>
      </c>
      <c r="B789" s="4">
        <v>9301</v>
      </c>
      <c r="C789" t="s">
        <v>2835</v>
      </c>
      <c r="D789" t="s">
        <v>2836</v>
      </c>
      <c r="E789" t="s">
        <v>309</v>
      </c>
      <c r="F789" t="s">
        <v>2835</v>
      </c>
      <c r="G789" t="s">
        <v>3918</v>
      </c>
      <c r="H789" t="s">
        <v>321</v>
      </c>
      <c r="I789" t="s">
        <v>917</v>
      </c>
      <c r="J789" t="s">
        <v>204</v>
      </c>
      <c r="K789" t="s">
        <v>204</v>
      </c>
      <c r="L789" t="s">
        <v>325</v>
      </c>
      <c r="M789" t="s">
        <v>340</v>
      </c>
      <c r="N789" t="s">
        <v>466</v>
      </c>
      <c r="O789" t="s">
        <v>339</v>
      </c>
      <c r="P789" t="s">
        <v>1212</v>
      </c>
      <c r="Q789" s="131">
        <v>235200</v>
      </c>
      <c r="R789" s="131">
        <v>1</v>
      </c>
      <c r="S789" s="131">
        <v>129.5</v>
      </c>
      <c r="U789" s="131">
        <v>304.584</v>
      </c>
      <c r="V789" s="132">
        <v>7.6999999999999996E-4</v>
      </c>
      <c r="W789" s="132">
        <f t="shared" si="12"/>
        <v>1.9283398049409813E-3</v>
      </c>
      <c r="X789" s="132">
        <v>4.1832506691948779E-4</v>
      </c>
    </row>
    <row r="790" spans="1:24">
      <c r="A790" t="s">
        <v>1213</v>
      </c>
      <c r="B790" s="4">
        <v>9301</v>
      </c>
      <c r="C790" t="s">
        <v>3350</v>
      </c>
      <c r="D790" t="s">
        <v>3351</v>
      </c>
      <c r="E790" t="s">
        <v>309</v>
      </c>
      <c r="F790" t="s">
        <v>3350</v>
      </c>
      <c r="G790" t="s">
        <v>3919</v>
      </c>
      <c r="H790" t="s">
        <v>321</v>
      </c>
      <c r="I790" t="s">
        <v>917</v>
      </c>
      <c r="J790" t="s">
        <v>204</v>
      </c>
      <c r="K790" t="s">
        <v>204</v>
      </c>
      <c r="L790" t="s">
        <v>325</v>
      </c>
      <c r="M790" t="s">
        <v>340</v>
      </c>
      <c r="N790" t="s">
        <v>475</v>
      </c>
      <c r="O790" t="s">
        <v>339</v>
      </c>
      <c r="P790" t="s">
        <v>1212</v>
      </c>
      <c r="Q790" s="131">
        <v>1260</v>
      </c>
      <c r="R790" s="131">
        <v>1</v>
      </c>
      <c r="S790" s="131">
        <v>22390</v>
      </c>
      <c r="U790" s="131">
        <v>282.11399999999998</v>
      </c>
      <c r="V790" s="132">
        <v>9.0000000000000006E-5</v>
      </c>
      <c r="W790" s="132">
        <f t="shared" si="12"/>
        <v>1.7860808700756439E-3</v>
      </c>
      <c r="X790" s="132">
        <v>3.8746407535827351E-4</v>
      </c>
    </row>
    <row r="791" spans="1:24">
      <c r="A791" t="s">
        <v>1213</v>
      </c>
      <c r="B791" s="4">
        <v>9301</v>
      </c>
      <c r="C791" t="s">
        <v>3920</v>
      </c>
      <c r="D791" t="s">
        <v>3921</v>
      </c>
      <c r="E791" t="s">
        <v>309</v>
      </c>
      <c r="F791" t="s">
        <v>3920</v>
      </c>
      <c r="G791" t="s">
        <v>3922</v>
      </c>
      <c r="H791" t="s">
        <v>321</v>
      </c>
      <c r="I791" t="s">
        <v>917</v>
      </c>
      <c r="J791" t="s">
        <v>204</v>
      </c>
      <c r="K791" t="s">
        <v>204</v>
      </c>
      <c r="L791" t="s">
        <v>325</v>
      </c>
      <c r="M791" t="s">
        <v>340</v>
      </c>
      <c r="N791" t="s">
        <v>456</v>
      </c>
      <c r="O791" t="s">
        <v>339</v>
      </c>
      <c r="P791" t="s">
        <v>1212</v>
      </c>
      <c r="Q791" s="131">
        <v>10710</v>
      </c>
      <c r="R791" s="131">
        <v>1</v>
      </c>
      <c r="S791" s="131">
        <v>2502</v>
      </c>
      <c r="U791" s="131">
        <v>267.964</v>
      </c>
      <c r="V791" s="132">
        <v>4.4999999999999999E-4</v>
      </c>
      <c r="W791" s="132">
        <f t="shared" si="12"/>
        <v>1.6964963605810058E-3</v>
      </c>
      <c r="X791" s="132">
        <v>3.680300286029917E-4</v>
      </c>
    </row>
    <row r="792" spans="1:24">
      <c r="A792" t="s">
        <v>1213</v>
      </c>
      <c r="B792" s="4">
        <v>9301</v>
      </c>
      <c r="C792" t="s">
        <v>3923</v>
      </c>
      <c r="D792" t="s">
        <v>3924</v>
      </c>
      <c r="E792" t="s">
        <v>309</v>
      </c>
      <c r="F792" t="s">
        <v>3925</v>
      </c>
      <c r="G792" t="s">
        <v>3926</v>
      </c>
      <c r="H792" t="s">
        <v>321</v>
      </c>
      <c r="I792" t="s">
        <v>917</v>
      </c>
      <c r="J792" t="s">
        <v>204</v>
      </c>
      <c r="K792" t="s">
        <v>204</v>
      </c>
      <c r="L792" t="s">
        <v>325</v>
      </c>
      <c r="M792" t="s">
        <v>340</v>
      </c>
      <c r="N792" t="s">
        <v>463</v>
      </c>
      <c r="O792" t="s">
        <v>339</v>
      </c>
      <c r="P792" t="s">
        <v>1212</v>
      </c>
      <c r="Q792" s="131">
        <v>1358</v>
      </c>
      <c r="R792" s="131">
        <v>1</v>
      </c>
      <c r="S792" s="131">
        <v>19700</v>
      </c>
      <c r="U792" s="131">
        <v>267.52600000000001</v>
      </c>
      <c r="V792" s="132">
        <v>4.8999999999999998E-4</v>
      </c>
      <c r="W792" s="132">
        <f t="shared" si="12"/>
        <v>1.6937233559761542E-3</v>
      </c>
      <c r="X792" s="132">
        <v>3.6742846588364096E-4</v>
      </c>
    </row>
    <row r="793" spans="1:24">
      <c r="A793" t="s">
        <v>1213</v>
      </c>
      <c r="B793" s="4">
        <v>9301</v>
      </c>
      <c r="C793" t="s">
        <v>3837</v>
      </c>
      <c r="D793" t="s">
        <v>3838</v>
      </c>
      <c r="E793" t="s">
        <v>309</v>
      </c>
      <c r="F793" t="s">
        <v>3837</v>
      </c>
      <c r="G793" t="s">
        <v>3839</v>
      </c>
      <c r="H793" t="s">
        <v>321</v>
      </c>
      <c r="I793" t="s">
        <v>917</v>
      </c>
      <c r="J793" t="s">
        <v>204</v>
      </c>
      <c r="K793" t="s">
        <v>204</v>
      </c>
      <c r="L793" t="s">
        <v>325</v>
      </c>
      <c r="M793" t="s">
        <v>340</v>
      </c>
      <c r="N793" t="s">
        <v>445</v>
      </c>
      <c r="O793" t="s">
        <v>339</v>
      </c>
      <c r="P793" t="s">
        <v>1212</v>
      </c>
      <c r="Q793" s="131">
        <v>2170</v>
      </c>
      <c r="R793" s="131">
        <v>1</v>
      </c>
      <c r="S793" s="131">
        <v>12010</v>
      </c>
      <c r="U793" s="131">
        <v>260.61700000000002</v>
      </c>
      <c r="V793" s="132">
        <v>1.4999999999999999E-4</v>
      </c>
      <c r="W793" s="132">
        <f t="shared" si="12"/>
        <v>1.6499820573119526E-3</v>
      </c>
      <c r="X793" s="132">
        <v>3.579394320297723E-4</v>
      </c>
    </row>
    <row r="794" spans="1:24">
      <c r="A794" t="s">
        <v>1213</v>
      </c>
      <c r="B794" s="4">
        <v>9301</v>
      </c>
      <c r="C794" t="s">
        <v>3526</v>
      </c>
      <c r="D794" t="s">
        <v>3527</v>
      </c>
      <c r="E794" t="s">
        <v>309</v>
      </c>
      <c r="F794" t="s">
        <v>3528</v>
      </c>
      <c r="G794" t="s">
        <v>3529</v>
      </c>
      <c r="H794" t="s">
        <v>321</v>
      </c>
      <c r="I794" t="s">
        <v>917</v>
      </c>
      <c r="J794" t="s">
        <v>204</v>
      </c>
      <c r="K794" t="s">
        <v>204</v>
      </c>
      <c r="L794" t="s">
        <v>325</v>
      </c>
      <c r="M794" t="s">
        <v>340</v>
      </c>
      <c r="N794" t="s">
        <v>463</v>
      </c>
      <c r="O794" t="s">
        <v>339</v>
      </c>
      <c r="P794" t="s">
        <v>1212</v>
      </c>
      <c r="Q794" s="131">
        <v>19000</v>
      </c>
      <c r="R794" s="131">
        <v>1</v>
      </c>
      <c r="S794" s="131">
        <v>1271</v>
      </c>
      <c r="U794" s="131">
        <v>241.49</v>
      </c>
      <c r="V794" s="132">
        <v>1.2999999999999999E-4</v>
      </c>
      <c r="W794" s="132">
        <f t="shared" si="12"/>
        <v>1.52888785850602E-3</v>
      </c>
      <c r="X794" s="132">
        <v>3.3166981985392242E-4</v>
      </c>
    </row>
    <row r="795" spans="1:24">
      <c r="A795" t="s">
        <v>1213</v>
      </c>
      <c r="B795" s="4">
        <v>9301</v>
      </c>
      <c r="C795" t="s">
        <v>3927</v>
      </c>
      <c r="D795" t="s">
        <v>3928</v>
      </c>
      <c r="E795" t="s">
        <v>309</v>
      </c>
      <c r="F795" t="s">
        <v>3927</v>
      </c>
      <c r="G795" t="s">
        <v>3929</v>
      </c>
      <c r="H795" t="s">
        <v>321</v>
      </c>
      <c r="I795" t="s">
        <v>917</v>
      </c>
      <c r="J795" t="s">
        <v>204</v>
      </c>
      <c r="K795" t="s">
        <v>204</v>
      </c>
      <c r="L795" t="s">
        <v>325</v>
      </c>
      <c r="M795" t="s">
        <v>340</v>
      </c>
      <c r="N795" t="s">
        <v>471</v>
      </c>
      <c r="O795" t="s">
        <v>339</v>
      </c>
      <c r="P795" t="s">
        <v>1212</v>
      </c>
      <c r="Q795" s="131">
        <v>84800</v>
      </c>
      <c r="R795" s="131">
        <v>1</v>
      </c>
      <c r="S795" s="131">
        <v>280.8</v>
      </c>
      <c r="U795" s="131">
        <v>238.11799999999999</v>
      </c>
      <c r="V795" s="132">
        <v>9.7000000000000005E-4</v>
      </c>
      <c r="W795" s="132">
        <f t="shared" si="12"/>
        <v>1.5075395216851068E-3</v>
      </c>
      <c r="X795" s="132">
        <v>3.2703861097344115E-4</v>
      </c>
    </row>
    <row r="796" spans="1:24">
      <c r="A796" t="s">
        <v>1213</v>
      </c>
      <c r="B796" s="4">
        <v>9301</v>
      </c>
      <c r="C796" t="s">
        <v>3930</v>
      </c>
      <c r="D796" t="s">
        <v>3931</v>
      </c>
      <c r="E796" t="s">
        <v>309</v>
      </c>
      <c r="F796" t="s">
        <v>3930</v>
      </c>
      <c r="G796" t="s">
        <v>3932</v>
      </c>
      <c r="H796" t="s">
        <v>321</v>
      </c>
      <c r="I796" t="s">
        <v>917</v>
      </c>
      <c r="J796" t="s">
        <v>204</v>
      </c>
      <c r="K796" t="s">
        <v>204</v>
      </c>
      <c r="L796" t="s">
        <v>325</v>
      </c>
      <c r="M796" t="s">
        <v>340</v>
      </c>
      <c r="N796" t="s">
        <v>464</v>
      </c>
      <c r="O796" t="s">
        <v>339</v>
      </c>
      <c r="P796" t="s">
        <v>1212</v>
      </c>
      <c r="Q796" s="131">
        <v>690</v>
      </c>
      <c r="R796" s="131">
        <v>1</v>
      </c>
      <c r="S796" s="131">
        <v>34120</v>
      </c>
      <c r="U796" s="131">
        <v>235.428</v>
      </c>
      <c r="V796" s="132">
        <v>1.1E-4</v>
      </c>
      <c r="W796" s="132">
        <f t="shared" si="12"/>
        <v>1.490508968290013E-3</v>
      </c>
      <c r="X796" s="132">
        <v>3.2334408194363844E-4</v>
      </c>
    </row>
    <row r="797" spans="1:24">
      <c r="A797" t="s">
        <v>1213</v>
      </c>
      <c r="B797" s="4">
        <v>9301</v>
      </c>
      <c r="C797" t="s">
        <v>3933</v>
      </c>
      <c r="D797" t="s">
        <v>3934</v>
      </c>
      <c r="E797" t="s">
        <v>309</v>
      </c>
      <c r="F797" t="s">
        <v>3935</v>
      </c>
      <c r="G797" t="s">
        <v>3936</v>
      </c>
      <c r="H797" t="s">
        <v>321</v>
      </c>
      <c r="I797" t="s">
        <v>917</v>
      </c>
      <c r="J797" t="s">
        <v>204</v>
      </c>
      <c r="K797" t="s">
        <v>204</v>
      </c>
      <c r="L797" t="s">
        <v>325</v>
      </c>
      <c r="M797" t="s">
        <v>340</v>
      </c>
      <c r="N797" t="s">
        <v>446</v>
      </c>
      <c r="O797" t="s">
        <v>339</v>
      </c>
      <c r="P797" t="s">
        <v>1212</v>
      </c>
      <c r="Q797" s="131">
        <v>10000</v>
      </c>
      <c r="R797" s="131">
        <v>1</v>
      </c>
      <c r="S797" s="131">
        <v>2352</v>
      </c>
      <c r="U797" s="131">
        <v>235.2</v>
      </c>
      <c r="V797" s="132">
        <v>4.0000000000000002E-4</v>
      </c>
      <c r="W797" s="132">
        <f t="shared" si="12"/>
        <v>1.4890654864409122E-3</v>
      </c>
      <c r="X797" s="132">
        <v>3.2303093970616816E-4</v>
      </c>
    </row>
    <row r="798" spans="1:24">
      <c r="A798" t="s">
        <v>1213</v>
      </c>
      <c r="B798" s="4">
        <v>9301</v>
      </c>
      <c r="C798" t="s">
        <v>3937</v>
      </c>
      <c r="D798" t="s">
        <v>3938</v>
      </c>
      <c r="E798" t="s">
        <v>309</v>
      </c>
      <c r="F798" t="s">
        <v>3937</v>
      </c>
      <c r="G798" t="s">
        <v>3939</v>
      </c>
      <c r="H798" t="s">
        <v>321</v>
      </c>
      <c r="I798" t="s">
        <v>917</v>
      </c>
      <c r="J798" t="s">
        <v>204</v>
      </c>
      <c r="K798" t="s">
        <v>204</v>
      </c>
      <c r="L798" t="s">
        <v>325</v>
      </c>
      <c r="M798" t="s">
        <v>340</v>
      </c>
      <c r="N798" t="s">
        <v>456</v>
      </c>
      <c r="O798" t="s">
        <v>339</v>
      </c>
      <c r="P798" t="s">
        <v>1212</v>
      </c>
      <c r="Q798" s="131">
        <v>18844</v>
      </c>
      <c r="R798" s="131">
        <v>1</v>
      </c>
      <c r="S798" s="131">
        <v>1221</v>
      </c>
      <c r="U798" s="131">
        <v>230.08500000000001</v>
      </c>
      <c r="V798" s="132">
        <v>1.1000000000000001E-3</v>
      </c>
      <c r="W798" s="132">
        <f t="shared" si="12"/>
        <v>1.4566821107472674E-3</v>
      </c>
      <c r="X798" s="132">
        <v>3.1600584082607869E-4</v>
      </c>
    </row>
    <row r="799" spans="1:24">
      <c r="A799" t="s">
        <v>1213</v>
      </c>
      <c r="B799" s="4">
        <v>9301</v>
      </c>
      <c r="C799" t="s">
        <v>3940</v>
      </c>
      <c r="D799" t="s">
        <v>3941</v>
      </c>
      <c r="E799" t="s">
        <v>309</v>
      </c>
      <c r="F799" t="s">
        <v>3940</v>
      </c>
      <c r="G799" t="s">
        <v>3942</v>
      </c>
      <c r="H799" t="s">
        <v>321</v>
      </c>
      <c r="I799" t="s">
        <v>917</v>
      </c>
      <c r="J799" t="s">
        <v>204</v>
      </c>
      <c r="K799" t="s">
        <v>204</v>
      </c>
      <c r="L799" t="s">
        <v>325</v>
      </c>
      <c r="M799" t="s">
        <v>340</v>
      </c>
      <c r="N799" t="s">
        <v>456</v>
      </c>
      <c r="O799" t="s">
        <v>339</v>
      </c>
      <c r="P799" t="s">
        <v>1212</v>
      </c>
      <c r="Q799" s="131">
        <v>105500</v>
      </c>
      <c r="R799" s="131">
        <v>1</v>
      </c>
      <c r="S799" s="131">
        <v>194</v>
      </c>
      <c r="U799" s="131">
        <v>204.67</v>
      </c>
      <c r="V799" s="132">
        <v>1.24E-3</v>
      </c>
      <c r="W799" s="132">
        <f t="shared" si="12"/>
        <v>1.2957782019977103E-3</v>
      </c>
      <c r="X799" s="132">
        <v>2.8110009536420682E-4</v>
      </c>
    </row>
    <row r="800" spans="1:24">
      <c r="A800" t="s">
        <v>1213</v>
      </c>
      <c r="B800" s="4">
        <v>9301</v>
      </c>
      <c r="C800" t="s">
        <v>2463</v>
      </c>
      <c r="D800" t="s">
        <v>2464</v>
      </c>
      <c r="E800" t="s">
        <v>309</v>
      </c>
      <c r="F800" t="s">
        <v>2463</v>
      </c>
      <c r="G800" t="s">
        <v>3943</v>
      </c>
      <c r="H800" t="s">
        <v>321</v>
      </c>
      <c r="I800" t="s">
        <v>917</v>
      </c>
      <c r="J800" t="s">
        <v>204</v>
      </c>
      <c r="K800" t="s">
        <v>204</v>
      </c>
      <c r="L800" t="s">
        <v>325</v>
      </c>
      <c r="M800" t="s">
        <v>340</v>
      </c>
      <c r="N800" t="s">
        <v>465</v>
      </c>
      <c r="O800" t="s">
        <v>339</v>
      </c>
      <c r="P800" t="s">
        <v>1212</v>
      </c>
      <c r="Q800" s="131">
        <v>14700.55</v>
      </c>
      <c r="R800" s="131">
        <v>1</v>
      </c>
      <c r="S800" s="131">
        <v>1370</v>
      </c>
      <c r="U800" s="131">
        <v>201.398</v>
      </c>
      <c r="V800" s="132">
        <v>8.0000000000000007E-5</v>
      </c>
      <c r="W800" s="132">
        <f t="shared" si="12"/>
        <v>1.2750629712509644E-3</v>
      </c>
      <c r="X800" s="132">
        <v>2.7660622957033528E-4</v>
      </c>
    </row>
    <row r="801" spans="1:24">
      <c r="A801" t="s">
        <v>1213</v>
      </c>
      <c r="B801" s="4">
        <v>9301</v>
      </c>
      <c r="C801" t="s">
        <v>3944</v>
      </c>
      <c r="D801" t="s">
        <v>3945</v>
      </c>
      <c r="E801" t="s">
        <v>309</v>
      </c>
      <c r="F801" t="s">
        <v>3944</v>
      </c>
      <c r="G801" t="s">
        <v>3946</v>
      </c>
      <c r="H801" t="s">
        <v>321</v>
      </c>
      <c r="I801" t="s">
        <v>917</v>
      </c>
      <c r="J801" t="s">
        <v>204</v>
      </c>
      <c r="K801" t="s">
        <v>204</v>
      </c>
      <c r="L801" t="s">
        <v>325</v>
      </c>
      <c r="M801" t="s">
        <v>340</v>
      </c>
      <c r="N801" t="s">
        <v>456</v>
      </c>
      <c r="O801" t="s">
        <v>339</v>
      </c>
      <c r="P801" t="s">
        <v>1212</v>
      </c>
      <c r="Q801" s="131">
        <v>22367</v>
      </c>
      <c r="R801" s="131">
        <v>1</v>
      </c>
      <c r="S801" s="131">
        <v>897.8</v>
      </c>
      <c r="U801" s="131">
        <v>200.81100000000001</v>
      </c>
      <c r="V801" s="132">
        <v>1.47E-3</v>
      </c>
      <c r="W801" s="132">
        <f t="shared" si="12"/>
        <v>1.2713466385956039E-3</v>
      </c>
      <c r="X801" s="132">
        <v>2.7580002565193596E-4</v>
      </c>
    </row>
    <row r="802" spans="1:24">
      <c r="A802" t="s">
        <v>1213</v>
      </c>
      <c r="B802" s="4">
        <v>9301</v>
      </c>
      <c r="C802" t="s">
        <v>1782</v>
      </c>
      <c r="D802" t="s">
        <v>1783</v>
      </c>
      <c r="E802" t="s">
        <v>309</v>
      </c>
      <c r="F802" t="s">
        <v>1782</v>
      </c>
      <c r="G802" t="s">
        <v>3497</v>
      </c>
      <c r="H802" t="s">
        <v>321</v>
      </c>
      <c r="I802" t="s">
        <v>917</v>
      </c>
      <c r="J802" t="s">
        <v>204</v>
      </c>
      <c r="K802" t="s">
        <v>204</v>
      </c>
      <c r="L802" t="s">
        <v>325</v>
      </c>
      <c r="M802" t="s">
        <v>340</v>
      </c>
      <c r="N802" t="s">
        <v>461</v>
      </c>
      <c r="O802" t="s">
        <v>339</v>
      </c>
      <c r="P802" t="s">
        <v>1212</v>
      </c>
      <c r="Q802" s="131">
        <v>2580</v>
      </c>
      <c r="R802" s="131">
        <v>1</v>
      </c>
      <c r="S802" s="131">
        <v>7743</v>
      </c>
      <c r="U802" s="131">
        <v>199.76900000000001</v>
      </c>
      <c r="V802" s="132">
        <v>1.4999999999999999E-4</v>
      </c>
      <c r="W802" s="132">
        <f t="shared" si="12"/>
        <v>1.2647496733027832E-3</v>
      </c>
      <c r="X802" s="132">
        <v>2.743689106894622E-4</v>
      </c>
    </row>
    <row r="803" spans="1:24">
      <c r="A803" t="s">
        <v>1213</v>
      </c>
      <c r="B803" s="4">
        <v>9301</v>
      </c>
      <c r="C803" t="s">
        <v>1683</v>
      </c>
      <c r="D803" t="s">
        <v>1684</v>
      </c>
      <c r="E803" t="s">
        <v>309</v>
      </c>
      <c r="F803" t="s">
        <v>1683</v>
      </c>
      <c r="G803" t="s">
        <v>3436</v>
      </c>
      <c r="H803" t="s">
        <v>321</v>
      </c>
      <c r="I803" t="s">
        <v>917</v>
      </c>
      <c r="J803" t="s">
        <v>204</v>
      </c>
      <c r="K803" t="s">
        <v>204</v>
      </c>
      <c r="L803" t="s">
        <v>325</v>
      </c>
      <c r="M803" t="s">
        <v>340</v>
      </c>
      <c r="N803" t="s">
        <v>441</v>
      </c>
      <c r="O803" t="s">
        <v>339</v>
      </c>
      <c r="P803" t="s">
        <v>1212</v>
      </c>
      <c r="Q803" s="131">
        <v>2180</v>
      </c>
      <c r="R803" s="131">
        <v>1</v>
      </c>
      <c r="S803" s="131">
        <v>8722</v>
      </c>
      <c r="U803" s="131">
        <v>190.14</v>
      </c>
      <c r="V803" s="132">
        <v>6.0000000000000002E-5</v>
      </c>
      <c r="W803" s="132">
        <f t="shared" si="12"/>
        <v>1.2037878894212374E-3</v>
      </c>
      <c r="X803" s="132">
        <v>2.611441448798079E-4</v>
      </c>
    </row>
    <row r="804" spans="1:24">
      <c r="A804" t="s">
        <v>1213</v>
      </c>
      <c r="B804" s="4">
        <v>9301</v>
      </c>
      <c r="C804" t="s">
        <v>1947</v>
      </c>
      <c r="D804" t="s">
        <v>1948</v>
      </c>
      <c r="E804" t="s">
        <v>309</v>
      </c>
      <c r="F804" t="s">
        <v>1947</v>
      </c>
      <c r="G804" t="s">
        <v>3947</v>
      </c>
      <c r="H804" t="s">
        <v>321</v>
      </c>
      <c r="I804" t="s">
        <v>917</v>
      </c>
      <c r="J804" t="s">
        <v>204</v>
      </c>
      <c r="K804" t="s">
        <v>204</v>
      </c>
      <c r="L804" t="s">
        <v>325</v>
      </c>
      <c r="M804" t="s">
        <v>340</v>
      </c>
      <c r="N804" t="s">
        <v>464</v>
      </c>
      <c r="O804" t="s">
        <v>339</v>
      </c>
      <c r="P804" t="s">
        <v>1212</v>
      </c>
      <c r="Q804" s="131">
        <v>80000</v>
      </c>
      <c r="R804" s="131">
        <v>1</v>
      </c>
      <c r="S804" s="131">
        <v>217.1</v>
      </c>
      <c r="U804" s="131">
        <v>173.68</v>
      </c>
      <c r="V804" s="132">
        <v>2.5000000000000001E-4</v>
      </c>
      <c r="W804" s="132">
        <f t="shared" si="12"/>
        <v>1.0995786296133403E-3</v>
      </c>
      <c r="X804" s="132">
        <v>2.3853747282384053E-4</v>
      </c>
    </row>
    <row r="805" spans="1:24">
      <c r="A805" t="s">
        <v>1213</v>
      </c>
      <c r="B805" s="4">
        <v>9301</v>
      </c>
      <c r="C805" t="s">
        <v>1687</v>
      </c>
      <c r="D805" t="s">
        <v>1688</v>
      </c>
      <c r="E805" t="s">
        <v>309</v>
      </c>
      <c r="F805" t="s">
        <v>3948</v>
      </c>
      <c r="G805" t="s">
        <v>3949</v>
      </c>
      <c r="H805" t="s">
        <v>321</v>
      </c>
      <c r="I805" t="s">
        <v>917</v>
      </c>
      <c r="J805" t="s">
        <v>204</v>
      </c>
      <c r="K805" t="s">
        <v>204</v>
      </c>
      <c r="L805" s="134" t="s">
        <v>325</v>
      </c>
      <c r="M805" t="s">
        <v>340</v>
      </c>
      <c r="N805" t="s">
        <v>465</v>
      </c>
      <c r="O805" t="s">
        <v>339</v>
      </c>
      <c r="P805" t="s">
        <v>1212</v>
      </c>
      <c r="Q805" s="131">
        <v>910</v>
      </c>
      <c r="R805" s="131">
        <v>1</v>
      </c>
      <c r="S805" s="131">
        <v>17130</v>
      </c>
      <c r="U805" s="131">
        <v>155.88300000000001</v>
      </c>
      <c r="V805" s="132">
        <v>2.0000000000000002E-5</v>
      </c>
      <c r="W805" s="132">
        <f t="shared" si="12"/>
        <v>9.8690474159382957E-4</v>
      </c>
      <c r="X805" s="132">
        <v>2.140945236999006E-4</v>
      </c>
    </row>
    <row r="806" spans="1:24">
      <c r="A806" t="s">
        <v>1213</v>
      </c>
      <c r="B806" s="4">
        <v>9301</v>
      </c>
      <c r="C806" t="s">
        <v>3483</v>
      </c>
      <c r="D806" t="s">
        <v>3484</v>
      </c>
      <c r="E806" t="s">
        <v>309</v>
      </c>
      <c r="F806" t="s">
        <v>3483</v>
      </c>
      <c r="G806" t="s">
        <v>3485</v>
      </c>
      <c r="H806" t="s">
        <v>321</v>
      </c>
      <c r="I806" t="s">
        <v>917</v>
      </c>
      <c r="J806" t="s">
        <v>204</v>
      </c>
      <c r="K806" t="s">
        <v>204</v>
      </c>
      <c r="L806" t="s">
        <v>325</v>
      </c>
      <c r="M806" t="s">
        <v>340</v>
      </c>
      <c r="N806" t="s">
        <v>461</v>
      </c>
      <c r="O806" t="s">
        <v>339</v>
      </c>
      <c r="P806" t="s">
        <v>1212</v>
      </c>
      <c r="Q806" s="131">
        <v>2050</v>
      </c>
      <c r="R806" s="131">
        <v>1</v>
      </c>
      <c r="S806" s="131">
        <v>7454</v>
      </c>
      <c r="U806" s="131">
        <v>152.80699999999999</v>
      </c>
      <c r="V806" s="132">
        <v>3.0000000000000001E-5</v>
      </c>
      <c r="W806" s="132">
        <f t="shared" si="12"/>
        <v>9.674303987524509E-4</v>
      </c>
      <c r="X806" s="132">
        <v>2.0986985035578417E-4</v>
      </c>
    </row>
    <row r="807" spans="1:24">
      <c r="A807" t="s">
        <v>1213</v>
      </c>
      <c r="B807" s="4">
        <v>9301</v>
      </c>
      <c r="C807" t="s">
        <v>3845</v>
      </c>
      <c r="D807" t="s">
        <v>3846</v>
      </c>
      <c r="E807" t="s">
        <v>309</v>
      </c>
      <c r="F807" t="s">
        <v>3845</v>
      </c>
      <c r="G807" t="s">
        <v>3847</v>
      </c>
      <c r="H807" t="s">
        <v>321</v>
      </c>
      <c r="I807" t="s">
        <v>917</v>
      </c>
      <c r="J807" t="s">
        <v>204</v>
      </c>
      <c r="K807" t="s">
        <v>204</v>
      </c>
      <c r="L807" t="s">
        <v>325</v>
      </c>
      <c r="M807" t="s">
        <v>340</v>
      </c>
      <c r="N807" t="s">
        <v>473</v>
      </c>
      <c r="O807" t="s">
        <v>339</v>
      </c>
      <c r="P807" t="s">
        <v>1212</v>
      </c>
      <c r="Q807" s="131">
        <v>15040</v>
      </c>
      <c r="R807" s="131">
        <v>1</v>
      </c>
      <c r="S807" s="131">
        <v>837.8</v>
      </c>
      <c r="T807" s="131">
        <v>2.3690000000000002</v>
      </c>
      <c r="U807" s="131">
        <v>128.374</v>
      </c>
      <c r="V807" s="132">
        <v>1.3999999999999999E-4</v>
      </c>
      <c r="W807" s="132">
        <f t="shared" si="12"/>
        <v>8.1274359165121456E-4</v>
      </c>
      <c r="X807" s="132">
        <v>1.7631281400442021E-4</v>
      </c>
    </row>
    <row r="808" spans="1:24">
      <c r="A808" t="s">
        <v>1213</v>
      </c>
      <c r="B808" s="4">
        <v>9301</v>
      </c>
      <c r="C808" t="s">
        <v>3950</v>
      </c>
      <c r="D808" t="s">
        <v>3951</v>
      </c>
      <c r="E808" t="s">
        <v>309</v>
      </c>
      <c r="F808" t="s">
        <v>3952</v>
      </c>
      <c r="G808" t="s">
        <v>3953</v>
      </c>
      <c r="H808" t="s">
        <v>321</v>
      </c>
      <c r="I808" t="s">
        <v>917</v>
      </c>
      <c r="J808" t="s">
        <v>204</v>
      </c>
      <c r="K808" t="s">
        <v>204</v>
      </c>
      <c r="L808" t="s">
        <v>325</v>
      </c>
      <c r="M808" t="s">
        <v>340</v>
      </c>
      <c r="N808" t="s">
        <v>459</v>
      </c>
      <c r="O808" t="s">
        <v>339</v>
      </c>
      <c r="P808" t="s">
        <v>1212</v>
      </c>
      <c r="Q808" s="131">
        <v>1820.14</v>
      </c>
      <c r="R808" s="131">
        <v>1</v>
      </c>
      <c r="S808" s="131">
        <v>6665</v>
      </c>
      <c r="U808" s="131">
        <v>121.312</v>
      </c>
      <c r="V808" s="132">
        <v>1.3999999999999999E-4</v>
      </c>
      <c r="W808" s="132">
        <f t="shared" si="12"/>
        <v>7.6803364069353717E-4</v>
      </c>
      <c r="X808" s="132">
        <v>1.6661364522803859E-4</v>
      </c>
    </row>
    <row r="809" spans="1:24">
      <c r="A809" t="s">
        <v>1213</v>
      </c>
      <c r="B809" s="4">
        <v>9301</v>
      </c>
      <c r="C809" t="s">
        <v>3954</v>
      </c>
      <c r="D809" t="s">
        <v>3955</v>
      </c>
      <c r="E809" t="s">
        <v>309</v>
      </c>
      <c r="F809" t="s">
        <v>3954</v>
      </c>
      <c r="G809" t="s">
        <v>3956</v>
      </c>
      <c r="H809" t="s">
        <v>321</v>
      </c>
      <c r="I809" t="s">
        <v>917</v>
      </c>
      <c r="J809" t="s">
        <v>204</v>
      </c>
      <c r="K809" t="s">
        <v>204</v>
      </c>
      <c r="L809" t="s">
        <v>325</v>
      </c>
      <c r="M809" t="s">
        <v>340</v>
      </c>
      <c r="N809" t="s">
        <v>460</v>
      </c>
      <c r="O809" t="s">
        <v>339</v>
      </c>
      <c r="P809" t="s">
        <v>1212</v>
      </c>
      <c r="Q809" s="131">
        <v>29615</v>
      </c>
      <c r="R809" s="131">
        <v>1</v>
      </c>
      <c r="S809" s="131">
        <v>402.3</v>
      </c>
      <c r="U809" s="131">
        <v>119.14100000000001</v>
      </c>
      <c r="V809" s="132">
        <v>5.9000000000000003E-4</v>
      </c>
      <c r="W809" s="132">
        <f t="shared" si="12"/>
        <v>7.5428890782337039E-4</v>
      </c>
      <c r="X809" s="132">
        <v>1.6363192681774057E-4</v>
      </c>
    </row>
    <row r="810" spans="1:24">
      <c r="A810" t="s">
        <v>1213</v>
      </c>
      <c r="B810" s="4">
        <v>9301</v>
      </c>
      <c r="C810" t="s">
        <v>3957</v>
      </c>
      <c r="D810" t="s">
        <v>3958</v>
      </c>
      <c r="E810" t="s">
        <v>309</v>
      </c>
      <c r="F810" t="s">
        <v>3957</v>
      </c>
      <c r="G810" t="s">
        <v>3959</v>
      </c>
      <c r="H810" t="s">
        <v>321</v>
      </c>
      <c r="I810" t="s">
        <v>917</v>
      </c>
      <c r="J810" t="s">
        <v>204</v>
      </c>
      <c r="K810" t="s">
        <v>204</v>
      </c>
      <c r="L810" t="s">
        <v>325</v>
      </c>
      <c r="M810" t="s">
        <v>340</v>
      </c>
      <c r="N810" t="s">
        <v>480</v>
      </c>
      <c r="O810" t="s">
        <v>339</v>
      </c>
      <c r="P810" t="s">
        <v>1212</v>
      </c>
      <c r="Q810" s="131">
        <v>1200</v>
      </c>
      <c r="R810" s="131">
        <v>1</v>
      </c>
      <c r="S810" s="131">
        <v>9699</v>
      </c>
      <c r="U810" s="131">
        <v>116.38800000000001</v>
      </c>
      <c r="V810" s="132">
        <v>3.0000000000000001E-5</v>
      </c>
      <c r="W810" s="132">
        <f t="shared" si="12"/>
        <v>7.3685949760155141E-4</v>
      </c>
      <c r="X810" s="132">
        <v>1.5985087164337375E-4</v>
      </c>
    </row>
    <row r="811" spans="1:24">
      <c r="A811" t="s">
        <v>1213</v>
      </c>
      <c r="B811" s="4">
        <v>9301</v>
      </c>
      <c r="C811" t="s">
        <v>3004</v>
      </c>
      <c r="D811" t="s">
        <v>3005</v>
      </c>
      <c r="E811" t="s">
        <v>309</v>
      </c>
      <c r="F811" t="s">
        <v>3004</v>
      </c>
      <c r="G811" t="s">
        <v>3960</v>
      </c>
      <c r="H811" t="s">
        <v>321</v>
      </c>
      <c r="I811" t="s">
        <v>917</v>
      </c>
      <c r="J811" t="s">
        <v>204</v>
      </c>
      <c r="K811" t="s">
        <v>204</v>
      </c>
      <c r="L811" t="s">
        <v>325</v>
      </c>
      <c r="M811" t="s">
        <v>340</v>
      </c>
      <c r="N811" t="s">
        <v>440</v>
      </c>
      <c r="O811" t="s">
        <v>339</v>
      </c>
      <c r="P811" t="s">
        <v>1212</v>
      </c>
      <c r="Q811" s="131">
        <v>64000</v>
      </c>
      <c r="R811" s="131">
        <v>1</v>
      </c>
      <c r="S811" s="131">
        <v>176</v>
      </c>
      <c r="U811" s="131">
        <v>112.64</v>
      </c>
      <c r="V811" s="132">
        <v>9.0000000000000006E-5</v>
      </c>
      <c r="W811" s="132">
        <f t="shared" si="12"/>
        <v>7.1313068194177017E-4</v>
      </c>
      <c r="X811" s="132">
        <v>1.5470325275723974E-4</v>
      </c>
    </row>
    <row r="812" spans="1:24">
      <c r="A812" t="s">
        <v>1213</v>
      </c>
      <c r="B812" s="4">
        <v>9301</v>
      </c>
      <c r="C812" t="s">
        <v>3961</v>
      </c>
      <c r="D812" t="s">
        <v>3962</v>
      </c>
      <c r="E812" t="s">
        <v>309</v>
      </c>
      <c r="F812" t="s">
        <v>3961</v>
      </c>
      <c r="G812" t="s">
        <v>3963</v>
      </c>
      <c r="H812" t="s">
        <v>321</v>
      </c>
      <c r="I812" t="s">
        <v>917</v>
      </c>
      <c r="J812" t="s">
        <v>204</v>
      </c>
      <c r="K812" t="s">
        <v>204</v>
      </c>
      <c r="L812" t="s">
        <v>325</v>
      </c>
      <c r="M812" t="s">
        <v>340</v>
      </c>
      <c r="N812" t="s">
        <v>476</v>
      </c>
      <c r="O812" t="s">
        <v>339</v>
      </c>
      <c r="P812" t="s">
        <v>1212</v>
      </c>
      <c r="Q812" s="131">
        <v>1978</v>
      </c>
      <c r="R812" s="131">
        <v>1</v>
      </c>
      <c r="S812" s="131">
        <v>5678</v>
      </c>
      <c r="U812" s="131">
        <v>112.31100000000001</v>
      </c>
      <c r="V812" s="132">
        <v>8.0000000000000007E-5</v>
      </c>
      <c r="W812" s="132">
        <f t="shared" si="12"/>
        <v>7.1104776295776058E-4</v>
      </c>
      <c r="X812" s="132">
        <v>1.542513940022936E-4</v>
      </c>
    </row>
    <row r="813" spans="1:24">
      <c r="A813" t="s">
        <v>1213</v>
      </c>
      <c r="B813" s="4">
        <v>9301</v>
      </c>
      <c r="C813" t="s">
        <v>3964</v>
      </c>
      <c r="D813" t="s">
        <v>3965</v>
      </c>
      <c r="E813" t="s">
        <v>309</v>
      </c>
      <c r="F813" t="s">
        <v>3964</v>
      </c>
      <c r="G813" t="s">
        <v>3966</v>
      </c>
      <c r="H813" t="s">
        <v>321</v>
      </c>
      <c r="I813" t="s">
        <v>917</v>
      </c>
      <c r="J813" t="s">
        <v>204</v>
      </c>
      <c r="K813" t="s">
        <v>204</v>
      </c>
      <c r="L813" t="s">
        <v>325</v>
      </c>
      <c r="M813" t="s">
        <v>340</v>
      </c>
      <c r="N813" t="s">
        <v>466</v>
      </c>
      <c r="O813" t="s">
        <v>339</v>
      </c>
      <c r="P813" t="s">
        <v>1212</v>
      </c>
      <c r="Q813" s="131">
        <v>7951</v>
      </c>
      <c r="R813" s="131">
        <v>1</v>
      </c>
      <c r="S813" s="131">
        <v>1383</v>
      </c>
      <c r="U813" s="131">
        <v>109.962</v>
      </c>
      <c r="V813" s="132">
        <v>8.4999999999999995E-4</v>
      </c>
      <c r="W813" s="132">
        <f t="shared" si="12"/>
        <v>6.9617610127557653E-4</v>
      </c>
      <c r="X813" s="132">
        <v>1.5102520489783023E-4</v>
      </c>
    </row>
    <row r="814" spans="1:24">
      <c r="A814" t="s">
        <v>1213</v>
      </c>
      <c r="B814" s="4">
        <v>9301</v>
      </c>
      <c r="C814" t="s">
        <v>3703</v>
      </c>
      <c r="D814" t="s">
        <v>3704</v>
      </c>
      <c r="E814" t="s">
        <v>309</v>
      </c>
      <c r="F814" t="s">
        <v>3703</v>
      </c>
      <c r="G814" t="s">
        <v>3705</v>
      </c>
      <c r="H814" t="s">
        <v>321</v>
      </c>
      <c r="I814" t="s">
        <v>917</v>
      </c>
      <c r="J814" t="s">
        <v>204</v>
      </c>
      <c r="K814" t="s">
        <v>204</v>
      </c>
      <c r="L814" t="s">
        <v>325</v>
      </c>
      <c r="M814" t="s">
        <v>340</v>
      </c>
      <c r="N814" t="s">
        <v>451</v>
      </c>
      <c r="O814" t="s">
        <v>339</v>
      </c>
      <c r="P814" t="s">
        <v>1212</v>
      </c>
      <c r="Q814" s="131">
        <v>1700</v>
      </c>
      <c r="R814" s="131">
        <v>1</v>
      </c>
      <c r="S814" s="131">
        <v>6352</v>
      </c>
      <c r="U814" s="131">
        <v>107.98399999999999</v>
      </c>
      <c r="V814" s="132">
        <v>6.9999999999999994E-5</v>
      </c>
      <c r="W814" s="132">
        <f t="shared" si="12"/>
        <v>6.8365326312855215E-4</v>
      </c>
      <c r="X814" s="132">
        <v>1.4830855864468904E-4</v>
      </c>
    </row>
    <row r="815" spans="1:24">
      <c r="A815" t="s">
        <v>1213</v>
      </c>
      <c r="B815" s="4">
        <v>9301</v>
      </c>
      <c r="C815" t="s">
        <v>3967</v>
      </c>
      <c r="D815" t="s">
        <v>3968</v>
      </c>
      <c r="E815" t="s">
        <v>309</v>
      </c>
      <c r="F815" t="s">
        <v>3967</v>
      </c>
      <c r="G815" t="s">
        <v>3969</v>
      </c>
      <c r="H815" t="s">
        <v>321</v>
      </c>
      <c r="I815" t="s">
        <v>917</v>
      </c>
      <c r="J815" t="s">
        <v>204</v>
      </c>
      <c r="K815" t="s">
        <v>204</v>
      </c>
      <c r="L815" t="s">
        <v>325</v>
      </c>
      <c r="M815" t="s">
        <v>340</v>
      </c>
      <c r="N815" t="s">
        <v>480</v>
      </c>
      <c r="O815" t="s">
        <v>339</v>
      </c>
      <c r="P815" t="s">
        <v>1212</v>
      </c>
      <c r="Q815" s="131">
        <v>2670</v>
      </c>
      <c r="R815" s="131">
        <v>1</v>
      </c>
      <c r="S815" s="131">
        <v>3430</v>
      </c>
      <c r="U815" s="131">
        <v>91.581000000000003</v>
      </c>
      <c r="V815" s="132">
        <v>2.2000000000000001E-4</v>
      </c>
      <c r="W815" s="132">
        <f t="shared" si="12"/>
        <v>5.7980487378293019E-4</v>
      </c>
      <c r="X815" s="132">
        <v>1.2578017214808925E-4</v>
      </c>
    </row>
    <row r="816" spans="1:24">
      <c r="A816" t="s">
        <v>1213</v>
      </c>
      <c r="B816" s="4">
        <v>9301</v>
      </c>
      <c r="C816" t="s">
        <v>3970</v>
      </c>
      <c r="D816" t="s">
        <v>3971</v>
      </c>
      <c r="E816" t="s">
        <v>309</v>
      </c>
      <c r="F816" t="s">
        <v>3970</v>
      </c>
      <c r="G816" t="s">
        <v>3972</v>
      </c>
      <c r="H816" t="s">
        <v>321</v>
      </c>
      <c r="I816" t="s">
        <v>917</v>
      </c>
      <c r="J816" t="s">
        <v>204</v>
      </c>
      <c r="K816" t="s">
        <v>204</v>
      </c>
      <c r="L816" t="s">
        <v>325</v>
      </c>
      <c r="M816" t="s">
        <v>340</v>
      </c>
      <c r="N816" t="s">
        <v>471</v>
      </c>
      <c r="O816" t="s">
        <v>339</v>
      </c>
      <c r="P816" t="s">
        <v>1212</v>
      </c>
      <c r="Q816" s="131">
        <v>106500</v>
      </c>
      <c r="R816" s="131">
        <v>1</v>
      </c>
      <c r="S816" s="131">
        <v>53.2</v>
      </c>
      <c r="U816" s="131">
        <v>56.658000000000001</v>
      </c>
      <c r="V816" s="132">
        <v>9.7000000000000005E-4</v>
      </c>
      <c r="W816" s="132">
        <f t="shared" si="12"/>
        <v>3.5870523950156974E-4</v>
      </c>
      <c r="X816" s="132">
        <v>7.7815846011360874E-5</v>
      </c>
    </row>
    <row r="817" spans="1:24">
      <c r="A817" t="s">
        <v>1213</v>
      </c>
      <c r="B817" s="4">
        <v>9301</v>
      </c>
      <c r="C817" t="s">
        <v>1820</v>
      </c>
      <c r="D817" t="s">
        <v>1821</v>
      </c>
      <c r="E817" t="s">
        <v>309</v>
      </c>
      <c r="F817" t="s">
        <v>3632</v>
      </c>
      <c r="G817" t="s">
        <v>3633</v>
      </c>
      <c r="H817" t="s">
        <v>321</v>
      </c>
      <c r="I817" t="s">
        <v>917</v>
      </c>
      <c r="J817" t="s">
        <v>204</v>
      </c>
      <c r="K817" t="s">
        <v>204</v>
      </c>
      <c r="L817" t="s">
        <v>325</v>
      </c>
      <c r="M817" t="s">
        <v>340</v>
      </c>
      <c r="N817" t="s">
        <v>464</v>
      </c>
      <c r="O817" t="s">
        <v>339</v>
      </c>
      <c r="P817" t="s">
        <v>1212</v>
      </c>
      <c r="Q817" s="131">
        <v>900</v>
      </c>
      <c r="R817" s="131">
        <v>1</v>
      </c>
      <c r="S817" s="131">
        <v>5594</v>
      </c>
      <c r="U817" s="131">
        <v>50.345999999999997</v>
      </c>
      <c r="V817" s="132">
        <v>1.0000000000000001E-5</v>
      </c>
      <c r="W817" s="132">
        <f t="shared" si="12"/>
        <v>3.1874358410014523E-4</v>
      </c>
      <c r="X817" s="132">
        <v>6.9146750384552474E-5</v>
      </c>
    </row>
    <row r="818" spans="1:24">
      <c r="A818" t="s">
        <v>1213</v>
      </c>
      <c r="B818" s="4">
        <v>9301</v>
      </c>
      <c r="C818" t="s">
        <v>3668</v>
      </c>
      <c r="D818" t="s">
        <v>3669</v>
      </c>
      <c r="E818" t="s">
        <v>309</v>
      </c>
      <c r="F818" t="s">
        <v>3668</v>
      </c>
      <c r="G818" t="s">
        <v>3670</v>
      </c>
      <c r="H818" t="s">
        <v>321</v>
      </c>
      <c r="I818" t="s">
        <v>917</v>
      </c>
      <c r="J818" t="s">
        <v>204</v>
      </c>
      <c r="K818" t="s">
        <v>204</v>
      </c>
      <c r="L818" t="s">
        <v>325</v>
      </c>
      <c r="M818" t="s">
        <v>340</v>
      </c>
      <c r="N818" t="s">
        <v>445</v>
      </c>
      <c r="O818" t="s">
        <v>339</v>
      </c>
      <c r="P818" t="s">
        <v>1212</v>
      </c>
      <c r="Q818" s="131">
        <v>8000</v>
      </c>
      <c r="R818" s="131">
        <v>1</v>
      </c>
      <c r="S818" s="131">
        <v>620.79999999999995</v>
      </c>
      <c r="U818" s="131">
        <v>49.664000000000001</v>
      </c>
      <c r="V818" s="132">
        <v>1.8000000000000001E-4</v>
      </c>
      <c r="W818" s="132">
        <f t="shared" si="12"/>
        <v>3.1442580067432595E-4</v>
      </c>
      <c r="X818" s="132">
        <v>6.821007053387388E-5</v>
      </c>
    </row>
    <row r="819" spans="1:24">
      <c r="A819" t="s">
        <v>1213</v>
      </c>
      <c r="B819" s="4">
        <v>9301</v>
      </c>
      <c r="C819" t="s">
        <v>3973</v>
      </c>
      <c r="D819" t="s">
        <v>3974</v>
      </c>
      <c r="E819" t="s">
        <v>309</v>
      </c>
      <c r="F819" t="s">
        <v>3973</v>
      </c>
      <c r="G819" t="s">
        <v>3975</v>
      </c>
      <c r="H819" t="s">
        <v>321</v>
      </c>
      <c r="I819" t="s">
        <v>917</v>
      </c>
      <c r="J819" t="s">
        <v>204</v>
      </c>
      <c r="K819" t="s">
        <v>204</v>
      </c>
      <c r="L819" t="s">
        <v>325</v>
      </c>
      <c r="M819" t="s">
        <v>340</v>
      </c>
      <c r="N819" t="s">
        <v>456</v>
      </c>
      <c r="O819" t="s">
        <v>339</v>
      </c>
      <c r="P819" t="s">
        <v>1212</v>
      </c>
      <c r="Q819" s="131">
        <v>4905</v>
      </c>
      <c r="R819" s="131">
        <v>1</v>
      </c>
      <c r="S819" s="131">
        <v>943.2</v>
      </c>
      <c r="U819" s="131">
        <v>46.264000000000003</v>
      </c>
      <c r="V819" s="132">
        <v>1.3999999999999999E-4</v>
      </c>
      <c r="W819" s="132">
        <f t="shared" si="12"/>
        <v>2.9290019415264613E-4</v>
      </c>
      <c r="X819" s="132">
        <v>6.3540405589141867E-5</v>
      </c>
    </row>
    <row r="820" spans="1:24">
      <c r="A820" t="s">
        <v>1213</v>
      </c>
      <c r="B820" s="4">
        <v>9301</v>
      </c>
      <c r="C820" t="s">
        <v>1691</v>
      </c>
      <c r="D820" t="s">
        <v>1692</v>
      </c>
      <c r="E820" t="s">
        <v>309</v>
      </c>
      <c r="F820" t="s">
        <v>3478</v>
      </c>
      <c r="G820" t="s">
        <v>3479</v>
      </c>
      <c r="H820" t="s">
        <v>321</v>
      </c>
      <c r="I820" t="s">
        <v>917</v>
      </c>
      <c r="J820" t="s">
        <v>204</v>
      </c>
      <c r="K820" t="s">
        <v>204</v>
      </c>
      <c r="L820" t="s">
        <v>325</v>
      </c>
      <c r="M820" t="s">
        <v>340</v>
      </c>
      <c r="N820" t="s">
        <v>464</v>
      </c>
      <c r="O820" t="s">
        <v>339</v>
      </c>
      <c r="P820" t="s">
        <v>1212</v>
      </c>
      <c r="Q820" s="131">
        <v>2600</v>
      </c>
      <c r="R820" s="131">
        <v>1</v>
      </c>
      <c r="S820" s="131">
        <v>1513</v>
      </c>
      <c r="U820" s="131">
        <v>39.338000000000001</v>
      </c>
      <c r="V820" s="132">
        <v>1.0000000000000001E-5</v>
      </c>
      <c r="W820" s="132">
        <f t="shared" si="12"/>
        <v>2.4905126745583588E-4</v>
      </c>
      <c r="X820" s="132">
        <v>5.4028023410549505E-5</v>
      </c>
    </row>
    <row r="821" spans="1:24">
      <c r="A821" t="s">
        <v>1213</v>
      </c>
      <c r="B821" s="4">
        <v>9301</v>
      </c>
      <c r="C821" t="s">
        <v>3976</v>
      </c>
      <c r="D821" t="s">
        <v>3977</v>
      </c>
      <c r="E821" t="s">
        <v>309</v>
      </c>
      <c r="F821" t="s">
        <v>3976</v>
      </c>
      <c r="G821" t="s">
        <v>3978</v>
      </c>
      <c r="H821" t="s">
        <v>321</v>
      </c>
      <c r="I821" t="s">
        <v>917</v>
      </c>
      <c r="J821" t="s">
        <v>204</v>
      </c>
      <c r="K821" t="s">
        <v>204</v>
      </c>
      <c r="L821" t="s">
        <v>325</v>
      </c>
      <c r="M821" t="s">
        <v>340</v>
      </c>
      <c r="N821" t="s">
        <v>451</v>
      </c>
      <c r="O821" t="s">
        <v>339</v>
      </c>
      <c r="P821" t="s">
        <v>1212</v>
      </c>
      <c r="Q821" s="131">
        <v>1430</v>
      </c>
      <c r="R821" s="131">
        <v>1</v>
      </c>
      <c r="S821" s="131">
        <v>2501</v>
      </c>
      <c r="U821" s="131">
        <v>35.764000000000003</v>
      </c>
      <c r="V821" s="132">
        <v>9.0000000000000006E-5</v>
      </c>
      <c r="W821" s="132">
        <f t="shared" si="12"/>
        <v>2.264240563651054E-4</v>
      </c>
      <c r="X821" s="132">
        <v>4.9119381495116498E-5</v>
      </c>
    </row>
    <row r="822" spans="1:24">
      <c r="A822" t="s">
        <v>1213</v>
      </c>
      <c r="B822" s="4">
        <v>9301</v>
      </c>
      <c r="C822" t="s">
        <v>3979</v>
      </c>
      <c r="D822" t="s">
        <v>3980</v>
      </c>
      <c r="E822" t="s">
        <v>309</v>
      </c>
      <c r="F822" t="s">
        <v>3979</v>
      </c>
      <c r="G822" t="s">
        <v>3981</v>
      </c>
      <c r="H822" t="s">
        <v>321</v>
      </c>
      <c r="I822" t="s">
        <v>917</v>
      </c>
      <c r="J822" t="s">
        <v>204</v>
      </c>
      <c r="K822" t="s">
        <v>204</v>
      </c>
      <c r="L822" t="s">
        <v>325</v>
      </c>
      <c r="M822" t="s">
        <v>340</v>
      </c>
      <c r="N822" t="s">
        <v>450</v>
      </c>
      <c r="O822" t="s">
        <v>339</v>
      </c>
      <c r="P822" t="s">
        <v>1212</v>
      </c>
      <c r="Q822" s="131">
        <v>70397.91</v>
      </c>
      <c r="R822" s="131">
        <v>1</v>
      </c>
      <c r="S822" s="131">
        <v>49.8</v>
      </c>
      <c r="U822" s="131">
        <v>35.058</v>
      </c>
      <c r="V822" s="132">
        <v>4.6999999999999999E-4</v>
      </c>
      <c r="W822" s="132">
        <f t="shared" si="12"/>
        <v>2.2195432748148598E-4</v>
      </c>
      <c r="X822" s="132">
        <v>4.8149739303651551E-5</v>
      </c>
    </row>
    <row r="823" spans="1:24">
      <c r="A823" t="s">
        <v>1213</v>
      </c>
      <c r="B823" s="4">
        <v>9301</v>
      </c>
      <c r="C823" t="s">
        <v>3982</v>
      </c>
      <c r="D823" t="s">
        <v>3983</v>
      </c>
      <c r="E823" t="s">
        <v>309</v>
      </c>
      <c r="F823" t="s">
        <v>3982</v>
      </c>
      <c r="G823" t="s">
        <v>3984</v>
      </c>
      <c r="H823" t="s">
        <v>321</v>
      </c>
      <c r="I823" t="s">
        <v>917</v>
      </c>
      <c r="J823" t="s">
        <v>204</v>
      </c>
      <c r="K823" t="s">
        <v>204</v>
      </c>
      <c r="L823" t="s">
        <v>325</v>
      </c>
      <c r="M823" t="s">
        <v>340</v>
      </c>
      <c r="N823" t="s">
        <v>473</v>
      </c>
      <c r="O823" t="s">
        <v>339</v>
      </c>
      <c r="P823" t="s">
        <v>1212</v>
      </c>
      <c r="Q823" s="131">
        <v>13490</v>
      </c>
      <c r="R823" s="131">
        <v>1</v>
      </c>
      <c r="S823" s="131">
        <v>96.5</v>
      </c>
      <c r="U823" s="131">
        <v>13.018000000000001</v>
      </c>
      <c r="V823" s="132">
        <v>6.2E-4</v>
      </c>
      <c r="W823" s="132">
        <f t="shared" si="12"/>
        <v>8.2417748735067158E-5</v>
      </c>
      <c r="X823" s="132">
        <v>1.7879323014859258E-5</v>
      </c>
    </row>
    <row r="824" spans="1:24">
      <c r="A824" t="s">
        <v>1213</v>
      </c>
      <c r="B824" s="4">
        <v>9301</v>
      </c>
      <c r="C824" t="s">
        <v>3985</v>
      </c>
      <c r="D824" t="s">
        <v>3986</v>
      </c>
      <c r="E824" t="s">
        <v>309</v>
      </c>
      <c r="F824" t="s">
        <v>3987</v>
      </c>
      <c r="G824" t="s">
        <v>3988</v>
      </c>
      <c r="H824" t="s">
        <v>321</v>
      </c>
      <c r="I824" t="s">
        <v>917</v>
      </c>
      <c r="J824" t="s">
        <v>204</v>
      </c>
      <c r="K824" t="s">
        <v>204</v>
      </c>
      <c r="L824" t="s">
        <v>325</v>
      </c>
      <c r="M824" t="s">
        <v>340</v>
      </c>
      <c r="N824" t="s">
        <v>473</v>
      </c>
      <c r="O824" t="s">
        <v>339</v>
      </c>
      <c r="P824" t="s">
        <v>1212</v>
      </c>
      <c r="Q824" s="131">
        <v>17530</v>
      </c>
      <c r="R824" s="131">
        <v>1</v>
      </c>
      <c r="S824" s="131">
        <v>40.9</v>
      </c>
      <c r="U824" s="131">
        <v>7.17</v>
      </c>
      <c r="V824" s="132">
        <v>4.4000000000000002E-4</v>
      </c>
      <c r="W824" s="132">
        <f t="shared" si="12"/>
        <v>4.5393705517777809E-5</v>
      </c>
      <c r="X824" s="132">
        <v>9.8474993099201777E-6</v>
      </c>
    </row>
    <row r="825" spans="1:24">
      <c r="A825" t="s">
        <v>1213</v>
      </c>
      <c r="B825" s="4">
        <v>9301</v>
      </c>
      <c r="C825" t="s">
        <v>2893</v>
      </c>
      <c r="D825" t="s">
        <v>2894</v>
      </c>
      <c r="E825" t="s">
        <v>309</v>
      </c>
      <c r="F825" t="s">
        <v>3859</v>
      </c>
      <c r="G825" t="s">
        <v>3860</v>
      </c>
      <c r="H825" t="s">
        <v>321</v>
      </c>
      <c r="I825" t="s">
        <v>917</v>
      </c>
      <c r="J825" t="s">
        <v>204</v>
      </c>
      <c r="K825" t="s">
        <v>204</v>
      </c>
      <c r="L825" t="s">
        <v>325</v>
      </c>
      <c r="M825" t="s">
        <v>340</v>
      </c>
      <c r="N825" t="s">
        <v>447</v>
      </c>
      <c r="O825" t="s">
        <v>339</v>
      </c>
      <c r="P825" t="s">
        <v>1212</v>
      </c>
      <c r="Q825" s="131">
        <v>1541.1</v>
      </c>
      <c r="R825" s="131">
        <v>1</v>
      </c>
      <c r="S825" s="131">
        <v>185.7</v>
      </c>
      <c r="U825" s="131">
        <v>2.8620000000000001</v>
      </c>
      <c r="V825" s="132">
        <v>3.0000000000000001E-5</v>
      </c>
      <c r="W825" s="132">
        <f t="shared" si="12"/>
        <v>1.81194958426611E-5</v>
      </c>
      <c r="X825" s="132">
        <v>3.9307591387714856E-6</v>
      </c>
    </row>
    <row r="826" spans="1:24">
      <c r="A826" t="s">
        <v>1213</v>
      </c>
      <c r="B826" s="4">
        <v>9301</v>
      </c>
      <c r="C826" t="s">
        <v>3455</v>
      </c>
      <c r="D826" t="s">
        <v>3456</v>
      </c>
      <c r="E826" t="s">
        <v>309</v>
      </c>
      <c r="F826" t="s">
        <v>3457</v>
      </c>
      <c r="G826" t="s">
        <v>3458</v>
      </c>
      <c r="H826" t="s">
        <v>321</v>
      </c>
      <c r="I826" t="s">
        <v>917</v>
      </c>
      <c r="J826" t="s">
        <v>204</v>
      </c>
      <c r="K826" t="s">
        <v>204</v>
      </c>
      <c r="L826" t="s">
        <v>327</v>
      </c>
      <c r="M826" t="s">
        <v>340</v>
      </c>
      <c r="N826" t="s">
        <v>455</v>
      </c>
      <c r="O826" t="s">
        <v>339</v>
      </c>
      <c r="P826" t="s">
        <v>1212</v>
      </c>
      <c r="Q826" s="131">
        <v>14330</v>
      </c>
      <c r="R826" s="131">
        <v>1</v>
      </c>
      <c r="S826" s="131">
        <f>U826*1000/Q826*100</f>
        <v>6800</v>
      </c>
      <c r="U826" s="131">
        <f>974440/1000</f>
        <v>974.44</v>
      </c>
      <c r="W826" s="132">
        <f t="shared" si="12"/>
        <v>6.1692388291134459E-3</v>
      </c>
      <c r="X826" s="132">
        <v>1.3383259731601978E-3</v>
      </c>
    </row>
    <row r="827" spans="1:24">
      <c r="A827" t="s">
        <v>1213</v>
      </c>
      <c r="B827" s="4">
        <v>9301</v>
      </c>
      <c r="C827" t="s">
        <v>3330</v>
      </c>
      <c r="D827" t="s">
        <v>3331</v>
      </c>
      <c r="E827" t="s">
        <v>80</v>
      </c>
      <c r="F827" t="s">
        <v>3989</v>
      </c>
      <c r="G827" t="s">
        <v>3990</v>
      </c>
      <c r="H827" t="s">
        <v>321</v>
      </c>
      <c r="I827" t="s">
        <v>917</v>
      </c>
      <c r="J827" t="s">
        <v>205</v>
      </c>
      <c r="K827" t="s">
        <v>224</v>
      </c>
      <c r="L827" t="s">
        <v>325</v>
      </c>
      <c r="M827" t="s">
        <v>368</v>
      </c>
      <c r="N827" t="s">
        <v>568</v>
      </c>
      <c r="O827" t="s">
        <v>339</v>
      </c>
      <c r="P827" t="s">
        <v>1218</v>
      </c>
      <c r="Q827" s="131">
        <v>111555.09</v>
      </c>
      <c r="R827" s="131">
        <v>4.1524000000000001</v>
      </c>
      <c r="S827" s="131">
        <v>282.3</v>
      </c>
      <c r="U827" s="131">
        <v>1307.674</v>
      </c>
      <c r="V827" s="132">
        <v>6.9999999999999994E-5</v>
      </c>
      <c r="W827" s="132">
        <f t="shared" si="12"/>
        <v>8.2789635243032886E-3</v>
      </c>
      <c r="X827" s="132">
        <v>1.7959998343933833E-3</v>
      </c>
    </row>
    <row r="828" spans="1:24">
      <c r="A828" t="s">
        <v>1213</v>
      </c>
      <c r="B828" s="4">
        <v>9301</v>
      </c>
      <c r="C828" t="s">
        <v>3991</v>
      </c>
      <c r="D828" t="s">
        <v>3992</v>
      </c>
      <c r="E828" t="s">
        <v>311</v>
      </c>
      <c r="F828" t="s">
        <v>3993</v>
      </c>
      <c r="G828" t="s">
        <v>3994</v>
      </c>
      <c r="H828" t="s">
        <v>321</v>
      </c>
      <c r="I828" t="s">
        <v>917</v>
      </c>
      <c r="J828" t="s">
        <v>205</v>
      </c>
      <c r="K828" t="s">
        <v>204</v>
      </c>
      <c r="L828" t="s">
        <v>325</v>
      </c>
      <c r="M828" t="s">
        <v>344</v>
      </c>
      <c r="N828" t="s">
        <v>540</v>
      </c>
      <c r="O828" t="s">
        <v>339</v>
      </c>
      <c r="P828" t="s">
        <v>1216</v>
      </c>
      <c r="Q828" s="131">
        <v>8661</v>
      </c>
      <c r="R828" s="131">
        <v>3.71</v>
      </c>
      <c r="S828" s="131">
        <v>2583.5</v>
      </c>
      <c r="U828" s="131">
        <v>830.13800000000003</v>
      </c>
      <c r="V828" s="132">
        <v>1.8000000000000001E-4</v>
      </c>
      <c r="W828" s="132">
        <f t="shared" si="12"/>
        <v>5.2556541019689032E-3</v>
      </c>
      <c r="X828" s="132">
        <v>1.1401371523205742E-3</v>
      </c>
    </row>
    <row r="829" spans="1:24">
      <c r="A829" t="s">
        <v>1213</v>
      </c>
      <c r="B829" s="4">
        <v>9301</v>
      </c>
      <c r="C829" t="s">
        <v>3995</v>
      </c>
      <c r="D829" t="s">
        <v>3996</v>
      </c>
      <c r="E829" t="s">
        <v>80</v>
      </c>
      <c r="F829" t="s">
        <v>3997</v>
      </c>
      <c r="G829" t="s">
        <v>3998</v>
      </c>
      <c r="H829" t="s">
        <v>321</v>
      </c>
      <c r="I829" t="s">
        <v>917</v>
      </c>
      <c r="J829" t="s">
        <v>205</v>
      </c>
      <c r="K829" s="4" t="s">
        <v>204</v>
      </c>
      <c r="L829" s="134" t="s">
        <v>325</v>
      </c>
      <c r="M829" t="s">
        <v>344</v>
      </c>
      <c r="N829" t="s">
        <v>497</v>
      </c>
      <c r="O829" t="s">
        <v>339</v>
      </c>
      <c r="P829" t="s">
        <v>1216</v>
      </c>
      <c r="Q829" s="131">
        <v>5330</v>
      </c>
      <c r="R829" s="131">
        <v>3.71</v>
      </c>
      <c r="S829" s="131">
        <v>2566</v>
      </c>
      <c r="U829" s="131">
        <v>507.40899999999999</v>
      </c>
      <c r="V829" s="132">
        <v>4.0000000000000003E-5</v>
      </c>
      <c r="W829" s="132">
        <f t="shared" si="12"/>
        <v>3.2124371998703094E-3</v>
      </c>
      <c r="X829" s="132">
        <v>6.9689118233574442E-4</v>
      </c>
    </row>
    <row r="830" spans="1:24">
      <c r="A830" t="s">
        <v>1213</v>
      </c>
      <c r="B830" s="4">
        <v>9301</v>
      </c>
      <c r="C830" t="s">
        <v>3805</v>
      </c>
      <c r="D830" t="s">
        <v>3806</v>
      </c>
      <c r="E830" t="s">
        <v>311</v>
      </c>
      <c r="F830" t="s">
        <v>3807</v>
      </c>
      <c r="G830" t="s">
        <v>3808</v>
      </c>
      <c r="H830" t="s">
        <v>321</v>
      </c>
      <c r="I830" t="s">
        <v>917</v>
      </c>
      <c r="J830" t="s">
        <v>205</v>
      </c>
      <c r="K830" t="s">
        <v>204</v>
      </c>
      <c r="L830" t="s">
        <v>325</v>
      </c>
      <c r="M830" t="s">
        <v>346</v>
      </c>
      <c r="N830" t="s">
        <v>544</v>
      </c>
      <c r="O830" t="s">
        <v>339</v>
      </c>
      <c r="P830" t="s">
        <v>1216</v>
      </c>
      <c r="Q830" s="131">
        <v>790</v>
      </c>
      <c r="R830" s="131">
        <v>3.71</v>
      </c>
      <c r="S830" s="131">
        <v>16717</v>
      </c>
      <c r="U830" s="131">
        <v>489.959</v>
      </c>
      <c r="V830" s="132">
        <v>1.0000000000000001E-5</v>
      </c>
      <c r="W830" s="132">
        <f t="shared" si="12"/>
        <v>3.1019601899281587E-3</v>
      </c>
      <c r="X830" s="132">
        <v>6.7292481372234036E-4</v>
      </c>
    </row>
    <row r="831" spans="1:24">
      <c r="A831" t="s">
        <v>1213</v>
      </c>
      <c r="B831" s="4">
        <v>9301</v>
      </c>
      <c r="C831" t="s">
        <v>3999</v>
      </c>
      <c r="D831" t="s">
        <v>4000</v>
      </c>
      <c r="E831" t="s">
        <v>80</v>
      </c>
      <c r="F831" t="s">
        <v>4001</v>
      </c>
      <c r="G831" t="s">
        <v>4002</v>
      </c>
      <c r="H831" t="s">
        <v>321</v>
      </c>
      <c r="I831" t="s">
        <v>917</v>
      </c>
      <c r="J831" t="s">
        <v>205</v>
      </c>
      <c r="K831" t="s">
        <v>224</v>
      </c>
      <c r="L831" t="s">
        <v>325</v>
      </c>
      <c r="M831" t="s">
        <v>344</v>
      </c>
      <c r="N831" t="s">
        <v>488</v>
      </c>
      <c r="O831" t="s">
        <v>339</v>
      </c>
      <c r="P831" t="s">
        <v>1216</v>
      </c>
      <c r="Q831" s="131">
        <v>1254.1400000000001</v>
      </c>
      <c r="R831" s="131">
        <v>3.71</v>
      </c>
      <c r="S831" s="131">
        <v>10493</v>
      </c>
      <c r="T831" s="131">
        <f>0.377+24.0699998/1000/R831</f>
        <v>0.38348787056603773</v>
      </c>
      <c r="U831" s="131">
        <f>489.625+24.0699998/1000</f>
        <v>489.64906999980002</v>
      </c>
      <c r="V831" s="132">
        <v>0</v>
      </c>
      <c r="W831" s="132">
        <f t="shared" si="12"/>
        <v>3.0999980042712267E-3</v>
      </c>
      <c r="X831" s="132">
        <v>6.7249914629373604E-4</v>
      </c>
    </row>
    <row r="832" spans="1:24">
      <c r="A832" t="s">
        <v>1213</v>
      </c>
      <c r="B832" s="4">
        <v>9301</v>
      </c>
      <c r="C832" t="s">
        <v>4003</v>
      </c>
      <c r="D832" t="s">
        <v>4004</v>
      </c>
      <c r="E832" t="s">
        <v>80</v>
      </c>
      <c r="F832" t="s">
        <v>4005</v>
      </c>
      <c r="G832" t="s">
        <v>4006</v>
      </c>
      <c r="H832" t="s">
        <v>321</v>
      </c>
      <c r="I832" t="s">
        <v>917</v>
      </c>
      <c r="J832" t="s">
        <v>205</v>
      </c>
      <c r="K832" t="s">
        <v>224</v>
      </c>
      <c r="L832" t="s">
        <v>325</v>
      </c>
      <c r="M832" t="s">
        <v>346</v>
      </c>
      <c r="N832" t="s">
        <v>530</v>
      </c>
      <c r="O832" t="s">
        <v>339</v>
      </c>
      <c r="P832" t="s">
        <v>1216</v>
      </c>
      <c r="Q832" s="131">
        <v>7378</v>
      </c>
      <c r="R832" s="131">
        <v>3.71</v>
      </c>
      <c r="S832" s="131">
        <v>1695</v>
      </c>
      <c r="U832" s="131">
        <v>463.96199999999999</v>
      </c>
      <c r="V832" s="132">
        <v>9.0000000000000006E-5</v>
      </c>
      <c r="W832" s="132">
        <f t="shared" si="12"/>
        <v>2.9373716038269492E-3</v>
      </c>
      <c r="X832" s="132">
        <v>6.3721973149639965E-4</v>
      </c>
    </row>
    <row r="833" spans="1:24">
      <c r="A833" t="s">
        <v>1213</v>
      </c>
      <c r="B833" s="4">
        <v>9301</v>
      </c>
      <c r="C833" t="s">
        <v>4007</v>
      </c>
      <c r="D833" t="s">
        <v>4008</v>
      </c>
      <c r="E833" t="s">
        <v>311</v>
      </c>
      <c r="F833" t="s">
        <v>4009</v>
      </c>
      <c r="G833" t="s">
        <v>4010</v>
      </c>
      <c r="H833" t="s">
        <v>321</v>
      </c>
      <c r="I833" t="s">
        <v>917</v>
      </c>
      <c r="J833" t="s">
        <v>205</v>
      </c>
      <c r="K833" t="s">
        <v>204</v>
      </c>
      <c r="L833" t="s">
        <v>325</v>
      </c>
      <c r="M833" t="s">
        <v>346</v>
      </c>
      <c r="N833" t="s">
        <v>546</v>
      </c>
      <c r="O833" t="s">
        <v>339</v>
      </c>
      <c r="P833" t="s">
        <v>1216</v>
      </c>
      <c r="Q833" s="131">
        <v>2900</v>
      </c>
      <c r="R833" s="131">
        <v>3.71</v>
      </c>
      <c r="S833" s="131">
        <v>2228</v>
      </c>
      <c r="U833" s="131">
        <v>239.71100000000001</v>
      </c>
      <c r="V833" s="132">
        <v>6.9999999999999994E-5</v>
      </c>
      <c r="W833" s="132">
        <f t="shared" si="12"/>
        <v>1.5176249014465881E-3</v>
      </c>
      <c r="X833" s="132">
        <v>3.2922648634313472E-4</v>
      </c>
    </row>
    <row r="834" spans="1:24">
      <c r="A834" t="s">
        <v>1213</v>
      </c>
      <c r="B834" s="4">
        <v>9301</v>
      </c>
      <c r="C834" t="s">
        <v>4011</v>
      </c>
      <c r="D834" t="s">
        <v>4012</v>
      </c>
      <c r="E834" t="s">
        <v>311</v>
      </c>
      <c r="F834" t="s">
        <v>4013</v>
      </c>
      <c r="G834" t="s">
        <v>4014</v>
      </c>
      <c r="H834" t="s">
        <v>321</v>
      </c>
      <c r="I834" t="s">
        <v>917</v>
      </c>
      <c r="J834" t="s">
        <v>205</v>
      </c>
      <c r="K834" t="s">
        <v>224</v>
      </c>
      <c r="L834" t="s">
        <v>325</v>
      </c>
      <c r="M834" t="s">
        <v>344</v>
      </c>
      <c r="N834" t="s">
        <v>534</v>
      </c>
      <c r="O834" t="s">
        <v>339</v>
      </c>
      <c r="P834" t="s">
        <v>1216</v>
      </c>
      <c r="Q834" s="131">
        <v>2000</v>
      </c>
      <c r="R834" s="131">
        <v>3.71</v>
      </c>
      <c r="S834" s="131">
        <v>2623</v>
      </c>
      <c r="U834" s="131">
        <v>194.62700000000001</v>
      </c>
      <c r="V834" s="132">
        <v>1.0000000000000001E-5</v>
      </c>
      <c r="W834" s="132">
        <f t="shared" si="12"/>
        <v>1.2321953589691133E-3</v>
      </c>
      <c r="X834" s="132">
        <v>2.6730672917598807E-4</v>
      </c>
    </row>
    <row r="835" spans="1:24">
      <c r="A835" t="s">
        <v>1213</v>
      </c>
      <c r="B835" s="4">
        <v>9301</v>
      </c>
      <c r="C835" t="s">
        <v>4015</v>
      </c>
      <c r="D835" t="s">
        <v>4016</v>
      </c>
      <c r="E835" t="s">
        <v>311</v>
      </c>
      <c r="F835" t="s">
        <v>4017</v>
      </c>
      <c r="G835" t="s">
        <v>4018</v>
      </c>
      <c r="H835" t="s">
        <v>321</v>
      </c>
      <c r="I835" t="s">
        <v>917</v>
      </c>
      <c r="J835" t="s">
        <v>205</v>
      </c>
      <c r="K835" t="s">
        <v>204</v>
      </c>
      <c r="L835" t="s">
        <v>325</v>
      </c>
      <c r="M835" t="s">
        <v>344</v>
      </c>
      <c r="N835" t="s">
        <v>544</v>
      </c>
      <c r="O835" t="s">
        <v>339</v>
      </c>
      <c r="P835" t="s">
        <v>1216</v>
      </c>
      <c r="Q835" s="131">
        <v>4851</v>
      </c>
      <c r="R835" s="131">
        <v>3.71</v>
      </c>
      <c r="S835" s="131">
        <v>1034</v>
      </c>
      <c r="U835" s="131">
        <v>186.09100000000001</v>
      </c>
      <c r="V835" s="132">
        <v>3.1E-4</v>
      </c>
      <c r="W835" s="132">
        <f t="shared" ref="W835:W898" si="13">U835/SUMIF(B:B,B835,U:U)</f>
        <v>1.1781534244782134E-3</v>
      </c>
      <c r="X835" s="132">
        <v>2.5558312330297849E-4</v>
      </c>
    </row>
    <row r="836" spans="1:24">
      <c r="A836" t="s">
        <v>1213</v>
      </c>
      <c r="B836" s="4">
        <v>9301</v>
      </c>
      <c r="C836" t="s">
        <v>3797</v>
      </c>
      <c r="D836" t="s">
        <v>3798</v>
      </c>
      <c r="E836" t="s">
        <v>80</v>
      </c>
      <c r="F836" t="s">
        <v>3799</v>
      </c>
      <c r="G836" t="s">
        <v>3800</v>
      </c>
      <c r="H836" t="s">
        <v>321</v>
      </c>
      <c r="I836" t="s">
        <v>917</v>
      </c>
      <c r="J836" t="s">
        <v>205</v>
      </c>
      <c r="K836" t="s">
        <v>224</v>
      </c>
      <c r="L836" t="s">
        <v>325</v>
      </c>
      <c r="M836" t="s">
        <v>344</v>
      </c>
      <c r="N836" t="s">
        <v>548</v>
      </c>
      <c r="O836" t="s">
        <v>339</v>
      </c>
      <c r="P836" t="s">
        <v>1216</v>
      </c>
      <c r="Q836" s="131">
        <v>2000</v>
      </c>
      <c r="R836" s="131">
        <v>3.71</v>
      </c>
      <c r="S836" s="131">
        <v>2291</v>
      </c>
      <c r="U836" s="131">
        <v>169.99199999999999</v>
      </c>
      <c r="V836" s="132">
        <v>3.0000000000000001E-5</v>
      </c>
      <c r="W836" s="132">
        <f t="shared" si="13"/>
        <v>1.0762296775980592E-3</v>
      </c>
      <c r="X836" s="132">
        <v>2.3347225978967236E-4</v>
      </c>
    </row>
    <row r="837" spans="1:24">
      <c r="A837" t="s">
        <v>1213</v>
      </c>
      <c r="B837" s="4">
        <v>9301</v>
      </c>
      <c r="C837" t="s">
        <v>4019</v>
      </c>
      <c r="D837" t="s">
        <v>4020</v>
      </c>
      <c r="E837" t="s">
        <v>309</v>
      </c>
      <c r="F837" t="s">
        <v>4021</v>
      </c>
      <c r="G837" t="s">
        <v>4022</v>
      </c>
      <c r="H837" t="s">
        <v>321</v>
      </c>
      <c r="I837" t="s">
        <v>917</v>
      </c>
      <c r="J837" t="s">
        <v>205</v>
      </c>
      <c r="K837" t="s">
        <v>204</v>
      </c>
      <c r="L837" t="s">
        <v>325</v>
      </c>
      <c r="M837" t="s">
        <v>344</v>
      </c>
      <c r="N837" t="s">
        <v>546</v>
      </c>
      <c r="O837" t="s">
        <v>339</v>
      </c>
      <c r="P837" t="s">
        <v>1216</v>
      </c>
      <c r="Q837" s="131">
        <v>1664</v>
      </c>
      <c r="R837" s="131">
        <v>3.71</v>
      </c>
      <c r="S837" s="131">
        <v>1370</v>
      </c>
      <c r="U837" s="131">
        <v>84.575999999999993</v>
      </c>
      <c r="V837" s="132">
        <v>2.7E-4</v>
      </c>
      <c r="W837" s="132">
        <f t="shared" si="13"/>
        <v>5.3545579328752801E-4</v>
      </c>
      <c r="X837" s="132">
        <v>1.1615928893107516E-4</v>
      </c>
    </row>
    <row r="838" spans="1:24">
      <c r="A838" t="s">
        <v>1213</v>
      </c>
      <c r="B838" s="4">
        <v>9301</v>
      </c>
      <c r="C838" t="s">
        <v>1872</v>
      </c>
      <c r="D838" t="s">
        <v>1873</v>
      </c>
      <c r="E838" t="s">
        <v>80</v>
      </c>
      <c r="F838" t="s">
        <v>4023</v>
      </c>
      <c r="G838" t="s">
        <v>4024</v>
      </c>
      <c r="H838" t="s">
        <v>321</v>
      </c>
      <c r="I838" t="s">
        <v>917</v>
      </c>
      <c r="J838" t="s">
        <v>205</v>
      </c>
      <c r="K838" t="s">
        <v>224</v>
      </c>
      <c r="L838" t="s">
        <v>325</v>
      </c>
      <c r="M838" t="s">
        <v>346</v>
      </c>
      <c r="N838" t="s">
        <v>534</v>
      </c>
      <c r="O838" t="s">
        <v>339</v>
      </c>
      <c r="P838" t="s">
        <v>1216</v>
      </c>
      <c r="Q838" s="131">
        <v>1150</v>
      </c>
      <c r="R838" s="131">
        <v>3.71</v>
      </c>
      <c r="S838" s="131">
        <v>1161</v>
      </c>
      <c r="U838" s="131">
        <v>49.533999999999999</v>
      </c>
      <c r="V838" s="132">
        <v>0</v>
      </c>
      <c r="W838" s="132">
        <f t="shared" si="13"/>
        <v>3.1360276277790877E-4</v>
      </c>
      <c r="X838" s="132">
        <v>6.8031524521281186E-5</v>
      </c>
    </row>
    <row r="839" spans="1:24">
      <c r="A839" t="s">
        <v>1213</v>
      </c>
      <c r="B839" s="4">
        <v>9301</v>
      </c>
      <c r="C839" t="s">
        <v>4025</v>
      </c>
      <c r="D839" t="s">
        <v>4026</v>
      </c>
      <c r="E839" t="s">
        <v>311</v>
      </c>
      <c r="F839" t="s">
        <v>4027</v>
      </c>
      <c r="G839" t="s">
        <v>4028</v>
      </c>
      <c r="H839" t="s">
        <v>321</v>
      </c>
      <c r="I839" t="s">
        <v>917</v>
      </c>
      <c r="J839" t="s">
        <v>205</v>
      </c>
      <c r="K839" t="s">
        <v>204</v>
      </c>
      <c r="L839" t="s">
        <v>325</v>
      </c>
      <c r="M839" t="s">
        <v>346</v>
      </c>
      <c r="N839" t="s">
        <v>540</v>
      </c>
      <c r="O839" t="s">
        <v>339</v>
      </c>
      <c r="P839" t="s">
        <v>1216</v>
      </c>
      <c r="Q839" s="131">
        <v>1705</v>
      </c>
      <c r="R839" s="131">
        <v>3.71</v>
      </c>
      <c r="S839" s="131">
        <v>456</v>
      </c>
      <c r="U839" s="131">
        <v>28.844999999999999</v>
      </c>
      <c r="V839" s="132">
        <v>5.0000000000000002E-5</v>
      </c>
      <c r="W839" s="132">
        <f t="shared" si="13"/>
        <v>1.8261944709348687E-4</v>
      </c>
      <c r="X839" s="132">
        <v>3.9616613332586821E-5</v>
      </c>
    </row>
    <row r="840" spans="1:24">
      <c r="A840" t="s">
        <v>1213</v>
      </c>
      <c r="B840" s="4">
        <v>9302</v>
      </c>
      <c r="C840" t="s">
        <v>1573</v>
      </c>
      <c r="D840" t="s">
        <v>1574</v>
      </c>
      <c r="E840" t="s">
        <v>309</v>
      </c>
      <c r="F840" t="s">
        <v>1573</v>
      </c>
      <c r="G840" t="s">
        <v>3404</v>
      </c>
      <c r="H840" t="s">
        <v>321</v>
      </c>
      <c r="I840" t="s">
        <v>917</v>
      </c>
      <c r="J840" t="s">
        <v>204</v>
      </c>
      <c r="K840" t="s">
        <v>204</v>
      </c>
      <c r="L840" t="s">
        <v>325</v>
      </c>
      <c r="M840" t="s">
        <v>340</v>
      </c>
      <c r="N840" t="s">
        <v>448</v>
      </c>
      <c r="O840" t="s">
        <v>339</v>
      </c>
      <c r="P840" t="s">
        <v>1212</v>
      </c>
      <c r="Q840" s="131">
        <v>698227.48</v>
      </c>
      <c r="R840" s="131">
        <v>1</v>
      </c>
      <c r="S840" s="131">
        <v>3644</v>
      </c>
      <c r="U840" s="131">
        <v>25443.409</v>
      </c>
      <c r="V840" s="132">
        <v>4.2999999999999999E-4</v>
      </c>
      <c r="W840" s="132">
        <f t="shared" si="13"/>
        <v>7.0928576574389224E-2</v>
      </c>
      <c r="X840" s="132">
        <v>7.6097824672501585E-3</v>
      </c>
    </row>
    <row r="841" spans="1:24">
      <c r="A841" t="s">
        <v>1213</v>
      </c>
      <c r="B841" s="4">
        <v>9302</v>
      </c>
      <c r="C841" t="s">
        <v>1600</v>
      </c>
      <c r="D841" t="s">
        <v>1601</v>
      </c>
      <c r="E841" t="s">
        <v>309</v>
      </c>
      <c r="F841" t="s">
        <v>1600</v>
      </c>
      <c r="G841" t="s">
        <v>3406</v>
      </c>
      <c r="H841" t="s">
        <v>321</v>
      </c>
      <c r="I841" t="s">
        <v>917</v>
      </c>
      <c r="J841" t="s">
        <v>204</v>
      </c>
      <c r="K841" t="s">
        <v>204</v>
      </c>
      <c r="L841" t="s">
        <v>325</v>
      </c>
      <c r="M841" t="s">
        <v>340</v>
      </c>
      <c r="N841" t="s">
        <v>448</v>
      </c>
      <c r="O841" t="s">
        <v>339</v>
      </c>
      <c r="P841" t="s">
        <v>1212</v>
      </c>
      <c r="Q841" s="131">
        <v>665512.63</v>
      </c>
      <c r="R841" s="131">
        <v>1</v>
      </c>
      <c r="S841" s="131">
        <v>3729</v>
      </c>
      <c r="U841" s="131">
        <v>24816.966</v>
      </c>
      <c r="V841" s="132">
        <v>5.0000000000000001E-4</v>
      </c>
      <c r="W841" s="132">
        <f t="shared" si="13"/>
        <v>6.9182241785093107E-2</v>
      </c>
      <c r="X841" s="132">
        <v>7.4224217657760921E-3</v>
      </c>
    </row>
    <row r="842" spans="1:24">
      <c r="A842" t="s">
        <v>1213</v>
      </c>
      <c r="B842" s="4">
        <v>9302</v>
      </c>
      <c r="C842" t="s">
        <v>2228</v>
      </c>
      <c r="D842" t="s">
        <v>2229</v>
      </c>
      <c r="E842" t="s">
        <v>309</v>
      </c>
      <c r="F842" t="s">
        <v>2228</v>
      </c>
      <c r="G842" t="s">
        <v>3439</v>
      </c>
      <c r="H842" t="s">
        <v>321</v>
      </c>
      <c r="I842" t="s">
        <v>917</v>
      </c>
      <c r="J842" t="s">
        <v>204</v>
      </c>
      <c r="K842" t="s">
        <v>204</v>
      </c>
      <c r="L842" t="s">
        <v>325</v>
      </c>
      <c r="M842" t="s">
        <v>340</v>
      </c>
      <c r="N842" t="s">
        <v>441</v>
      </c>
      <c r="O842" t="s">
        <v>339</v>
      </c>
      <c r="P842" t="s">
        <v>1212</v>
      </c>
      <c r="Q842" s="131">
        <v>257350.8</v>
      </c>
      <c r="R842" s="131">
        <v>1</v>
      </c>
      <c r="S842" s="131">
        <v>6254</v>
      </c>
      <c r="U842" s="131">
        <v>16094.718999999999</v>
      </c>
      <c r="V842" s="132">
        <v>2.1700000000000001E-3</v>
      </c>
      <c r="W842" s="132">
        <f t="shared" si="13"/>
        <v>4.4867238860750822E-2</v>
      </c>
      <c r="X842" s="132">
        <v>4.8137146426219064E-3</v>
      </c>
    </row>
    <row r="843" spans="1:24">
      <c r="A843" t="s">
        <v>1213</v>
      </c>
      <c r="B843" s="4">
        <v>9302</v>
      </c>
      <c r="C843" t="s">
        <v>2343</v>
      </c>
      <c r="D843" t="s">
        <v>2344</v>
      </c>
      <c r="E843" t="s">
        <v>309</v>
      </c>
      <c r="F843" t="s">
        <v>3619</v>
      </c>
      <c r="G843" t="s">
        <v>3620</v>
      </c>
      <c r="H843" t="s">
        <v>321</v>
      </c>
      <c r="I843" t="s">
        <v>917</v>
      </c>
      <c r="J843" t="s">
        <v>204</v>
      </c>
      <c r="K843" t="s">
        <v>204</v>
      </c>
      <c r="L843" t="s">
        <v>325</v>
      </c>
      <c r="M843" t="s">
        <v>340</v>
      </c>
      <c r="N843" t="s">
        <v>476</v>
      </c>
      <c r="O843" t="s">
        <v>339</v>
      </c>
      <c r="P843" t="s">
        <v>1212</v>
      </c>
      <c r="Q843" s="131">
        <v>46557.760000000002</v>
      </c>
      <c r="R843" s="131">
        <v>1</v>
      </c>
      <c r="S843" s="131">
        <v>29830</v>
      </c>
      <c r="U843" s="131">
        <v>13888.18</v>
      </c>
      <c r="V843" s="132">
        <v>2.9299999999999999E-3</v>
      </c>
      <c r="W843" s="132">
        <f t="shared" si="13"/>
        <v>3.8716071364843486E-2</v>
      </c>
      <c r="X843" s="132">
        <v>4.1537684146811579E-3</v>
      </c>
    </row>
    <row r="844" spans="1:24">
      <c r="A844" t="s">
        <v>1213</v>
      </c>
      <c r="B844" s="4">
        <v>9302</v>
      </c>
      <c r="C844" t="s">
        <v>3113</v>
      </c>
      <c r="D844" t="s">
        <v>3114</v>
      </c>
      <c r="E844" t="s">
        <v>309</v>
      </c>
      <c r="F844" t="s">
        <v>3113</v>
      </c>
      <c r="G844" t="s">
        <v>3413</v>
      </c>
      <c r="H844" t="s">
        <v>321</v>
      </c>
      <c r="I844" t="s">
        <v>917</v>
      </c>
      <c r="J844" t="s">
        <v>204</v>
      </c>
      <c r="K844" t="s">
        <v>204</v>
      </c>
      <c r="L844" t="s">
        <v>325</v>
      </c>
      <c r="M844" t="s">
        <v>340</v>
      </c>
      <c r="N844" t="s">
        <v>448</v>
      </c>
      <c r="O844" t="s">
        <v>339</v>
      </c>
      <c r="P844" t="s">
        <v>1212</v>
      </c>
      <c r="Q844" s="131">
        <v>610334</v>
      </c>
      <c r="R844" s="131">
        <v>1</v>
      </c>
      <c r="S844" s="131">
        <v>2085</v>
      </c>
      <c r="U844" s="131">
        <v>12725.464</v>
      </c>
      <c r="V844" s="132">
        <v>4.8999999999999998E-4</v>
      </c>
      <c r="W844" s="132">
        <f t="shared" si="13"/>
        <v>3.5474768643173303E-2</v>
      </c>
      <c r="X844" s="132">
        <v>3.8060156496648335E-3</v>
      </c>
    </row>
    <row r="845" spans="1:24">
      <c r="A845" t="s">
        <v>1213</v>
      </c>
      <c r="B845" s="4">
        <v>9302</v>
      </c>
      <c r="C845" t="s">
        <v>1807</v>
      </c>
      <c r="D845" t="s">
        <v>1808</v>
      </c>
      <c r="E845" t="s">
        <v>309</v>
      </c>
      <c r="F845" t="s">
        <v>1807</v>
      </c>
      <c r="G845" t="s">
        <v>3409</v>
      </c>
      <c r="H845" t="s">
        <v>321</v>
      </c>
      <c r="I845" t="s">
        <v>917</v>
      </c>
      <c r="J845" t="s">
        <v>204</v>
      </c>
      <c r="K845" t="s">
        <v>204</v>
      </c>
      <c r="L845" t="s">
        <v>325</v>
      </c>
      <c r="M845" t="s">
        <v>340</v>
      </c>
      <c r="N845" t="s">
        <v>464</v>
      </c>
      <c r="O845" t="s">
        <v>339</v>
      </c>
      <c r="P845" t="s">
        <v>1212</v>
      </c>
      <c r="Q845" s="131">
        <v>41749</v>
      </c>
      <c r="R845" s="131">
        <v>1</v>
      </c>
      <c r="S845" s="131">
        <v>25940</v>
      </c>
      <c r="U845" s="131">
        <v>10829.691000000001</v>
      </c>
      <c r="V845" s="132">
        <v>3.4000000000000002E-4</v>
      </c>
      <c r="W845" s="132">
        <f t="shared" si="13"/>
        <v>3.0189923345982209E-2</v>
      </c>
      <c r="X845" s="132">
        <v>3.2390153653363367E-3</v>
      </c>
    </row>
    <row r="846" spans="1:24">
      <c r="A846" t="s">
        <v>1213</v>
      </c>
      <c r="B846" s="4">
        <v>9302</v>
      </c>
      <c r="C846" t="s">
        <v>3125</v>
      </c>
      <c r="D846" t="s">
        <v>3126</v>
      </c>
      <c r="E846" t="s">
        <v>309</v>
      </c>
      <c r="F846" t="s">
        <v>3125</v>
      </c>
      <c r="G846" t="s">
        <v>3489</v>
      </c>
      <c r="H846" t="s">
        <v>321</v>
      </c>
      <c r="I846" t="s">
        <v>917</v>
      </c>
      <c r="J846" t="s">
        <v>204</v>
      </c>
      <c r="K846" t="s">
        <v>204</v>
      </c>
      <c r="L846" t="s">
        <v>325</v>
      </c>
      <c r="M846" t="s">
        <v>340</v>
      </c>
      <c r="N846" t="s">
        <v>441</v>
      </c>
      <c r="O846" t="s">
        <v>339</v>
      </c>
      <c r="P846" t="s">
        <v>1212</v>
      </c>
      <c r="Q846" s="131">
        <v>34799</v>
      </c>
      <c r="R846" s="131">
        <v>1</v>
      </c>
      <c r="S846" s="131">
        <v>28560</v>
      </c>
      <c r="U846" s="131">
        <v>9938.5939999999991</v>
      </c>
      <c r="V846" s="132">
        <v>6.2E-4</v>
      </c>
      <c r="W846" s="132">
        <f t="shared" si="13"/>
        <v>2.7705812753737725E-2</v>
      </c>
      <c r="X846" s="132">
        <v>2.9725002011451226E-3</v>
      </c>
    </row>
    <row r="847" spans="1:24">
      <c r="A847" t="s">
        <v>1213</v>
      </c>
      <c r="B847" s="4">
        <v>9302</v>
      </c>
      <c r="C847" t="s">
        <v>2576</v>
      </c>
      <c r="D847" t="s">
        <v>2577</v>
      </c>
      <c r="E847" t="s">
        <v>309</v>
      </c>
      <c r="F847" t="s">
        <v>2576</v>
      </c>
      <c r="G847" t="s">
        <v>3621</v>
      </c>
      <c r="H847" t="s">
        <v>321</v>
      </c>
      <c r="I847" t="s">
        <v>917</v>
      </c>
      <c r="J847" t="s">
        <v>204</v>
      </c>
      <c r="K847" t="s">
        <v>204</v>
      </c>
      <c r="L847" t="s">
        <v>325</v>
      </c>
      <c r="M847" t="s">
        <v>340</v>
      </c>
      <c r="N847" t="s">
        <v>451</v>
      </c>
      <c r="O847" t="s">
        <v>339</v>
      </c>
      <c r="P847" t="s">
        <v>1212</v>
      </c>
      <c r="Q847" s="131">
        <v>11258.33</v>
      </c>
      <c r="R847" s="131">
        <v>1</v>
      </c>
      <c r="S847" s="131">
        <v>81100</v>
      </c>
      <c r="U847" s="131">
        <v>9130.5059999999994</v>
      </c>
      <c r="V847" s="132">
        <v>1.4599999999999999E-3</v>
      </c>
      <c r="W847" s="132">
        <f t="shared" si="13"/>
        <v>2.5453106302851171E-2</v>
      </c>
      <c r="X847" s="132">
        <v>2.7308119158058722E-3</v>
      </c>
    </row>
    <row r="848" spans="1:24">
      <c r="A848" t="s">
        <v>1213</v>
      </c>
      <c r="B848" s="4">
        <v>9302</v>
      </c>
      <c r="C848" t="s">
        <v>3834</v>
      </c>
      <c r="D848" t="s">
        <v>3835</v>
      </c>
      <c r="E848" t="s">
        <v>309</v>
      </c>
      <c r="F848" t="s">
        <v>3834</v>
      </c>
      <c r="G848" t="s">
        <v>3836</v>
      </c>
      <c r="H848" t="s">
        <v>321</v>
      </c>
      <c r="I848" t="s">
        <v>917</v>
      </c>
      <c r="J848" t="s">
        <v>204</v>
      </c>
      <c r="K848" t="s">
        <v>204</v>
      </c>
      <c r="L848" t="s">
        <v>325</v>
      </c>
      <c r="M848" t="s">
        <v>340</v>
      </c>
      <c r="N848" t="s">
        <v>448</v>
      </c>
      <c r="O848" t="s">
        <v>339</v>
      </c>
      <c r="P848" t="s">
        <v>1212</v>
      </c>
      <c r="Q848" s="131">
        <v>54986</v>
      </c>
      <c r="R848" s="131">
        <v>1</v>
      </c>
      <c r="S848" s="131">
        <v>16370</v>
      </c>
      <c r="U848" s="131">
        <v>9001.2080000000005</v>
      </c>
      <c r="V848" s="132">
        <v>1.5499999999999999E-3</v>
      </c>
      <c r="W848" s="132">
        <f t="shared" si="13"/>
        <v>2.5092662342927591E-2</v>
      </c>
      <c r="X848" s="132">
        <v>2.6921406177321549E-3</v>
      </c>
    </row>
    <row r="849" spans="1:24">
      <c r="A849" t="s">
        <v>1213</v>
      </c>
      <c r="B849" s="4">
        <v>9302</v>
      </c>
      <c r="C849" t="s">
        <v>3410</v>
      </c>
      <c r="D849" t="s">
        <v>3411</v>
      </c>
      <c r="E849" t="s">
        <v>309</v>
      </c>
      <c r="F849" t="s">
        <v>3410</v>
      </c>
      <c r="G849" t="s">
        <v>3412</v>
      </c>
      <c r="H849" t="s">
        <v>321</v>
      </c>
      <c r="I849" t="s">
        <v>917</v>
      </c>
      <c r="J849" t="s">
        <v>204</v>
      </c>
      <c r="K849" t="s">
        <v>204</v>
      </c>
      <c r="L849" t="s">
        <v>325</v>
      </c>
      <c r="M849" t="s">
        <v>340</v>
      </c>
      <c r="N849" t="s">
        <v>480</v>
      </c>
      <c r="O849" t="s">
        <v>339</v>
      </c>
      <c r="P849" t="s">
        <v>1212</v>
      </c>
      <c r="Q849" s="131">
        <v>13690</v>
      </c>
      <c r="R849" s="131">
        <v>1</v>
      </c>
      <c r="S849" s="131">
        <v>64880</v>
      </c>
      <c r="U849" s="131">
        <v>8882.0720000000001</v>
      </c>
      <c r="V849" s="132">
        <v>1.8000000000000001E-4</v>
      </c>
      <c r="W849" s="132">
        <f t="shared" si="13"/>
        <v>2.4760546984534913E-2</v>
      </c>
      <c r="X849" s="132">
        <v>2.6565086375985839E-3</v>
      </c>
    </row>
    <row r="850" spans="1:24">
      <c r="A850" t="s">
        <v>1213</v>
      </c>
      <c r="B850" s="4">
        <v>9302</v>
      </c>
      <c r="C850" t="s">
        <v>1986</v>
      </c>
      <c r="D850" t="s">
        <v>1987</v>
      </c>
      <c r="E850" t="s">
        <v>309</v>
      </c>
      <c r="F850" t="s">
        <v>1986</v>
      </c>
      <c r="G850" t="s">
        <v>3445</v>
      </c>
      <c r="H850" t="s">
        <v>321</v>
      </c>
      <c r="I850" t="s">
        <v>917</v>
      </c>
      <c r="J850" t="s">
        <v>204</v>
      </c>
      <c r="K850" t="s">
        <v>204</v>
      </c>
      <c r="L850" t="s">
        <v>325</v>
      </c>
      <c r="M850" t="s">
        <v>340</v>
      </c>
      <c r="N850" t="s">
        <v>484</v>
      </c>
      <c r="O850" t="s">
        <v>339</v>
      </c>
      <c r="P850" t="s">
        <v>1212</v>
      </c>
      <c r="Q850" s="131">
        <v>1979169</v>
      </c>
      <c r="R850" s="131">
        <v>1</v>
      </c>
      <c r="S850" s="131">
        <v>428.6</v>
      </c>
      <c r="T850" s="131">
        <v>291.01400000000001</v>
      </c>
      <c r="U850" s="131">
        <v>8773.7330000000002</v>
      </c>
      <c r="V850" s="132">
        <v>7.2000000000000005E-4</v>
      </c>
      <c r="W850" s="132">
        <f t="shared" si="13"/>
        <v>2.4458530416806401E-2</v>
      </c>
      <c r="X850" s="132">
        <v>2.6241058953905957E-3</v>
      </c>
    </row>
    <row r="851" spans="1:24">
      <c r="A851" t="s">
        <v>1213</v>
      </c>
      <c r="B851" s="4">
        <v>9302</v>
      </c>
      <c r="C851" t="s">
        <v>2203</v>
      </c>
      <c r="D851" t="s">
        <v>2204</v>
      </c>
      <c r="E851" t="s">
        <v>309</v>
      </c>
      <c r="F851" t="s">
        <v>3606</v>
      </c>
      <c r="G851" t="s">
        <v>3607</v>
      </c>
      <c r="H851" t="s">
        <v>321</v>
      </c>
      <c r="I851" t="s">
        <v>917</v>
      </c>
      <c r="J851" t="s">
        <v>204</v>
      </c>
      <c r="K851" t="s">
        <v>204</v>
      </c>
      <c r="L851" t="s">
        <v>325</v>
      </c>
      <c r="M851" t="s">
        <v>340</v>
      </c>
      <c r="N851" t="s">
        <v>459</v>
      </c>
      <c r="O851" t="s">
        <v>339</v>
      </c>
      <c r="P851" t="s">
        <v>1212</v>
      </c>
      <c r="Q851" s="131">
        <v>133109.31</v>
      </c>
      <c r="R851" s="131">
        <v>1</v>
      </c>
      <c r="S851" s="131">
        <v>5930</v>
      </c>
      <c r="U851" s="131">
        <v>7893.3819999999996</v>
      </c>
      <c r="V851" s="132">
        <v>1.1299999999999999E-3</v>
      </c>
      <c r="W851" s="132">
        <f t="shared" si="13"/>
        <v>2.2004376442555536E-2</v>
      </c>
      <c r="X851" s="132">
        <v>2.3608047157088106E-3</v>
      </c>
    </row>
    <row r="852" spans="1:24">
      <c r="A852" t="s">
        <v>1213</v>
      </c>
      <c r="B852" s="4">
        <v>9302</v>
      </c>
      <c r="C852" t="s">
        <v>1881</v>
      </c>
      <c r="D852" t="s">
        <v>1882</v>
      </c>
      <c r="E852" t="s">
        <v>309</v>
      </c>
      <c r="F852" t="s">
        <v>3407</v>
      </c>
      <c r="G852" t="s">
        <v>3408</v>
      </c>
      <c r="H852" t="s">
        <v>321</v>
      </c>
      <c r="I852" t="s">
        <v>917</v>
      </c>
      <c r="J852" t="s">
        <v>204</v>
      </c>
      <c r="K852" t="s">
        <v>204</v>
      </c>
      <c r="L852" t="s">
        <v>325</v>
      </c>
      <c r="M852" t="s">
        <v>340</v>
      </c>
      <c r="N852" t="s">
        <v>448</v>
      </c>
      <c r="O852" t="s">
        <v>339</v>
      </c>
      <c r="P852" t="s">
        <v>1212</v>
      </c>
      <c r="Q852" s="131">
        <v>52411.43</v>
      </c>
      <c r="R852" s="131">
        <v>1</v>
      </c>
      <c r="S852" s="131">
        <v>14550</v>
      </c>
      <c r="U852" s="131">
        <v>7625.8630000000003</v>
      </c>
      <c r="V852" s="132">
        <v>2.0000000000000001E-4</v>
      </c>
      <c r="W852" s="132">
        <f t="shared" si="13"/>
        <v>2.1258613880761872E-2</v>
      </c>
      <c r="X852" s="132">
        <v>2.2807933699077704E-3</v>
      </c>
    </row>
    <row r="853" spans="1:24">
      <c r="A853" t="s">
        <v>1213</v>
      </c>
      <c r="B853" s="4">
        <v>9302</v>
      </c>
      <c r="C853" t="s">
        <v>1893</v>
      </c>
      <c r="D853" t="s">
        <v>1894</v>
      </c>
      <c r="E853" t="s">
        <v>309</v>
      </c>
      <c r="F853" t="s">
        <v>1893</v>
      </c>
      <c r="G853" t="s">
        <v>3599</v>
      </c>
      <c r="H853" t="s">
        <v>321</v>
      </c>
      <c r="I853" t="s">
        <v>917</v>
      </c>
      <c r="J853" t="s">
        <v>204</v>
      </c>
      <c r="K853" t="s">
        <v>204</v>
      </c>
      <c r="L853" t="s">
        <v>325</v>
      </c>
      <c r="M853" t="s">
        <v>340</v>
      </c>
      <c r="N853" t="s">
        <v>464</v>
      </c>
      <c r="O853" t="s">
        <v>339</v>
      </c>
      <c r="P853" t="s">
        <v>1212</v>
      </c>
      <c r="Q853" s="131">
        <v>75001</v>
      </c>
      <c r="R853" s="131">
        <v>1</v>
      </c>
      <c r="S853" s="131">
        <v>9550</v>
      </c>
      <c r="U853" s="131">
        <v>7162.5959999999995</v>
      </c>
      <c r="V853" s="132">
        <v>2.0500000000000002E-3</v>
      </c>
      <c r="W853" s="132">
        <f t="shared" si="13"/>
        <v>1.9967164732423E-2</v>
      </c>
      <c r="X853" s="132">
        <v>2.1422364220453367E-3</v>
      </c>
    </row>
    <row r="854" spans="1:24">
      <c r="A854" t="s">
        <v>1213</v>
      </c>
      <c r="B854" s="4">
        <v>9302</v>
      </c>
      <c r="C854" t="s">
        <v>2089</v>
      </c>
      <c r="D854" t="s">
        <v>2090</v>
      </c>
      <c r="E854" t="s">
        <v>309</v>
      </c>
      <c r="F854" t="s">
        <v>2089</v>
      </c>
      <c r="G854" t="s">
        <v>3405</v>
      </c>
      <c r="H854" t="s">
        <v>321</v>
      </c>
      <c r="I854" t="s">
        <v>917</v>
      </c>
      <c r="J854" t="s">
        <v>204</v>
      </c>
      <c r="K854" t="s">
        <v>204</v>
      </c>
      <c r="L854" t="s">
        <v>325</v>
      </c>
      <c r="M854" t="s">
        <v>340</v>
      </c>
      <c r="N854" t="s">
        <v>467</v>
      </c>
      <c r="O854" t="s">
        <v>339</v>
      </c>
      <c r="P854" t="s">
        <v>1212</v>
      </c>
      <c r="Q854" s="131">
        <v>107187</v>
      </c>
      <c r="R854" s="131">
        <v>1</v>
      </c>
      <c r="S854" s="131">
        <v>6629</v>
      </c>
      <c r="U854" s="131">
        <v>7105.4260000000004</v>
      </c>
      <c r="V854" s="132">
        <v>9.0000000000000006E-5</v>
      </c>
      <c r="W854" s="132">
        <f t="shared" si="13"/>
        <v>1.9807791956441691E-2</v>
      </c>
      <c r="X854" s="132">
        <v>2.125137641624337E-3</v>
      </c>
    </row>
    <row r="855" spans="1:24">
      <c r="A855" t="s">
        <v>1213</v>
      </c>
      <c r="B855" s="4">
        <v>9302</v>
      </c>
      <c r="C855" t="s">
        <v>1861</v>
      </c>
      <c r="D855" t="s">
        <v>1862</v>
      </c>
      <c r="E855" t="s">
        <v>309</v>
      </c>
      <c r="F855" t="s">
        <v>1861</v>
      </c>
      <c r="G855" t="s">
        <v>3460</v>
      </c>
      <c r="H855" t="s">
        <v>321</v>
      </c>
      <c r="I855" t="s">
        <v>917</v>
      </c>
      <c r="J855" t="s">
        <v>204</v>
      </c>
      <c r="K855" t="s">
        <v>204</v>
      </c>
      <c r="L855" t="s">
        <v>325</v>
      </c>
      <c r="M855" t="s">
        <v>340</v>
      </c>
      <c r="N855" t="s">
        <v>464</v>
      </c>
      <c r="O855" t="s">
        <v>339</v>
      </c>
      <c r="P855" t="s">
        <v>1212</v>
      </c>
      <c r="Q855" s="131">
        <v>23647.22</v>
      </c>
      <c r="R855" s="131">
        <v>1</v>
      </c>
      <c r="S855" s="131">
        <v>28210</v>
      </c>
      <c r="U855" s="131">
        <v>6670.8810000000003</v>
      </c>
      <c r="V855" s="132">
        <v>5.0000000000000001E-4</v>
      </c>
      <c r="W855" s="132">
        <f t="shared" si="13"/>
        <v>1.8596411110914351E-2</v>
      </c>
      <c r="X855" s="132">
        <v>1.9951710588354023E-3</v>
      </c>
    </row>
    <row r="856" spans="1:24">
      <c r="A856" t="s">
        <v>1213</v>
      </c>
      <c r="B856" s="4">
        <v>9302</v>
      </c>
      <c r="C856" t="s">
        <v>1674</v>
      </c>
      <c r="D856" t="s">
        <v>1675</v>
      </c>
      <c r="E856" t="s">
        <v>309</v>
      </c>
      <c r="F856" t="s">
        <v>1674</v>
      </c>
      <c r="G856" t="s">
        <v>3464</v>
      </c>
      <c r="H856" t="s">
        <v>321</v>
      </c>
      <c r="I856" t="s">
        <v>917</v>
      </c>
      <c r="J856" t="s">
        <v>204</v>
      </c>
      <c r="K856" t="s">
        <v>204</v>
      </c>
      <c r="L856" t="s">
        <v>325</v>
      </c>
      <c r="M856" t="s">
        <v>340</v>
      </c>
      <c r="N856" t="s">
        <v>464</v>
      </c>
      <c r="O856" t="s">
        <v>339</v>
      </c>
      <c r="P856" t="s">
        <v>1212</v>
      </c>
      <c r="Q856" s="131">
        <v>15268.03</v>
      </c>
      <c r="R856" s="131">
        <v>1</v>
      </c>
      <c r="S856" s="131">
        <v>41490</v>
      </c>
      <c r="U856" s="131">
        <v>6334.7060000000001</v>
      </c>
      <c r="V856" s="132">
        <v>6.2E-4</v>
      </c>
      <c r="W856" s="132">
        <f t="shared" si="13"/>
        <v>1.7659256257573145E-2</v>
      </c>
      <c r="X856" s="132">
        <v>1.8946256240264183E-3</v>
      </c>
    </row>
    <row r="857" spans="1:24">
      <c r="A857" t="s">
        <v>1213</v>
      </c>
      <c r="B857" s="4">
        <v>9302</v>
      </c>
      <c r="C857" t="s">
        <v>3415</v>
      </c>
      <c r="D857" t="s">
        <v>3416</v>
      </c>
      <c r="E857" t="s">
        <v>309</v>
      </c>
      <c r="F857" t="s">
        <v>3415</v>
      </c>
      <c r="G857" t="s">
        <v>3417</v>
      </c>
      <c r="H857" t="s">
        <v>321</v>
      </c>
      <c r="I857" t="s">
        <v>917</v>
      </c>
      <c r="J857" t="s">
        <v>204</v>
      </c>
      <c r="K857" t="s">
        <v>204</v>
      </c>
      <c r="L857" t="s">
        <v>325</v>
      </c>
      <c r="M857" t="s">
        <v>340</v>
      </c>
      <c r="N857" t="s">
        <v>458</v>
      </c>
      <c r="O857" t="s">
        <v>339</v>
      </c>
      <c r="P857" t="s">
        <v>1212</v>
      </c>
      <c r="Q857" s="131">
        <v>7701.58</v>
      </c>
      <c r="R857" s="131">
        <v>1</v>
      </c>
      <c r="S857" s="131">
        <v>77890</v>
      </c>
      <c r="U857" s="131">
        <v>5998.7610000000004</v>
      </c>
      <c r="V857" s="132">
        <v>2.5999999999999998E-4</v>
      </c>
      <c r="W857" s="132">
        <f t="shared" si="13"/>
        <v>1.6722742575099103E-2</v>
      </c>
      <c r="X857" s="132">
        <v>1.7941489791334184E-3</v>
      </c>
    </row>
    <row r="858" spans="1:24">
      <c r="A858" t="s">
        <v>1213</v>
      </c>
      <c r="B858" s="4">
        <v>9302</v>
      </c>
      <c r="C858" t="s">
        <v>3679</v>
      </c>
      <c r="D858" t="s">
        <v>3680</v>
      </c>
      <c r="E858" t="s">
        <v>309</v>
      </c>
      <c r="F858" t="s">
        <v>3681</v>
      </c>
      <c r="G858" t="s">
        <v>3682</v>
      </c>
      <c r="H858" t="s">
        <v>321</v>
      </c>
      <c r="I858" t="s">
        <v>917</v>
      </c>
      <c r="J858" t="s">
        <v>204</v>
      </c>
      <c r="K858" t="s">
        <v>204</v>
      </c>
      <c r="L858" t="s">
        <v>325</v>
      </c>
      <c r="M858" t="s">
        <v>340</v>
      </c>
      <c r="N858" t="s">
        <v>451</v>
      </c>
      <c r="O858" t="s">
        <v>339</v>
      </c>
      <c r="P858" t="s">
        <v>1212</v>
      </c>
      <c r="Q858" s="131">
        <v>57028.92</v>
      </c>
      <c r="R858" s="131">
        <v>1</v>
      </c>
      <c r="S858" s="131">
        <v>10500</v>
      </c>
      <c r="U858" s="131">
        <v>5988.0370000000003</v>
      </c>
      <c r="V858" s="132">
        <v>1.08E-3</v>
      </c>
      <c r="W858" s="132">
        <f t="shared" si="13"/>
        <v>1.6692847286492778E-2</v>
      </c>
      <c r="X858" s="132">
        <v>1.7909415745289965E-3</v>
      </c>
    </row>
    <row r="859" spans="1:24">
      <c r="A859" t="s">
        <v>1213</v>
      </c>
      <c r="B859" s="4">
        <v>9302</v>
      </c>
      <c r="C859" t="s">
        <v>2436</v>
      </c>
      <c r="D859" t="s">
        <v>2437</v>
      </c>
      <c r="E859" t="s">
        <v>309</v>
      </c>
      <c r="F859" t="s">
        <v>2436</v>
      </c>
      <c r="G859" t="s">
        <v>3426</v>
      </c>
      <c r="H859" t="s">
        <v>321</v>
      </c>
      <c r="I859" t="s">
        <v>917</v>
      </c>
      <c r="J859" t="s">
        <v>204</v>
      </c>
      <c r="K859" t="s">
        <v>204</v>
      </c>
      <c r="L859" t="s">
        <v>325</v>
      </c>
      <c r="M859" t="s">
        <v>340</v>
      </c>
      <c r="N859" t="s">
        <v>475</v>
      </c>
      <c r="O859" t="s">
        <v>339</v>
      </c>
      <c r="P859" t="s">
        <v>1212</v>
      </c>
      <c r="Q859" s="131">
        <v>168200</v>
      </c>
      <c r="R859" s="131">
        <v>1</v>
      </c>
      <c r="S859" s="131">
        <v>3310</v>
      </c>
      <c r="U859" s="131">
        <v>5567.42</v>
      </c>
      <c r="V859" s="132">
        <v>6.0999999999999997E-4</v>
      </c>
      <c r="W859" s="132">
        <f t="shared" si="13"/>
        <v>1.5520293518521282E-2</v>
      </c>
      <c r="X859" s="132">
        <v>1.6651406697828061E-3</v>
      </c>
    </row>
    <row r="860" spans="1:24">
      <c r="A860" t="s">
        <v>1213</v>
      </c>
      <c r="B860" s="4">
        <v>9302</v>
      </c>
      <c r="C860" t="s">
        <v>2361</v>
      </c>
      <c r="D860" t="s">
        <v>2362</v>
      </c>
      <c r="E860" t="s">
        <v>309</v>
      </c>
      <c r="F860" t="s">
        <v>2361</v>
      </c>
      <c r="G860" t="s">
        <v>3440</v>
      </c>
      <c r="H860" t="s">
        <v>321</v>
      </c>
      <c r="I860" t="s">
        <v>917</v>
      </c>
      <c r="J860" t="s">
        <v>204</v>
      </c>
      <c r="K860" t="s">
        <v>204</v>
      </c>
      <c r="L860" t="s">
        <v>325</v>
      </c>
      <c r="M860" t="s">
        <v>340</v>
      </c>
      <c r="N860" t="s">
        <v>446</v>
      </c>
      <c r="O860" t="s">
        <v>339</v>
      </c>
      <c r="P860" t="s">
        <v>1212</v>
      </c>
      <c r="Q860" s="131">
        <v>7478</v>
      </c>
      <c r="R860" s="131">
        <v>1</v>
      </c>
      <c r="S860" s="131">
        <v>74080</v>
      </c>
      <c r="U860" s="131">
        <v>5539.7020000000002</v>
      </c>
      <c r="V860" s="132">
        <v>1.7000000000000001E-4</v>
      </c>
      <c r="W860" s="132">
        <f t="shared" si="13"/>
        <v>1.544302406592989E-2</v>
      </c>
      <c r="X860" s="132">
        <v>1.6568505876469084E-3</v>
      </c>
    </row>
    <row r="861" spans="1:24">
      <c r="A861" t="s">
        <v>1213</v>
      </c>
      <c r="B861" s="4">
        <v>9302</v>
      </c>
      <c r="C861" t="s">
        <v>2404</v>
      </c>
      <c r="D861" t="s">
        <v>2405</v>
      </c>
      <c r="E861" t="s">
        <v>309</v>
      </c>
      <c r="F861" t="s">
        <v>2404</v>
      </c>
      <c r="G861" t="s">
        <v>3418</v>
      </c>
      <c r="H861" t="s">
        <v>321</v>
      </c>
      <c r="I861" t="s">
        <v>917</v>
      </c>
      <c r="J861" t="s">
        <v>204</v>
      </c>
      <c r="K861" t="s">
        <v>204</v>
      </c>
      <c r="L861" t="s">
        <v>325</v>
      </c>
      <c r="M861" t="s">
        <v>340</v>
      </c>
      <c r="N861" t="s">
        <v>440</v>
      </c>
      <c r="O861" t="s">
        <v>339</v>
      </c>
      <c r="P861" t="s">
        <v>1212</v>
      </c>
      <c r="Q861" s="131">
        <v>176518.2</v>
      </c>
      <c r="R861" s="131">
        <v>1</v>
      </c>
      <c r="S861" s="131">
        <v>3016</v>
      </c>
      <c r="U861" s="131">
        <v>5323.7889999999998</v>
      </c>
      <c r="V861" s="132">
        <v>6.8999999999999997E-4</v>
      </c>
      <c r="W861" s="132">
        <f t="shared" si="13"/>
        <v>1.4841123520531034E-2</v>
      </c>
      <c r="X861" s="132">
        <v>1.5922739044732274E-3</v>
      </c>
    </row>
    <row r="862" spans="1:24">
      <c r="A862" t="s">
        <v>1213</v>
      </c>
      <c r="B862" s="4">
        <v>9302</v>
      </c>
      <c r="C862" t="s">
        <v>2195</v>
      </c>
      <c r="D862" t="s">
        <v>2196</v>
      </c>
      <c r="E862" t="s">
        <v>309</v>
      </c>
      <c r="F862" t="s">
        <v>3610</v>
      </c>
      <c r="G862" t="s">
        <v>3611</v>
      </c>
      <c r="H862" t="s">
        <v>321</v>
      </c>
      <c r="I862" t="s">
        <v>917</v>
      </c>
      <c r="J862" t="s">
        <v>204</v>
      </c>
      <c r="K862" t="s">
        <v>204</v>
      </c>
      <c r="L862" t="s">
        <v>325</v>
      </c>
      <c r="M862" t="s">
        <v>340</v>
      </c>
      <c r="N862" t="s">
        <v>445</v>
      </c>
      <c r="O862" t="s">
        <v>339</v>
      </c>
      <c r="P862" t="s">
        <v>1212</v>
      </c>
      <c r="Q862" s="131">
        <v>143692</v>
      </c>
      <c r="R862" s="131">
        <v>1</v>
      </c>
      <c r="S862" s="131">
        <v>3619</v>
      </c>
      <c r="U862" s="131">
        <v>5200.2129999999997</v>
      </c>
      <c r="V862" s="132">
        <v>6.4000000000000005E-4</v>
      </c>
      <c r="W862" s="132">
        <f t="shared" si="13"/>
        <v>1.4496630776702693E-2</v>
      </c>
      <c r="X862" s="132">
        <v>1.5553139798745658E-3</v>
      </c>
    </row>
    <row r="863" spans="1:24">
      <c r="A863" t="s">
        <v>1213</v>
      </c>
      <c r="B863" s="4">
        <v>9302</v>
      </c>
      <c r="C863" t="s">
        <v>2128</v>
      </c>
      <c r="D863" t="s">
        <v>2129</v>
      </c>
      <c r="E863" t="s">
        <v>309</v>
      </c>
      <c r="F863" t="s">
        <v>3419</v>
      </c>
      <c r="G863" t="s">
        <v>3420</v>
      </c>
      <c r="H863" t="s">
        <v>321</v>
      </c>
      <c r="I863" t="s">
        <v>917</v>
      </c>
      <c r="J863" t="s">
        <v>204</v>
      </c>
      <c r="K863" t="s">
        <v>204</v>
      </c>
      <c r="L863" t="s">
        <v>325</v>
      </c>
      <c r="M863" t="s">
        <v>340</v>
      </c>
      <c r="N863" t="s">
        <v>445</v>
      </c>
      <c r="O863" t="s">
        <v>339</v>
      </c>
      <c r="P863" t="s">
        <v>1212</v>
      </c>
      <c r="Q863" s="131">
        <v>122089.81</v>
      </c>
      <c r="R863" s="131">
        <v>1</v>
      </c>
      <c r="S863" s="131">
        <v>4200</v>
      </c>
      <c r="U863" s="131">
        <v>5127.7719999999999</v>
      </c>
      <c r="V863" s="132">
        <v>4.6999999999999999E-4</v>
      </c>
      <c r="W863" s="132">
        <f t="shared" si="13"/>
        <v>1.4294687042841193E-2</v>
      </c>
      <c r="X863" s="132">
        <v>1.5336478481187911E-3</v>
      </c>
    </row>
    <row r="864" spans="1:24">
      <c r="A864" t="s">
        <v>1213</v>
      </c>
      <c r="B864" s="4">
        <v>9302</v>
      </c>
      <c r="C864" t="s">
        <v>3423</v>
      </c>
      <c r="D864" t="s">
        <v>3424</v>
      </c>
      <c r="E864" t="s">
        <v>309</v>
      </c>
      <c r="F864" t="s">
        <v>3423</v>
      </c>
      <c r="G864" t="s">
        <v>3425</v>
      </c>
      <c r="H864" t="s">
        <v>321</v>
      </c>
      <c r="I864" t="s">
        <v>917</v>
      </c>
      <c r="J864" t="s">
        <v>204</v>
      </c>
      <c r="K864" t="s">
        <v>204</v>
      </c>
      <c r="L864" t="s">
        <v>325</v>
      </c>
      <c r="M864" t="s">
        <v>340</v>
      </c>
      <c r="N864" t="s">
        <v>458</v>
      </c>
      <c r="O864" t="s">
        <v>339</v>
      </c>
      <c r="P864" t="s">
        <v>1212</v>
      </c>
      <c r="Q864" s="131">
        <v>28079</v>
      </c>
      <c r="R864" s="131">
        <v>1</v>
      </c>
      <c r="S864" s="131">
        <v>16470</v>
      </c>
      <c r="U864" s="131">
        <v>4624.6109999999999</v>
      </c>
      <c r="V864" s="132">
        <v>2.5000000000000001E-4</v>
      </c>
      <c r="W864" s="132">
        <f t="shared" si="13"/>
        <v>1.2892025413743211E-2</v>
      </c>
      <c r="X864" s="132">
        <v>1.3831591397855619E-3</v>
      </c>
    </row>
    <row r="865" spans="1:24">
      <c r="A865" t="s">
        <v>1213</v>
      </c>
      <c r="B865" s="4">
        <v>9302</v>
      </c>
      <c r="C865" t="s">
        <v>2178</v>
      </c>
      <c r="D865" t="s">
        <v>2179</v>
      </c>
      <c r="E865" t="s">
        <v>309</v>
      </c>
      <c r="F865" t="s">
        <v>2178</v>
      </c>
      <c r="G865" t="s">
        <v>3609</v>
      </c>
      <c r="H865" t="s">
        <v>321</v>
      </c>
      <c r="I865" t="s">
        <v>917</v>
      </c>
      <c r="J865" t="s">
        <v>204</v>
      </c>
      <c r="K865" t="s">
        <v>204</v>
      </c>
      <c r="L865" t="s">
        <v>325</v>
      </c>
      <c r="M865" t="s">
        <v>340</v>
      </c>
      <c r="N865" t="s">
        <v>464</v>
      </c>
      <c r="O865" t="s">
        <v>339</v>
      </c>
      <c r="P865" t="s">
        <v>1212</v>
      </c>
      <c r="Q865" s="131">
        <v>154112</v>
      </c>
      <c r="R865" s="131">
        <v>1</v>
      </c>
      <c r="S865" s="131">
        <v>2855</v>
      </c>
      <c r="U865" s="131">
        <v>4399.8980000000001</v>
      </c>
      <c r="V865" s="132">
        <v>8.0000000000000004E-4</v>
      </c>
      <c r="W865" s="132">
        <f t="shared" si="13"/>
        <v>1.2265593113426822E-2</v>
      </c>
      <c r="X865" s="132">
        <v>1.3159504946089983E-3</v>
      </c>
    </row>
    <row r="866" spans="1:24">
      <c r="A866" t="s">
        <v>1213</v>
      </c>
      <c r="B866" s="4">
        <v>9302</v>
      </c>
      <c r="C866" t="s">
        <v>2145</v>
      </c>
      <c r="D866" t="s">
        <v>2146</v>
      </c>
      <c r="E866" t="s">
        <v>309</v>
      </c>
      <c r="F866" t="s">
        <v>3612</v>
      </c>
      <c r="G866" t="s">
        <v>3613</v>
      </c>
      <c r="H866" t="s">
        <v>321</v>
      </c>
      <c r="I866" t="s">
        <v>917</v>
      </c>
      <c r="J866" t="s">
        <v>204</v>
      </c>
      <c r="K866" t="s">
        <v>204</v>
      </c>
      <c r="L866" t="s">
        <v>325</v>
      </c>
      <c r="M866" t="s">
        <v>340</v>
      </c>
      <c r="N866" t="s">
        <v>445</v>
      </c>
      <c r="O866" t="s">
        <v>339</v>
      </c>
      <c r="P866" t="s">
        <v>1212</v>
      </c>
      <c r="Q866" s="131">
        <v>68203.460000000006</v>
      </c>
      <c r="R866" s="131">
        <v>1</v>
      </c>
      <c r="S866" s="131">
        <v>6329</v>
      </c>
      <c r="U866" s="131">
        <v>4316.5969999999998</v>
      </c>
      <c r="V866" s="132">
        <v>8.5999999999999998E-4</v>
      </c>
      <c r="W866" s="132">
        <f t="shared" si="13"/>
        <v>1.2033374963837542E-2</v>
      </c>
      <c r="X866" s="132">
        <v>1.2910362824723931E-3</v>
      </c>
    </row>
    <row r="867" spans="1:24">
      <c r="A867" t="s">
        <v>1213</v>
      </c>
      <c r="B867" s="4">
        <v>9302</v>
      </c>
      <c r="C867" t="s">
        <v>2454</v>
      </c>
      <c r="D867" t="s">
        <v>2455</v>
      </c>
      <c r="E867" t="s">
        <v>309</v>
      </c>
      <c r="F867" t="s">
        <v>2454</v>
      </c>
      <c r="G867" t="s">
        <v>3618</v>
      </c>
      <c r="H867" t="s">
        <v>321</v>
      </c>
      <c r="I867" t="s">
        <v>917</v>
      </c>
      <c r="J867" t="s">
        <v>204</v>
      </c>
      <c r="K867" t="s">
        <v>204</v>
      </c>
      <c r="L867" t="s">
        <v>325</v>
      </c>
      <c r="M867" t="s">
        <v>340</v>
      </c>
      <c r="N867" t="s">
        <v>478</v>
      </c>
      <c r="O867" t="s">
        <v>339</v>
      </c>
      <c r="P867" t="s">
        <v>1212</v>
      </c>
      <c r="Q867" s="131">
        <v>304576</v>
      </c>
      <c r="R867" s="131">
        <v>1</v>
      </c>
      <c r="S867" s="131">
        <v>1373</v>
      </c>
      <c r="U867" s="131">
        <v>4181.8280000000004</v>
      </c>
      <c r="V867" s="132">
        <v>1.5200000000000001E-3</v>
      </c>
      <c r="W867" s="132">
        <f t="shared" si="13"/>
        <v>1.165767950037375E-2</v>
      </c>
      <c r="X867" s="132">
        <v>1.25072868165802E-3</v>
      </c>
    </row>
    <row r="868" spans="1:24">
      <c r="A868" t="s">
        <v>1213</v>
      </c>
      <c r="B868" s="4">
        <v>9302</v>
      </c>
      <c r="C868" t="s">
        <v>2973</v>
      </c>
      <c r="D868" t="s">
        <v>2974</v>
      </c>
      <c r="E868" t="s">
        <v>309</v>
      </c>
      <c r="F868" t="s">
        <v>2973</v>
      </c>
      <c r="G868" t="s">
        <v>3843</v>
      </c>
      <c r="H868" t="s">
        <v>321</v>
      </c>
      <c r="I868" t="s">
        <v>917</v>
      </c>
      <c r="J868" t="s">
        <v>204</v>
      </c>
      <c r="K868" t="s">
        <v>204</v>
      </c>
      <c r="L868" t="s">
        <v>325</v>
      </c>
      <c r="M868" t="s">
        <v>340</v>
      </c>
      <c r="N868" t="s">
        <v>458</v>
      </c>
      <c r="O868" t="s">
        <v>339</v>
      </c>
      <c r="P868" t="s">
        <v>1212</v>
      </c>
      <c r="Q868" s="131">
        <v>25566</v>
      </c>
      <c r="R868" s="131">
        <v>1</v>
      </c>
      <c r="S868" s="131">
        <v>15700</v>
      </c>
      <c r="U868" s="131">
        <v>4013.8620000000001</v>
      </c>
      <c r="V868" s="132">
        <v>1.97E-3</v>
      </c>
      <c r="W868" s="132">
        <f t="shared" si="13"/>
        <v>1.1189440779182974E-2</v>
      </c>
      <c r="X868" s="132">
        <v>1.2004923032743629E-3</v>
      </c>
    </row>
    <row r="869" spans="1:24">
      <c r="A869" t="s">
        <v>1213</v>
      </c>
      <c r="B869" s="4">
        <v>9302</v>
      </c>
      <c r="C869" t="s">
        <v>3861</v>
      </c>
      <c r="D869" t="s">
        <v>3862</v>
      </c>
      <c r="E869" t="s">
        <v>309</v>
      </c>
      <c r="F869" t="s">
        <v>3861</v>
      </c>
      <c r="G869" t="s">
        <v>3863</v>
      </c>
      <c r="H869" t="s">
        <v>321</v>
      </c>
      <c r="I869" t="s">
        <v>917</v>
      </c>
      <c r="J869" t="s">
        <v>204</v>
      </c>
      <c r="K869" t="s">
        <v>204</v>
      </c>
      <c r="L869" t="s">
        <v>325</v>
      </c>
      <c r="M869" t="s">
        <v>340</v>
      </c>
      <c r="N869" t="s">
        <v>439</v>
      </c>
      <c r="O869" t="s">
        <v>339</v>
      </c>
      <c r="P869" t="s">
        <v>1212</v>
      </c>
      <c r="Q869" s="131">
        <v>77003</v>
      </c>
      <c r="R869" s="131">
        <v>1</v>
      </c>
      <c r="S869" s="131">
        <v>4823</v>
      </c>
      <c r="U869" s="131">
        <v>3713.855</v>
      </c>
      <c r="V869" s="132">
        <v>3.1099999999999999E-3</v>
      </c>
      <c r="W869" s="132">
        <f t="shared" si="13"/>
        <v>1.0353111438552842E-2</v>
      </c>
      <c r="X869" s="132">
        <v>1.1107642322972264E-3</v>
      </c>
    </row>
    <row r="870" spans="1:24">
      <c r="A870" t="s">
        <v>1213</v>
      </c>
      <c r="B870" s="4">
        <v>9302</v>
      </c>
      <c r="C870" t="s">
        <v>2428</v>
      </c>
      <c r="D870" t="s">
        <v>2429</v>
      </c>
      <c r="E870" t="s">
        <v>309</v>
      </c>
      <c r="F870" t="s">
        <v>2428</v>
      </c>
      <c r="G870" t="s">
        <v>3459</v>
      </c>
      <c r="H870" t="s">
        <v>321</v>
      </c>
      <c r="I870" t="s">
        <v>917</v>
      </c>
      <c r="J870" t="s">
        <v>204</v>
      </c>
      <c r="K870" t="s">
        <v>204</v>
      </c>
      <c r="L870" t="s">
        <v>325</v>
      </c>
      <c r="M870" t="s">
        <v>340</v>
      </c>
      <c r="N870" t="s">
        <v>454</v>
      </c>
      <c r="O870" t="s">
        <v>339</v>
      </c>
      <c r="P870" t="s">
        <v>1212</v>
      </c>
      <c r="Q870" s="131">
        <v>2065847.54</v>
      </c>
      <c r="R870" s="131">
        <v>1</v>
      </c>
      <c r="S870" s="131">
        <v>161.9</v>
      </c>
      <c r="U870" s="131">
        <v>3344.607</v>
      </c>
      <c r="V870" s="132">
        <v>8.0000000000000004E-4</v>
      </c>
      <c r="W870" s="132">
        <f t="shared" si="13"/>
        <v>9.323759002213038E-3</v>
      </c>
      <c r="X870" s="132">
        <v>1.000327106656272E-3</v>
      </c>
    </row>
    <row r="871" spans="1:24">
      <c r="A871" t="s">
        <v>1213</v>
      </c>
      <c r="B871" s="4">
        <v>9302</v>
      </c>
      <c r="C871" t="s">
        <v>1660</v>
      </c>
      <c r="D871" t="s">
        <v>1661</v>
      </c>
      <c r="E871" t="s">
        <v>309</v>
      </c>
      <c r="F871" t="s">
        <v>1660</v>
      </c>
      <c r="G871" t="s">
        <v>3869</v>
      </c>
      <c r="H871" t="s">
        <v>321</v>
      </c>
      <c r="I871" t="s">
        <v>917</v>
      </c>
      <c r="J871" t="s">
        <v>204</v>
      </c>
      <c r="K871" t="s">
        <v>204</v>
      </c>
      <c r="L871" t="s">
        <v>325</v>
      </c>
      <c r="M871" t="s">
        <v>340</v>
      </c>
      <c r="N871" t="s">
        <v>451</v>
      </c>
      <c r="O871" t="s">
        <v>339</v>
      </c>
      <c r="P871" t="s">
        <v>1212</v>
      </c>
      <c r="Q871" s="131">
        <v>867608</v>
      </c>
      <c r="R871" s="131">
        <v>1</v>
      </c>
      <c r="S871" s="131">
        <v>382.7</v>
      </c>
      <c r="U871" s="131">
        <v>3320.3359999999998</v>
      </c>
      <c r="V871" s="132">
        <v>3.3899999999999998E-3</v>
      </c>
      <c r="W871" s="132">
        <f t="shared" si="13"/>
        <v>9.2560987495308202E-3</v>
      </c>
      <c r="X871" s="132">
        <v>9.9306797600036694E-4</v>
      </c>
    </row>
    <row r="872" spans="1:24">
      <c r="A872" t="s">
        <v>1213</v>
      </c>
      <c r="B872" s="4">
        <v>9302</v>
      </c>
      <c r="C872" t="s">
        <v>1825</v>
      </c>
      <c r="D872" t="s">
        <v>1826</v>
      </c>
      <c r="E872" t="s">
        <v>309</v>
      </c>
      <c r="F872" t="s">
        <v>3864</v>
      </c>
      <c r="G872" t="s">
        <v>3865</v>
      </c>
      <c r="H872" t="s">
        <v>321</v>
      </c>
      <c r="I872" t="s">
        <v>917</v>
      </c>
      <c r="J872" t="s">
        <v>204</v>
      </c>
      <c r="K872" t="s">
        <v>204</v>
      </c>
      <c r="L872" t="s">
        <v>325</v>
      </c>
      <c r="M872" t="s">
        <v>340</v>
      </c>
      <c r="N872" t="s">
        <v>441</v>
      </c>
      <c r="O872" t="s">
        <v>339</v>
      </c>
      <c r="P872" t="s">
        <v>1212</v>
      </c>
      <c r="Q872" s="131">
        <v>68816</v>
      </c>
      <c r="R872" s="131">
        <v>1</v>
      </c>
      <c r="S872" s="131">
        <v>4541</v>
      </c>
      <c r="U872" s="131">
        <v>3124.9349999999999</v>
      </c>
      <c r="V872" s="132">
        <v>5.2500000000000003E-3</v>
      </c>
      <c r="W872" s="132">
        <f t="shared" si="13"/>
        <v>8.7113794946852043E-3</v>
      </c>
      <c r="X872" s="132">
        <v>9.3462615698613235E-4</v>
      </c>
    </row>
    <row r="873" spans="1:24">
      <c r="A873" t="s">
        <v>1213</v>
      </c>
      <c r="B873" s="4">
        <v>9302</v>
      </c>
      <c r="C873" t="s">
        <v>3866</v>
      </c>
      <c r="D873" t="s">
        <v>3867</v>
      </c>
      <c r="E873" t="s">
        <v>309</v>
      </c>
      <c r="F873" t="s">
        <v>3866</v>
      </c>
      <c r="G873" t="s">
        <v>3868</v>
      </c>
      <c r="H873" t="s">
        <v>321</v>
      </c>
      <c r="I873" t="s">
        <v>917</v>
      </c>
      <c r="J873" t="s">
        <v>204</v>
      </c>
      <c r="K873" t="s">
        <v>204</v>
      </c>
      <c r="L873" t="s">
        <v>325</v>
      </c>
      <c r="M873" t="s">
        <v>340</v>
      </c>
      <c r="N873" t="s">
        <v>451</v>
      </c>
      <c r="O873" t="s">
        <v>339</v>
      </c>
      <c r="P873" t="s">
        <v>1212</v>
      </c>
      <c r="Q873" s="131">
        <v>18563</v>
      </c>
      <c r="R873" s="131">
        <v>1</v>
      </c>
      <c r="S873" s="131">
        <v>16700</v>
      </c>
      <c r="U873" s="131">
        <v>3100.0210000000002</v>
      </c>
      <c r="V873" s="132">
        <v>1.7600000000000001E-3</v>
      </c>
      <c r="W873" s="132">
        <f t="shared" si="13"/>
        <v>8.6419267512743547E-3</v>
      </c>
      <c r="X873" s="132">
        <v>9.2717471365206237E-4</v>
      </c>
    </row>
    <row r="874" spans="1:24">
      <c r="A874" t="s">
        <v>1213</v>
      </c>
      <c r="B874" s="4">
        <v>9302</v>
      </c>
      <c r="C874" t="s">
        <v>3642</v>
      </c>
      <c r="D874" t="s">
        <v>3643</v>
      </c>
      <c r="E874" t="s">
        <v>309</v>
      </c>
      <c r="F874" t="s">
        <v>3642</v>
      </c>
      <c r="G874" t="s">
        <v>3644</v>
      </c>
      <c r="H874" t="s">
        <v>321</v>
      </c>
      <c r="I874" t="s">
        <v>917</v>
      </c>
      <c r="J874" t="s">
        <v>204</v>
      </c>
      <c r="K874" t="s">
        <v>204</v>
      </c>
      <c r="L874" t="s">
        <v>325</v>
      </c>
      <c r="M874" t="s">
        <v>340</v>
      </c>
      <c r="N874" t="s">
        <v>445</v>
      </c>
      <c r="O874" t="s">
        <v>339</v>
      </c>
      <c r="P874" t="s">
        <v>1212</v>
      </c>
      <c r="Q874" s="131">
        <v>601833.6</v>
      </c>
      <c r="R874" s="131">
        <v>1</v>
      </c>
      <c r="S874" s="131">
        <v>508.2</v>
      </c>
      <c r="U874" s="131">
        <v>3058.518</v>
      </c>
      <c r="V874" s="132">
        <v>5.6999999999999998E-4</v>
      </c>
      <c r="W874" s="132">
        <f t="shared" si="13"/>
        <v>8.5262288621445262E-3</v>
      </c>
      <c r="X874" s="132">
        <v>9.1476172285596719E-4</v>
      </c>
    </row>
    <row r="875" spans="1:24">
      <c r="A875" t="s">
        <v>1213</v>
      </c>
      <c r="B875" s="4">
        <v>9302</v>
      </c>
      <c r="C875" t="s">
        <v>3660</v>
      </c>
      <c r="D875" t="s">
        <v>3661</v>
      </c>
      <c r="E875" t="s">
        <v>309</v>
      </c>
      <c r="F875" t="s">
        <v>3660</v>
      </c>
      <c r="G875" t="s">
        <v>3662</v>
      </c>
      <c r="H875" t="s">
        <v>321</v>
      </c>
      <c r="I875" t="s">
        <v>917</v>
      </c>
      <c r="J875" t="s">
        <v>204</v>
      </c>
      <c r="K875" t="s">
        <v>204</v>
      </c>
      <c r="L875" t="s">
        <v>325</v>
      </c>
      <c r="M875" t="s">
        <v>340</v>
      </c>
      <c r="N875" t="s">
        <v>459</v>
      </c>
      <c r="O875" t="s">
        <v>339</v>
      </c>
      <c r="P875" t="s">
        <v>1212</v>
      </c>
      <c r="Q875" s="131">
        <v>170096</v>
      </c>
      <c r="R875" s="131">
        <v>1</v>
      </c>
      <c r="S875" s="131">
        <v>1757</v>
      </c>
      <c r="U875" s="131">
        <v>2988.587</v>
      </c>
      <c r="V875" s="132">
        <v>1.6900000000000001E-3</v>
      </c>
      <c r="W875" s="132">
        <f t="shared" si="13"/>
        <v>8.3312822538333664E-3</v>
      </c>
      <c r="X875" s="132">
        <v>8.9384629844419634E-4</v>
      </c>
    </row>
    <row r="876" spans="1:24">
      <c r="A876" t="s">
        <v>1213</v>
      </c>
      <c r="B876" s="4">
        <v>9302</v>
      </c>
      <c r="C876" t="s">
        <v>3498</v>
      </c>
      <c r="D876" t="s">
        <v>3499</v>
      </c>
      <c r="E876" t="s">
        <v>309</v>
      </c>
      <c r="F876" t="s">
        <v>3500</v>
      </c>
      <c r="G876" t="s">
        <v>3501</v>
      </c>
      <c r="H876" t="s">
        <v>321</v>
      </c>
      <c r="I876" t="s">
        <v>917</v>
      </c>
      <c r="J876" t="s">
        <v>204</v>
      </c>
      <c r="K876" t="s">
        <v>204</v>
      </c>
      <c r="L876" t="s">
        <v>325</v>
      </c>
      <c r="M876" t="s">
        <v>340</v>
      </c>
      <c r="N876" t="s">
        <v>476</v>
      </c>
      <c r="O876" t="s">
        <v>339</v>
      </c>
      <c r="P876" t="s">
        <v>1212</v>
      </c>
      <c r="Q876" s="131">
        <v>55245</v>
      </c>
      <c r="R876" s="131">
        <v>1</v>
      </c>
      <c r="S876" s="131">
        <v>5029</v>
      </c>
      <c r="U876" s="131">
        <v>2778.2710000000002</v>
      </c>
      <c r="V876" s="132">
        <v>7.6999999999999996E-4</v>
      </c>
      <c r="W876" s="132">
        <f t="shared" si="13"/>
        <v>7.7449844621019512E-3</v>
      </c>
      <c r="X876" s="132">
        <v>8.3094360292166691E-4</v>
      </c>
    </row>
    <row r="877" spans="1:24">
      <c r="A877" t="s">
        <v>1213</v>
      </c>
      <c r="B877" s="4">
        <v>9302</v>
      </c>
      <c r="C877" t="s">
        <v>2238</v>
      </c>
      <c r="D877" t="s">
        <v>2239</v>
      </c>
      <c r="E877" t="s">
        <v>309</v>
      </c>
      <c r="F877" t="s">
        <v>2238</v>
      </c>
      <c r="G877" t="s">
        <v>3785</v>
      </c>
      <c r="H877" t="s">
        <v>321</v>
      </c>
      <c r="I877" t="s">
        <v>917</v>
      </c>
      <c r="J877" t="s">
        <v>204</v>
      </c>
      <c r="K877" t="s">
        <v>204</v>
      </c>
      <c r="L877" t="s">
        <v>325</v>
      </c>
      <c r="M877" t="s">
        <v>340</v>
      </c>
      <c r="N877" t="s">
        <v>447</v>
      </c>
      <c r="O877" t="s">
        <v>339</v>
      </c>
      <c r="P877" t="s">
        <v>1212</v>
      </c>
      <c r="Q877" s="131">
        <v>8284</v>
      </c>
      <c r="R877" s="131">
        <v>1</v>
      </c>
      <c r="S877" s="131">
        <v>33200</v>
      </c>
      <c r="U877" s="131">
        <v>2750.288</v>
      </c>
      <c r="V877" s="132">
        <v>4.2000000000000002E-4</v>
      </c>
      <c r="W877" s="132">
        <f t="shared" si="13"/>
        <v>7.6669762691636088E-3</v>
      </c>
      <c r="X877" s="132">
        <v>8.2257426283909138E-4</v>
      </c>
    </row>
    <row r="878" spans="1:24">
      <c r="A878" t="s">
        <v>1213</v>
      </c>
      <c r="B878" s="4">
        <v>9302</v>
      </c>
      <c r="C878" t="s">
        <v>3694</v>
      </c>
      <c r="D878" t="s">
        <v>3695</v>
      </c>
      <c r="E878" t="s">
        <v>309</v>
      </c>
      <c r="F878" t="s">
        <v>3694</v>
      </c>
      <c r="G878" t="s">
        <v>3696</v>
      </c>
      <c r="H878" t="s">
        <v>321</v>
      </c>
      <c r="I878" t="s">
        <v>917</v>
      </c>
      <c r="J878" t="s">
        <v>204</v>
      </c>
      <c r="K878" t="s">
        <v>204</v>
      </c>
      <c r="L878" t="s">
        <v>325</v>
      </c>
      <c r="M878" t="s">
        <v>340</v>
      </c>
      <c r="N878" t="s">
        <v>451</v>
      </c>
      <c r="O878" t="s">
        <v>339</v>
      </c>
      <c r="P878" t="s">
        <v>1212</v>
      </c>
      <c r="Q878" s="131">
        <v>24737.68</v>
      </c>
      <c r="R878" s="131">
        <v>1</v>
      </c>
      <c r="S878" s="131">
        <v>11080</v>
      </c>
      <c r="U878" s="131">
        <v>2740.9349999999999</v>
      </c>
      <c r="V878" s="132">
        <v>7.1000000000000002E-4</v>
      </c>
      <c r="W878" s="132">
        <f t="shared" si="13"/>
        <v>7.6409029164654597E-3</v>
      </c>
      <c r="X878" s="132">
        <v>8.1977690595125491E-4</v>
      </c>
    </row>
    <row r="879" spans="1:24">
      <c r="A879" t="s">
        <v>1213</v>
      </c>
      <c r="B879" s="4">
        <v>9302</v>
      </c>
      <c r="C879" t="s">
        <v>2328</v>
      </c>
      <c r="D879" t="s">
        <v>2329</v>
      </c>
      <c r="E879" t="s">
        <v>309</v>
      </c>
      <c r="F879" t="s">
        <v>2328</v>
      </c>
      <c r="G879" t="s">
        <v>3639</v>
      </c>
      <c r="H879" t="s">
        <v>321</v>
      </c>
      <c r="I879" t="s">
        <v>917</v>
      </c>
      <c r="J879" t="s">
        <v>204</v>
      </c>
      <c r="K879" t="s">
        <v>204</v>
      </c>
      <c r="L879" t="s">
        <v>325</v>
      </c>
      <c r="M879" t="s">
        <v>340</v>
      </c>
      <c r="N879" t="s">
        <v>465</v>
      </c>
      <c r="O879" t="s">
        <v>339</v>
      </c>
      <c r="P879" t="s">
        <v>1212</v>
      </c>
      <c r="Q879" s="131">
        <v>46413.2</v>
      </c>
      <c r="R879" s="131">
        <v>1</v>
      </c>
      <c r="S879" s="131">
        <v>5570</v>
      </c>
      <c r="U879" s="131">
        <v>2585.2150000000001</v>
      </c>
      <c r="V879" s="132">
        <v>6.3000000000000003E-4</v>
      </c>
      <c r="W879" s="132">
        <f t="shared" si="13"/>
        <v>7.2068023624019739E-3</v>
      </c>
      <c r="X879" s="132">
        <v>7.7320314196388225E-4</v>
      </c>
    </row>
    <row r="880" spans="1:24">
      <c r="A880" t="s">
        <v>1213</v>
      </c>
      <c r="B880" s="4">
        <v>9302</v>
      </c>
      <c r="C880" t="s">
        <v>3455</v>
      </c>
      <c r="D880" t="s">
        <v>3456</v>
      </c>
      <c r="E880" t="s">
        <v>309</v>
      </c>
      <c r="F880" t="s">
        <v>3457</v>
      </c>
      <c r="G880" t="s">
        <v>3458</v>
      </c>
      <c r="H880" t="s">
        <v>321</v>
      </c>
      <c r="I880" t="s">
        <v>917</v>
      </c>
      <c r="J880" t="s">
        <v>204</v>
      </c>
      <c r="K880" t="s">
        <v>204</v>
      </c>
      <c r="L880" t="s">
        <v>327</v>
      </c>
      <c r="M880" t="s">
        <v>340</v>
      </c>
      <c r="N880" t="s">
        <v>455</v>
      </c>
      <c r="O880" t="s">
        <v>339</v>
      </c>
      <c r="P880" t="s">
        <v>1212</v>
      </c>
      <c r="Q880" s="131">
        <v>1480</v>
      </c>
      <c r="R880" s="131">
        <v>1</v>
      </c>
      <c r="S880" s="131">
        <f>U880*1000/Q880*100</f>
        <v>5648.653670063507</v>
      </c>
      <c r="U880" s="131">
        <f>83600.0743169399/1000</f>
        <v>83.60007431693991</v>
      </c>
      <c r="V880" s="132">
        <v>3.3300000000000001E-3</v>
      </c>
      <c r="W880" s="132">
        <f t="shared" si="13"/>
        <v>2.3305187888988078E-4</v>
      </c>
      <c r="X880" s="132">
        <v>2.5003661254585015E-5</v>
      </c>
    </row>
    <row r="881" spans="1:24">
      <c r="A881" t="s">
        <v>1213</v>
      </c>
      <c r="B881" s="4">
        <v>9302</v>
      </c>
      <c r="C881" t="s">
        <v>1534</v>
      </c>
      <c r="D881" t="s">
        <v>1535</v>
      </c>
      <c r="E881" t="s">
        <v>309</v>
      </c>
      <c r="F881" t="s">
        <v>1534</v>
      </c>
      <c r="G881" t="s">
        <v>3509</v>
      </c>
      <c r="H881" t="s">
        <v>321</v>
      </c>
      <c r="I881" t="s">
        <v>917</v>
      </c>
      <c r="J881" t="s">
        <v>204</v>
      </c>
      <c r="K881" t="s">
        <v>204</v>
      </c>
      <c r="L881" t="s">
        <v>325</v>
      </c>
      <c r="M881" t="s">
        <v>340</v>
      </c>
      <c r="N881" t="s">
        <v>464</v>
      </c>
      <c r="O881" t="s">
        <v>339</v>
      </c>
      <c r="P881" t="s">
        <v>1212</v>
      </c>
      <c r="Q881" s="131">
        <v>137972.96</v>
      </c>
      <c r="R881" s="131">
        <v>1</v>
      </c>
      <c r="S881" s="131">
        <v>1609</v>
      </c>
      <c r="U881" s="131">
        <v>2219.9850000000001</v>
      </c>
      <c r="V881" s="132">
        <v>2.9E-4</v>
      </c>
      <c r="W881" s="132">
        <f t="shared" si="13"/>
        <v>6.1886509023415638E-3</v>
      </c>
      <c r="X881" s="132">
        <v>6.6396774624651695E-4</v>
      </c>
    </row>
    <row r="882" spans="1:24">
      <c r="A882" t="s">
        <v>1213</v>
      </c>
      <c r="B882" s="4">
        <v>9302</v>
      </c>
      <c r="C882" t="s">
        <v>1973</v>
      </c>
      <c r="D882" t="s">
        <v>1974</v>
      </c>
      <c r="E882" t="s">
        <v>309</v>
      </c>
      <c r="F882" t="s">
        <v>3512</v>
      </c>
      <c r="G882" t="s">
        <v>3513</v>
      </c>
      <c r="H882" t="s">
        <v>321</v>
      </c>
      <c r="I882" t="s">
        <v>917</v>
      </c>
      <c r="J882" t="s">
        <v>204</v>
      </c>
      <c r="K882" t="s">
        <v>204</v>
      </c>
      <c r="L882" t="s">
        <v>325</v>
      </c>
      <c r="M882" t="s">
        <v>340</v>
      </c>
      <c r="N882" t="s">
        <v>464</v>
      </c>
      <c r="O882" t="s">
        <v>339</v>
      </c>
      <c r="P882" t="s">
        <v>1212</v>
      </c>
      <c r="Q882" s="131">
        <v>214106.72</v>
      </c>
      <c r="R882" s="131">
        <v>1</v>
      </c>
      <c r="S882" s="131">
        <v>954</v>
      </c>
      <c r="U882" s="131">
        <v>2042.578</v>
      </c>
      <c r="V882" s="132">
        <v>2.9E-4</v>
      </c>
      <c r="W882" s="132">
        <f t="shared" si="13"/>
        <v>5.6940935109034644E-3</v>
      </c>
      <c r="X882" s="132">
        <v>6.1090769135499468E-4</v>
      </c>
    </row>
    <row r="883" spans="1:24">
      <c r="A883" t="s">
        <v>1213</v>
      </c>
      <c r="B883" s="4">
        <v>9302</v>
      </c>
      <c r="C883" t="s">
        <v>3870</v>
      </c>
      <c r="D883" t="s">
        <v>3871</v>
      </c>
      <c r="E883" t="s">
        <v>309</v>
      </c>
      <c r="F883" t="s">
        <v>3872</v>
      </c>
      <c r="G883" t="s">
        <v>3873</v>
      </c>
      <c r="H883" t="s">
        <v>321</v>
      </c>
      <c r="I883" t="s">
        <v>917</v>
      </c>
      <c r="J883" t="s">
        <v>204</v>
      </c>
      <c r="K883" t="s">
        <v>204</v>
      </c>
      <c r="L883" t="s">
        <v>325</v>
      </c>
      <c r="M883" t="s">
        <v>340</v>
      </c>
      <c r="N883" t="s">
        <v>462</v>
      </c>
      <c r="O883" t="s">
        <v>339</v>
      </c>
      <c r="P883" t="s">
        <v>1212</v>
      </c>
      <c r="Q883" s="131">
        <v>52681</v>
      </c>
      <c r="R883" s="131">
        <v>1</v>
      </c>
      <c r="S883" s="131">
        <v>3248</v>
      </c>
      <c r="U883" s="131">
        <v>1711.079</v>
      </c>
      <c r="V883" s="132">
        <v>1.92E-3</v>
      </c>
      <c r="W883" s="132">
        <f t="shared" si="13"/>
        <v>4.7699739400616226E-3</v>
      </c>
      <c r="X883" s="132">
        <v>5.1176078544663307E-4</v>
      </c>
    </row>
    <row r="884" spans="1:24">
      <c r="A884" t="s">
        <v>1213</v>
      </c>
      <c r="B884" s="4">
        <v>9302</v>
      </c>
      <c r="C884" t="s">
        <v>2771</v>
      </c>
      <c r="D884" t="s">
        <v>2772</v>
      </c>
      <c r="E884" t="s">
        <v>309</v>
      </c>
      <c r="F884" t="s">
        <v>2771</v>
      </c>
      <c r="G884" t="s">
        <v>3842</v>
      </c>
      <c r="H884" t="s">
        <v>321</v>
      </c>
      <c r="I884" t="s">
        <v>917</v>
      </c>
      <c r="J884" t="s">
        <v>204</v>
      </c>
      <c r="K884" t="s">
        <v>204</v>
      </c>
      <c r="L884" t="s">
        <v>325</v>
      </c>
      <c r="M884" t="s">
        <v>340</v>
      </c>
      <c r="N884" t="s">
        <v>447</v>
      </c>
      <c r="O884" t="s">
        <v>339</v>
      </c>
      <c r="P884" t="s">
        <v>1212</v>
      </c>
      <c r="Q884" s="131">
        <v>87898</v>
      </c>
      <c r="R884" s="131">
        <v>1</v>
      </c>
      <c r="S884" s="131">
        <v>1750</v>
      </c>
      <c r="U884" s="131">
        <v>1538.2149999999999</v>
      </c>
      <c r="V884" s="132">
        <v>4.2000000000000002E-4</v>
      </c>
      <c r="W884" s="132">
        <f t="shared" si="13"/>
        <v>4.2880810670996999E-3</v>
      </c>
      <c r="X884" s="132">
        <v>4.6005948093909906E-4</v>
      </c>
    </row>
    <row r="885" spans="1:24">
      <c r="A885" t="s">
        <v>1213</v>
      </c>
      <c r="B885" s="4">
        <v>9302</v>
      </c>
      <c r="C885" t="s">
        <v>3905</v>
      </c>
      <c r="D885" t="s">
        <v>3906</v>
      </c>
      <c r="E885" t="s">
        <v>309</v>
      </c>
      <c r="F885" t="s">
        <v>3907</v>
      </c>
      <c r="G885" t="s">
        <v>3908</v>
      </c>
      <c r="H885" t="s">
        <v>321</v>
      </c>
      <c r="I885" t="s">
        <v>917</v>
      </c>
      <c r="J885" t="s">
        <v>204</v>
      </c>
      <c r="K885" t="s">
        <v>204</v>
      </c>
      <c r="L885" t="s">
        <v>325</v>
      </c>
      <c r="M885" t="s">
        <v>340</v>
      </c>
      <c r="N885" t="s">
        <v>477</v>
      </c>
      <c r="O885" t="s">
        <v>339</v>
      </c>
      <c r="P885" t="s">
        <v>1212</v>
      </c>
      <c r="Q885" s="131">
        <v>411490.48</v>
      </c>
      <c r="R885" s="131">
        <v>1</v>
      </c>
      <c r="S885" s="131">
        <v>355.4</v>
      </c>
      <c r="U885" s="131">
        <v>1462.4369999999999</v>
      </c>
      <c r="V885" s="132">
        <v>7.4599999999999996E-3</v>
      </c>
      <c r="W885" s="132">
        <f t="shared" si="13"/>
        <v>4.0768347802654925E-3</v>
      </c>
      <c r="X885" s="132">
        <v>4.3739529722836744E-4</v>
      </c>
    </row>
    <row r="886" spans="1:24">
      <c r="A886" t="s">
        <v>1213</v>
      </c>
      <c r="B886" s="4">
        <v>9302</v>
      </c>
      <c r="C886" t="s">
        <v>3874</v>
      </c>
      <c r="D886" t="s">
        <v>3875</v>
      </c>
      <c r="E886" t="s">
        <v>309</v>
      </c>
      <c r="F886" t="s">
        <v>3876</v>
      </c>
      <c r="G886" t="s">
        <v>3877</v>
      </c>
      <c r="H886" t="s">
        <v>321</v>
      </c>
      <c r="I886" t="s">
        <v>917</v>
      </c>
      <c r="J886" t="s">
        <v>204</v>
      </c>
      <c r="K886" t="s">
        <v>204</v>
      </c>
      <c r="L886" t="s">
        <v>325</v>
      </c>
      <c r="M886" t="s">
        <v>340</v>
      </c>
      <c r="N886" t="s">
        <v>462</v>
      </c>
      <c r="O886" t="s">
        <v>339</v>
      </c>
      <c r="P886" t="s">
        <v>1212</v>
      </c>
      <c r="Q886" s="131">
        <v>22266</v>
      </c>
      <c r="R886" s="131">
        <v>1</v>
      </c>
      <c r="S886" s="131">
        <v>6557</v>
      </c>
      <c r="U886" s="131">
        <v>1459.982</v>
      </c>
      <c r="V886" s="132">
        <v>1.07E-3</v>
      </c>
      <c r="W886" s="132">
        <f t="shared" si="13"/>
        <v>4.0699909781833849E-3</v>
      </c>
      <c r="X886" s="132">
        <v>4.3666103964688145E-4</v>
      </c>
    </row>
    <row r="887" spans="1:24">
      <c r="A887" t="s">
        <v>1213</v>
      </c>
      <c r="B887" s="4">
        <v>9302</v>
      </c>
      <c r="C887" t="s">
        <v>2136</v>
      </c>
      <c r="D887" t="s">
        <v>2137</v>
      </c>
      <c r="E887" t="s">
        <v>309</v>
      </c>
      <c r="F887" t="s">
        <v>2136</v>
      </c>
      <c r="G887" t="s">
        <v>3616</v>
      </c>
      <c r="H887" t="s">
        <v>321</v>
      </c>
      <c r="I887" t="s">
        <v>917</v>
      </c>
      <c r="J887" t="s">
        <v>204</v>
      </c>
      <c r="K887" t="s">
        <v>204</v>
      </c>
      <c r="L887" t="s">
        <v>325</v>
      </c>
      <c r="M887" t="s">
        <v>340</v>
      </c>
      <c r="N887" t="s">
        <v>440</v>
      </c>
      <c r="O887" t="s">
        <v>339</v>
      </c>
      <c r="P887" t="s">
        <v>1212</v>
      </c>
      <c r="Q887" s="131">
        <v>3465</v>
      </c>
      <c r="R887" s="131">
        <v>1</v>
      </c>
      <c r="S887" s="131">
        <v>39190</v>
      </c>
      <c r="T887" s="131">
        <v>76.248999999999995</v>
      </c>
      <c r="U887" s="131">
        <v>1434.183</v>
      </c>
      <c r="V887" s="132">
        <v>2.5000000000000001E-4</v>
      </c>
      <c r="W887" s="132">
        <f t="shared" si="13"/>
        <v>3.9980711207836675E-3</v>
      </c>
      <c r="X887" s="132">
        <v>4.2894490467956689E-4</v>
      </c>
    </row>
    <row r="888" spans="1:24">
      <c r="A888" t="s">
        <v>1213</v>
      </c>
      <c r="B888" s="4">
        <v>9302</v>
      </c>
      <c r="C888" t="s">
        <v>3848</v>
      </c>
      <c r="D888" t="s">
        <v>3849</v>
      </c>
      <c r="E888" t="s">
        <v>309</v>
      </c>
      <c r="F888" t="s">
        <v>3850</v>
      </c>
      <c r="G888" t="s">
        <v>3851</v>
      </c>
      <c r="H888" t="s">
        <v>321</v>
      </c>
      <c r="I888" t="s">
        <v>917</v>
      </c>
      <c r="J888" t="s">
        <v>204</v>
      </c>
      <c r="K888" t="s">
        <v>204</v>
      </c>
      <c r="L888" t="s">
        <v>325</v>
      </c>
      <c r="M888" t="s">
        <v>340</v>
      </c>
      <c r="N888" t="s">
        <v>480</v>
      </c>
      <c r="O888" t="s">
        <v>339</v>
      </c>
      <c r="P888" t="s">
        <v>1212</v>
      </c>
      <c r="Q888" s="131">
        <v>30965.89</v>
      </c>
      <c r="R888" s="131">
        <v>1</v>
      </c>
      <c r="S888" s="131">
        <v>4432</v>
      </c>
      <c r="U888" s="131">
        <v>1372.4079999999999</v>
      </c>
      <c r="V888" s="132">
        <v>6.3000000000000003E-4</v>
      </c>
      <c r="W888" s="132">
        <f t="shared" si="13"/>
        <v>3.8258609889619886E-3</v>
      </c>
      <c r="X888" s="132">
        <v>4.1046883050592216E-4</v>
      </c>
    </row>
    <row r="889" spans="1:24">
      <c r="A889" t="s">
        <v>1213</v>
      </c>
      <c r="B889" s="4">
        <v>9302</v>
      </c>
      <c r="C889" t="s">
        <v>1713</v>
      </c>
      <c r="D889" t="s">
        <v>1714</v>
      </c>
      <c r="E889" t="s">
        <v>309</v>
      </c>
      <c r="F889" t="s">
        <v>1713</v>
      </c>
      <c r="G889" t="s">
        <v>3878</v>
      </c>
      <c r="H889" t="s">
        <v>321</v>
      </c>
      <c r="I889" t="s">
        <v>917</v>
      </c>
      <c r="J889" t="s">
        <v>204</v>
      </c>
      <c r="K889" t="s">
        <v>204</v>
      </c>
      <c r="L889" t="s">
        <v>325</v>
      </c>
      <c r="M889" t="s">
        <v>340</v>
      </c>
      <c r="N889" t="s">
        <v>459</v>
      </c>
      <c r="O889" t="s">
        <v>339</v>
      </c>
      <c r="P889" t="s">
        <v>1212</v>
      </c>
      <c r="Q889" s="131">
        <v>8304</v>
      </c>
      <c r="R889" s="131">
        <v>1</v>
      </c>
      <c r="S889" s="131">
        <v>15960</v>
      </c>
      <c r="U889" s="131">
        <v>1325.318</v>
      </c>
      <c r="V889" s="132">
        <v>2.4599999999999999E-3</v>
      </c>
      <c r="W889" s="132">
        <f t="shared" si="13"/>
        <v>3.6945882231589479E-3</v>
      </c>
      <c r="X889" s="132">
        <v>3.9638484292458788E-4</v>
      </c>
    </row>
    <row r="890" spans="1:24">
      <c r="A890" t="s">
        <v>1213</v>
      </c>
      <c r="B890" s="4">
        <v>9302</v>
      </c>
      <c r="C890" t="s">
        <v>3882</v>
      </c>
      <c r="D890" t="s">
        <v>3883</v>
      </c>
      <c r="E890" t="s">
        <v>309</v>
      </c>
      <c r="F890" t="s">
        <v>3884</v>
      </c>
      <c r="G890" t="s">
        <v>3885</v>
      </c>
      <c r="H890" t="s">
        <v>321</v>
      </c>
      <c r="I890" t="s">
        <v>917</v>
      </c>
      <c r="J890" t="s">
        <v>204</v>
      </c>
      <c r="K890" t="s">
        <v>204</v>
      </c>
      <c r="L890" t="s">
        <v>325</v>
      </c>
      <c r="M890" t="s">
        <v>340</v>
      </c>
      <c r="N890" t="s">
        <v>439</v>
      </c>
      <c r="O890" t="s">
        <v>339</v>
      </c>
      <c r="P890" t="s">
        <v>1212</v>
      </c>
      <c r="Q890" s="131">
        <v>223343</v>
      </c>
      <c r="R890" s="131">
        <v>1</v>
      </c>
      <c r="S890" s="131">
        <v>591.1</v>
      </c>
      <c r="U890" s="131">
        <v>1320.18</v>
      </c>
      <c r="V890" s="132">
        <v>3.1099999999999999E-3</v>
      </c>
      <c r="W890" s="132">
        <f t="shared" si="13"/>
        <v>3.6802650235264142E-3</v>
      </c>
      <c r="X890" s="132">
        <v>3.9484813601881394E-4</v>
      </c>
    </row>
    <row r="891" spans="1:24">
      <c r="A891" t="s">
        <v>1213</v>
      </c>
      <c r="B891" s="4">
        <v>9302</v>
      </c>
      <c r="C891" t="s">
        <v>2223</v>
      </c>
      <c r="D891" t="s">
        <v>2224</v>
      </c>
      <c r="E891" t="s">
        <v>309</v>
      </c>
      <c r="F891" t="s">
        <v>2223</v>
      </c>
      <c r="G891" t="s">
        <v>3678</v>
      </c>
      <c r="H891" t="s">
        <v>321</v>
      </c>
      <c r="I891" t="s">
        <v>917</v>
      </c>
      <c r="J891" t="s">
        <v>204</v>
      </c>
      <c r="K891" t="s">
        <v>204</v>
      </c>
      <c r="L891" t="s">
        <v>325</v>
      </c>
      <c r="M891" t="s">
        <v>340</v>
      </c>
      <c r="N891" t="s">
        <v>464</v>
      </c>
      <c r="O891" t="s">
        <v>339</v>
      </c>
      <c r="P891" t="s">
        <v>1212</v>
      </c>
      <c r="Q891" s="131">
        <v>8045.7</v>
      </c>
      <c r="R891" s="131">
        <v>1</v>
      </c>
      <c r="S891" s="131">
        <v>15900</v>
      </c>
      <c r="U891" s="131">
        <v>1279.2660000000001</v>
      </c>
      <c r="V891" s="132">
        <v>4.4999999999999999E-4</v>
      </c>
      <c r="W891" s="132">
        <f t="shared" si="13"/>
        <v>3.5662090893564071E-3</v>
      </c>
      <c r="X891" s="132">
        <v>3.8261130722495721E-4</v>
      </c>
    </row>
    <row r="892" spans="1:24">
      <c r="A892" t="s">
        <v>1213</v>
      </c>
      <c r="B892" s="4">
        <v>9302</v>
      </c>
      <c r="C892" t="s">
        <v>3646</v>
      </c>
      <c r="D892" t="s">
        <v>3647</v>
      </c>
      <c r="E892" t="s">
        <v>309</v>
      </c>
      <c r="F892" t="s">
        <v>3648</v>
      </c>
      <c r="G892" t="s">
        <v>3649</v>
      </c>
      <c r="H892" t="s">
        <v>321</v>
      </c>
      <c r="I892" t="s">
        <v>917</v>
      </c>
      <c r="J892" t="s">
        <v>204</v>
      </c>
      <c r="K892" t="s">
        <v>204</v>
      </c>
      <c r="L892" t="s">
        <v>325</v>
      </c>
      <c r="M892" t="s">
        <v>340</v>
      </c>
      <c r="N892" t="s">
        <v>477</v>
      </c>
      <c r="O892" t="s">
        <v>339</v>
      </c>
      <c r="P892" t="s">
        <v>1212</v>
      </c>
      <c r="Q892" s="131">
        <v>3749</v>
      </c>
      <c r="R892" s="131">
        <v>1</v>
      </c>
      <c r="S892" s="131">
        <v>34100</v>
      </c>
      <c r="U892" s="131">
        <v>1278.4090000000001</v>
      </c>
      <c r="V892" s="132">
        <v>6.0999999999999997E-4</v>
      </c>
      <c r="W892" s="132">
        <f t="shared" si="13"/>
        <v>3.56382003095137E-3</v>
      </c>
      <c r="X892" s="132">
        <v>3.8235499001626743E-4</v>
      </c>
    </row>
    <row r="893" spans="1:24">
      <c r="A893" t="s">
        <v>1213</v>
      </c>
      <c r="B893" s="4">
        <v>9302</v>
      </c>
      <c r="C893" t="s">
        <v>3628</v>
      </c>
      <c r="D893" t="s">
        <v>3629</v>
      </c>
      <c r="E893" t="s">
        <v>309</v>
      </c>
      <c r="F893" t="s">
        <v>3630</v>
      </c>
      <c r="G893" t="s">
        <v>3631</v>
      </c>
      <c r="H893" t="s">
        <v>321</v>
      </c>
      <c r="I893" t="s">
        <v>917</v>
      </c>
      <c r="J893" t="s">
        <v>204</v>
      </c>
      <c r="K893" t="s">
        <v>204</v>
      </c>
      <c r="L893" t="s">
        <v>325</v>
      </c>
      <c r="M893" t="s">
        <v>340</v>
      </c>
      <c r="N893" t="s">
        <v>478</v>
      </c>
      <c r="O893" t="s">
        <v>339</v>
      </c>
      <c r="P893" t="s">
        <v>1212</v>
      </c>
      <c r="Q893" s="131">
        <v>223540</v>
      </c>
      <c r="R893" s="131">
        <v>1</v>
      </c>
      <c r="S893" s="131">
        <v>561</v>
      </c>
      <c r="U893" s="131">
        <v>1254.059</v>
      </c>
      <c r="V893" s="132">
        <v>1.1299999999999999E-3</v>
      </c>
      <c r="W893" s="132">
        <f t="shared" si="13"/>
        <v>3.4959395500147789E-3</v>
      </c>
      <c r="X893" s="132">
        <v>3.7507223151965474E-4</v>
      </c>
    </row>
    <row r="894" spans="1:24">
      <c r="A894" t="s">
        <v>1213</v>
      </c>
      <c r="B894" s="4">
        <v>9302</v>
      </c>
      <c r="C894" t="s">
        <v>1909</v>
      </c>
      <c r="D894" t="s">
        <v>1910</v>
      </c>
      <c r="E894" t="s">
        <v>309</v>
      </c>
      <c r="F894" t="s">
        <v>1909</v>
      </c>
      <c r="G894" t="s">
        <v>3881</v>
      </c>
      <c r="H894" t="s">
        <v>321</v>
      </c>
      <c r="I894" t="s">
        <v>917</v>
      </c>
      <c r="J894" t="s">
        <v>204</v>
      </c>
      <c r="K894" t="s">
        <v>204</v>
      </c>
      <c r="L894" t="s">
        <v>325</v>
      </c>
      <c r="M894" t="s">
        <v>340</v>
      </c>
      <c r="N894" t="s">
        <v>464</v>
      </c>
      <c r="O894" t="s">
        <v>339</v>
      </c>
      <c r="P894" t="s">
        <v>1212</v>
      </c>
      <c r="Q894" s="131">
        <v>691093</v>
      </c>
      <c r="R894" s="131">
        <v>1</v>
      </c>
      <c r="S894" s="131">
        <v>177.8</v>
      </c>
      <c r="U894" s="131">
        <v>1228.7629999999999</v>
      </c>
      <c r="V894" s="132">
        <v>9.3000000000000005E-4</v>
      </c>
      <c r="W894" s="132">
        <f t="shared" si="13"/>
        <v>3.4254219054245531E-3</v>
      </c>
      <c r="X894" s="132">
        <v>3.6750653710773213E-4</v>
      </c>
    </row>
    <row r="895" spans="1:24">
      <c r="A895" t="s">
        <v>1213</v>
      </c>
      <c r="B895" s="4">
        <v>9302</v>
      </c>
      <c r="C895" t="s">
        <v>3469</v>
      </c>
      <c r="D895" t="s">
        <v>3470</v>
      </c>
      <c r="E895" t="s">
        <v>309</v>
      </c>
      <c r="F895" t="s">
        <v>3471</v>
      </c>
      <c r="G895" t="s">
        <v>3472</v>
      </c>
      <c r="H895" t="s">
        <v>321</v>
      </c>
      <c r="I895" t="s">
        <v>917</v>
      </c>
      <c r="J895" t="s">
        <v>204</v>
      </c>
      <c r="K895" t="s">
        <v>204</v>
      </c>
      <c r="L895" t="s">
        <v>325</v>
      </c>
      <c r="M895" t="s">
        <v>340</v>
      </c>
      <c r="N895" t="s">
        <v>454</v>
      </c>
      <c r="O895" t="s">
        <v>339</v>
      </c>
      <c r="P895" t="s">
        <v>1212</v>
      </c>
      <c r="Q895" s="131">
        <v>117299</v>
      </c>
      <c r="R895" s="131">
        <v>1</v>
      </c>
      <c r="S895" s="131">
        <v>1025</v>
      </c>
      <c r="U895" s="131">
        <v>1202.3150000000001</v>
      </c>
      <c r="V895" s="132">
        <v>1E-4</v>
      </c>
      <c r="W895" s="132">
        <f t="shared" si="13"/>
        <v>3.3516928310996686E-3</v>
      </c>
      <c r="X895" s="132">
        <v>3.5959629494270497E-4</v>
      </c>
    </row>
    <row r="896" spans="1:24">
      <c r="A896" t="s">
        <v>1213</v>
      </c>
      <c r="B896" s="4">
        <v>9302</v>
      </c>
      <c r="C896" t="s">
        <v>2757</v>
      </c>
      <c r="D896" t="s">
        <v>2758</v>
      </c>
      <c r="E896" t="s">
        <v>309</v>
      </c>
      <c r="F896" t="s">
        <v>3879</v>
      </c>
      <c r="G896" t="s">
        <v>3880</v>
      </c>
      <c r="H896" t="s">
        <v>321</v>
      </c>
      <c r="I896" t="s">
        <v>917</v>
      </c>
      <c r="J896" t="s">
        <v>204</v>
      </c>
      <c r="K896" t="s">
        <v>204</v>
      </c>
      <c r="L896" t="s">
        <v>325</v>
      </c>
      <c r="M896" t="s">
        <v>340</v>
      </c>
      <c r="N896" t="s">
        <v>440</v>
      </c>
      <c r="O896" t="s">
        <v>339</v>
      </c>
      <c r="P896" t="s">
        <v>1212</v>
      </c>
      <c r="Q896" s="131">
        <v>1243834</v>
      </c>
      <c r="R896" s="131">
        <v>1</v>
      </c>
      <c r="S896" s="131">
        <v>96.1</v>
      </c>
      <c r="U896" s="131">
        <v>1195.3240000000001</v>
      </c>
      <c r="V896" s="132">
        <v>3.8999999999999999E-4</v>
      </c>
      <c r="W896" s="132">
        <f t="shared" si="13"/>
        <v>3.3322040244373398E-3</v>
      </c>
      <c r="X896" s="132">
        <v>3.5750538058336949E-4</v>
      </c>
    </row>
    <row r="897" spans="1:24">
      <c r="A897" t="s">
        <v>1213</v>
      </c>
      <c r="B897" s="4">
        <v>9302</v>
      </c>
      <c r="C897" t="s">
        <v>3284</v>
      </c>
      <c r="D897" t="s">
        <v>3285</v>
      </c>
      <c r="E897" t="s">
        <v>311</v>
      </c>
      <c r="F897" t="s">
        <v>3284</v>
      </c>
      <c r="G897" t="s">
        <v>3510</v>
      </c>
      <c r="H897" t="s">
        <v>321</v>
      </c>
      <c r="I897" t="s">
        <v>917</v>
      </c>
      <c r="J897" t="s">
        <v>204</v>
      </c>
      <c r="K897" t="s">
        <v>233</v>
      </c>
      <c r="L897" t="s">
        <v>325</v>
      </c>
      <c r="M897" t="s">
        <v>340</v>
      </c>
      <c r="N897" t="s">
        <v>454</v>
      </c>
      <c r="O897" t="s">
        <v>339</v>
      </c>
      <c r="P897" t="s">
        <v>1212</v>
      </c>
      <c r="Q897" s="131">
        <v>23984</v>
      </c>
      <c r="R897" s="131">
        <v>1</v>
      </c>
      <c r="S897" s="131">
        <v>4556</v>
      </c>
      <c r="T897" s="131">
        <f>26.781-86.3379999999997/1000/R897</f>
        <v>26.694661999999997</v>
      </c>
      <c r="U897" s="131">
        <f>1119.492-86.3379999999997/1000</f>
        <v>1119.4056619999999</v>
      </c>
      <c r="V897" s="132">
        <v>1.2999999999999999E-4</v>
      </c>
      <c r="W897" s="132">
        <f t="shared" si="13"/>
        <v>3.1205665174415839E-3</v>
      </c>
      <c r="X897" s="132">
        <v>3.3479922365859684E-4</v>
      </c>
    </row>
    <row r="898" spans="1:24">
      <c r="A898" t="s">
        <v>1213</v>
      </c>
      <c r="B898" s="4">
        <v>9302</v>
      </c>
      <c r="C898" t="s">
        <v>2905</v>
      </c>
      <c r="D898" t="s">
        <v>2906</v>
      </c>
      <c r="E898" t="s">
        <v>309</v>
      </c>
      <c r="F898" t="s">
        <v>2905</v>
      </c>
      <c r="G898" t="s">
        <v>3844</v>
      </c>
      <c r="H898" t="s">
        <v>321</v>
      </c>
      <c r="I898" t="s">
        <v>917</v>
      </c>
      <c r="J898" t="s">
        <v>204</v>
      </c>
      <c r="K898" t="s">
        <v>204</v>
      </c>
      <c r="L898" t="s">
        <v>325</v>
      </c>
      <c r="M898" t="s">
        <v>340</v>
      </c>
      <c r="N898" t="s">
        <v>477</v>
      </c>
      <c r="O898" t="s">
        <v>339</v>
      </c>
      <c r="P898" t="s">
        <v>1212</v>
      </c>
      <c r="Q898" s="131">
        <v>52812</v>
      </c>
      <c r="R898" s="131">
        <v>1</v>
      </c>
      <c r="S898" s="131">
        <v>2000</v>
      </c>
      <c r="U898" s="131">
        <v>1056.24</v>
      </c>
      <c r="V898" s="132">
        <v>3.13E-3</v>
      </c>
      <c r="W898" s="132">
        <f t="shared" si="13"/>
        <v>2.9444796379656862E-3</v>
      </c>
      <c r="X898" s="132">
        <v>3.1590722112780984E-4</v>
      </c>
    </row>
    <row r="899" spans="1:24">
      <c r="A899" t="s">
        <v>1213</v>
      </c>
      <c r="B899" s="4">
        <v>9302</v>
      </c>
      <c r="C899" t="s">
        <v>3486</v>
      </c>
      <c r="D899" t="s">
        <v>3487</v>
      </c>
      <c r="E899" t="s">
        <v>309</v>
      </c>
      <c r="F899" t="s">
        <v>3486</v>
      </c>
      <c r="G899" t="s">
        <v>3488</v>
      </c>
      <c r="H899" t="s">
        <v>321</v>
      </c>
      <c r="I899" t="s">
        <v>917</v>
      </c>
      <c r="J899" t="s">
        <v>204</v>
      </c>
      <c r="K899" t="s">
        <v>204</v>
      </c>
      <c r="L899" t="s">
        <v>325</v>
      </c>
      <c r="M899" t="s">
        <v>340</v>
      </c>
      <c r="N899" t="s">
        <v>475</v>
      </c>
      <c r="O899" t="s">
        <v>339</v>
      </c>
      <c r="P899" t="s">
        <v>1212</v>
      </c>
      <c r="Q899" s="131">
        <v>15692</v>
      </c>
      <c r="R899" s="131">
        <v>1</v>
      </c>
      <c r="S899" s="131">
        <v>6601</v>
      </c>
      <c r="U899" s="131">
        <v>1035.829</v>
      </c>
      <c r="V899" s="132">
        <v>3.2000000000000003E-4</v>
      </c>
      <c r="W899" s="132">
        <f t="shared" ref="W899:W962" si="14">U899/SUMIF(B:B,B899,U:U)</f>
        <v>2.8875799050541149E-3</v>
      </c>
      <c r="X899" s="132">
        <v>3.0980256471407837E-4</v>
      </c>
    </row>
    <row r="900" spans="1:24">
      <c r="A900" t="s">
        <v>1213</v>
      </c>
      <c r="B900" s="4">
        <v>9302</v>
      </c>
      <c r="C900" t="s">
        <v>3890</v>
      </c>
      <c r="D900" t="s">
        <v>3891</v>
      </c>
      <c r="E900" t="s">
        <v>309</v>
      </c>
      <c r="F900" t="s">
        <v>3892</v>
      </c>
      <c r="G900" t="s">
        <v>3893</v>
      </c>
      <c r="H900" t="s">
        <v>321</v>
      </c>
      <c r="I900" t="s">
        <v>917</v>
      </c>
      <c r="J900" t="s">
        <v>204</v>
      </c>
      <c r="K900" t="s">
        <v>204</v>
      </c>
      <c r="L900" t="s">
        <v>325</v>
      </c>
      <c r="M900" t="s">
        <v>340</v>
      </c>
      <c r="N900" t="s">
        <v>462</v>
      </c>
      <c r="O900" t="s">
        <v>339</v>
      </c>
      <c r="P900" t="s">
        <v>1212</v>
      </c>
      <c r="Q900" s="131">
        <v>2532.67</v>
      </c>
      <c r="R900" s="131">
        <v>1</v>
      </c>
      <c r="S900" s="131">
        <v>40790</v>
      </c>
      <c r="U900" s="131">
        <v>1033.076</v>
      </c>
      <c r="V900" s="132">
        <v>2.0600000000000002E-3</v>
      </c>
      <c r="W900" s="132">
        <f t="shared" si="14"/>
        <v>2.8799053685441178E-3</v>
      </c>
      <c r="X900" s="132">
        <v>3.0897917932840388E-4</v>
      </c>
    </row>
    <row r="901" spans="1:24">
      <c r="A901" t="s">
        <v>1213</v>
      </c>
      <c r="B901" s="4">
        <v>9302</v>
      </c>
      <c r="C901" t="s">
        <v>2872</v>
      </c>
      <c r="D901" t="s">
        <v>2873</v>
      </c>
      <c r="E901" t="s">
        <v>309</v>
      </c>
      <c r="F901" t="s">
        <v>2872</v>
      </c>
      <c r="G901" t="s">
        <v>3886</v>
      </c>
      <c r="H901" t="s">
        <v>321</v>
      </c>
      <c r="I901" t="s">
        <v>917</v>
      </c>
      <c r="J901" t="s">
        <v>204</v>
      </c>
      <c r="K901" t="s">
        <v>204</v>
      </c>
      <c r="L901" t="s">
        <v>325</v>
      </c>
      <c r="M901" t="s">
        <v>340</v>
      </c>
      <c r="N901" t="s">
        <v>441</v>
      </c>
      <c r="O901" t="s">
        <v>339</v>
      </c>
      <c r="P901" t="s">
        <v>1212</v>
      </c>
      <c r="Q901" s="131">
        <v>45301</v>
      </c>
      <c r="R901" s="131">
        <v>1</v>
      </c>
      <c r="S901" s="131">
        <v>2271</v>
      </c>
      <c r="U901" s="131">
        <v>1028.7860000000001</v>
      </c>
      <c r="V901" s="132">
        <v>9.8999999999999999E-4</v>
      </c>
      <c r="W901" s="132">
        <f t="shared" si="14"/>
        <v>2.8679461380218194E-3</v>
      </c>
      <c r="X901" s="132">
        <v>3.0769609785199863E-4</v>
      </c>
    </row>
    <row r="902" spans="1:24">
      <c r="A902" t="s">
        <v>1213</v>
      </c>
      <c r="B902" s="4">
        <v>9302</v>
      </c>
      <c r="C902" t="s">
        <v>3433</v>
      </c>
      <c r="D902" t="s">
        <v>3434</v>
      </c>
      <c r="E902" t="s">
        <v>309</v>
      </c>
      <c r="F902" t="s">
        <v>3433</v>
      </c>
      <c r="G902" t="s">
        <v>3435</v>
      </c>
      <c r="H902" t="s">
        <v>321</v>
      </c>
      <c r="I902" t="s">
        <v>917</v>
      </c>
      <c r="J902" t="s">
        <v>204</v>
      </c>
      <c r="K902" t="s">
        <v>204</v>
      </c>
      <c r="L902" t="s">
        <v>325</v>
      </c>
      <c r="M902" t="s">
        <v>340</v>
      </c>
      <c r="N902" t="s">
        <v>458</v>
      </c>
      <c r="O902" t="s">
        <v>339</v>
      </c>
      <c r="P902" t="s">
        <v>1212</v>
      </c>
      <c r="Q902" s="131">
        <v>3349</v>
      </c>
      <c r="R902" s="131">
        <v>1</v>
      </c>
      <c r="S902" s="131">
        <v>29980</v>
      </c>
      <c r="U902" s="131">
        <v>1004.03</v>
      </c>
      <c r="V902" s="132">
        <v>6.9999999999999994E-5</v>
      </c>
      <c r="W902" s="132">
        <f t="shared" si="14"/>
        <v>2.798933851119715E-3</v>
      </c>
      <c r="X902" s="132">
        <v>3.0029191019934385E-4</v>
      </c>
    </row>
    <row r="903" spans="1:24">
      <c r="A903" t="s">
        <v>1213</v>
      </c>
      <c r="B903" s="4">
        <v>9302</v>
      </c>
      <c r="C903" t="s">
        <v>2897</v>
      </c>
      <c r="D903" t="s">
        <v>2898</v>
      </c>
      <c r="E903" t="s">
        <v>309</v>
      </c>
      <c r="F903" t="s">
        <v>2897</v>
      </c>
      <c r="G903" t="s">
        <v>3675</v>
      </c>
      <c r="H903" t="s">
        <v>321</v>
      </c>
      <c r="I903" t="s">
        <v>917</v>
      </c>
      <c r="J903" t="s">
        <v>204</v>
      </c>
      <c r="K903" t="s">
        <v>204</v>
      </c>
      <c r="L903" t="s">
        <v>325</v>
      </c>
      <c r="M903" t="s">
        <v>340</v>
      </c>
      <c r="N903" t="s">
        <v>447</v>
      </c>
      <c r="O903" t="s">
        <v>339</v>
      </c>
      <c r="P903" t="s">
        <v>1212</v>
      </c>
      <c r="Q903" s="131">
        <v>11012</v>
      </c>
      <c r="R903" s="131">
        <v>1</v>
      </c>
      <c r="S903" s="131">
        <v>9062</v>
      </c>
      <c r="U903" s="131">
        <v>997.90700000000004</v>
      </c>
      <c r="V903" s="132">
        <v>4.8999999999999998E-4</v>
      </c>
      <c r="W903" s="132">
        <f t="shared" si="14"/>
        <v>2.7818647675560706E-3</v>
      </c>
      <c r="X903" s="132">
        <v>2.9846060300120177E-4</v>
      </c>
    </row>
    <row r="904" spans="1:24">
      <c r="A904" t="s">
        <v>1213</v>
      </c>
      <c r="B904" s="4">
        <v>9302</v>
      </c>
      <c r="C904" t="s">
        <v>3430</v>
      </c>
      <c r="D904" t="s">
        <v>3431</v>
      </c>
      <c r="E904" t="s">
        <v>309</v>
      </c>
      <c r="F904" t="s">
        <v>3430</v>
      </c>
      <c r="G904" t="s">
        <v>3432</v>
      </c>
      <c r="H904" t="s">
        <v>321</v>
      </c>
      <c r="I904" t="s">
        <v>917</v>
      </c>
      <c r="J904" t="s">
        <v>204</v>
      </c>
      <c r="K904" t="s">
        <v>204</v>
      </c>
      <c r="L904" t="s">
        <v>325</v>
      </c>
      <c r="M904" t="s">
        <v>340</v>
      </c>
      <c r="N904" t="s">
        <v>463</v>
      </c>
      <c r="O904" t="s">
        <v>339</v>
      </c>
      <c r="P904" t="s">
        <v>1212</v>
      </c>
      <c r="Q904" s="131">
        <v>3975.16</v>
      </c>
      <c r="R904" s="131">
        <v>1</v>
      </c>
      <c r="S904" s="131">
        <v>24950</v>
      </c>
      <c r="U904" s="131">
        <v>991.80200000000002</v>
      </c>
      <c r="V904" s="132">
        <v>4.4000000000000002E-4</v>
      </c>
      <c r="W904" s="132">
        <f t="shared" si="14"/>
        <v>2.7648458625820298E-3</v>
      </c>
      <c r="X904" s="132">
        <v>2.9663467936170198E-4</v>
      </c>
    </row>
    <row r="905" spans="1:24">
      <c r="A905" t="s">
        <v>1213</v>
      </c>
      <c r="B905" s="4">
        <v>9302</v>
      </c>
      <c r="C905" t="s">
        <v>3441</v>
      </c>
      <c r="D905" t="s">
        <v>3442</v>
      </c>
      <c r="E905" t="s">
        <v>309</v>
      </c>
      <c r="F905" t="s">
        <v>3443</v>
      </c>
      <c r="G905" t="s">
        <v>3444</v>
      </c>
      <c r="H905" t="s">
        <v>321</v>
      </c>
      <c r="I905" t="s">
        <v>917</v>
      </c>
      <c r="J905" t="s">
        <v>204</v>
      </c>
      <c r="K905" t="s">
        <v>204</v>
      </c>
      <c r="L905" t="s">
        <v>325</v>
      </c>
      <c r="M905" t="s">
        <v>340</v>
      </c>
      <c r="N905" t="s">
        <v>465</v>
      </c>
      <c r="O905" t="s">
        <v>339</v>
      </c>
      <c r="P905" t="s">
        <v>1212</v>
      </c>
      <c r="Q905" s="131">
        <v>23022</v>
      </c>
      <c r="R905" s="131">
        <v>1</v>
      </c>
      <c r="S905" s="131">
        <v>4288</v>
      </c>
      <c r="U905" s="131">
        <v>987.18299999999999</v>
      </c>
      <c r="V905" s="132">
        <v>3.8000000000000002E-4</v>
      </c>
      <c r="W905" s="132">
        <f t="shared" si="14"/>
        <v>2.7519694789497461E-3</v>
      </c>
      <c r="X905" s="132">
        <v>2.9525319839677984E-4</v>
      </c>
    </row>
    <row r="906" spans="1:24">
      <c r="A906" t="s">
        <v>1213</v>
      </c>
      <c r="B906" s="4">
        <v>9302</v>
      </c>
      <c r="C906" t="s">
        <v>3887</v>
      </c>
      <c r="D906" t="s">
        <v>3888</v>
      </c>
      <c r="E906" t="s">
        <v>309</v>
      </c>
      <c r="F906" t="s">
        <v>3887</v>
      </c>
      <c r="G906" t="s">
        <v>3889</v>
      </c>
      <c r="H906" t="s">
        <v>321</v>
      </c>
      <c r="I906" t="s">
        <v>917</v>
      </c>
      <c r="J906" t="s">
        <v>204</v>
      </c>
      <c r="K906" t="s">
        <v>204</v>
      </c>
      <c r="L906" t="s">
        <v>325</v>
      </c>
      <c r="M906" t="s">
        <v>340</v>
      </c>
      <c r="N906" t="s">
        <v>477</v>
      </c>
      <c r="O906" t="s">
        <v>339</v>
      </c>
      <c r="P906" t="s">
        <v>1212</v>
      </c>
      <c r="Q906" s="131">
        <v>646792</v>
      </c>
      <c r="R906" s="131">
        <v>1</v>
      </c>
      <c r="S906" s="131">
        <v>150.30000000000001</v>
      </c>
      <c r="U906" s="131">
        <v>972.12800000000004</v>
      </c>
      <c r="V906" s="132">
        <v>1.2700000000000001E-3</v>
      </c>
      <c r="W906" s="132">
        <f t="shared" si="14"/>
        <v>2.7100006641448027E-3</v>
      </c>
      <c r="X906" s="132">
        <v>2.9075044976571192E-4</v>
      </c>
    </row>
    <row r="907" spans="1:24">
      <c r="A907" t="s">
        <v>1213</v>
      </c>
      <c r="B907" s="4">
        <v>9302</v>
      </c>
      <c r="C907" t="s">
        <v>3634</v>
      </c>
      <c r="D907" t="s">
        <v>3635</v>
      </c>
      <c r="E907" t="s">
        <v>309</v>
      </c>
      <c r="F907" t="s">
        <v>3634</v>
      </c>
      <c r="G907" t="s">
        <v>3636</v>
      </c>
      <c r="H907" t="s">
        <v>321</v>
      </c>
      <c r="I907" t="s">
        <v>917</v>
      </c>
      <c r="J907" t="s">
        <v>204</v>
      </c>
      <c r="K907" t="s">
        <v>204</v>
      </c>
      <c r="L907" t="s">
        <v>325</v>
      </c>
      <c r="M907" t="s">
        <v>340</v>
      </c>
      <c r="N907" t="s">
        <v>462</v>
      </c>
      <c r="O907" t="s">
        <v>339</v>
      </c>
      <c r="P907" t="s">
        <v>1212</v>
      </c>
      <c r="Q907" s="131">
        <v>41646</v>
      </c>
      <c r="R907" s="131">
        <v>1</v>
      </c>
      <c r="S907" s="131">
        <v>2141</v>
      </c>
      <c r="U907" s="131">
        <v>891.64099999999996</v>
      </c>
      <c r="V907" s="132">
        <v>4.2999999999999999E-4</v>
      </c>
      <c r="W907" s="132">
        <f t="shared" si="14"/>
        <v>2.4856271007302907E-3</v>
      </c>
      <c r="X907" s="132">
        <v>2.6667786729684686E-4</v>
      </c>
    </row>
    <row r="908" spans="1:24">
      <c r="A908" t="s">
        <v>1213</v>
      </c>
      <c r="B908" s="4">
        <v>9302</v>
      </c>
      <c r="C908" t="s">
        <v>3064</v>
      </c>
      <c r="D908" t="s">
        <v>3065</v>
      </c>
      <c r="E908" t="s">
        <v>309</v>
      </c>
      <c r="F908" t="s">
        <v>3676</v>
      </c>
      <c r="G908" t="s">
        <v>3677</v>
      </c>
      <c r="H908" t="s">
        <v>321</v>
      </c>
      <c r="I908" t="s">
        <v>917</v>
      </c>
      <c r="J908" t="s">
        <v>204</v>
      </c>
      <c r="K908" t="s">
        <v>204</v>
      </c>
      <c r="L908" t="s">
        <v>325</v>
      </c>
      <c r="M908" t="s">
        <v>340</v>
      </c>
      <c r="N908" t="s">
        <v>451</v>
      </c>
      <c r="O908" t="s">
        <v>339</v>
      </c>
      <c r="P908" t="s">
        <v>1212</v>
      </c>
      <c r="Q908" s="131">
        <v>14947</v>
      </c>
      <c r="R908" s="131">
        <v>1</v>
      </c>
      <c r="S908" s="131">
        <v>5852</v>
      </c>
      <c r="U908" s="131">
        <v>874.69799999999998</v>
      </c>
      <c r="V908" s="132">
        <v>2.3000000000000001E-4</v>
      </c>
      <c r="W908" s="132">
        <f t="shared" si="14"/>
        <v>2.4383951094157667E-3</v>
      </c>
      <c r="X908" s="132">
        <v>2.616104431815241E-4</v>
      </c>
    </row>
    <row r="909" spans="1:24">
      <c r="A909" t="s">
        <v>1213</v>
      </c>
      <c r="B909" s="4">
        <v>9302</v>
      </c>
      <c r="C909" t="s">
        <v>3930</v>
      </c>
      <c r="D909" t="s">
        <v>3931</v>
      </c>
      <c r="E909" t="s">
        <v>309</v>
      </c>
      <c r="F909" t="s">
        <v>3930</v>
      </c>
      <c r="G909" t="s">
        <v>3932</v>
      </c>
      <c r="H909" t="s">
        <v>321</v>
      </c>
      <c r="I909" t="s">
        <v>917</v>
      </c>
      <c r="J909" t="s">
        <v>204</v>
      </c>
      <c r="K909" t="s">
        <v>204</v>
      </c>
      <c r="L909" t="s">
        <v>325</v>
      </c>
      <c r="M909" t="s">
        <v>340</v>
      </c>
      <c r="N909" t="s">
        <v>464</v>
      </c>
      <c r="O909" t="s">
        <v>339</v>
      </c>
      <c r="P909" t="s">
        <v>1212</v>
      </c>
      <c r="Q909" s="131">
        <v>2402</v>
      </c>
      <c r="R909" s="131">
        <v>1</v>
      </c>
      <c r="S909" s="131">
        <v>34120</v>
      </c>
      <c r="U909" s="131">
        <v>819.56200000000001</v>
      </c>
      <c r="V909" s="132">
        <v>3.8000000000000002E-4</v>
      </c>
      <c r="W909" s="132">
        <f t="shared" si="14"/>
        <v>2.284692514059715E-3</v>
      </c>
      <c r="X909" s="132">
        <v>2.4512000488709961E-4</v>
      </c>
    </row>
    <row r="910" spans="1:24">
      <c r="A910" t="s">
        <v>1213</v>
      </c>
      <c r="B910" s="4">
        <v>9302</v>
      </c>
      <c r="C910" t="s">
        <v>3898</v>
      </c>
      <c r="D910" t="s">
        <v>3899</v>
      </c>
      <c r="E910" t="s">
        <v>309</v>
      </c>
      <c r="F910" t="s">
        <v>3900</v>
      </c>
      <c r="G910" t="s">
        <v>3901</v>
      </c>
      <c r="H910" t="s">
        <v>321</v>
      </c>
      <c r="I910" t="s">
        <v>917</v>
      </c>
      <c r="J910" t="s">
        <v>204</v>
      </c>
      <c r="K910" t="s">
        <v>204</v>
      </c>
      <c r="L910" t="s">
        <v>325</v>
      </c>
      <c r="M910" t="s">
        <v>340</v>
      </c>
      <c r="N910" t="s">
        <v>476</v>
      </c>
      <c r="O910" t="s">
        <v>339</v>
      </c>
      <c r="P910" t="s">
        <v>1212</v>
      </c>
      <c r="Q910" s="131">
        <v>2965</v>
      </c>
      <c r="R910" s="131">
        <v>1</v>
      </c>
      <c r="S910" s="131">
        <v>26690</v>
      </c>
      <c r="U910" s="131">
        <v>791.35900000000004</v>
      </c>
      <c r="V910" s="132">
        <v>6.4000000000000005E-4</v>
      </c>
      <c r="W910" s="132">
        <f t="shared" si="14"/>
        <v>2.2060710272484353E-3</v>
      </c>
      <c r="X910" s="132">
        <v>2.366848657544521E-4</v>
      </c>
    </row>
    <row r="911" spans="1:24">
      <c r="A911" t="s">
        <v>1213</v>
      </c>
      <c r="B911" s="4">
        <v>9302</v>
      </c>
      <c r="C911" t="s">
        <v>2767</v>
      </c>
      <c r="D911" t="s">
        <v>2768</v>
      </c>
      <c r="E911" t="s">
        <v>309</v>
      </c>
      <c r="F911" t="s">
        <v>3913</v>
      </c>
      <c r="G911" t="s">
        <v>3914</v>
      </c>
      <c r="H911" t="s">
        <v>321</v>
      </c>
      <c r="I911" t="s">
        <v>917</v>
      </c>
      <c r="J911" t="s">
        <v>204</v>
      </c>
      <c r="K911" t="s">
        <v>204</v>
      </c>
      <c r="L911" t="s">
        <v>325</v>
      </c>
      <c r="M911" t="s">
        <v>340</v>
      </c>
      <c r="N911" t="s">
        <v>440</v>
      </c>
      <c r="O911" t="s">
        <v>339</v>
      </c>
      <c r="P911" t="s">
        <v>1212</v>
      </c>
      <c r="Q911" s="131">
        <v>39039</v>
      </c>
      <c r="R911" s="131">
        <v>1</v>
      </c>
      <c r="S911" s="131">
        <v>2007</v>
      </c>
      <c r="U911" s="131">
        <v>783.51300000000003</v>
      </c>
      <c r="V911" s="132">
        <v>2.1800000000000001E-3</v>
      </c>
      <c r="W911" s="132">
        <f t="shared" si="14"/>
        <v>2.1841987375799143E-3</v>
      </c>
      <c r="X911" s="132">
        <v>2.3433823235960926E-4</v>
      </c>
    </row>
    <row r="912" spans="1:24">
      <c r="A912" t="s">
        <v>1213</v>
      </c>
      <c r="B912" s="4">
        <v>9302</v>
      </c>
      <c r="C912" t="s">
        <v>2835</v>
      </c>
      <c r="D912" t="s">
        <v>2836</v>
      </c>
      <c r="E912" t="s">
        <v>309</v>
      </c>
      <c r="F912" t="s">
        <v>2835</v>
      </c>
      <c r="G912" t="s">
        <v>3918</v>
      </c>
      <c r="H912" t="s">
        <v>321</v>
      </c>
      <c r="I912" t="s">
        <v>917</v>
      </c>
      <c r="J912" t="s">
        <v>204</v>
      </c>
      <c r="K912" t="s">
        <v>204</v>
      </c>
      <c r="L912" t="s">
        <v>325</v>
      </c>
      <c r="M912" t="s">
        <v>340</v>
      </c>
      <c r="N912" t="s">
        <v>466</v>
      </c>
      <c r="O912" t="s">
        <v>339</v>
      </c>
      <c r="P912" t="s">
        <v>1212</v>
      </c>
      <c r="Q912" s="131">
        <v>605002</v>
      </c>
      <c r="R912" s="131">
        <v>1</v>
      </c>
      <c r="S912" s="131">
        <v>129.5</v>
      </c>
      <c r="U912" s="131">
        <v>783.47799999999995</v>
      </c>
      <c r="V912" s="132">
        <v>1.99E-3</v>
      </c>
      <c r="W912" s="132">
        <f t="shared" si="14"/>
        <v>2.1841011681001284E-3</v>
      </c>
      <c r="X912" s="132">
        <v>2.3432776432891596E-4</v>
      </c>
    </row>
    <row r="913" spans="1:24">
      <c r="A913" t="s">
        <v>1213</v>
      </c>
      <c r="B913" s="4">
        <v>9302</v>
      </c>
      <c r="C913" t="s">
        <v>3895</v>
      </c>
      <c r="D913" t="s">
        <v>3896</v>
      </c>
      <c r="E913" t="s">
        <v>309</v>
      </c>
      <c r="F913" t="s">
        <v>3895</v>
      </c>
      <c r="G913" t="s">
        <v>3897</v>
      </c>
      <c r="H913" t="s">
        <v>321</v>
      </c>
      <c r="I913" t="s">
        <v>917</v>
      </c>
      <c r="J913" t="s">
        <v>204</v>
      </c>
      <c r="K913" t="s">
        <v>204</v>
      </c>
      <c r="L913" t="s">
        <v>325</v>
      </c>
      <c r="M913" t="s">
        <v>340</v>
      </c>
      <c r="N913" t="s">
        <v>476</v>
      </c>
      <c r="O913" t="s">
        <v>339</v>
      </c>
      <c r="P913" t="s">
        <v>1212</v>
      </c>
      <c r="Q913" s="131">
        <v>8567</v>
      </c>
      <c r="R913" s="131">
        <v>1</v>
      </c>
      <c r="S913" s="131">
        <v>9030</v>
      </c>
      <c r="U913" s="131">
        <v>773.6</v>
      </c>
      <c r="V913" s="132">
        <v>1.1100000000000001E-3</v>
      </c>
      <c r="W913" s="132">
        <f t="shared" si="14"/>
        <v>2.1565642732051947E-3</v>
      </c>
      <c r="X913" s="132">
        <v>2.3137338698068027E-4</v>
      </c>
    </row>
    <row r="914" spans="1:24">
      <c r="A914" t="s">
        <v>1213</v>
      </c>
      <c r="B914" s="4">
        <v>9302</v>
      </c>
      <c r="C914" t="s">
        <v>3909</v>
      </c>
      <c r="D914" t="s">
        <v>3910</v>
      </c>
      <c r="E914" t="s">
        <v>309</v>
      </c>
      <c r="F914" t="s">
        <v>3911</v>
      </c>
      <c r="G914" t="s">
        <v>3912</v>
      </c>
      <c r="H914" t="s">
        <v>321</v>
      </c>
      <c r="I914" t="s">
        <v>917</v>
      </c>
      <c r="J914" t="s">
        <v>204</v>
      </c>
      <c r="K914" t="s">
        <v>204</v>
      </c>
      <c r="L914" t="s">
        <v>325</v>
      </c>
      <c r="M914" t="s">
        <v>340</v>
      </c>
      <c r="N914" t="s">
        <v>460</v>
      </c>
      <c r="O914" t="s">
        <v>339</v>
      </c>
      <c r="P914" t="s">
        <v>1212</v>
      </c>
      <c r="Q914" s="131">
        <v>45149</v>
      </c>
      <c r="R914" s="131">
        <v>1</v>
      </c>
      <c r="S914" s="131">
        <v>1704</v>
      </c>
      <c r="U914" s="131">
        <v>769.33900000000006</v>
      </c>
      <c r="V914" s="132">
        <v>1.2899999999999999E-3</v>
      </c>
      <c r="W914" s="132">
        <f t="shared" si="14"/>
        <v>2.1446858859661471E-3</v>
      </c>
      <c r="X914" s="132">
        <v>2.3009897901542085E-4</v>
      </c>
    </row>
    <row r="915" spans="1:24">
      <c r="A915" t="s">
        <v>1213</v>
      </c>
      <c r="B915" s="4">
        <v>9302</v>
      </c>
      <c r="C915" t="s">
        <v>1718</v>
      </c>
      <c r="D915" t="s">
        <v>1719</v>
      </c>
      <c r="E915" t="s">
        <v>309</v>
      </c>
      <c r="F915" t="s">
        <v>3664</v>
      </c>
      <c r="G915" t="s">
        <v>3665</v>
      </c>
      <c r="H915" t="s">
        <v>321</v>
      </c>
      <c r="I915" t="s">
        <v>917</v>
      </c>
      <c r="J915" t="s">
        <v>204</v>
      </c>
      <c r="K915" t="s">
        <v>204</v>
      </c>
      <c r="L915" t="s">
        <v>325</v>
      </c>
      <c r="M915" t="s">
        <v>340</v>
      </c>
      <c r="N915" t="s">
        <v>440</v>
      </c>
      <c r="O915" t="s">
        <v>339</v>
      </c>
      <c r="P915" t="s">
        <v>1212</v>
      </c>
      <c r="Q915" s="131">
        <v>13723</v>
      </c>
      <c r="R915" s="131">
        <v>1</v>
      </c>
      <c r="S915" s="131">
        <v>5597</v>
      </c>
      <c r="U915" s="131">
        <v>768.07600000000002</v>
      </c>
      <c r="V915" s="132">
        <v>1.1000000000000001E-3</v>
      </c>
      <c r="W915" s="132">
        <f t="shared" si="14"/>
        <v>2.141165021595596E-3</v>
      </c>
      <c r="X915" s="132">
        <v>2.2972123265068895E-4</v>
      </c>
    </row>
    <row r="916" spans="1:24">
      <c r="A916" t="s">
        <v>1213</v>
      </c>
      <c r="B916" s="4">
        <v>9302</v>
      </c>
      <c r="C916" t="s">
        <v>2141</v>
      </c>
      <c r="D916" t="s">
        <v>2142</v>
      </c>
      <c r="E916" t="s">
        <v>309</v>
      </c>
      <c r="F916" t="s">
        <v>2141</v>
      </c>
      <c r="G916" t="s">
        <v>3894</v>
      </c>
      <c r="H916" t="s">
        <v>321</v>
      </c>
      <c r="I916" t="s">
        <v>917</v>
      </c>
      <c r="J916" t="s">
        <v>204</v>
      </c>
      <c r="K916" t="s">
        <v>204</v>
      </c>
      <c r="L916" t="s">
        <v>325</v>
      </c>
      <c r="M916" t="s">
        <v>340</v>
      </c>
      <c r="N916" t="s">
        <v>475</v>
      </c>
      <c r="O916" t="s">
        <v>339</v>
      </c>
      <c r="P916" t="s">
        <v>1212</v>
      </c>
      <c r="Q916" s="131">
        <v>10487</v>
      </c>
      <c r="R916" s="131">
        <v>1</v>
      </c>
      <c r="S916" s="131">
        <v>7280</v>
      </c>
      <c r="U916" s="131">
        <v>763.45399999999995</v>
      </c>
      <c r="V916" s="132">
        <v>4.2000000000000002E-4</v>
      </c>
      <c r="W916" s="132">
        <f t="shared" si="14"/>
        <v>2.1282802748650445E-3</v>
      </c>
      <c r="X916" s="132">
        <v>2.2833885442599309E-4</v>
      </c>
    </row>
    <row r="917" spans="1:24">
      <c r="A917" t="s">
        <v>1213</v>
      </c>
      <c r="B917" s="4">
        <v>9302</v>
      </c>
      <c r="C917" t="s">
        <v>3902</v>
      </c>
      <c r="D917" t="s">
        <v>3903</v>
      </c>
      <c r="E917" t="s">
        <v>309</v>
      </c>
      <c r="F917" t="s">
        <v>3902</v>
      </c>
      <c r="G917" t="s">
        <v>3904</v>
      </c>
      <c r="H917" t="s">
        <v>321</v>
      </c>
      <c r="I917" t="s">
        <v>917</v>
      </c>
      <c r="J917" t="s">
        <v>204</v>
      </c>
      <c r="K917" t="s">
        <v>204</v>
      </c>
      <c r="L917" t="s">
        <v>325</v>
      </c>
      <c r="M917" t="s">
        <v>340</v>
      </c>
      <c r="N917" t="s">
        <v>469</v>
      </c>
      <c r="O917" t="s">
        <v>339</v>
      </c>
      <c r="P917" t="s">
        <v>1212</v>
      </c>
      <c r="Q917" s="131">
        <v>38308</v>
      </c>
      <c r="R917" s="131">
        <v>1</v>
      </c>
      <c r="S917" s="131">
        <v>1947</v>
      </c>
      <c r="U917" s="131">
        <v>745.85699999999997</v>
      </c>
      <c r="V917" s="132">
        <v>6.7000000000000002E-4</v>
      </c>
      <c r="W917" s="132">
        <f t="shared" si="14"/>
        <v>2.0792251281282403E-3</v>
      </c>
      <c r="X917" s="132">
        <v>2.2307582768000159E-4</v>
      </c>
    </row>
    <row r="918" spans="1:24">
      <c r="A918" t="s">
        <v>1213</v>
      </c>
      <c r="B918" s="4">
        <v>9302</v>
      </c>
      <c r="C918" t="s">
        <v>3944</v>
      </c>
      <c r="D918" t="s">
        <v>3945</v>
      </c>
      <c r="E918" t="s">
        <v>309</v>
      </c>
      <c r="F918" t="s">
        <v>3944</v>
      </c>
      <c r="G918" t="s">
        <v>3946</v>
      </c>
      <c r="H918" t="s">
        <v>321</v>
      </c>
      <c r="I918" t="s">
        <v>917</v>
      </c>
      <c r="J918" t="s">
        <v>204</v>
      </c>
      <c r="K918" t="s">
        <v>204</v>
      </c>
      <c r="L918" t="s">
        <v>325</v>
      </c>
      <c r="M918" t="s">
        <v>340</v>
      </c>
      <c r="N918" t="s">
        <v>456</v>
      </c>
      <c r="O918" t="s">
        <v>339</v>
      </c>
      <c r="P918" t="s">
        <v>1212</v>
      </c>
      <c r="Q918" s="131">
        <v>80660</v>
      </c>
      <c r="R918" s="131">
        <v>1</v>
      </c>
      <c r="S918" s="131">
        <v>897.8</v>
      </c>
      <c r="U918" s="131">
        <v>724.16499999999996</v>
      </c>
      <c r="V918" s="132">
        <v>5.3099999999999996E-3</v>
      </c>
      <c r="W918" s="132">
        <f t="shared" si="14"/>
        <v>2.0187543522565145E-3</v>
      </c>
      <c r="X918" s="132">
        <v>2.1658804134289594E-4</v>
      </c>
    </row>
    <row r="919" spans="1:24">
      <c r="A919" t="s">
        <v>1213</v>
      </c>
      <c r="B919" s="4">
        <v>9302</v>
      </c>
      <c r="C919" t="s">
        <v>2595</v>
      </c>
      <c r="D919" t="s">
        <v>2596</v>
      </c>
      <c r="E919" t="s">
        <v>309</v>
      </c>
      <c r="F919" t="s">
        <v>2595</v>
      </c>
      <c r="G919" t="s">
        <v>3638</v>
      </c>
      <c r="H919" t="s">
        <v>321</v>
      </c>
      <c r="I919" t="s">
        <v>917</v>
      </c>
      <c r="J919" t="s">
        <v>204</v>
      </c>
      <c r="K919" t="s">
        <v>204</v>
      </c>
      <c r="L919" t="s">
        <v>325</v>
      </c>
      <c r="M919" t="s">
        <v>340</v>
      </c>
      <c r="N919" t="s">
        <v>484</v>
      </c>
      <c r="O919" t="s">
        <v>339</v>
      </c>
      <c r="P919" t="s">
        <v>1212</v>
      </c>
      <c r="Q919" s="131">
        <v>44893</v>
      </c>
      <c r="R919" s="131">
        <v>1</v>
      </c>
      <c r="S919" s="131">
        <v>1606</v>
      </c>
      <c r="U919" s="131">
        <v>720.98199999999997</v>
      </c>
      <c r="V919" s="132">
        <v>2.3000000000000001E-4</v>
      </c>
      <c r="W919" s="132">
        <f t="shared" si="14"/>
        <v>2.0098811049948651E-3</v>
      </c>
      <c r="X919" s="132">
        <v>2.1563604872298965E-4</v>
      </c>
    </row>
    <row r="920" spans="1:24">
      <c r="A920" t="s">
        <v>1213</v>
      </c>
      <c r="B920" s="4">
        <v>9302</v>
      </c>
      <c r="C920" t="s">
        <v>3923</v>
      </c>
      <c r="D920" t="s">
        <v>3924</v>
      </c>
      <c r="E920" t="s">
        <v>309</v>
      </c>
      <c r="F920" t="s">
        <v>3925</v>
      </c>
      <c r="G920" t="s">
        <v>3926</v>
      </c>
      <c r="H920" t="s">
        <v>321</v>
      </c>
      <c r="I920" t="s">
        <v>917</v>
      </c>
      <c r="J920" t="s">
        <v>204</v>
      </c>
      <c r="K920" t="s">
        <v>204</v>
      </c>
      <c r="L920" t="s">
        <v>325</v>
      </c>
      <c r="M920" t="s">
        <v>340</v>
      </c>
      <c r="N920" t="s">
        <v>463</v>
      </c>
      <c r="O920" t="s">
        <v>339</v>
      </c>
      <c r="P920" t="s">
        <v>1212</v>
      </c>
      <c r="Q920" s="131">
        <v>3638</v>
      </c>
      <c r="R920" s="131">
        <v>1</v>
      </c>
      <c r="S920" s="131">
        <v>19700</v>
      </c>
      <c r="U920" s="131">
        <v>716.68600000000004</v>
      </c>
      <c r="V920" s="132">
        <v>1.31E-3</v>
      </c>
      <c r="W920" s="132">
        <f t="shared" si="14"/>
        <v>1.9979051482760316E-3</v>
      </c>
      <c r="X920" s="132">
        <v>2.1435117272703699E-4</v>
      </c>
    </row>
    <row r="921" spans="1:24">
      <c r="A921" t="s">
        <v>1213</v>
      </c>
      <c r="B921" s="4">
        <v>9302</v>
      </c>
      <c r="C921" t="s">
        <v>3915</v>
      </c>
      <c r="D921" t="s">
        <v>3916</v>
      </c>
      <c r="E921" t="s">
        <v>309</v>
      </c>
      <c r="F921" t="s">
        <v>3915</v>
      </c>
      <c r="G921" t="s">
        <v>3917</v>
      </c>
      <c r="H921" t="s">
        <v>321</v>
      </c>
      <c r="I921" t="s">
        <v>917</v>
      </c>
      <c r="J921" t="s">
        <v>204</v>
      </c>
      <c r="K921" t="s">
        <v>204</v>
      </c>
      <c r="L921" t="s">
        <v>325</v>
      </c>
      <c r="M921" t="s">
        <v>340</v>
      </c>
      <c r="N921" t="s">
        <v>466</v>
      </c>
      <c r="O921" t="s">
        <v>339</v>
      </c>
      <c r="P921" t="s">
        <v>1212</v>
      </c>
      <c r="Q921" s="131">
        <v>171351</v>
      </c>
      <c r="R921" s="131">
        <v>1</v>
      </c>
      <c r="S921" s="131">
        <v>416.3</v>
      </c>
      <c r="U921" s="131">
        <v>713.33399999999995</v>
      </c>
      <c r="V921" s="132">
        <v>2.5799999999999998E-3</v>
      </c>
      <c r="W921" s="132">
        <f t="shared" si="14"/>
        <v>1.9885607798119883E-3</v>
      </c>
      <c r="X921" s="132">
        <v>2.1334863447321169E-4</v>
      </c>
    </row>
    <row r="922" spans="1:24">
      <c r="A922" t="s">
        <v>1213</v>
      </c>
      <c r="B922" s="4">
        <v>9302</v>
      </c>
      <c r="C922" t="s">
        <v>3461</v>
      </c>
      <c r="D922" t="s">
        <v>3462</v>
      </c>
      <c r="E922" t="s">
        <v>309</v>
      </c>
      <c r="F922" t="s">
        <v>3461</v>
      </c>
      <c r="G922" t="s">
        <v>3463</v>
      </c>
      <c r="H922" t="s">
        <v>321</v>
      </c>
      <c r="I922" t="s">
        <v>917</v>
      </c>
      <c r="J922" t="s">
        <v>204</v>
      </c>
      <c r="K922" t="s">
        <v>204</v>
      </c>
      <c r="L922" t="s">
        <v>325</v>
      </c>
      <c r="M922" t="s">
        <v>340</v>
      </c>
      <c r="N922" t="s">
        <v>475</v>
      </c>
      <c r="O922" t="s">
        <v>339</v>
      </c>
      <c r="P922" t="s">
        <v>1212</v>
      </c>
      <c r="Q922" s="131">
        <v>2361</v>
      </c>
      <c r="R922" s="131">
        <v>1</v>
      </c>
      <c r="S922" s="131">
        <v>28150</v>
      </c>
      <c r="U922" s="131">
        <v>664.62199999999996</v>
      </c>
      <c r="V922" s="132">
        <v>1.7000000000000001E-4</v>
      </c>
      <c r="W922" s="132">
        <f t="shared" si="14"/>
        <v>1.8527663655457378E-3</v>
      </c>
      <c r="X922" s="132">
        <v>1.987795284408915E-4</v>
      </c>
    </row>
    <row r="923" spans="1:24">
      <c r="A923" t="s">
        <v>1213</v>
      </c>
      <c r="B923" s="4">
        <v>9302</v>
      </c>
      <c r="C923" t="s">
        <v>3320</v>
      </c>
      <c r="D923" t="s">
        <v>3321</v>
      </c>
      <c r="E923" t="s">
        <v>309</v>
      </c>
      <c r="F923" t="s">
        <v>3320</v>
      </c>
      <c r="G923" t="s">
        <v>3414</v>
      </c>
      <c r="H923" t="s">
        <v>321</v>
      </c>
      <c r="I923" t="s">
        <v>917</v>
      </c>
      <c r="J923" t="s">
        <v>204</v>
      </c>
      <c r="K923" t="s">
        <v>204</v>
      </c>
      <c r="L923" t="s">
        <v>325</v>
      </c>
      <c r="M923" t="s">
        <v>340</v>
      </c>
      <c r="N923" t="s">
        <v>441</v>
      </c>
      <c r="O923" t="s">
        <v>339</v>
      </c>
      <c r="P923" t="s">
        <v>1212</v>
      </c>
      <c r="Q923" s="131">
        <v>41771</v>
      </c>
      <c r="R923" s="131">
        <v>1</v>
      </c>
      <c r="S923" s="131">
        <v>1472</v>
      </c>
      <c r="U923" s="131">
        <v>614.86900000000003</v>
      </c>
      <c r="V923" s="132">
        <v>2.3000000000000001E-4</v>
      </c>
      <c r="W923" s="132">
        <f t="shared" si="14"/>
        <v>1.7140699561807198E-3</v>
      </c>
      <c r="X923" s="132">
        <v>1.8389907326709395E-4</v>
      </c>
    </row>
    <row r="924" spans="1:24">
      <c r="A924" t="s">
        <v>1213</v>
      </c>
      <c r="B924" s="4">
        <v>9302</v>
      </c>
      <c r="C924" t="s">
        <v>3920</v>
      </c>
      <c r="D924" t="s">
        <v>3921</v>
      </c>
      <c r="E924" t="s">
        <v>309</v>
      </c>
      <c r="F924" t="s">
        <v>3920</v>
      </c>
      <c r="G924" t="s">
        <v>3922</v>
      </c>
      <c r="H924" t="s">
        <v>321</v>
      </c>
      <c r="I924" t="s">
        <v>917</v>
      </c>
      <c r="J924" t="s">
        <v>204</v>
      </c>
      <c r="K924" t="s">
        <v>204</v>
      </c>
      <c r="L924" t="s">
        <v>325</v>
      </c>
      <c r="M924" t="s">
        <v>340</v>
      </c>
      <c r="N924" t="s">
        <v>456</v>
      </c>
      <c r="O924" t="s">
        <v>339</v>
      </c>
      <c r="P924" t="s">
        <v>1212</v>
      </c>
      <c r="Q924" s="131">
        <v>24515</v>
      </c>
      <c r="R924" s="131">
        <v>1</v>
      </c>
      <c r="S924" s="131">
        <v>2502</v>
      </c>
      <c r="U924" s="131">
        <v>613.36500000000001</v>
      </c>
      <c r="V924" s="132">
        <v>1.0200000000000001E-3</v>
      </c>
      <c r="W924" s="132">
        <f t="shared" si="14"/>
        <v>1.709877256249359E-3</v>
      </c>
      <c r="X924" s="132">
        <v>1.8344924703387401E-4</v>
      </c>
    </row>
    <row r="925" spans="1:24">
      <c r="A925" t="s">
        <v>1213</v>
      </c>
      <c r="B925" s="4">
        <v>9302</v>
      </c>
      <c r="C925" t="s">
        <v>3350</v>
      </c>
      <c r="D925" t="s">
        <v>3351</v>
      </c>
      <c r="E925" t="s">
        <v>309</v>
      </c>
      <c r="F925" t="s">
        <v>3350</v>
      </c>
      <c r="G925" t="s">
        <v>3919</v>
      </c>
      <c r="H925" t="s">
        <v>321</v>
      </c>
      <c r="I925" t="s">
        <v>917</v>
      </c>
      <c r="J925" t="s">
        <v>204</v>
      </c>
      <c r="K925" t="s">
        <v>204</v>
      </c>
      <c r="L925" t="s">
        <v>325</v>
      </c>
      <c r="M925" t="s">
        <v>340</v>
      </c>
      <c r="N925" t="s">
        <v>475</v>
      </c>
      <c r="O925" t="s">
        <v>339</v>
      </c>
      <c r="P925" t="s">
        <v>1212</v>
      </c>
      <c r="Q925" s="131">
        <v>2403</v>
      </c>
      <c r="R925" s="131">
        <v>1</v>
      </c>
      <c r="S925" s="131">
        <v>22390</v>
      </c>
      <c r="U925" s="131">
        <v>538.03200000000004</v>
      </c>
      <c r="V925" s="132">
        <v>1.7000000000000001E-4</v>
      </c>
      <c r="W925" s="132">
        <f t="shared" si="14"/>
        <v>1.4998714956581402E-3</v>
      </c>
      <c r="X925" s="132">
        <v>1.6091815685624272E-4</v>
      </c>
    </row>
    <row r="926" spans="1:24">
      <c r="A926" t="s">
        <v>1213</v>
      </c>
      <c r="B926" s="4">
        <v>9302</v>
      </c>
      <c r="C926" t="s">
        <v>3937</v>
      </c>
      <c r="D926" t="s">
        <v>3938</v>
      </c>
      <c r="E926" t="s">
        <v>309</v>
      </c>
      <c r="F926" t="s">
        <v>3937</v>
      </c>
      <c r="G926" t="s">
        <v>3939</v>
      </c>
      <c r="H926" t="s">
        <v>321</v>
      </c>
      <c r="I926" t="s">
        <v>917</v>
      </c>
      <c r="J926" t="s">
        <v>204</v>
      </c>
      <c r="K926" t="s">
        <v>204</v>
      </c>
      <c r="L926" t="s">
        <v>325</v>
      </c>
      <c r="M926" t="s">
        <v>340</v>
      </c>
      <c r="N926" t="s">
        <v>456</v>
      </c>
      <c r="O926" t="s">
        <v>339</v>
      </c>
      <c r="P926" t="s">
        <v>1212</v>
      </c>
      <c r="Q926" s="131">
        <v>39851</v>
      </c>
      <c r="R926" s="131">
        <v>1</v>
      </c>
      <c r="S926" s="131">
        <v>1221</v>
      </c>
      <c r="U926" s="131">
        <v>486.58100000000002</v>
      </c>
      <c r="V926" s="132">
        <v>2.32E-3</v>
      </c>
      <c r="W926" s="132">
        <f t="shared" si="14"/>
        <v>1.3564415726738067E-3</v>
      </c>
      <c r="X926" s="132">
        <v>1.4552985265052531E-4</v>
      </c>
    </row>
    <row r="927" spans="1:24">
      <c r="A927" t="s">
        <v>1213</v>
      </c>
      <c r="B927" s="4">
        <v>9302</v>
      </c>
      <c r="C927" t="s">
        <v>3927</v>
      </c>
      <c r="D927" t="s">
        <v>3928</v>
      </c>
      <c r="E927" t="s">
        <v>309</v>
      </c>
      <c r="F927" t="s">
        <v>3927</v>
      </c>
      <c r="G927" t="s">
        <v>3929</v>
      </c>
      <c r="H927" t="s">
        <v>321</v>
      </c>
      <c r="I927" t="s">
        <v>917</v>
      </c>
      <c r="J927" t="s">
        <v>204</v>
      </c>
      <c r="K927" t="s">
        <v>204</v>
      </c>
      <c r="L927" t="s">
        <v>325</v>
      </c>
      <c r="M927" t="s">
        <v>340</v>
      </c>
      <c r="N927" t="s">
        <v>471</v>
      </c>
      <c r="O927" t="s">
        <v>339</v>
      </c>
      <c r="P927" t="s">
        <v>1212</v>
      </c>
      <c r="Q927" s="131">
        <v>171975</v>
      </c>
      <c r="R927" s="131">
        <v>1</v>
      </c>
      <c r="S927" s="131">
        <v>280.8</v>
      </c>
      <c r="U927" s="131">
        <v>482.90600000000001</v>
      </c>
      <c r="V927" s="132">
        <v>1.97E-3</v>
      </c>
      <c r="W927" s="132">
        <f t="shared" si="14"/>
        <v>1.3461967772963128E-3</v>
      </c>
      <c r="X927" s="132">
        <v>1.4443070942773059E-4</v>
      </c>
    </row>
    <row r="928" spans="1:24">
      <c r="A928" t="s">
        <v>1213</v>
      </c>
      <c r="B928" s="4">
        <v>9302</v>
      </c>
      <c r="C928" t="s">
        <v>3837</v>
      </c>
      <c r="D928" t="s">
        <v>3838</v>
      </c>
      <c r="E928" t="s">
        <v>309</v>
      </c>
      <c r="F928" t="s">
        <v>3837</v>
      </c>
      <c r="G928" t="s">
        <v>3839</v>
      </c>
      <c r="H928" t="s">
        <v>321</v>
      </c>
      <c r="I928" t="s">
        <v>917</v>
      </c>
      <c r="J928" t="s">
        <v>204</v>
      </c>
      <c r="K928" t="s">
        <v>204</v>
      </c>
      <c r="L928" t="s">
        <v>325</v>
      </c>
      <c r="M928" t="s">
        <v>340</v>
      </c>
      <c r="N928" t="s">
        <v>445</v>
      </c>
      <c r="O928" t="s">
        <v>339</v>
      </c>
      <c r="P928" t="s">
        <v>1212</v>
      </c>
      <c r="Q928" s="131">
        <v>3930</v>
      </c>
      <c r="R928" s="131">
        <v>1</v>
      </c>
      <c r="S928" s="131">
        <v>12010</v>
      </c>
      <c r="U928" s="131">
        <v>471.99299999999999</v>
      </c>
      <c r="V928" s="132">
        <v>2.7E-4</v>
      </c>
      <c r="W928" s="132">
        <f t="shared" si="14"/>
        <v>1.315774613499146E-3</v>
      </c>
      <c r="X928" s="132">
        <v>1.411667774575649E-4</v>
      </c>
    </row>
    <row r="929" spans="1:24">
      <c r="A929" t="s">
        <v>1213</v>
      </c>
      <c r="B929" s="4">
        <v>9302</v>
      </c>
      <c r="C929" t="s">
        <v>3526</v>
      </c>
      <c r="D929" t="s">
        <v>3527</v>
      </c>
      <c r="E929" t="s">
        <v>309</v>
      </c>
      <c r="F929" t="s">
        <v>3528</v>
      </c>
      <c r="G929" t="s">
        <v>3529</v>
      </c>
      <c r="H929" t="s">
        <v>321</v>
      </c>
      <c r="I929" t="s">
        <v>917</v>
      </c>
      <c r="J929" t="s">
        <v>204</v>
      </c>
      <c r="K929" t="s">
        <v>204</v>
      </c>
      <c r="L929" t="s">
        <v>325</v>
      </c>
      <c r="M929" t="s">
        <v>340</v>
      </c>
      <c r="N929" t="s">
        <v>463</v>
      </c>
      <c r="O929" t="s">
        <v>339</v>
      </c>
      <c r="P929" t="s">
        <v>1212</v>
      </c>
      <c r="Q929" s="131">
        <v>36046</v>
      </c>
      <c r="R929" s="131">
        <v>1</v>
      </c>
      <c r="S929" s="131">
        <v>1271</v>
      </c>
      <c r="U929" s="131">
        <v>458.14499999999998</v>
      </c>
      <c r="V929" s="132">
        <v>2.5000000000000001E-4</v>
      </c>
      <c r="W929" s="132">
        <f t="shared" si="14"/>
        <v>1.2771705518970964E-3</v>
      </c>
      <c r="X929" s="132">
        <v>1.3702502634211963E-4</v>
      </c>
    </row>
    <row r="930" spans="1:24">
      <c r="A930" t="s">
        <v>1213</v>
      </c>
      <c r="B930" s="4">
        <v>9302</v>
      </c>
      <c r="C930" t="s">
        <v>2463</v>
      </c>
      <c r="D930" t="s">
        <v>2464</v>
      </c>
      <c r="E930" t="s">
        <v>309</v>
      </c>
      <c r="F930" t="s">
        <v>2463</v>
      </c>
      <c r="G930" t="s">
        <v>3943</v>
      </c>
      <c r="H930" t="s">
        <v>321</v>
      </c>
      <c r="I930" t="s">
        <v>917</v>
      </c>
      <c r="J930" t="s">
        <v>204</v>
      </c>
      <c r="K930" t="s">
        <v>204</v>
      </c>
      <c r="L930" t="s">
        <v>325</v>
      </c>
      <c r="M930" t="s">
        <v>340</v>
      </c>
      <c r="N930" t="s">
        <v>465</v>
      </c>
      <c r="O930" t="s">
        <v>339</v>
      </c>
      <c r="P930" t="s">
        <v>1212</v>
      </c>
      <c r="Q930" s="131">
        <v>32547.4</v>
      </c>
      <c r="R930" s="131">
        <v>1</v>
      </c>
      <c r="S930" s="131">
        <v>1370</v>
      </c>
      <c r="U930" s="131">
        <v>445.899</v>
      </c>
      <c r="V930" s="132">
        <v>1.8000000000000001E-4</v>
      </c>
      <c r="W930" s="132">
        <f t="shared" si="14"/>
        <v>1.2430323847698074E-3</v>
      </c>
      <c r="X930" s="132">
        <v>1.333624119458355E-4</v>
      </c>
    </row>
    <row r="931" spans="1:24">
      <c r="A931" t="s">
        <v>1213</v>
      </c>
      <c r="B931" s="4">
        <v>9302</v>
      </c>
      <c r="C931" t="s">
        <v>3940</v>
      </c>
      <c r="D931" t="s">
        <v>3941</v>
      </c>
      <c r="E931" t="s">
        <v>309</v>
      </c>
      <c r="F931" t="s">
        <v>3940</v>
      </c>
      <c r="G931" t="s">
        <v>3942</v>
      </c>
      <c r="H931" t="s">
        <v>321</v>
      </c>
      <c r="I931" t="s">
        <v>917</v>
      </c>
      <c r="J931" t="s">
        <v>204</v>
      </c>
      <c r="K931" t="s">
        <v>204</v>
      </c>
      <c r="L931" t="s">
        <v>325</v>
      </c>
      <c r="M931" t="s">
        <v>340</v>
      </c>
      <c r="N931" t="s">
        <v>456</v>
      </c>
      <c r="O931" t="s">
        <v>339</v>
      </c>
      <c r="P931" t="s">
        <v>1212</v>
      </c>
      <c r="Q931" s="131">
        <v>216779</v>
      </c>
      <c r="R931" s="131">
        <v>1</v>
      </c>
      <c r="S931" s="131">
        <v>194</v>
      </c>
      <c r="U931" s="131">
        <v>420.55099999999999</v>
      </c>
      <c r="V931" s="132">
        <v>2.5400000000000002E-3</v>
      </c>
      <c r="W931" s="132">
        <f t="shared" si="14"/>
        <v>1.1723697798096144E-3</v>
      </c>
      <c r="X931" s="132">
        <v>1.2578116503116863E-4</v>
      </c>
    </row>
    <row r="932" spans="1:24">
      <c r="A932" t="s">
        <v>1213</v>
      </c>
      <c r="B932" s="4">
        <v>9302</v>
      </c>
      <c r="C932" t="s">
        <v>1782</v>
      </c>
      <c r="D932" t="s">
        <v>1783</v>
      </c>
      <c r="E932" t="s">
        <v>309</v>
      </c>
      <c r="F932" t="s">
        <v>1782</v>
      </c>
      <c r="G932" t="s">
        <v>3497</v>
      </c>
      <c r="H932" t="s">
        <v>321</v>
      </c>
      <c r="I932" t="s">
        <v>917</v>
      </c>
      <c r="J932" t="s">
        <v>204</v>
      </c>
      <c r="K932" t="s">
        <v>204</v>
      </c>
      <c r="L932" t="s">
        <v>325</v>
      </c>
      <c r="M932" t="s">
        <v>340</v>
      </c>
      <c r="N932" t="s">
        <v>461</v>
      </c>
      <c r="O932" t="s">
        <v>339</v>
      </c>
      <c r="P932" t="s">
        <v>1212</v>
      </c>
      <c r="Q932" s="131">
        <v>5168</v>
      </c>
      <c r="R932" s="131">
        <v>1</v>
      </c>
      <c r="S932" s="131">
        <v>7743</v>
      </c>
      <c r="U932" s="131">
        <v>400.15800000000002</v>
      </c>
      <c r="V932" s="132">
        <v>2.9999999999999997E-4</v>
      </c>
      <c r="W932" s="132">
        <f t="shared" si="14"/>
        <v>1.1155202254876477E-3</v>
      </c>
      <c r="X932" s="132">
        <v>1.1968189217607944E-4</v>
      </c>
    </row>
    <row r="933" spans="1:24">
      <c r="A933" t="s">
        <v>1213</v>
      </c>
      <c r="B933" s="4">
        <v>9302</v>
      </c>
      <c r="C933" t="s">
        <v>3950</v>
      </c>
      <c r="D933" t="s">
        <v>3951</v>
      </c>
      <c r="E933" t="s">
        <v>309</v>
      </c>
      <c r="F933" t="s">
        <v>3952</v>
      </c>
      <c r="G933" t="s">
        <v>3953</v>
      </c>
      <c r="H933" t="s">
        <v>321</v>
      </c>
      <c r="I933" t="s">
        <v>917</v>
      </c>
      <c r="J933" t="s">
        <v>204</v>
      </c>
      <c r="K933" t="s">
        <v>204</v>
      </c>
      <c r="L933" t="s">
        <v>325</v>
      </c>
      <c r="M933" t="s">
        <v>340</v>
      </c>
      <c r="N933" t="s">
        <v>459</v>
      </c>
      <c r="O933" t="s">
        <v>339</v>
      </c>
      <c r="P933" t="s">
        <v>1212</v>
      </c>
      <c r="Q933" s="131">
        <v>5538.86</v>
      </c>
      <c r="R933" s="131">
        <v>1</v>
      </c>
      <c r="S933" s="131">
        <v>6665</v>
      </c>
      <c r="U933" s="131">
        <v>369.16500000000002</v>
      </c>
      <c r="V933" s="132">
        <v>4.4000000000000002E-4</v>
      </c>
      <c r="W933" s="132">
        <f t="shared" si="14"/>
        <v>1.0291210572877401E-3</v>
      </c>
      <c r="X933" s="132">
        <v>1.1041230145388163E-4</v>
      </c>
    </row>
    <row r="934" spans="1:24">
      <c r="A934" t="s">
        <v>1213</v>
      </c>
      <c r="B934" s="4">
        <v>9302</v>
      </c>
      <c r="C934" t="s">
        <v>3483</v>
      </c>
      <c r="D934" t="s">
        <v>3484</v>
      </c>
      <c r="E934" t="s">
        <v>309</v>
      </c>
      <c r="F934" t="s">
        <v>3483</v>
      </c>
      <c r="G934" t="s">
        <v>3485</v>
      </c>
      <c r="H934" t="s">
        <v>321</v>
      </c>
      <c r="I934" t="s">
        <v>917</v>
      </c>
      <c r="J934" t="s">
        <v>204</v>
      </c>
      <c r="K934" t="s">
        <v>204</v>
      </c>
      <c r="L934" t="s">
        <v>325</v>
      </c>
      <c r="M934" t="s">
        <v>340</v>
      </c>
      <c r="N934" t="s">
        <v>461</v>
      </c>
      <c r="O934" t="s">
        <v>339</v>
      </c>
      <c r="P934" t="s">
        <v>1212</v>
      </c>
      <c r="Q934" s="131">
        <v>4801</v>
      </c>
      <c r="R934" s="131">
        <v>1</v>
      </c>
      <c r="S934" s="131">
        <v>7454</v>
      </c>
      <c r="U934" s="131">
        <v>357.86700000000002</v>
      </c>
      <c r="V934" s="132">
        <v>8.0000000000000007E-5</v>
      </c>
      <c r="W934" s="132">
        <f t="shared" si="14"/>
        <v>9.9762562921293092E-4</v>
      </c>
      <c r="X934" s="132">
        <v>1.0703322114608985E-4</v>
      </c>
    </row>
    <row r="935" spans="1:24">
      <c r="A935" t="s">
        <v>1213</v>
      </c>
      <c r="B935" s="4">
        <v>9302</v>
      </c>
      <c r="C935" t="s">
        <v>1683</v>
      </c>
      <c r="D935" t="s">
        <v>1684</v>
      </c>
      <c r="E935" t="s">
        <v>309</v>
      </c>
      <c r="F935" t="s">
        <v>1683</v>
      </c>
      <c r="G935" t="s">
        <v>3436</v>
      </c>
      <c r="H935" t="s">
        <v>321</v>
      </c>
      <c r="I935" t="s">
        <v>917</v>
      </c>
      <c r="J935" t="s">
        <v>204</v>
      </c>
      <c r="K935" t="s">
        <v>204</v>
      </c>
      <c r="L935" t="s">
        <v>325</v>
      </c>
      <c r="M935" t="s">
        <v>340</v>
      </c>
      <c r="N935" t="s">
        <v>441</v>
      </c>
      <c r="O935" t="s">
        <v>339</v>
      </c>
      <c r="P935" t="s">
        <v>1212</v>
      </c>
      <c r="Q935" s="131">
        <v>4032</v>
      </c>
      <c r="R935" s="131">
        <v>1</v>
      </c>
      <c r="S935" s="131">
        <v>8722</v>
      </c>
      <c r="U935" s="131">
        <v>351.67099999999999</v>
      </c>
      <c r="V935" s="132">
        <v>1.1E-4</v>
      </c>
      <c r="W935" s="132">
        <f t="shared" si="14"/>
        <v>9.8035304359144772E-4</v>
      </c>
      <c r="X935" s="132">
        <v>1.0518008062678749E-4</v>
      </c>
    </row>
    <row r="936" spans="1:24">
      <c r="A936" t="s">
        <v>1213</v>
      </c>
      <c r="B936" s="4">
        <v>9302</v>
      </c>
      <c r="C936" t="s">
        <v>3933</v>
      </c>
      <c r="D936" t="s">
        <v>3934</v>
      </c>
      <c r="E936" t="s">
        <v>309</v>
      </c>
      <c r="F936" t="s">
        <v>3935</v>
      </c>
      <c r="G936" t="s">
        <v>3936</v>
      </c>
      <c r="H936" t="s">
        <v>321</v>
      </c>
      <c r="I936" t="s">
        <v>917</v>
      </c>
      <c r="J936" t="s">
        <v>204</v>
      </c>
      <c r="K936" t="s">
        <v>204</v>
      </c>
      <c r="L936" t="s">
        <v>325</v>
      </c>
      <c r="M936" t="s">
        <v>340</v>
      </c>
      <c r="N936" t="s">
        <v>446</v>
      </c>
      <c r="O936" t="s">
        <v>339</v>
      </c>
      <c r="P936" t="s">
        <v>1212</v>
      </c>
      <c r="Q936" s="131">
        <v>14000</v>
      </c>
      <c r="R936" s="131">
        <v>1</v>
      </c>
      <c r="S936" s="131">
        <v>2352</v>
      </c>
      <c r="U936" s="131">
        <v>329.28</v>
      </c>
      <c r="V936" s="132">
        <v>5.5999999999999995E-4</v>
      </c>
      <c r="W936" s="132">
        <f t="shared" si="14"/>
        <v>9.1793366582343123E-4</v>
      </c>
      <c r="X936" s="132">
        <v>9.8483232762407424E-5</v>
      </c>
    </row>
    <row r="937" spans="1:24">
      <c r="A937" t="s">
        <v>1213</v>
      </c>
      <c r="B937" s="4">
        <v>9302</v>
      </c>
      <c r="C937" t="s">
        <v>1687</v>
      </c>
      <c r="D937" t="s">
        <v>1688</v>
      </c>
      <c r="E937" t="s">
        <v>309</v>
      </c>
      <c r="F937" t="s">
        <v>3948</v>
      </c>
      <c r="G937" t="s">
        <v>3949</v>
      </c>
      <c r="H937" t="s">
        <v>321</v>
      </c>
      <c r="I937" t="s">
        <v>917</v>
      </c>
      <c r="J937" t="s">
        <v>204</v>
      </c>
      <c r="K937" t="s">
        <v>204</v>
      </c>
      <c r="L937" s="134" t="s">
        <v>325</v>
      </c>
      <c r="M937" t="s">
        <v>340</v>
      </c>
      <c r="N937" t="s">
        <v>465</v>
      </c>
      <c r="O937" t="s">
        <v>339</v>
      </c>
      <c r="P937" t="s">
        <v>1212</v>
      </c>
      <c r="Q937" s="131">
        <v>1879</v>
      </c>
      <c r="R937" s="131">
        <v>1</v>
      </c>
      <c r="S937" s="131">
        <v>17130</v>
      </c>
      <c r="U937" s="131">
        <v>321.87299999999999</v>
      </c>
      <c r="V937" s="132">
        <v>5.0000000000000002E-5</v>
      </c>
      <c r="W937" s="132">
        <f t="shared" si="14"/>
        <v>8.9728517620136442E-4</v>
      </c>
      <c r="X937" s="132">
        <v>9.6267898381117496E-5</v>
      </c>
    </row>
    <row r="938" spans="1:24">
      <c r="A938" t="s">
        <v>1213</v>
      </c>
      <c r="B938" s="4">
        <v>9302</v>
      </c>
      <c r="C938" t="s">
        <v>1947</v>
      </c>
      <c r="D938" t="s">
        <v>1948</v>
      </c>
      <c r="E938" t="s">
        <v>309</v>
      </c>
      <c r="F938" t="s">
        <v>1947</v>
      </c>
      <c r="G938" t="s">
        <v>3947</v>
      </c>
      <c r="H938" t="s">
        <v>321</v>
      </c>
      <c r="I938" t="s">
        <v>917</v>
      </c>
      <c r="J938" t="s">
        <v>204</v>
      </c>
      <c r="K938" t="s">
        <v>204</v>
      </c>
      <c r="L938" t="s">
        <v>325</v>
      </c>
      <c r="M938" t="s">
        <v>340</v>
      </c>
      <c r="N938" t="s">
        <v>464</v>
      </c>
      <c r="O938" t="s">
        <v>339</v>
      </c>
      <c r="P938" t="s">
        <v>1212</v>
      </c>
      <c r="Q938" s="131">
        <v>144319</v>
      </c>
      <c r="R938" s="131">
        <v>1</v>
      </c>
      <c r="S938" s="131">
        <v>217.1</v>
      </c>
      <c r="U938" s="131">
        <v>313.31700000000001</v>
      </c>
      <c r="V938" s="132">
        <v>4.4999999999999999E-4</v>
      </c>
      <c r="W938" s="132">
        <f t="shared" si="14"/>
        <v>8.7343361994290578E-4</v>
      </c>
      <c r="X938" s="132">
        <v>9.3708913506496634E-5</v>
      </c>
    </row>
    <row r="939" spans="1:24">
      <c r="A939" t="s">
        <v>1213</v>
      </c>
      <c r="B939" s="4">
        <v>9302</v>
      </c>
      <c r="C939" t="s">
        <v>3967</v>
      </c>
      <c r="D939" t="s">
        <v>3968</v>
      </c>
      <c r="E939" t="s">
        <v>309</v>
      </c>
      <c r="F939" t="s">
        <v>3967</v>
      </c>
      <c r="G939" t="s">
        <v>3969</v>
      </c>
      <c r="H939" t="s">
        <v>321</v>
      </c>
      <c r="I939" t="s">
        <v>917</v>
      </c>
      <c r="J939" t="s">
        <v>204</v>
      </c>
      <c r="K939" t="s">
        <v>204</v>
      </c>
      <c r="L939" t="s">
        <v>325</v>
      </c>
      <c r="M939" t="s">
        <v>340</v>
      </c>
      <c r="N939" t="s">
        <v>480</v>
      </c>
      <c r="O939" t="s">
        <v>339</v>
      </c>
      <c r="P939" t="s">
        <v>1212</v>
      </c>
      <c r="Q939" s="131">
        <v>7963</v>
      </c>
      <c r="R939" s="131">
        <v>1</v>
      </c>
      <c r="S939" s="131">
        <v>3430</v>
      </c>
      <c r="U939" s="131">
        <v>273.13099999999997</v>
      </c>
      <c r="V939" s="132">
        <v>6.6E-4</v>
      </c>
      <c r="W939" s="132">
        <f t="shared" si="14"/>
        <v>7.6140713095244048E-4</v>
      </c>
      <c r="X939" s="132">
        <v>8.1689819751060201E-5</v>
      </c>
    </row>
    <row r="940" spans="1:24">
      <c r="A940" t="s">
        <v>1213</v>
      </c>
      <c r="B940" s="4">
        <v>9302</v>
      </c>
      <c r="C940" t="s">
        <v>3845</v>
      </c>
      <c r="D940" t="s">
        <v>3846</v>
      </c>
      <c r="E940" t="s">
        <v>309</v>
      </c>
      <c r="F940" t="s">
        <v>3845</v>
      </c>
      <c r="G940" t="s">
        <v>3847</v>
      </c>
      <c r="H940" t="s">
        <v>321</v>
      </c>
      <c r="I940" t="s">
        <v>917</v>
      </c>
      <c r="J940" t="s">
        <v>204</v>
      </c>
      <c r="K940" t="s">
        <v>204</v>
      </c>
      <c r="L940" t="s">
        <v>325</v>
      </c>
      <c r="M940" t="s">
        <v>340</v>
      </c>
      <c r="N940" t="s">
        <v>473</v>
      </c>
      <c r="O940" t="s">
        <v>339</v>
      </c>
      <c r="P940" t="s">
        <v>1212</v>
      </c>
      <c r="Q940" s="131">
        <v>30589</v>
      </c>
      <c r="R940" s="131">
        <v>1</v>
      </c>
      <c r="S940" s="131">
        <v>837.8</v>
      </c>
      <c r="T940" s="131">
        <v>4.7039999999999997</v>
      </c>
      <c r="U940" s="131">
        <v>260.97899999999998</v>
      </c>
      <c r="V940" s="132">
        <v>2.7999999999999998E-4</v>
      </c>
      <c r="W940" s="132">
        <f t="shared" si="14"/>
        <v>7.2753100757086148E-4</v>
      </c>
      <c r="X940" s="132">
        <v>7.8055319494352318E-5</v>
      </c>
    </row>
    <row r="941" spans="1:24">
      <c r="A941" t="s">
        <v>1213</v>
      </c>
      <c r="B941" s="4">
        <v>9302</v>
      </c>
      <c r="C941" t="s">
        <v>3954</v>
      </c>
      <c r="D941" t="s">
        <v>3955</v>
      </c>
      <c r="E941" t="s">
        <v>309</v>
      </c>
      <c r="F941" t="s">
        <v>3954</v>
      </c>
      <c r="G941" t="s">
        <v>3956</v>
      </c>
      <c r="H941" t="s">
        <v>321</v>
      </c>
      <c r="I941" t="s">
        <v>917</v>
      </c>
      <c r="J941" t="s">
        <v>204</v>
      </c>
      <c r="K941" t="s">
        <v>204</v>
      </c>
      <c r="L941" t="s">
        <v>325</v>
      </c>
      <c r="M941" t="s">
        <v>340</v>
      </c>
      <c r="N941" t="s">
        <v>460</v>
      </c>
      <c r="O941" t="s">
        <v>339</v>
      </c>
      <c r="P941" t="s">
        <v>1212</v>
      </c>
      <c r="Q941" s="131">
        <v>63286</v>
      </c>
      <c r="R941" s="131">
        <v>1</v>
      </c>
      <c r="S941" s="131">
        <v>402.3</v>
      </c>
      <c r="U941" s="131">
        <v>254.6</v>
      </c>
      <c r="V941" s="132">
        <v>1.2600000000000001E-3</v>
      </c>
      <c r="W941" s="132">
        <f t="shared" si="14"/>
        <v>7.097482729550705E-4</v>
      </c>
      <c r="X941" s="132">
        <v>7.6147446128853655E-5</v>
      </c>
    </row>
    <row r="942" spans="1:24">
      <c r="A942" t="s">
        <v>1213</v>
      </c>
      <c r="B942" s="4">
        <v>9302</v>
      </c>
      <c r="C942" t="s">
        <v>3004</v>
      </c>
      <c r="D942" t="s">
        <v>3005</v>
      </c>
      <c r="E942" t="s">
        <v>309</v>
      </c>
      <c r="F942" t="s">
        <v>3004</v>
      </c>
      <c r="G942" t="s">
        <v>3960</v>
      </c>
      <c r="H942" t="s">
        <v>321</v>
      </c>
      <c r="I942" t="s">
        <v>917</v>
      </c>
      <c r="J942" t="s">
        <v>204</v>
      </c>
      <c r="K942" t="s">
        <v>204</v>
      </c>
      <c r="L942" t="s">
        <v>325</v>
      </c>
      <c r="M942" t="s">
        <v>340</v>
      </c>
      <c r="N942" t="s">
        <v>440</v>
      </c>
      <c r="O942" t="s">
        <v>339</v>
      </c>
      <c r="P942" t="s">
        <v>1212</v>
      </c>
      <c r="Q942" s="131">
        <v>132982</v>
      </c>
      <c r="R942" s="131">
        <v>1</v>
      </c>
      <c r="S942" s="131">
        <v>176</v>
      </c>
      <c r="U942" s="131">
        <v>234.048</v>
      </c>
      <c r="V942" s="132">
        <v>1.9000000000000001E-4</v>
      </c>
      <c r="W942" s="132">
        <f t="shared" si="14"/>
        <v>6.5245547442493459E-4</v>
      </c>
      <c r="X942" s="132">
        <v>7.0000618505757821E-5</v>
      </c>
    </row>
    <row r="943" spans="1:24">
      <c r="A943" t="s">
        <v>1213</v>
      </c>
      <c r="B943" s="4">
        <v>9302</v>
      </c>
      <c r="C943" t="s">
        <v>3957</v>
      </c>
      <c r="D943" t="s">
        <v>3958</v>
      </c>
      <c r="E943" t="s">
        <v>309</v>
      </c>
      <c r="F943" t="s">
        <v>3957</v>
      </c>
      <c r="G943" t="s">
        <v>3959</v>
      </c>
      <c r="H943" t="s">
        <v>321</v>
      </c>
      <c r="I943" t="s">
        <v>917</v>
      </c>
      <c r="J943" t="s">
        <v>204</v>
      </c>
      <c r="K943" t="s">
        <v>204</v>
      </c>
      <c r="L943" t="s">
        <v>325</v>
      </c>
      <c r="M943" t="s">
        <v>340</v>
      </c>
      <c r="N943" t="s">
        <v>480</v>
      </c>
      <c r="O943" t="s">
        <v>339</v>
      </c>
      <c r="P943" t="s">
        <v>1212</v>
      </c>
      <c r="Q943" s="131">
        <v>2354</v>
      </c>
      <c r="R943" s="131">
        <v>1</v>
      </c>
      <c r="S943" s="131">
        <v>9699</v>
      </c>
      <c r="U943" s="131">
        <v>228.31399999999999</v>
      </c>
      <c r="V943" s="132">
        <v>6.9999999999999994E-5</v>
      </c>
      <c r="W943" s="132">
        <f t="shared" si="14"/>
        <v>6.36470805936622E-4</v>
      </c>
      <c r="X943" s="132">
        <v>6.8285655991606807E-5</v>
      </c>
    </row>
    <row r="944" spans="1:24">
      <c r="A944" t="s">
        <v>1213</v>
      </c>
      <c r="B944" s="4">
        <v>9302</v>
      </c>
      <c r="C944" t="s">
        <v>3703</v>
      </c>
      <c r="D944" t="s">
        <v>3704</v>
      </c>
      <c r="E944" t="s">
        <v>309</v>
      </c>
      <c r="F944" t="s">
        <v>3703</v>
      </c>
      <c r="G944" t="s">
        <v>3705</v>
      </c>
      <c r="H944" t="s">
        <v>321</v>
      </c>
      <c r="I944" t="s">
        <v>917</v>
      </c>
      <c r="J944" t="s">
        <v>204</v>
      </c>
      <c r="K944" t="s">
        <v>204</v>
      </c>
      <c r="L944" t="s">
        <v>325</v>
      </c>
      <c r="M944" t="s">
        <v>340</v>
      </c>
      <c r="N944" t="s">
        <v>451</v>
      </c>
      <c r="O944" t="s">
        <v>339</v>
      </c>
      <c r="P944" t="s">
        <v>1212</v>
      </c>
      <c r="Q944" s="131">
        <v>3352</v>
      </c>
      <c r="R944" s="131">
        <v>1</v>
      </c>
      <c r="S944" s="131">
        <v>6352</v>
      </c>
      <c r="U944" s="131">
        <v>212.91900000000001</v>
      </c>
      <c r="V944" s="132">
        <v>1.2999999999999999E-4</v>
      </c>
      <c r="W944" s="132">
        <f t="shared" si="14"/>
        <v>5.9355417332804662E-4</v>
      </c>
      <c r="X944" s="132">
        <v>6.3681217919518438E-5</v>
      </c>
    </row>
    <row r="945" spans="1:24">
      <c r="A945" t="s">
        <v>1213</v>
      </c>
      <c r="B945" s="4">
        <v>9302</v>
      </c>
      <c r="C945" t="s">
        <v>3964</v>
      </c>
      <c r="D945" t="s">
        <v>3965</v>
      </c>
      <c r="E945" t="s">
        <v>309</v>
      </c>
      <c r="F945" t="s">
        <v>3964</v>
      </c>
      <c r="G945" t="s">
        <v>3966</v>
      </c>
      <c r="H945" t="s">
        <v>321</v>
      </c>
      <c r="I945" t="s">
        <v>917</v>
      </c>
      <c r="J945" t="s">
        <v>204</v>
      </c>
      <c r="K945" t="s">
        <v>204</v>
      </c>
      <c r="L945" t="s">
        <v>325</v>
      </c>
      <c r="M945" t="s">
        <v>340</v>
      </c>
      <c r="N945" t="s">
        <v>466</v>
      </c>
      <c r="O945" t="s">
        <v>339</v>
      </c>
      <c r="P945" t="s">
        <v>1212</v>
      </c>
      <c r="Q945" s="131">
        <v>14354</v>
      </c>
      <c r="R945" s="131">
        <v>1</v>
      </c>
      <c r="S945" s="131">
        <v>1383</v>
      </c>
      <c r="U945" s="131">
        <v>198.51599999999999</v>
      </c>
      <c r="V945" s="132">
        <v>1.5399999999999999E-3</v>
      </c>
      <c r="W945" s="132">
        <f t="shared" si="14"/>
        <v>5.534029385465387E-4</v>
      </c>
      <c r="X945" s="132">
        <v>5.937347374593681E-5</v>
      </c>
    </row>
    <row r="946" spans="1:24">
      <c r="A946" t="s">
        <v>1213</v>
      </c>
      <c r="B946" s="4">
        <v>9302</v>
      </c>
      <c r="C946" t="s">
        <v>3961</v>
      </c>
      <c r="D946" t="s">
        <v>3962</v>
      </c>
      <c r="E946" t="s">
        <v>309</v>
      </c>
      <c r="F946" t="s">
        <v>3961</v>
      </c>
      <c r="G946" t="s">
        <v>3963</v>
      </c>
      <c r="H946" t="s">
        <v>321</v>
      </c>
      <c r="I946" t="s">
        <v>917</v>
      </c>
      <c r="J946" t="s">
        <v>204</v>
      </c>
      <c r="K946" t="s">
        <v>204</v>
      </c>
      <c r="L946" t="s">
        <v>325</v>
      </c>
      <c r="M946" t="s">
        <v>340</v>
      </c>
      <c r="N946" t="s">
        <v>476</v>
      </c>
      <c r="O946" t="s">
        <v>339</v>
      </c>
      <c r="P946" t="s">
        <v>1212</v>
      </c>
      <c r="Q946" s="131">
        <v>3048</v>
      </c>
      <c r="R946" s="131">
        <v>1</v>
      </c>
      <c r="S946" s="131">
        <v>5678</v>
      </c>
      <c r="U946" s="131">
        <v>173.065</v>
      </c>
      <c r="V946" s="132">
        <v>1.2E-4</v>
      </c>
      <c r="W946" s="132">
        <f t="shared" si="14"/>
        <v>4.8245320054583372E-4</v>
      </c>
      <c r="X946" s="132">
        <v>5.1761420912372578E-5</v>
      </c>
    </row>
    <row r="947" spans="1:24">
      <c r="A947" t="s">
        <v>1213</v>
      </c>
      <c r="B947" s="4">
        <v>9302</v>
      </c>
      <c r="C947" t="s">
        <v>3668</v>
      </c>
      <c r="D947" t="s">
        <v>3669</v>
      </c>
      <c r="E947" t="s">
        <v>309</v>
      </c>
      <c r="F947" t="s">
        <v>3668</v>
      </c>
      <c r="G947" t="s">
        <v>3670</v>
      </c>
      <c r="H947" t="s">
        <v>321</v>
      </c>
      <c r="I947" t="s">
        <v>917</v>
      </c>
      <c r="J947" t="s">
        <v>204</v>
      </c>
      <c r="K947" t="s">
        <v>204</v>
      </c>
      <c r="L947" t="s">
        <v>325</v>
      </c>
      <c r="M947" t="s">
        <v>340</v>
      </c>
      <c r="N947" t="s">
        <v>445</v>
      </c>
      <c r="O947" t="s">
        <v>339</v>
      </c>
      <c r="P947" t="s">
        <v>1212</v>
      </c>
      <c r="Q947" s="131">
        <v>23346</v>
      </c>
      <c r="R947" s="131">
        <v>1</v>
      </c>
      <c r="S947" s="131">
        <v>620.79999999999995</v>
      </c>
      <c r="U947" s="131">
        <v>144.93199999999999</v>
      </c>
      <c r="V947" s="132">
        <v>5.1999999999999995E-4</v>
      </c>
      <c r="W947" s="132">
        <f t="shared" si="14"/>
        <v>4.0402685269412514E-4</v>
      </c>
      <c r="X947" s="132">
        <v>4.3347217841111615E-5</v>
      </c>
    </row>
    <row r="948" spans="1:24">
      <c r="A948" t="s">
        <v>1213</v>
      </c>
      <c r="B948" s="4">
        <v>9302</v>
      </c>
      <c r="C948" t="s">
        <v>3979</v>
      </c>
      <c r="D948" t="s">
        <v>3980</v>
      </c>
      <c r="E948" t="s">
        <v>309</v>
      </c>
      <c r="F948" t="s">
        <v>3979</v>
      </c>
      <c r="G948" t="s">
        <v>3981</v>
      </c>
      <c r="H948" t="s">
        <v>321</v>
      </c>
      <c r="I948" t="s">
        <v>917</v>
      </c>
      <c r="J948" t="s">
        <v>204</v>
      </c>
      <c r="K948" t="s">
        <v>204</v>
      </c>
      <c r="L948" t="s">
        <v>325</v>
      </c>
      <c r="M948" t="s">
        <v>340</v>
      </c>
      <c r="N948" t="s">
        <v>450</v>
      </c>
      <c r="O948" t="s">
        <v>339</v>
      </c>
      <c r="P948" t="s">
        <v>1212</v>
      </c>
      <c r="Q948" s="131">
        <v>231192.54</v>
      </c>
      <c r="R948" s="131">
        <v>1</v>
      </c>
      <c r="S948" s="131">
        <v>49.8</v>
      </c>
      <c r="U948" s="131">
        <v>115.134</v>
      </c>
      <c r="V948" s="132">
        <v>1.56E-3</v>
      </c>
      <c r="W948" s="132">
        <f t="shared" si="14"/>
        <v>3.2095898530404195E-4</v>
      </c>
      <c r="X948" s="132">
        <v>3.4435035595441625E-5</v>
      </c>
    </row>
    <row r="949" spans="1:24">
      <c r="A949" t="s">
        <v>1213</v>
      </c>
      <c r="B949" s="4">
        <v>9302</v>
      </c>
      <c r="C949" t="s">
        <v>2893</v>
      </c>
      <c r="D949" t="s">
        <v>2894</v>
      </c>
      <c r="E949" t="s">
        <v>309</v>
      </c>
      <c r="F949" t="s">
        <v>3859</v>
      </c>
      <c r="G949" t="s">
        <v>3860</v>
      </c>
      <c r="H949" t="s">
        <v>321</v>
      </c>
      <c r="I949" t="s">
        <v>917</v>
      </c>
      <c r="J949" t="s">
        <v>204</v>
      </c>
      <c r="K949" t="s">
        <v>204</v>
      </c>
      <c r="L949" t="s">
        <v>325</v>
      </c>
      <c r="M949" t="s">
        <v>340</v>
      </c>
      <c r="N949" t="s">
        <v>447</v>
      </c>
      <c r="O949" t="s">
        <v>339</v>
      </c>
      <c r="P949" t="s">
        <v>1212</v>
      </c>
      <c r="Q949" s="131">
        <v>61972.51</v>
      </c>
      <c r="R949" s="131">
        <v>1</v>
      </c>
      <c r="S949" s="131">
        <v>185.7</v>
      </c>
      <c r="U949" s="131">
        <v>115.083</v>
      </c>
      <c r="V949" s="132">
        <v>1.14E-3</v>
      </c>
      <c r="W949" s="132">
        <f t="shared" si="14"/>
        <v>3.2081681263349714E-4</v>
      </c>
      <c r="X949" s="132">
        <v>3.4419782179288553E-5</v>
      </c>
    </row>
    <row r="950" spans="1:24">
      <c r="A950" t="s">
        <v>1213</v>
      </c>
      <c r="B950" s="4">
        <v>9302</v>
      </c>
      <c r="C950" t="s">
        <v>3970</v>
      </c>
      <c r="D950" t="s">
        <v>3971</v>
      </c>
      <c r="E950" t="s">
        <v>309</v>
      </c>
      <c r="F950" t="s">
        <v>3970</v>
      </c>
      <c r="G950" t="s">
        <v>3972</v>
      </c>
      <c r="H950" t="s">
        <v>321</v>
      </c>
      <c r="I950" t="s">
        <v>917</v>
      </c>
      <c r="J950" t="s">
        <v>204</v>
      </c>
      <c r="K950" t="s">
        <v>204</v>
      </c>
      <c r="L950" t="s">
        <v>325</v>
      </c>
      <c r="M950" t="s">
        <v>340</v>
      </c>
      <c r="N950" t="s">
        <v>471</v>
      </c>
      <c r="O950" t="s">
        <v>339</v>
      </c>
      <c r="P950" t="s">
        <v>1212</v>
      </c>
      <c r="Q950" s="131">
        <v>199277</v>
      </c>
      <c r="R950" s="131">
        <v>1</v>
      </c>
      <c r="S950" s="131">
        <v>53.2</v>
      </c>
      <c r="U950" s="131">
        <v>106.015</v>
      </c>
      <c r="V950" s="132">
        <v>1.81E-3</v>
      </c>
      <c r="W950" s="132">
        <f t="shared" si="14"/>
        <v>2.955379542707455E-4</v>
      </c>
      <c r="X950" s="132">
        <v>3.1707664969954521E-5</v>
      </c>
    </row>
    <row r="951" spans="1:24">
      <c r="A951" t="s">
        <v>1213</v>
      </c>
      <c r="B951" s="4">
        <v>9302</v>
      </c>
      <c r="C951" t="s">
        <v>3973</v>
      </c>
      <c r="D951" t="s">
        <v>3974</v>
      </c>
      <c r="E951" t="s">
        <v>309</v>
      </c>
      <c r="F951" t="s">
        <v>3973</v>
      </c>
      <c r="G951" t="s">
        <v>3975</v>
      </c>
      <c r="H951" t="s">
        <v>321</v>
      </c>
      <c r="I951" t="s">
        <v>917</v>
      </c>
      <c r="J951" t="s">
        <v>204</v>
      </c>
      <c r="K951" t="s">
        <v>204</v>
      </c>
      <c r="L951" t="s">
        <v>325</v>
      </c>
      <c r="M951" t="s">
        <v>340</v>
      </c>
      <c r="N951" t="s">
        <v>456</v>
      </c>
      <c r="O951" t="s">
        <v>339</v>
      </c>
      <c r="P951" t="s">
        <v>1212</v>
      </c>
      <c r="Q951" s="131">
        <v>9840</v>
      </c>
      <c r="R951" s="131">
        <v>1</v>
      </c>
      <c r="S951" s="131">
        <v>943.2</v>
      </c>
      <c r="U951" s="131">
        <v>92.811000000000007</v>
      </c>
      <c r="V951" s="132">
        <v>2.9E-4</v>
      </c>
      <c r="W951" s="132">
        <f t="shared" si="14"/>
        <v>2.5872917109675197E-4</v>
      </c>
      <c r="X951" s="132">
        <v>2.7758525619265663E-5</v>
      </c>
    </row>
    <row r="952" spans="1:24">
      <c r="A952" t="s">
        <v>1213</v>
      </c>
      <c r="B952" s="4">
        <v>9302</v>
      </c>
      <c r="C952" t="s">
        <v>1691</v>
      </c>
      <c r="D952" t="s">
        <v>1692</v>
      </c>
      <c r="E952" t="s">
        <v>309</v>
      </c>
      <c r="F952" t="s">
        <v>3478</v>
      </c>
      <c r="G952" t="s">
        <v>3479</v>
      </c>
      <c r="H952" t="s">
        <v>321</v>
      </c>
      <c r="I952" t="s">
        <v>917</v>
      </c>
      <c r="J952" t="s">
        <v>204</v>
      </c>
      <c r="K952" t="s">
        <v>204</v>
      </c>
      <c r="L952" t="s">
        <v>325</v>
      </c>
      <c r="M952" t="s">
        <v>340</v>
      </c>
      <c r="N952" t="s">
        <v>464</v>
      </c>
      <c r="O952" t="s">
        <v>339</v>
      </c>
      <c r="P952" t="s">
        <v>1212</v>
      </c>
      <c r="Q952" s="131">
        <v>6082</v>
      </c>
      <c r="R952" s="131">
        <v>1</v>
      </c>
      <c r="S952" s="131">
        <v>1513</v>
      </c>
      <c r="U952" s="131">
        <v>92.021000000000001</v>
      </c>
      <c r="V952" s="132">
        <v>3.0000000000000001E-5</v>
      </c>
      <c r="W952" s="132">
        <f t="shared" si="14"/>
        <v>2.5652688855301863E-4</v>
      </c>
      <c r="X952" s="132">
        <v>2.75222472121887E-5</v>
      </c>
    </row>
    <row r="953" spans="1:24">
      <c r="A953" t="s">
        <v>1213</v>
      </c>
      <c r="B953" s="4">
        <v>9302</v>
      </c>
      <c r="C953" t="s">
        <v>1820</v>
      </c>
      <c r="D953" t="s">
        <v>1821</v>
      </c>
      <c r="E953" t="s">
        <v>309</v>
      </c>
      <c r="F953" t="s">
        <v>3632</v>
      </c>
      <c r="G953" t="s">
        <v>3633</v>
      </c>
      <c r="H953" t="s">
        <v>321</v>
      </c>
      <c r="I953" t="s">
        <v>917</v>
      </c>
      <c r="J953" t="s">
        <v>204</v>
      </c>
      <c r="K953" t="s">
        <v>204</v>
      </c>
      <c r="L953" t="s">
        <v>325</v>
      </c>
      <c r="M953" t="s">
        <v>340</v>
      </c>
      <c r="N953" t="s">
        <v>464</v>
      </c>
      <c r="O953" t="s">
        <v>339</v>
      </c>
      <c r="P953" t="s">
        <v>1212</v>
      </c>
      <c r="Q953" s="131">
        <v>1418</v>
      </c>
      <c r="R953" s="131">
        <v>1</v>
      </c>
      <c r="S953" s="131">
        <v>5594</v>
      </c>
      <c r="U953" s="131">
        <v>79.322999999999993</v>
      </c>
      <c r="V953" s="132">
        <v>1.0000000000000001E-5</v>
      </c>
      <c r="W953" s="132">
        <f t="shared" si="14"/>
        <v>2.2112868128678338E-4</v>
      </c>
      <c r="X953" s="132">
        <v>2.3724445676665588E-5</v>
      </c>
    </row>
    <row r="954" spans="1:24">
      <c r="A954" t="s">
        <v>1213</v>
      </c>
      <c r="B954" s="4">
        <v>9302</v>
      </c>
      <c r="C954" t="s">
        <v>3976</v>
      </c>
      <c r="D954" t="s">
        <v>3977</v>
      </c>
      <c r="E954" t="s">
        <v>309</v>
      </c>
      <c r="F954" t="s">
        <v>3976</v>
      </c>
      <c r="G954" t="s">
        <v>3978</v>
      </c>
      <c r="H954" t="s">
        <v>321</v>
      </c>
      <c r="I954" t="s">
        <v>917</v>
      </c>
      <c r="J954" t="s">
        <v>204</v>
      </c>
      <c r="K954" t="s">
        <v>204</v>
      </c>
      <c r="L954" t="s">
        <v>325</v>
      </c>
      <c r="M954" t="s">
        <v>340</v>
      </c>
      <c r="N954" t="s">
        <v>451</v>
      </c>
      <c r="O954" t="s">
        <v>339</v>
      </c>
      <c r="P954" t="s">
        <v>1212</v>
      </c>
      <c r="Q954" s="131">
        <v>2276</v>
      </c>
      <c r="R954" s="131">
        <v>1</v>
      </c>
      <c r="S954" s="131">
        <v>2501</v>
      </c>
      <c r="U954" s="131">
        <v>56.923000000000002</v>
      </c>
      <c r="V954" s="132">
        <v>1.3999999999999999E-4</v>
      </c>
      <c r="W954" s="132">
        <f t="shared" si="14"/>
        <v>1.5868421422396496E-4</v>
      </c>
      <c r="X954" s="132">
        <v>1.7024906032964405E-5</v>
      </c>
    </row>
    <row r="955" spans="1:24">
      <c r="A955" t="s">
        <v>1213</v>
      </c>
      <c r="B955" s="4">
        <v>9302</v>
      </c>
      <c r="C955" t="s">
        <v>3982</v>
      </c>
      <c r="D955" t="s">
        <v>3983</v>
      </c>
      <c r="E955" t="s">
        <v>309</v>
      </c>
      <c r="F955" t="s">
        <v>3982</v>
      </c>
      <c r="G955" t="s">
        <v>3984</v>
      </c>
      <c r="H955" t="s">
        <v>321</v>
      </c>
      <c r="I955" t="s">
        <v>917</v>
      </c>
      <c r="J955" t="s">
        <v>204</v>
      </c>
      <c r="K955" t="s">
        <v>204</v>
      </c>
      <c r="L955" t="s">
        <v>325</v>
      </c>
      <c r="M955" t="s">
        <v>340</v>
      </c>
      <c r="N955" t="s">
        <v>473</v>
      </c>
      <c r="O955" t="s">
        <v>339</v>
      </c>
      <c r="P955" t="s">
        <v>1212</v>
      </c>
      <c r="Q955" s="131">
        <v>30146.5</v>
      </c>
      <c r="R955" s="131">
        <v>1</v>
      </c>
      <c r="S955" s="131">
        <v>96.5</v>
      </c>
      <c r="U955" s="131">
        <v>29.091000000000001</v>
      </c>
      <c r="V955" s="132">
        <v>1.3799999999999999E-3</v>
      </c>
      <c r="W955" s="132">
        <f t="shared" si="14"/>
        <v>8.1096963898413029E-5</v>
      </c>
      <c r="X955" s="132">
        <v>8.7007280256656788E-6</v>
      </c>
    </row>
    <row r="956" spans="1:24">
      <c r="A956" t="s">
        <v>1213</v>
      </c>
      <c r="B956" s="4">
        <v>9302</v>
      </c>
      <c r="C956" t="s">
        <v>3985</v>
      </c>
      <c r="D956" t="s">
        <v>3986</v>
      </c>
      <c r="E956" t="s">
        <v>309</v>
      </c>
      <c r="F956" t="s">
        <v>3987</v>
      </c>
      <c r="G956" t="s">
        <v>3988</v>
      </c>
      <c r="H956" t="s">
        <v>321</v>
      </c>
      <c r="I956" t="s">
        <v>917</v>
      </c>
      <c r="J956" t="s">
        <v>204</v>
      </c>
      <c r="K956" t="s">
        <v>204</v>
      </c>
      <c r="L956" t="s">
        <v>325</v>
      </c>
      <c r="M956" t="s">
        <v>340</v>
      </c>
      <c r="N956" t="s">
        <v>473</v>
      </c>
      <c r="O956" t="s">
        <v>339</v>
      </c>
      <c r="P956" t="s">
        <v>1212</v>
      </c>
      <c r="Q956" s="131">
        <v>69761</v>
      </c>
      <c r="R956" s="131">
        <v>1</v>
      </c>
      <c r="S956" s="131">
        <v>40.9</v>
      </c>
      <c r="U956" s="131">
        <v>28.532</v>
      </c>
      <c r="V956" s="132">
        <v>1.74E-3</v>
      </c>
      <c r="W956" s="132">
        <f t="shared" si="14"/>
        <v>7.9538639921265008E-5</v>
      </c>
      <c r="X956" s="132">
        <v>8.5335386211643862E-6</v>
      </c>
    </row>
    <row r="957" spans="1:24">
      <c r="A957" t="s">
        <v>1213</v>
      </c>
      <c r="B957" s="4">
        <v>9302</v>
      </c>
      <c r="C957" t="s">
        <v>3455</v>
      </c>
      <c r="D957" t="s">
        <v>3456</v>
      </c>
      <c r="E957" t="s">
        <v>309</v>
      </c>
      <c r="F957" t="s">
        <v>3457</v>
      </c>
      <c r="G957" t="s">
        <v>3458</v>
      </c>
      <c r="H957" t="s">
        <v>321</v>
      </c>
      <c r="I957" t="s">
        <v>917</v>
      </c>
      <c r="J957" t="s">
        <v>204</v>
      </c>
      <c r="K957" t="s">
        <v>204</v>
      </c>
      <c r="L957" t="s">
        <v>327</v>
      </c>
      <c r="M957" t="s">
        <v>340</v>
      </c>
      <c r="N957" t="s">
        <v>455</v>
      </c>
      <c r="O957" t="s">
        <v>339</v>
      </c>
      <c r="P957" t="s">
        <v>1212</v>
      </c>
      <c r="Q957" s="131">
        <v>33258</v>
      </c>
      <c r="R957" s="131">
        <v>1</v>
      </c>
      <c r="S957" s="131">
        <f>U957*1000/Q957*100</f>
        <v>6800</v>
      </c>
      <c r="U957" s="131">
        <f>2261544/1000</f>
        <v>2261.5439999999999</v>
      </c>
      <c r="W957" s="132">
        <f t="shared" si="14"/>
        <v>6.3045049026390484E-3</v>
      </c>
      <c r="X957" s="132">
        <v>6.7639748589172119E-4</v>
      </c>
    </row>
    <row r="958" spans="1:24">
      <c r="A958" t="s">
        <v>1213</v>
      </c>
      <c r="B958" s="4">
        <v>9302</v>
      </c>
      <c r="C958" t="s">
        <v>3330</v>
      </c>
      <c r="D958" t="s">
        <v>3331</v>
      </c>
      <c r="E958" t="s">
        <v>80</v>
      </c>
      <c r="F958" t="s">
        <v>3989</v>
      </c>
      <c r="G958" t="s">
        <v>3990</v>
      </c>
      <c r="H958" t="s">
        <v>321</v>
      </c>
      <c r="I958" t="s">
        <v>917</v>
      </c>
      <c r="J958" t="s">
        <v>205</v>
      </c>
      <c r="K958" t="s">
        <v>224</v>
      </c>
      <c r="L958" t="s">
        <v>325</v>
      </c>
      <c r="M958" t="s">
        <v>368</v>
      </c>
      <c r="N958" t="s">
        <v>568</v>
      </c>
      <c r="O958" t="s">
        <v>339</v>
      </c>
      <c r="P958" t="s">
        <v>1218</v>
      </c>
      <c r="Q958" s="131">
        <v>264734.3</v>
      </c>
      <c r="R958" s="131">
        <v>4.1524000000000001</v>
      </c>
      <c r="S958" s="131">
        <v>282.3</v>
      </c>
      <c r="U958" s="131">
        <v>3103.2750000000001</v>
      </c>
      <c r="V958" s="132">
        <v>1.7000000000000001E-4</v>
      </c>
      <c r="W958" s="132">
        <f t="shared" si="14"/>
        <v>8.6509979251949976E-3</v>
      </c>
      <c r="X958" s="132">
        <v>9.2814794141994638E-4</v>
      </c>
    </row>
    <row r="959" spans="1:24">
      <c r="A959" t="s">
        <v>1213</v>
      </c>
      <c r="B959" s="4">
        <v>9302</v>
      </c>
      <c r="C959" t="s">
        <v>3991</v>
      </c>
      <c r="D959" t="s">
        <v>3992</v>
      </c>
      <c r="E959" t="s">
        <v>311</v>
      </c>
      <c r="F959" t="s">
        <v>3993</v>
      </c>
      <c r="G959" t="s">
        <v>3994</v>
      </c>
      <c r="H959" t="s">
        <v>321</v>
      </c>
      <c r="I959" t="s">
        <v>917</v>
      </c>
      <c r="J959" t="s">
        <v>205</v>
      </c>
      <c r="K959" t="s">
        <v>204</v>
      </c>
      <c r="L959" t="s">
        <v>325</v>
      </c>
      <c r="M959" t="s">
        <v>344</v>
      </c>
      <c r="N959" t="s">
        <v>540</v>
      </c>
      <c r="O959" t="s">
        <v>339</v>
      </c>
      <c r="P959" t="s">
        <v>1216</v>
      </c>
      <c r="Q959" s="131">
        <v>23283</v>
      </c>
      <c r="R959" s="131">
        <v>3.71</v>
      </c>
      <c r="S959" s="131">
        <v>2583.5</v>
      </c>
      <c r="U959" s="131">
        <v>2231.625</v>
      </c>
      <c r="V959" s="132">
        <v>4.8999999999999998E-4</v>
      </c>
      <c r="W959" s="132">
        <f t="shared" si="14"/>
        <v>6.2210997236188496E-3</v>
      </c>
      <c r="X959" s="132">
        <v>6.6744911416851164E-4</v>
      </c>
    </row>
    <row r="960" spans="1:24">
      <c r="A960" t="s">
        <v>1213</v>
      </c>
      <c r="B960" s="4">
        <v>9302</v>
      </c>
      <c r="C960" t="s">
        <v>3999</v>
      </c>
      <c r="D960" t="s">
        <v>4000</v>
      </c>
      <c r="E960" t="s">
        <v>80</v>
      </c>
      <c r="F960" t="s">
        <v>4001</v>
      </c>
      <c r="G960" t="s">
        <v>4002</v>
      </c>
      <c r="H960" t="s">
        <v>321</v>
      </c>
      <c r="I960" t="s">
        <v>917</v>
      </c>
      <c r="J960" t="s">
        <v>205</v>
      </c>
      <c r="K960" t="s">
        <v>224</v>
      </c>
      <c r="L960" t="s">
        <v>325</v>
      </c>
      <c r="M960" t="s">
        <v>344</v>
      </c>
      <c r="N960" t="s">
        <v>488</v>
      </c>
      <c r="O960" t="s">
        <v>339</v>
      </c>
      <c r="P960" t="s">
        <v>1216</v>
      </c>
      <c r="Q960" s="131">
        <v>5236.3500000000004</v>
      </c>
      <c r="R960" s="131">
        <v>3.71</v>
      </c>
      <c r="S960" s="131">
        <v>10493</v>
      </c>
      <c r="T960" s="131">
        <f>1.576+100.5399999/1000/R960</f>
        <v>1.6030997304312669</v>
      </c>
      <c r="U960" s="131">
        <f>2044.307+100.5399999/1000</f>
        <v>2044.4075399999001</v>
      </c>
      <c r="V960" s="132">
        <v>2.0000000000000002E-5</v>
      </c>
      <c r="W960" s="132">
        <f t="shared" si="14"/>
        <v>5.6991937185045301E-3</v>
      </c>
      <c r="X960" s="132">
        <v>6.1145488223709598E-4</v>
      </c>
    </row>
    <row r="961" spans="1:24">
      <c r="A961" t="s">
        <v>1213</v>
      </c>
      <c r="B961" s="4">
        <v>9302</v>
      </c>
      <c r="C961" t="s">
        <v>4007</v>
      </c>
      <c r="D961" t="s">
        <v>4008</v>
      </c>
      <c r="E961" t="s">
        <v>311</v>
      </c>
      <c r="F961" t="s">
        <v>4009</v>
      </c>
      <c r="G961" t="s">
        <v>4010</v>
      </c>
      <c r="H961" t="s">
        <v>321</v>
      </c>
      <c r="I961" t="s">
        <v>917</v>
      </c>
      <c r="J961" t="s">
        <v>205</v>
      </c>
      <c r="K961" t="s">
        <v>204</v>
      </c>
      <c r="L961" t="s">
        <v>325</v>
      </c>
      <c r="M961" t="s">
        <v>346</v>
      </c>
      <c r="N961" t="s">
        <v>546</v>
      </c>
      <c r="O961" t="s">
        <v>339</v>
      </c>
      <c r="P961" t="s">
        <v>1216</v>
      </c>
      <c r="Q961" s="131">
        <v>19550</v>
      </c>
      <c r="R961" s="131">
        <v>3.71</v>
      </c>
      <c r="S961" s="131">
        <v>2228</v>
      </c>
      <c r="U961" s="131">
        <v>1615.98</v>
      </c>
      <c r="V961" s="132">
        <v>4.6999999999999999E-4</v>
      </c>
      <c r="W961" s="132">
        <f t="shared" si="14"/>
        <v>4.5048665126863115E-3</v>
      </c>
      <c r="X961" s="132">
        <v>4.8331794970661802E-4</v>
      </c>
    </row>
    <row r="962" spans="1:24">
      <c r="A962" t="s">
        <v>1213</v>
      </c>
      <c r="B962" s="4">
        <v>9302</v>
      </c>
      <c r="C962" t="s">
        <v>3995</v>
      </c>
      <c r="D962" t="s">
        <v>3996</v>
      </c>
      <c r="E962" t="s">
        <v>80</v>
      </c>
      <c r="F962" t="s">
        <v>3997</v>
      </c>
      <c r="G962" t="s">
        <v>3998</v>
      </c>
      <c r="H962" t="s">
        <v>321</v>
      </c>
      <c r="I962" t="s">
        <v>917</v>
      </c>
      <c r="J962" t="s">
        <v>205</v>
      </c>
      <c r="K962" s="4" t="s">
        <v>204</v>
      </c>
      <c r="L962" s="134" t="s">
        <v>325</v>
      </c>
      <c r="M962" t="s">
        <v>344</v>
      </c>
      <c r="N962" t="s">
        <v>497</v>
      </c>
      <c r="O962" t="s">
        <v>339</v>
      </c>
      <c r="P962" t="s">
        <v>1216</v>
      </c>
      <c r="Q962" s="131">
        <v>11605</v>
      </c>
      <c r="R962" s="131">
        <v>3.71</v>
      </c>
      <c r="S962" s="131">
        <v>2566</v>
      </c>
      <c r="U962" s="131">
        <v>1104.78</v>
      </c>
      <c r="V962" s="132">
        <v>1E-4</v>
      </c>
      <c r="W962" s="132">
        <f t="shared" si="14"/>
        <v>3.0797945679312756E-3</v>
      </c>
      <c r="X962" s="132">
        <v>3.3042488426643731E-4</v>
      </c>
    </row>
    <row r="963" spans="1:24">
      <c r="A963" t="s">
        <v>1213</v>
      </c>
      <c r="B963" s="4">
        <v>9302</v>
      </c>
      <c r="C963" t="s">
        <v>4003</v>
      </c>
      <c r="D963" t="s">
        <v>4004</v>
      </c>
      <c r="E963" t="s">
        <v>80</v>
      </c>
      <c r="F963" t="s">
        <v>4005</v>
      </c>
      <c r="G963" t="s">
        <v>4006</v>
      </c>
      <c r="H963" t="s">
        <v>321</v>
      </c>
      <c r="I963" t="s">
        <v>917</v>
      </c>
      <c r="J963" t="s">
        <v>205</v>
      </c>
      <c r="K963" t="s">
        <v>224</v>
      </c>
      <c r="L963" t="s">
        <v>325</v>
      </c>
      <c r="M963" t="s">
        <v>346</v>
      </c>
      <c r="N963" t="s">
        <v>530</v>
      </c>
      <c r="O963" t="s">
        <v>339</v>
      </c>
      <c r="P963" t="s">
        <v>1216</v>
      </c>
      <c r="Q963" s="131">
        <v>17220</v>
      </c>
      <c r="R963" s="131">
        <v>3.71</v>
      </c>
      <c r="S963" s="131">
        <v>1695</v>
      </c>
      <c r="U963" s="131">
        <v>1082.8710000000001</v>
      </c>
      <c r="V963" s="132">
        <v>2.0000000000000001E-4</v>
      </c>
      <c r="W963" s="132">
        <f t="shared" ref="W963:W1026" si="15">U963/SUMIF(B:B,B963,U:U)</f>
        <v>3.018718861284879E-3</v>
      </c>
      <c r="X963" s="132">
        <v>3.2387219613903341E-4</v>
      </c>
    </row>
    <row r="964" spans="1:24">
      <c r="A964" t="s">
        <v>1213</v>
      </c>
      <c r="B964" s="4">
        <v>9302</v>
      </c>
      <c r="C964" t="s">
        <v>3805</v>
      </c>
      <c r="D964" t="s">
        <v>3806</v>
      </c>
      <c r="E964" t="s">
        <v>311</v>
      </c>
      <c r="F964" t="s">
        <v>3807</v>
      </c>
      <c r="G964" t="s">
        <v>3808</v>
      </c>
      <c r="H964" t="s">
        <v>321</v>
      </c>
      <c r="I964" t="s">
        <v>917</v>
      </c>
      <c r="J964" t="s">
        <v>205</v>
      </c>
      <c r="K964" t="s">
        <v>204</v>
      </c>
      <c r="L964" t="s">
        <v>325</v>
      </c>
      <c r="M964" t="s">
        <v>346</v>
      </c>
      <c r="N964" t="s">
        <v>544</v>
      </c>
      <c r="O964" t="s">
        <v>339</v>
      </c>
      <c r="P964" t="s">
        <v>1216</v>
      </c>
      <c r="Q964" s="131">
        <v>1325</v>
      </c>
      <c r="R964" s="131">
        <v>3.71</v>
      </c>
      <c r="S964" s="131">
        <v>16717</v>
      </c>
      <c r="U964" s="131">
        <v>821.76599999999996</v>
      </c>
      <c r="V964" s="132">
        <v>2.0000000000000002E-5</v>
      </c>
      <c r="W964" s="132">
        <f t="shared" si="15"/>
        <v>2.2908366035867887E-3</v>
      </c>
      <c r="X964" s="132">
        <v>2.4577919173418523E-4</v>
      </c>
    </row>
    <row r="965" spans="1:24">
      <c r="A965" t="s">
        <v>1213</v>
      </c>
      <c r="B965" s="4">
        <v>9302</v>
      </c>
      <c r="C965" t="s">
        <v>4015</v>
      </c>
      <c r="D965" t="s">
        <v>4016</v>
      </c>
      <c r="E965" t="s">
        <v>311</v>
      </c>
      <c r="F965" t="s">
        <v>4017</v>
      </c>
      <c r="G965" t="s">
        <v>4018</v>
      </c>
      <c r="H965" t="s">
        <v>321</v>
      </c>
      <c r="I965" t="s">
        <v>917</v>
      </c>
      <c r="J965" t="s">
        <v>205</v>
      </c>
      <c r="K965" t="s">
        <v>204</v>
      </c>
      <c r="L965" t="s">
        <v>325</v>
      </c>
      <c r="M965" t="s">
        <v>344</v>
      </c>
      <c r="N965" t="s">
        <v>544</v>
      </c>
      <c r="O965" t="s">
        <v>339</v>
      </c>
      <c r="P965" t="s">
        <v>1216</v>
      </c>
      <c r="Q965" s="131">
        <v>20423</v>
      </c>
      <c r="R965" s="131">
        <v>3.71</v>
      </c>
      <c r="S965" s="131">
        <v>1034</v>
      </c>
      <c r="U965" s="131">
        <v>783.45500000000004</v>
      </c>
      <c r="V965" s="132">
        <v>1.32E-3</v>
      </c>
      <c r="W965" s="132">
        <f t="shared" si="15"/>
        <v>2.1840370510134125E-3</v>
      </c>
      <c r="X965" s="132">
        <v>2.3432088533731756E-4</v>
      </c>
    </row>
    <row r="966" spans="1:24">
      <c r="A966" t="s">
        <v>1213</v>
      </c>
      <c r="B966" s="4">
        <v>9302</v>
      </c>
      <c r="C966" t="s">
        <v>4019</v>
      </c>
      <c r="D966" t="s">
        <v>4020</v>
      </c>
      <c r="E966" t="s">
        <v>309</v>
      </c>
      <c r="F966" t="s">
        <v>4021</v>
      </c>
      <c r="G966" t="s">
        <v>4022</v>
      </c>
      <c r="H966" t="s">
        <v>321</v>
      </c>
      <c r="I966" t="s">
        <v>917</v>
      </c>
      <c r="J966" t="s">
        <v>205</v>
      </c>
      <c r="K966" t="s">
        <v>204</v>
      </c>
      <c r="L966" t="s">
        <v>325</v>
      </c>
      <c r="M966" t="s">
        <v>344</v>
      </c>
      <c r="N966" t="s">
        <v>546</v>
      </c>
      <c r="O966" t="s">
        <v>339</v>
      </c>
      <c r="P966" t="s">
        <v>1216</v>
      </c>
      <c r="Q966" s="131">
        <v>12387</v>
      </c>
      <c r="R966" s="131">
        <v>3.71</v>
      </c>
      <c r="S966" s="131">
        <v>1370</v>
      </c>
      <c r="U966" s="131">
        <v>629.59400000000005</v>
      </c>
      <c r="V966" s="132">
        <v>2.0100000000000001E-3</v>
      </c>
      <c r="W966" s="132">
        <f t="shared" si="15"/>
        <v>1.7551188301762556E-3</v>
      </c>
      <c r="X966" s="132">
        <v>1.883031233230538E-4</v>
      </c>
    </row>
    <row r="967" spans="1:24">
      <c r="A967" t="s">
        <v>1213</v>
      </c>
      <c r="B967" s="4">
        <v>9302</v>
      </c>
      <c r="C967" t="s">
        <v>3797</v>
      </c>
      <c r="D967" t="s">
        <v>3798</v>
      </c>
      <c r="E967" t="s">
        <v>80</v>
      </c>
      <c r="F967" t="s">
        <v>3799</v>
      </c>
      <c r="G967" t="s">
        <v>3800</v>
      </c>
      <c r="H967" t="s">
        <v>321</v>
      </c>
      <c r="I967" t="s">
        <v>917</v>
      </c>
      <c r="J967" t="s">
        <v>205</v>
      </c>
      <c r="K967" t="s">
        <v>224</v>
      </c>
      <c r="L967" t="s">
        <v>325</v>
      </c>
      <c r="M967" t="s">
        <v>344</v>
      </c>
      <c r="N967" t="s">
        <v>548</v>
      </c>
      <c r="O967" t="s">
        <v>339</v>
      </c>
      <c r="P967" t="s">
        <v>1216</v>
      </c>
      <c r="Q967" s="131">
        <v>5608</v>
      </c>
      <c r="R967" s="131">
        <v>3.71</v>
      </c>
      <c r="S967" s="131">
        <v>2291</v>
      </c>
      <c r="U967" s="131">
        <v>476.65800000000002</v>
      </c>
      <c r="V967" s="132">
        <v>1E-4</v>
      </c>
      <c r="W967" s="132">
        <f t="shared" si="15"/>
        <v>1.3287792313048626E-3</v>
      </c>
      <c r="X967" s="132">
        <v>1.4256201640568393E-4</v>
      </c>
    </row>
    <row r="968" spans="1:24">
      <c r="A968" t="s">
        <v>1213</v>
      </c>
      <c r="B968" s="4">
        <v>9302</v>
      </c>
      <c r="C968" t="s">
        <v>4011</v>
      </c>
      <c r="D968" t="s">
        <v>4012</v>
      </c>
      <c r="E968" t="s">
        <v>311</v>
      </c>
      <c r="F968" t="s">
        <v>4013</v>
      </c>
      <c r="G968" t="s">
        <v>4014</v>
      </c>
      <c r="H968" t="s">
        <v>321</v>
      </c>
      <c r="I968" t="s">
        <v>917</v>
      </c>
      <c r="J968" t="s">
        <v>205</v>
      </c>
      <c r="K968" t="s">
        <v>224</v>
      </c>
      <c r="L968" t="s">
        <v>325</v>
      </c>
      <c r="M968" t="s">
        <v>344</v>
      </c>
      <c r="N968" t="s">
        <v>534</v>
      </c>
      <c r="O968" t="s">
        <v>339</v>
      </c>
      <c r="P968" t="s">
        <v>1216</v>
      </c>
      <c r="Q968" s="131">
        <v>4394</v>
      </c>
      <c r="R968" s="131">
        <v>3.71</v>
      </c>
      <c r="S968" s="131">
        <v>2623</v>
      </c>
      <c r="U968" s="131">
        <v>427.59500000000003</v>
      </c>
      <c r="V968" s="132">
        <v>3.0000000000000001E-5</v>
      </c>
      <c r="W968" s="132">
        <f t="shared" si="15"/>
        <v>1.192006334541333E-3</v>
      </c>
      <c r="X968" s="132">
        <v>1.2788793097983969E-4</v>
      </c>
    </row>
    <row r="969" spans="1:24">
      <c r="A969" t="s">
        <v>1213</v>
      </c>
      <c r="B969" s="4">
        <v>9302</v>
      </c>
      <c r="C969" t="s">
        <v>1872</v>
      </c>
      <c r="D969" t="s">
        <v>1873</v>
      </c>
      <c r="E969" t="s">
        <v>80</v>
      </c>
      <c r="F969" t="s">
        <v>4023</v>
      </c>
      <c r="G969" t="s">
        <v>4024</v>
      </c>
      <c r="H969" t="s">
        <v>321</v>
      </c>
      <c r="I969" t="s">
        <v>917</v>
      </c>
      <c r="J969" t="s">
        <v>205</v>
      </c>
      <c r="K969" t="s">
        <v>224</v>
      </c>
      <c r="L969" t="s">
        <v>325</v>
      </c>
      <c r="M969" t="s">
        <v>346</v>
      </c>
      <c r="N969" t="s">
        <v>534</v>
      </c>
      <c r="O969" t="s">
        <v>339</v>
      </c>
      <c r="P969" t="s">
        <v>1216</v>
      </c>
      <c r="Q969" s="131">
        <v>6672</v>
      </c>
      <c r="R969" s="131">
        <v>3.71</v>
      </c>
      <c r="S969" s="131">
        <v>1161</v>
      </c>
      <c r="U969" s="131">
        <v>287.38400000000001</v>
      </c>
      <c r="V969" s="132">
        <v>1.0000000000000001E-5</v>
      </c>
      <c r="W969" s="132">
        <f t="shared" si="15"/>
        <v>8.0114021082058125E-4</v>
      </c>
      <c r="X969" s="132">
        <v>8.5952700935956324E-5</v>
      </c>
    </row>
    <row r="970" spans="1:24">
      <c r="A970" t="s">
        <v>1213</v>
      </c>
      <c r="B970" s="4">
        <v>9302</v>
      </c>
      <c r="C970" t="s">
        <v>4025</v>
      </c>
      <c r="D970" t="s">
        <v>4026</v>
      </c>
      <c r="E970" t="s">
        <v>311</v>
      </c>
      <c r="F970" t="s">
        <v>4027</v>
      </c>
      <c r="G970" t="s">
        <v>4028</v>
      </c>
      <c r="H970" t="s">
        <v>321</v>
      </c>
      <c r="I970" t="s">
        <v>917</v>
      </c>
      <c r="J970" t="s">
        <v>205</v>
      </c>
      <c r="K970" t="s">
        <v>204</v>
      </c>
      <c r="L970" t="s">
        <v>325</v>
      </c>
      <c r="M970" t="s">
        <v>346</v>
      </c>
      <c r="N970" t="s">
        <v>540</v>
      </c>
      <c r="O970" t="s">
        <v>339</v>
      </c>
      <c r="P970" t="s">
        <v>1216</v>
      </c>
      <c r="Q970" s="131">
        <v>7825</v>
      </c>
      <c r="R970" s="131">
        <v>3.71</v>
      </c>
      <c r="S970" s="131">
        <v>456</v>
      </c>
      <c r="U970" s="131">
        <v>132.38</v>
      </c>
      <c r="V970" s="132">
        <v>2.3000000000000001E-4</v>
      </c>
      <c r="W970" s="132">
        <f t="shared" si="15"/>
        <v>3.690356495435673E-4</v>
      </c>
      <c r="X970" s="132">
        <v>3.9593082947909065E-5</v>
      </c>
    </row>
    <row r="971" spans="1:24">
      <c r="A971" t="s">
        <v>1213</v>
      </c>
      <c r="B971" s="4">
        <v>9629</v>
      </c>
      <c r="C971" t="s">
        <v>1573</v>
      </c>
      <c r="D971" t="s">
        <v>1574</v>
      </c>
      <c r="E971" t="s">
        <v>309</v>
      </c>
      <c r="F971" t="s">
        <v>1573</v>
      </c>
      <c r="G971" t="s">
        <v>3404</v>
      </c>
      <c r="H971" t="s">
        <v>321</v>
      </c>
      <c r="I971" t="s">
        <v>917</v>
      </c>
      <c r="J971" t="s">
        <v>204</v>
      </c>
      <c r="K971" t="s">
        <v>204</v>
      </c>
      <c r="L971" t="s">
        <v>325</v>
      </c>
      <c r="M971" t="s">
        <v>340</v>
      </c>
      <c r="N971" t="s">
        <v>448</v>
      </c>
      <c r="O971" t="s">
        <v>339</v>
      </c>
      <c r="P971" t="s">
        <v>1212</v>
      </c>
      <c r="Q971" s="131">
        <v>41122</v>
      </c>
      <c r="R971" s="131">
        <v>1</v>
      </c>
      <c r="S971" s="131">
        <v>3644</v>
      </c>
      <c r="U971" s="131">
        <v>1498.4860000000001</v>
      </c>
      <c r="V971" s="132">
        <v>3.0000000000000001E-5</v>
      </c>
      <c r="W971" s="132">
        <f t="shared" si="15"/>
        <v>4.4703854135315066E-2</v>
      </c>
      <c r="X971" s="132">
        <v>5.4018078748501661E-3</v>
      </c>
    </row>
    <row r="972" spans="1:24">
      <c r="A972" t="s">
        <v>1213</v>
      </c>
      <c r="B972" s="4">
        <v>9629</v>
      </c>
      <c r="C972" t="s">
        <v>1600</v>
      </c>
      <c r="D972" t="s">
        <v>1601</v>
      </c>
      <c r="E972" t="s">
        <v>309</v>
      </c>
      <c r="F972" t="s">
        <v>1600</v>
      </c>
      <c r="G972" t="s">
        <v>3406</v>
      </c>
      <c r="H972" t="s">
        <v>321</v>
      </c>
      <c r="I972" t="s">
        <v>917</v>
      </c>
      <c r="J972" t="s">
        <v>204</v>
      </c>
      <c r="K972" t="s">
        <v>204</v>
      </c>
      <c r="L972" t="s">
        <v>325</v>
      </c>
      <c r="M972" t="s">
        <v>340</v>
      </c>
      <c r="N972" t="s">
        <v>448</v>
      </c>
      <c r="O972" t="s">
        <v>339</v>
      </c>
      <c r="P972" t="s">
        <v>1212</v>
      </c>
      <c r="Q972" s="131">
        <v>39845</v>
      </c>
      <c r="R972" s="131">
        <v>1</v>
      </c>
      <c r="S972" s="131">
        <v>3729</v>
      </c>
      <c r="U972" s="131">
        <v>1485.82</v>
      </c>
      <c r="V972" s="132">
        <v>3.0000000000000001E-5</v>
      </c>
      <c r="W972" s="132">
        <f t="shared" si="15"/>
        <v>4.4325993403564544E-2</v>
      </c>
      <c r="X972" s="132">
        <v>5.3561489240539269E-3</v>
      </c>
    </row>
    <row r="973" spans="1:24">
      <c r="A973" t="s">
        <v>1213</v>
      </c>
      <c r="B973" s="4">
        <v>9629</v>
      </c>
      <c r="C973" t="s">
        <v>3113</v>
      </c>
      <c r="D973" t="s">
        <v>3114</v>
      </c>
      <c r="E973" t="s">
        <v>309</v>
      </c>
      <c r="F973" t="s">
        <v>3113</v>
      </c>
      <c r="G973" t="s">
        <v>3413</v>
      </c>
      <c r="H973" t="s">
        <v>321</v>
      </c>
      <c r="I973" t="s">
        <v>917</v>
      </c>
      <c r="J973" t="s">
        <v>204</v>
      </c>
      <c r="K973" t="s">
        <v>204</v>
      </c>
      <c r="L973" t="s">
        <v>325</v>
      </c>
      <c r="M973" t="s">
        <v>340</v>
      </c>
      <c r="N973" t="s">
        <v>448</v>
      </c>
      <c r="O973" t="s">
        <v>339</v>
      </c>
      <c r="P973" t="s">
        <v>1212</v>
      </c>
      <c r="Q973" s="131">
        <v>57416</v>
      </c>
      <c r="R973" s="131">
        <v>1</v>
      </c>
      <c r="S973" s="131">
        <v>2085</v>
      </c>
      <c r="U973" s="131">
        <v>1197.124</v>
      </c>
      <c r="V973" s="132">
        <v>5.0000000000000002E-5</v>
      </c>
      <c r="W973" s="132">
        <f t="shared" si="15"/>
        <v>3.5713417861684998E-2</v>
      </c>
      <c r="X973" s="132">
        <v>4.3154449560237002E-3</v>
      </c>
    </row>
    <row r="974" spans="1:24">
      <c r="A974" t="s">
        <v>1213</v>
      </c>
      <c r="B974" s="4">
        <v>9629</v>
      </c>
      <c r="C974" t="s">
        <v>2089</v>
      </c>
      <c r="D974" t="s">
        <v>2090</v>
      </c>
      <c r="E974" t="s">
        <v>309</v>
      </c>
      <c r="F974" t="s">
        <v>2089</v>
      </c>
      <c r="G974" t="s">
        <v>3405</v>
      </c>
      <c r="H974" t="s">
        <v>321</v>
      </c>
      <c r="I974" t="s">
        <v>917</v>
      </c>
      <c r="J974" t="s">
        <v>204</v>
      </c>
      <c r="K974" t="s">
        <v>204</v>
      </c>
      <c r="L974" t="s">
        <v>325</v>
      </c>
      <c r="M974" t="s">
        <v>340</v>
      </c>
      <c r="N974" t="s">
        <v>467</v>
      </c>
      <c r="O974" t="s">
        <v>339</v>
      </c>
      <c r="P974" t="s">
        <v>1212</v>
      </c>
      <c r="Q974" s="131">
        <v>17056</v>
      </c>
      <c r="R974" s="131">
        <v>1</v>
      </c>
      <c r="S974" s="131">
        <v>6629</v>
      </c>
      <c r="U974" s="131">
        <v>1130.6420000000001</v>
      </c>
      <c r="V974" s="132">
        <v>1.0000000000000001E-5</v>
      </c>
      <c r="W974" s="132">
        <f t="shared" si="15"/>
        <v>3.3730081593862669E-2</v>
      </c>
      <c r="X974" s="132">
        <v>4.0757877345776617E-3</v>
      </c>
    </row>
    <row r="975" spans="1:24">
      <c r="A975" t="s">
        <v>1213</v>
      </c>
      <c r="B975" s="4">
        <v>9629</v>
      </c>
      <c r="C975" t="s">
        <v>2361</v>
      </c>
      <c r="D975" t="s">
        <v>2362</v>
      </c>
      <c r="E975" t="s">
        <v>309</v>
      </c>
      <c r="F975" t="s">
        <v>2361</v>
      </c>
      <c r="G975" t="s">
        <v>3440</v>
      </c>
      <c r="H975" t="s">
        <v>321</v>
      </c>
      <c r="I975" t="s">
        <v>917</v>
      </c>
      <c r="J975" t="s">
        <v>204</v>
      </c>
      <c r="K975" t="s">
        <v>204</v>
      </c>
      <c r="L975" t="s">
        <v>325</v>
      </c>
      <c r="M975" t="s">
        <v>340</v>
      </c>
      <c r="N975" t="s">
        <v>446</v>
      </c>
      <c r="O975" t="s">
        <v>339</v>
      </c>
      <c r="P975" t="s">
        <v>1212</v>
      </c>
      <c r="Q975" s="131">
        <v>1448</v>
      </c>
      <c r="R975" s="131">
        <v>1</v>
      </c>
      <c r="S975" s="131">
        <v>74080</v>
      </c>
      <c r="U975" s="131">
        <v>1072.6780000000001</v>
      </c>
      <c r="V975" s="132">
        <v>3.0000000000000001E-5</v>
      </c>
      <c r="W975" s="132">
        <f t="shared" si="15"/>
        <v>3.2000860098900824E-2</v>
      </c>
      <c r="X975" s="132">
        <v>3.8668365720991235E-3</v>
      </c>
    </row>
    <row r="976" spans="1:24">
      <c r="A976" t="s">
        <v>1213</v>
      </c>
      <c r="B976" s="4">
        <v>9629</v>
      </c>
      <c r="C976" t="s">
        <v>3683</v>
      </c>
      <c r="D976" t="s">
        <v>3684</v>
      </c>
      <c r="E976" t="s">
        <v>309</v>
      </c>
      <c r="F976" t="s">
        <v>3683</v>
      </c>
      <c r="G976" t="s">
        <v>3685</v>
      </c>
      <c r="H976" t="s">
        <v>321</v>
      </c>
      <c r="I976" t="s">
        <v>917</v>
      </c>
      <c r="J976" t="s">
        <v>204</v>
      </c>
      <c r="K976" t="s">
        <v>204</v>
      </c>
      <c r="L976" t="s">
        <v>325</v>
      </c>
      <c r="M976" t="s">
        <v>340</v>
      </c>
      <c r="N976" t="s">
        <v>451</v>
      </c>
      <c r="O976" t="s">
        <v>339</v>
      </c>
      <c r="P976" t="s">
        <v>1212</v>
      </c>
      <c r="Q976" s="131">
        <v>198370</v>
      </c>
      <c r="R976" s="131">
        <v>1</v>
      </c>
      <c r="S976" s="131">
        <v>512</v>
      </c>
      <c r="U976" s="131">
        <v>1015.654</v>
      </c>
      <c r="V976" s="132">
        <v>1.06E-3</v>
      </c>
      <c r="W976" s="132">
        <f t="shared" si="15"/>
        <v>3.029968132364886E-2</v>
      </c>
      <c r="X976" s="132">
        <v>3.6612739627351009E-3</v>
      </c>
    </row>
    <row r="977" spans="1:24">
      <c r="A977" t="s">
        <v>1213</v>
      </c>
      <c r="B977" s="4">
        <v>9629</v>
      </c>
      <c r="C977" t="s">
        <v>2866</v>
      </c>
      <c r="D977" t="s">
        <v>2867</v>
      </c>
      <c r="E977" t="s">
        <v>309</v>
      </c>
      <c r="F977" t="s">
        <v>2866</v>
      </c>
      <c r="G977" t="s">
        <v>3663</v>
      </c>
      <c r="H977" t="s">
        <v>321</v>
      </c>
      <c r="I977" t="s">
        <v>917</v>
      </c>
      <c r="J977" t="s">
        <v>204</v>
      </c>
      <c r="K977" t="s">
        <v>204</v>
      </c>
      <c r="L977" t="s">
        <v>325</v>
      </c>
      <c r="M977" t="s">
        <v>340</v>
      </c>
      <c r="N977" t="s">
        <v>464</v>
      </c>
      <c r="O977" t="s">
        <v>339</v>
      </c>
      <c r="P977" t="s">
        <v>1212</v>
      </c>
      <c r="Q977" s="131">
        <v>218554.8</v>
      </c>
      <c r="R977" s="131">
        <v>1</v>
      </c>
      <c r="S977" s="131">
        <v>399.6</v>
      </c>
      <c r="U977" s="131">
        <v>873.34500000000003</v>
      </c>
      <c r="V977" s="132">
        <v>1.49E-3</v>
      </c>
      <c r="W977" s="132">
        <f t="shared" si="15"/>
        <v>2.6054222388335116E-2</v>
      </c>
      <c r="X977" s="132">
        <v>3.1482722551034966E-3</v>
      </c>
    </row>
    <row r="978" spans="1:24">
      <c r="A978" t="s">
        <v>1213</v>
      </c>
      <c r="B978" s="4">
        <v>9629</v>
      </c>
      <c r="C978" t="s">
        <v>3410</v>
      </c>
      <c r="D978" t="s">
        <v>3411</v>
      </c>
      <c r="E978" t="s">
        <v>309</v>
      </c>
      <c r="F978" t="s">
        <v>3410</v>
      </c>
      <c r="G978" t="s">
        <v>3412</v>
      </c>
      <c r="H978" t="s">
        <v>321</v>
      </c>
      <c r="I978" t="s">
        <v>917</v>
      </c>
      <c r="J978" t="s">
        <v>204</v>
      </c>
      <c r="K978" t="s">
        <v>204</v>
      </c>
      <c r="L978" t="s">
        <v>325</v>
      </c>
      <c r="M978" t="s">
        <v>340</v>
      </c>
      <c r="N978" t="s">
        <v>480</v>
      </c>
      <c r="O978" t="s">
        <v>339</v>
      </c>
      <c r="P978" t="s">
        <v>1212</v>
      </c>
      <c r="Q978" s="131">
        <v>1186</v>
      </c>
      <c r="R978" s="131">
        <v>1</v>
      </c>
      <c r="S978" s="131">
        <v>64880</v>
      </c>
      <c r="U978" s="131">
        <v>769.47699999999998</v>
      </c>
      <c r="V978" s="132">
        <v>2.0000000000000002E-5</v>
      </c>
      <c r="W978" s="132">
        <f t="shared" si="15"/>
        <v>2.2955561525753211E-2</v>
      </c>
      <c r="X978" s="132">
        <v>2.7738443456369168E-3</v>
      </c>
    </row>
    <row r="979" spans="1:24">
      <c r="A979" t="s">
        <v>1213</v>
      </c>
      <c r="B979" s="4">
        <v>9629</v>
      </c>
      <c r="C979" t="s">
        <v>2228</v>
      </c>
      <c r="D979" t="s">
        <v>2229</v>
      </c>
      <c r="E979" t="s">
        <v>309</v>
      </c>
      <c r="F979" t="s">
        <v>2228</v>
      </c>
      <c r="G979" t="s">
        <v>3439</v>
      </c>
      <c r="H979" t="s">
        <v>321</v>
      </c>
      <c r="I979" t="s">
        <v>917</v>
      </c>
      <c r="J979" t="s">
        <v>204</v>
      </c>
      <c r="K979" t="s">
        <v>204</v>
      </c>
      <c r="L979" t="s">
        <v>325</v>
      </c>
      <c r="M979" t="s">
        <v>340</v>
      </c>
      <c r="N979" t="s">
        <v>441</v>
      </c>
      <c r="O979" t="s">
        <v>339</v>
      </c>
      <c r="P979" t="s">
        <v>1212</v>
      </c>
      <c r="Q979" s="131">
        <v>12187</v>
      </c>
      <c r="R979" s="131">
        <v>1</v>
      </c>
      <c r="S979" s="131">
        <v>6254</v>
      </c>
      <c r="U979" s="131">
        <v>762.17499999999995</v>
      </c>
      <c r="V979" s="132">
        <v>1E-4</v>
      </c>
      <c r="W979" s="132">
        <f t="shared" si="15"/>
        <v>2.2737723292432333E-2</v>
      </c>
      <c r="X979" s="132">
        <v>2.7475217766558548E-3</v>
      </c>
    </row>
    <row r="980" spans="1:24">
      <c r="A980" t="s">
        <v>1213</v>
      </c>
      <c r="B980" s="4">
        <v>9629</v>
      </c>
      <c r="C980" t="s">
        <v>2436</v>
      </c>
      <c r="D980" t="s">
        <v>2437</v>
      </c>
      <c r="E980" t="s">
        <v>309</v>
      </c>
      <c r="F980" t="s">
        <v>2436</v>
      </c>
      <c r="G980" t="s">
        <v>3426</v>
      </c>
      <c r="H980" t="s">
        <v>321</v>
      </c>
      <c r="I980" t="s">
        <v>917</v>
      </c>
      <c r="J980" t="s">
        <v>204</v>
      </c>
      <c r="K980" t="s">
        <v>204</v>
      </c>
      <c r="L980" t="s">
        <v>325</v>
      </c>
      <c r="M980" t="s">
        <v>340</v>
      </c>
      <c r="N980" t="s">
        <v>475</v>
      </c>
      <c r="O980" t="s">
        <v>339</v>
      </c>
      <c r="P980" t="s">
        <v>1212</v>
      </c>
      <c r="Q980" s="131">
        <v>20232</v>
      </c>
      <c r="R980" s="131">
        <v>1</v>
      </c>
      <c r="S980" s="131">
        <v>3310</v>
      </c>
      <c r="U980" s="131">
        <v>669.67899999999997</v>
      </c>
      <c r="V980" s="132">
        <v>6.9999999999999994E-5</v>
      </c>
      <c r="W980" s="132">
        <f t="shared" si="15"/>
        <v>1.9978319672979031E-2</v>
      </c>
      <c r="X980" s="132">
        <v>2.4140881501874454E-3</v>
      </c>
    </row>
    <row r="981" spans="1:24">
      <c r="A981" t="s">
        <v>1213</v>
      </c>
      <c r="B981" s="4">
        <v>9629</v>
      </c>
      <c r="C981" t="s">
        <v>3415</v>
      </c>
      <c r="D981" t="s">
        <v>3416</v>
      </c>
      <c r="E981" t="s">
        <v>309</v>
      </c>
      <c r="F981" t="s">
        <v>3415</v>
      </c>
      <c r="G981" t="s">
        <v>3417</v>
      </c>
      <c r="H981" t="s">
        <v>321</v>
      </c>
      <c r="I981" t="s">
        <v>917</v>
      </c>
      <c r="J981" t="s">
        <v>204</v>
      </c>
      <c r="K981" t="s">
        <v>204</v>
      </c>
      <c r="L981" t="s">
        <v>325</v>
      </c>
      <c r="M981" t="s">
        <v>340</v>
      </c>
      <c r="N981" t="s">
        <v>458</v>
      </c>
      <c r="O981" t="s">
        <v>339</v>
      </c>
      <c r="P981" t="s">
        <v>1212</v>
      </c>
      <c r="Q981" s="131">
        <v>839</v>
      </c>
      <c r="R981" s="131">
        <v>1</v>
      </c>
      <c r="S981" s="131">
        <v>77890</v>
      </c>
      <c r="U981" s="131">
        <v>653.49699999999996</v>
      </c>
      <c r="V981" s="132">
        <v>3.0000000000000001E-5</v>
      </c>
      <c r="W981" s="132">
        <f t="shared" si="15"/>
        <v>1.9495567236441306E-2</v>
      </c>
      <c r="X981" s="132">
        <v>2.3557545688054201E-3</v>
      </c>
    </row>
    <row r="982" spans="1:24">
      <c r="A982" t="s">
        <v>1213</v>
      </c>
      <c r="B982" s="4">
        <v>9629</v>
      </c>
      <c r="C982" t="s">
        <v>1674</v>
      </c>
      <c r="D982" t="s">
        <v>1675</v>
      </c>
      <c r="E982" t="s">
        <v>309</v>
      </c>
      <c r="F982" t="s">
        <v>1674</v>
      </c>
      <c r="G982" t="s">
        <v>3464</v>
      </c>
      <c r="H982" t="s">
        <v>321</v>
      </c>
      <c r="I982" t="s">
        <v>917</v>
      </c>
      <c r="J982" t="s">
        <v>204</v>
      </c>
      <c r="K982" t="s">
        <v>204</v>
      </c>
      <c r="L982" t="s">
        <v>325</v>
      </c>
      <c r="M982" t="s">
        <v>340</v>
      </c>
      <c r="N982" t="s">
        <v>464</v>
      </c>
      <c r="O982" t="s">
        <v>339</v>
      </c>
      <c r="P982" t="s">
        <v>1212</v>
      </c>
      <c r="Q982" s="131">
        <v>1445</v>
      </c>
      <c r="R982" s="131">
        <v>1</v>
      </c>
      <c r="S982" s="131">
        <v>41490</v>
      </c>
      <c r="U982" s="131">
        <v>599.53099999999995</v>
      </c>
      <c r="V982" s="132">
        <v>6.0000000000000002E-5</v>
      </c>
      <c r="W982" s="132">
        <f t="shared" si="15"/>
        <v>1.788561679828812E-2</v>
      </c>
      <c r="X982" s="132">
        <v>2.1612155715947929E-3</v>
      </c>
    </row>
    <row r="983" spans="1:24">
      <c r="A983" t="s">
        <v>1213</v>
      </c>
      <c r="B983" s="4">
        <v>9629</v>
      </c>
      <c r="C983" t="s">
        <v>1986</v>
      </c>
      <c r="D983" t="s">
        <v>1987</v>
      </c>
      <c r="E983" t="s">
        <v>309</v>
      </c>
      <c r="F983" t="s">
        <v>1986</v>
      </c>
      <c r="G983" t="s">
        <v>3445</v>
      </c>
      <c r="H983" t="s">
        <v>321</v>
      </c>
      <c r="I983" t="s">
        <v>917</v>
      </c>
      <c r="J983" t="s">
        <v>204</v>
      </c>
      <c r="K983" t="s">
        <v>204</v>
      </c>
      <c r="L983" t="s">
        <v>325</v>
      </c>
      <c r="M983" t="s">
        <v>340</v>
      </c>
      <c r="N983" t="s">
        <v>484</v>
      </c>
      <c r="O983" t="s">
        <v>339</v>
      </c>
      <c r="P983" t="s">
        <v>1212</v>
      </c>
      <c r="Q983" s="131">
        <v>126953</v>
      </c>
      <c r="R983" s="131">
        <v>1</v>
      </c>
      <c r="S983" s="131">
        <v>428.6</v>
      </c>
      <c r="T983" s="131">
        <v>18.667000000000002</v>
      </c>
      <c r="U983" s="131">
        <v>562.78800000000001</v>
      </c>
      <c r="V983" s="132">
        <v>5.0000000000000002E-5</v>
      </c>
      <c r="W983" s="132">
        <f t="shared" si="15"/>
        <v>1.6789474617117339E-2</v>
      </c>
      <c r="X983" s="132">
        <v>2.0287627980983308E-3</v>
      </c>
    </row>
    <row r="984" spans="1:24">
      <c r="A984" t="s">
        <v>1213</v>
      </c>
      <c r="B984" s="4">
        <v>9629</v>
      </c>
      <c r="C984" t="s">
        <v>1881</v>
      </c>
      <c r="D984" t="s">
        <v>1882</v>
      </c>
      <c r="E984" t="s">
        <v>309</v>
      </c>
      <c r="F984" t="s">
        <v>3407</v>
      </c>
      <c r="G984" t="s">
        <v>3408</v>
      </c>
      <c r="H984" t="s">
        <v>321</v>
      </c>
      <c r="I984" t="s">
        <v>917</v>
      </c>
      <c r="J984" t="s">
        <v>204</v>
      </c>
      <c r="K984" t="s">
        <v>204</v>
      </c>
      <c r="L984" t="s">
        <v>325</v>
      </c>
      <c r="M984" t="s">
        <v>340</v>
      </c>
      <c r="N984" t="s">
        <v>448</v>
      </c>
      <c r="O984" t="s">
        <v>339</v>
      </c>
      <c r="P984" t="s">
        <v>1212</v>
      </c>
      <c r="Q984" s="131">
        <v>3759</v>
      </c>
      <c r="R984" s="131">
        <v>1</v>
      </c>
      <c r="S984" s="131">
        <v>14550</v>
      </c>
      <c r="U984" s="131">
        <v>546.93499999999995</v>
      </c>
      <c r="V984" s="132">
        <v>1.0000000000000001E-5</v>
      </c>
      <c r="W984" s="132">
        <f t="shared" si="15"/>
        <v>1.6316537132478076E-2</v>
      </c>
      <c r="X984" s="132">
        <v>1.9716152103063859E-3</v>
      </c>
    </row>
    <row r="985" spans="1:24">
      <c r="A985" t="s">
        <v>1213</v>
      </c>
      <c r="B985" s="4">
        <v>9629</v>
      </c>
      <c r="C985" t="s">
        <v>1861</v>
      </c>
      <c r="D985" t="s">
        <v>1862</v>
      </c>
      <c r="E985" t="s">
        <v>309</v>
      </c>
      <c r="F985" t="s">
        <v>1861</v>
      </c>
      <c r="G985" t="s">
        <v>3460</v>
      </c>
      <c r="H985" t="s">
        <v>321</v>
      </c>
      <c r="I985" t="s">
        <v>917</v>
      </c>
      <c r="J985" t="s">
        <v>204</v>
      </c>
      <c r="K985" t="s">
        <v>204</v>
      </c>
      <c r="L985" t="s">
        <v>325</v>
      </c>
      <c r="M985" t="s">
        <v>340</v>
      </c>
      <c r="N985" t="s">
        <v>464</v>
      </c>
      <c r="O985" t="s">
        <v>339</v>
      </c>
      <c r="P985" t="s">
        <v>1212</v>
      </c>
      <c r="Q985" s="131">
        <v>1880</v>
      </c>
      <c r="R985" s="131">
        <v>1</v>
      </c>
      <c r="S985" s="131">
        <v>28210</v>
      </c>
      <c r="U985" s="131">
        <v>530.34799999999996</v>
      </c>
      <c r="V985" s="132">
        <v>4.0000000000000003E-5</v>
      </c>
      <c r="W985" s="132">
        <f t="shared" si="15"/>
        <v>1.5821702460320664E-2</v>
      </c>
      <c r="X985" s="132">
        <v>1.9118216672101278E-3</v>
      </c>
    </row>
    <row r="986" spans="1:24">
      <c r="A986" t="s">
        <v>1213</v>
      </c>
      <c r="B986" s="4">
        <v>9629</v>
      </c>
      <c r="C986" t="s">
        <v>2404</v>
      </c>
      <c r="D986" t="s">
        <v>2405</v>
      </c>
      <c r="E986" t="s">
        <v>309</v>
      </c>
      <c r="F986" t="s">
        <v>2404</v>
      </c>
      <c r="G986" t="s">
        <v>3418</v>
      </c>
      <c r="H986" t="s">
        <v>321</v>
      </c>
      <c r="I986" t="s">
        <v>917</v>
      </c>
      <c r="J986" t="s">
        <v>204</v>
      </c>
      <c r="K986" t="s">
        <v>204</v>
      </c>
      <c r="L986" t="s">
        <v>325</v>
      </c>
      <c r="M986" t="s">
        <v>340</v>
      </c>
      <c r="N986" t="s">
        <v>440</v>
      </c>
      <c r="O986" t="s">
        <v>339</v>
      </c>
      <c r="P986" t="s">
        <v>1212</v>
      </c>
      <c r="Q986" s="131">
        <v>17233</v>
      </c>
      <c r="R986" s="131">
        <v>1</v>
      </c>
      <c r="S986" s="131">
        <v>3016</v>
      </c>
      <c r="U986" s="131">
        <v>519.74699999999996</v>
      </c>
      <c r="V986" s="132">
        <v>6.9999999999999994E-5</v>
      </c>
      <c r="W986" s="132">
        <f t="shared" si="15"/>
        <v>1.5505446213890285E-2</v>
      </c>
      <c r="X986" s="132">
        <v>1.8736067187346088E-3</v>
      </c>
    </row>
    <row r="987" spans="1:24">
      <c r="A987" t="s">
        <v>1213</v>
      </c>
      <c r="B987" s="4">
        <v>9629</v>
      </c>
      <c r="C987" t="s">
        <v>2348</v>
      </c>
      <c r="D987" t="s">
        <v>2349</v>
      </c>
      <c r="E987" t="s">
        <v>309</v>
      </c>
      <c r="F987" t="s">
        <v>2348</v>
      </c>
      <c r="G987" t="s">
        <v>3446</v>
      </c>
      <c r="H987" t="s">
        <v>321</v>
      </c>
      <c r="I987" t="s">
        <v>917</v>
      </c>
      <c r="J987" t="s">
        <v>204</v>
      </c>
      <c r="K987" t="s">
        <v>204</v>
      </c>
      <c r="L987" t="s">
        <v>325</v>
      </c>
      <c r="M987" t="s">
        <v>340</v>
      </c>
      <c r="N987" t="s">
        <v>456</v>
      </c>
      <c r="O987" t="s">
        <v>339</v>
      </c>
      <c r="P987" t="s">
        <v>1212</v>
      </c>
      <c r="Q987" s="131">
        <v>32191</v>
      </c>
      <c r="R987" s="131">
        <v>1</v>
      </c>
      <c r="S987" s="131">
        <v>1588</v>
      </c>
      <c r="U987" s="131">
        <v>511.19299999999998</v>
      </c>
      <c r="V987" s="132">
        <v>2.0000000000000002E-5</v>
      </c>
      <c r="W987" s="132">
        <f t="shared" si="15"/>
        <v>1.5250257464530273E-2</v>
      </c>
      <c r="X987" s="132">
        <v>1.84277088539251E-3</v>
      </c>
    </row>
    <row r="988" spans="1:24">
      <c r="A988" t="s">
        <v>1213</v>
      </c>
      <c r="B988" s="4">
        <v>9629</v>
      </c>
      <c r="C988" t="s">
        <v>2238</v>
      </c>
      <c r="D988" t="s">
        <v>2239</v>
      </c>
      <c r="E988" t="s">
        <v>309</v>
      </c>
      <c r="F988" t="s">
        <v>2238</v>
      </c>
      <c r="G988" t="s">
        <v>3785</v>
      </c>
      <c r="H988" t="s">
        <v>321</v>
      </c>
      <c r="I988" t="s">
        <v>917</v>
      </c>
      <c r="J988" t="s">
        <v>204</v>
      </c>
      <c r="K988" t="s">
        <v>204</v>
      </c>
      <c r="L988" t="s">
        <v>325</v>
      </c>
      <c r="M988" t="s">
        <v>340</v>
      </c>
      <c r="N988" t="s">
        <v>447</v>
      </c>
      <c r="O988" t="s">
        <v>339</v>
      </c>
      <c r="P988" t="s">
        <v>1212</v>
      </c>
      <c r="Q988" s="131">
        <v>1532</v>
      </c>
      <c r="R988" s="131">
        <v>1</v>
      </c>
      <c r="S988" s="131">
        <v>33200</v>
      </c>
      <c r="U988" s="131">
        <v>508.62400000000002</v>
      </c>
      <c r="V988" s="132">
        <v>8.0000000000000007E-5</v>
      </c>
      <c r="W988" s="132">
        <f t="shared" si="15"/>
        <v>1.5173617308216753E-2</v>
      </c>
      <c r="X988" s="132">
        <v>1.8335100418274118E-3</v>
      </c>
    </row>
    <row r="989" spans="1:24">
      <c r="A989" t="s">
        <v>1213</v>
      </c>
      <c r="B989" s="4">
        <v>9629</v>
      </c>
      <c r="C989" t="s">
        <v>1807</v>
      </c>
      <c r="D989" t="s">
        <v>1808</v>
      </c>
      <c r="E989" t="s">
        <v>309</v>
      </c>
      <c r="F989" t="s">
        <v>1807</v>
      </c>
      <c r="G989" t="s">
        <v>3409</v>
      </c>
      <c r="H989" t="s">
        <v>321</v>
      </c>
      <c r="I989" t="s">
        <v>917</v>
      </c>
      <c r="J989" t="s">
        <v>204</v>
      </c>
      <c r="K989" t="s">
        <v>204</v>
      </c>
      <c r="L989" t="s">
        <v>325</v>
      </c>
      <c r="M989" t="s">
        <v>340</v>
      </c>
      <c r="N989" t="s">
        <v>464</v>
      </c>
      <c r="O989" t="s">
        <v>339</v>
      </c>
      <c r="P989" t="s">
        <v>1212</v>
      </c>
      <c r="Q989" s="131">
        <v>1871</v>
      </c>
      <c r="R989" s="131">
        <v>1</v>
      </c>
      <c r="S989" s="131">
        <v>25940</v>
      </c>
      <c r="U989" s="131">
        <v>485.33699999999999</v>
      </c>
      <c r="V989" s="132">
        <v>2.0000000000000002E-5</v>
      </c>
      <c r="W989" s="132">
        <f t="shared" si="15"/>
        <v>1.4478903676425009E-2</v>
      </c>
      <c r="X989" s="132">
        <v>1.7495640456808772E-3</v>
      </c>
    </row>
    <row r="990" spans="1:24">
      <c r="A990" t="s">
        <v>1213</v>
      </c>
      <c r="B990" s="4">
        <v>9629</v>
      </c>
      <c r="C990" t="s">
        <v>1893</v>
      </c>
      <c r="D990" t="s">
        <v>1894</v>
      </c>
      <c r="E990" t="s">
        <v>309</v>
      </c>
      <c r="F990" t="s">
        <v>1893</v>
      </c>
      <c r="G990" t="s">
        <v>3599</v>
      </c>
      <c r="H990" t="s">
        <v>321</v>
      </c>
      <c r="I990" t="s">
        <v>917</v>
      </c>
      <c r="J990" t="s">
        <v>204</v>
      </c>
      <c r="K990" t="s">
        <v>204</v>
      </c>
      <c r="L990" t="s">
        <v>325</v>
      </c>
      <c r="M990" t="s">
        <v>340</v>
      </c>
      <c r="N990" t="s">
        <v>464</v>
      </c>
      <c r="O990" t="s">
        <v>339</v>
      </c>
      <c r="P990" t="s">
        <v>1212</v>
      </c>
      <c r="Q990" s="131">
        <v>4030</v>
      </c>
      <c r="R990" s="131">
        <v>1</v>
      </c>
      <c r="S990" s="131">
        <v>9550</v>
      </c>
      <c r="U990" s="131">
        <v>384.86500000000001</v>
      </c>
      <c r="V990" s="132">
        <v>1.1E-4</v>
      </c>
      <c r="W990" s="132">
        <f t="shared" si="15"/>
        <v>1.1481554596965225E-2</v>
      </c>
      <c r="X990" s="132">
        <v>1.3873781855514226E-3</v>
      </c>
    </row>
    <row r="991" spans="1:24">
      <c r="A991" t="s">
        <v>1213</v>
      </c>
      <c r="B991" s="4">
        <v>9629</v>
      </c>
      <c r="C991" t="s">
        <v>2211</v>
      </c>
      <c r="D991" t="s">
        <v>2212</v>
      </c>
      <c r="E991" t="s">
        <v>309</v>
      </c>
      <c r="F991" t="s">
        <v>2211</v>
      </c>
      <c r="G991" t="s">
        <v>3617</v>
      </c>
      <c r="H991" t="s">
        <v>321</v>
      </c>
      <c r="I991" t="s">
        <v>917</v>
      </c>
      <c r="J991" t="s">
        <v>204</v>
      </c>
      <c r="K991" t="s">
        <v>204</v>
      </c>
      <c r="L991" t="s">
        <v>325</v>
      </c>
      <c r="M991" t="s">
        <v>340</v>
      </c>
      <c r="N991" t="s">
        <v>454</v>
      </c>
      <c r="O991" t="s">
        <v>339</v>
      </c>
      <c r="P991" t="s">
        <v>1212</v>
      </c>
      <c r="Q991" s="131">
        <v>871</v>
      </c>
      <c r="R991" s="131">
        <v>1</v>
      </c>
      <c r="S991" s="131">
        <v>43600</v>
      </c>
      <c r="U991" s="131">
        <v>379.75599999999997</v>
      </c>
      <c r="V991" s="132">
        <v>5.0000000000000002E-5</v>
      </c>
      <c r="W991" s="132">
        <f t="shared" si="15"/>
        <v>1.132913943207391E-2</v>
      </c>
      <c r="X991" s="132">
        <v>1.3689610388896523E-3</v>
      </c>
    </row>
    <row r="992" spans="1:24">
      <c r="A992" t="s">
        <v>1213</v>
      </c>
      <c r="B992" s="4">
        <v>9629</v>
      </c>
      <c r="C992" t="s">
        <v>2343</v>
      </c>
      <c r="D992" t="s">
        <v>2344</v>
      </c>
      <c r="E992" t="s">
        <v>309</v>
      </c>
      <c r="F992" t="s">
        <v>3619</v>
      </c>
      <c r="G992" t="s">
        <v>3620</v>
      </c>
      <c r="H992" t="s">
        <v>321</v>
      </c>
      <c r="I992" t="s">
        <v>917</v>
      </c>
      <c r="J992" t="s">
        <v>204</v>
      </c>
      <c r="K992" t="s">
        <v>204</v>
      </c>
      <c r="L992" t="s">
        <v>325</v>
      </c>
      <c r="M992" t="s">
        <v>340</v>
      </c>
      <c r="N992" t="s">
        <v>476</v>
      </c>
      <c r="O992" t="s">
        <v>339</v>
      </c>
      <c r="P992" t="s">
        <v>1212</v>
      </c>
      <c r="Q992" s="131">
        <v>1252</v>
      </c>
      <c r="R992" s="131">
        <v>1</v>
      </c>
      <c r="S992" s="131">
        <v>29830</v>
      </c>
      <c r="U992" s="131">
        <v>373.47199999999998</v>
      </c>
      <c r="V992" s="132">
        <v>8.0000000000000007E-5</v>
      </c>
      <c r="W992" s="132">
        <f t="shared" si="15"/>
        <v>1.1141670867545233E-2</v>
      </c>
      <c r="X992" s="132">
        <v>1.3463082008347365E-3</v>
      </c>
    </row>
    <row r="993" spans="1:24">
      <c r="A993" t="s">
        <v>1213</v>
      </c>
      <c r="B993" s="4">
        <v>9629</v>
      </c>
      <c r="C993" t="s">
        <v>2195</v>
      </c>
      <c r="D993" t="s">
        <v>2196</v>
      </c>
      <c r="E993" t="s">
        <v>309</v>
      </c>
      <c r="F993" t="s">
        <v>3610</v>
      </c>
      <c r="G993" t="s">
        <v>3611</v>
      </c>
      <c r="H993" t="s">
        <v>321</v>
      </c>
      <c r="I993" t="s">
        <v>917</v>
      </c>
      <c r="J993" t="s">
        <v>204</v>
      </c>
      <c r="K993" t="s">
        <v>204</v>
      </c>
      <c r="L993" t="s">
        <v>325</v>
      </c>
      <c r="M993" t="s">
        <v>340</v>
      </c>
      <c r="N993" t="s">
        <v>445</v>
      </c>
      <c r="O993" t="s">
        <v>339</v>
      </c>
      <c r="P993" t="s">
        <v>1212</v>
      </c>
      <c r="Q993" s="131">
        <v>9278</v>
      </c>
      <c r="R993" s="131">
        <v>1</v>
      </c>
      <c r="S993" s="131">
        <v>3619</v>
      </c>
      <c r="U993" s="131">
        <v>335.77100000000002</v>
      </c>
      <c r="V993" s="132">
        <v>4.0000000000000003E-5</v>
      </c>
      <c r="W993" s="132">
        <f t="shared" si="15"/>
        <v>1.0016948978414797E-2</v>
      </c>
      <c r="X993" s="132">
        <v>1.2104019870364589E-3</v>
      </c>
    </row>
    <row r="994" spans="1:24">
      <c r="A994" t="s">
        <v>1213</v>
      </c>
      <c r="B994" s="4">
        <v>9629</v>
      </c>
      <c r="C994" t="s">
        <v>3423</v>
      </c>
      <c r="D994" t="s">
        <v>3424</v>
      </c>
      <c r="E994" t="s">
        <v>309</v>
      </c>
      <c r="F994" t="s">
        <v>3423</v>
      </c>
      <c r="G994" t="s">
        <v>3425</v>
      </c>
      <c r="H994" t="s">
        <v>321</v>
      </c>
      <c r="I994" t="s">
        <v>917</v>
      </c>
      <c r="J994" t="s">
        <v>204</v>
      </c>
      <c r="K994" t="s">
        <v>204</v>
      </c>
      <c r="L994" t="s">
        <v>325</v>
      </c>
      <c r="M994" t="s">
        <v>340</v>
      </c>
      <c r="N994" t="s">
        <v>458</v>
      </c>
      <c r="O994" t="s">
        <v>339</v>
      </c>
      <c r="P994" t="s">
        <v>1212</v>
      </c>
      <c r="Q994" s="131">
        <v>2027</v>
      </c>
      <c r="R994" s="131">
        <v>1</v>
      </c>
      <c r="S994" s="131">
        <v>16470</v>
      </c>
      <c r="U994" s="131">
        <v>333.84699999999998</v>
      </c>
      <c r="V994" s="132">
        <v>2.0000000000000002E-5</v>
      </c>
      <c r="W994" s="132">
        <f t="shared" si="15"/>
        <v>9.9595509010511462E-3</v>
      </c>
      <c r="X994" s="132">
        <v>1.2034662676829169E-3</v>
      </c>
    </row>
    <row r="995" spans="1:24">
      <c r="A995" t="s">
        <v>1213</v>
      </c>
      <c r="B995" s="4">
        <v>9629</v>
      </c>
      <c r="C995" t="s">
        <v>2145</v>
      </c>
      <c r="D995" t="s">
        <v>2146</v>
      </c>
      <c r="E995" t="s">
        <v>309</v>
      </c>
      <c r="F995" t="s">
        <v>3612</v>
      </c>
      <c r="G995" t="s">
        <v>3613</v>
      </c>
      <c r="H995" t="s">
        <v>321</v>
      </c>
      <c r="I995" t="s">
        <v>917</v>
      </c>
      <c r="J995" t="s">
        <v>204</v>
      </c>
      <c r="K995" t="s">
        <v>204</v>
      </c>
      <c r="L995" t="s">
        <v>325</v>
      </c>
      <c r="M995" t="s">
        <v>340</v>
      </c>
      <c r="N995" t="s">
        <v>445</v>
      </c>
      <c r="O995" t="s">
        <v>339</v>
      </c>
      <c r="P995" t="s">
        <v>1212</v>
      </c>
      <c r="Q995" s="131">
        <v>5249</v>
      </c>
      <c r="R995" s="131">
        <v>1</v>
      </c>
      <c r="S995" s="131">
        <v>6329</v>
      </c>
      <c r="U995" s="131">
        <v>332.209</v>
      </c>
      <c r="V995" s="132">
        <v>6.9999999999999994E-5</v>
      </c>
      <c r="W995" s="132">
        <f t="shared" si="15"/>
        <v>9.9106849703226342E-3</v>
      </c>
      <c r="X995" s="132">
        <v>1.1975615336386851E-3</v>
      </c>
    </row>
    <row r="996" spans="1:24">
      <c r="A996" t="s">
        <v>1213</v>
      </c>
      <c r="B996" s="4">
        <v>9629</v>
      </c>
      <c r="C996" t="s">
        <v>3461</v>
      </c>
      <c r="D996" t="s">
        <v>3462</v>
      </c>
      <c r="E996" t="s">
        <v>309</v>
      </c>
      <c r="F996" t="s">
        <v>3461</v>
      </c>
      <c r="G996" t="s">
        <v>3463</v>
      </c>
      <c r="H996" t="s">
        <v>321</v>
      </c>
      <c r="I996" t="s">
        <v>917</v>
      </c>
      <c r="J996" t="s">
        <v>204</v>
      </c>
      <c r="K996" t="s">
        <v>204</v>
      </c>
      <c r="L996" t="s">
        <v>325</v>
      </c>
      <c r="M996" t="s">
        <v>340</v>
      </c>
      <c r="N996" t="s">
        <v>475</v>
      </c>
      <c r="O996" t="s">
        <v>339</v>
      </c>
      <c r="P996" t="s">
        <v>1212</v>
      </c>
      <c r="Q996" s="131">
        <v>1180</v>
      </c>
      <c r="R996" s="131">
        <v>1</v>
      </c>
      <c r="S996" s="131">
        <v>28150</v>
      </c>
      <c r="U996" s="131">
        <v>332.17</v>
      </c>
      <c r="V996" s="132">
        <v>9.0000000000000006E-5</v>
      </c>
      <c r="W996" s="132">
        <f t="shared" si="15"/>
        <v>9.9095214957814794E-3</v>
      </c>
      <c r="X996" s="132">
        <v>1.1974209447328701E-3</v>
      </c>
    </row>
    <row r="997" spans="1:24">
      <c r="A997" t="s">
        <v>1213</v>
      </c>
      <c r="B997" s="4">
        <v>9629</v>
      </c>
      <c r="C997" t="s">
        <v>2812</v>
      </c>
      <c r="D997" t="s">
        <v>2813</v>
      </c>
      <c r="E997" t="s">
        <v>309</v>
      </c>
      <c r="F997" t="s">
        <v>2812</v>
      </c>
      <c r="G997" t="s">
        <v>3637</v>
      </c>
      <c r="H997" t="s">
        <v>321</v>
      </c>
      <c r="I997" t="s">
        <v>917</v>
      </c>
      <c r="J997" t="s">
        <v>204</v>
      </c>
      <c r="K997" t="s">
        <v>204</v>
      </c>
      <c r="L997" t="s">
        <v>325</v>
      </c>
      <c r="M997" t="s">
        <v>340</v>
      </c>
      <c r="N997" t="s">
        <v>447</v>
      </c>
      <c r="O997" t="s">
        <v>339</v>
      </c>
      <c r="P997" t="s">
        <v>1212</v>
      </c>
      <c r="Q997" s="131">
        <v>1347</v>
      </c>
      <c r="R997" s="131">
        <v>1</v>
      </c>
      <c r="S997" s="131">
        <v>24250</v>
      </c>
      <c r="U997" s="131">
        <v>326.64800000000002</v>
      </c>
      <c r="V997" s="132">
        <v>1.1E-4</v>
      </c>
      <c r="W997" s="132">
        <f t="shared" si="15"/>
        <v>9.7447854338261388E-3</v>
      </c>
      <c r="X997" s="132">
        <v>1.177514997606956E-3</v>
      </c>
    </row>
    <row r="998" spans="1:24">
      <c r="A998" t="s">
        <v>1213</v>
      </c>
      <c r="B998" s="4">
        <v>9629</v>
      </c>
      <c r="C998" t="s">
        <v>1973</v>
      </c>
      <c r="D998" t="s">
        <v>1974</v>
      </c>
      <c r="E998" t="s">
        <v>309</v>
      </c>
      <c r="F998" t="s">
        <v>3512</v>
      </c>
      <c r="G998" t="s">
        <v>3513</v>
      </c>
      <c r="H998" t="s">
        <v>321</v>
      </c>
      <c r="I998" t="s">
        <v>917</v>
      </c>
      <c r="J998" t="s">
        <v>204</v>
      </c>
      <c r="K998" t="s">
        <v>204</v>
      </c>
      <c r="L998" t="s">
        <v>325</v>
      </c>
      <c r="M998" t="s">
        <v>340</v>
      </c>
      <c r="N998" t="s">
        <v>464</v>
      </c>
      <c r="O998" t="s">
        <v>339</v>
      </c>
      <c r="P998" t="s">
        <v>1212</v>
      </c>
      <c r="Q998" s="131">
        <v>34074</v>
      </c>
      <c r="R998" s="131">
        <v>1</v>
      </c>
      <c r="S998" s="131">
        <v>954</v>
      </c>
      <c r="U998" s="131">
        <v>325.06599999999997</v>
      </c>
      <c r="V998" s="132">
        <v>5.0000000000000002E-5</v>
      </c>
      <c r="W998" s="132">
        <f t="shared" si="15"/>
        <v>9.6975901332080009E-3</v>
      </c>
      <c r="X998" s="132">
        <v>1.1718121348120996E-3</v>
      </c>
    </row>
    <row r="999" spans="1:24">
      <c r="A999" t="s">
        <v>1213</v>
      </c>
      <c r="B999" s="4">
        <v>9629</v>
      </c>
      <c r="C999" t="s">
        <v>3451</v>
      </c>
      <c r="D999" t="s">
        <v>3452</v>
      </c>
      <c r="E999" t="s">
        <v>309</v>
      </c>
      <c r="F999" t="s">
        <v>3453</v>
      </c>
      <c r="G999" t="s">
        <v>3454</v>
      </c>
      <c r="H999" t="s">
        <v>321</v>
      </c>
      <c r="I999" t="s">
        <v>917</v>
      </c>
      <c r="J999" t="s">
        <v>204</v>
      </c>
      <c r="K999" t="s">
        <v>204</v>
      </c>
      <c r="L999" t="s">
        <v>325</v>
      </c>
      <c r="M999" t="s">
        <v>340</v>
      </c>
      <c r="N999" t="s">
        <v>448</v>
      </c>
      <c r="O999" t="s">
        <v>339</v>
      </c>
      <c r="P999" t="s">
        <v>1212</v>
      </c>
      <c r="Q999" s="131">
        <v>2011</v>
      </c>
      <c r="R999" s="131">
        <v>1</v>
      </c>
      <c r="S999" s="131">
        <v>15410</v>
      </c>
      <c r="U999" s="131">
        <v>309.89499999999998</v>
      </c>
      <c r="V999" s="132">
        <v>2.0000000000000002E-5</v>
      </c>
      <c r="W999" s="132">
        <f t="shared" si="15"/>
        <v>9.2449985366986811E-3</v>
      </c>
      <c r="X999" s="132">
        <v>1.1171230504500489E-3</v>
      </c>
    </row>
    <row r="1000" spans="1:24">
      <c r="A1000" t="s">
        <v>1213</v>
      </c>
      <c r="B1000" s="4">
        <v>9629</v>
      </c>
      <c r="C1000" t="s">
        <v>3125</v>
      </c>
      <c r="D1000" t="s">
        <v>3126</v>
      </c>
      <c r="E1000" t="s">
        <v>309</v>
      </c>
      <c r="F1000" t="s">
        <v>3125</v>
      </c>
      <c r="G1000" t="s">
        <v>3489</v>
      </c>
      <c r="H1000" t="s">
        <v>321</v>
      </c>
      <c r="I1000" t="s">
        <v>917</v>
      </c>
      <c r="J1000" t="s">
        <v>204</v>
      </c>
      <c r="K1000" t="s">
        <v>204</v>
      </c>
      <c r="L1000" t="s">
        <v>325</v>
      </c>
      <c r="M1000" t="s">
        <v>340</v>
      </c>
      <c r="N1000" t="s">
        <v>441</v>
      </c>
      <c r="O1000" t="s">
        <v>339</v>
      </c>
      <c r="P1000" t="s">
        <v>1212</v>
      </c>
      <c r="Q1000" s="131">
        <v>968</v>
      </c>
      <c r="R1000" s="131">
        <v>1</v>
      </c>
      <c r="S1000" s="131">
        <v>28560</v>
      </c>
      <c r="U1000" s="131">
        <v>276.46100000000001</v>
      </c>
      <c r="V1000" s="132">
        <v>2.0000000000000002E-5</v>
      </c>
      <c r="W1000" s="132">
        <f t="shared" si="15"/>
        <v>8.2475726954428265E-3</v>
      </c>
      <c r="X1000" s="132">
        <v>9.9659870488543216E-4</v>
      </c>
    </row>
    <row r="1001" spans="1:24">
      <c r="A1001" t="s">
        <v>1213</v>
      </c>
      <c r="B1001" s="4">
        <v>9629</v>
      </c>
      <c r="C1001" t="s">
        <v>2128</v>
      </c>
      <c r="D1001" t="s">
        <v>2129</v>
      </c>
      <c r="E1001" t="s">
        <v>309</v>
      </c>
      <c r="F1001" t="s">
        <v>3419</v>
      </c>
      <c r="G1001" t="s">
        <v>3420</v>
      </c>
      <c r="H1001" t="s">
        <v>321</v>
      </c>
      <c r="I1001" t="s">
        <v>917</v>
      </c>
      <c r="J1001" t="s">
        <v>204</v>
      </c>
      <c r="K1001" t="s">
        <v>204</v>
      </c>
      <c r="L1001" t="s">
        <v>325</v>
      </c>
      <c r="M1001" t="s">
        <v>340</v>
      </c>
      <c r="N1001" t="s">
        <v>445</v>
      </c>
      <c r="O1001" t="s">
        <v>339</v>
      </c>
      <c r="P1001" t="s">
        <v>1212</v>
      </c>
      <c r="Q1001" s="131">
        <v>6567</v>
      </c>
      <c r="R1001" s="131">
        <v>1</v>
      </c>
      <c r="S1001" s="131">
        <v>4200</v>
      </c>
      <c r="U1001" s="131">
        <v>275.81400000000002</v>
      </c>
      <c r="V1001" s="132">
        <v>3.0000000000000001E-5</v>
      </c>
      <c r="W1001" s="132">
        <f t="shared" si="15"/>
        <v>8.2282709511318688E-3</v>
      </c>
      <c r="X1001" s="132">
        <v>9.9426637098639823E-4</v>
      </c>
    </row>
    <row r="1002" spans="1:24">
      <c r="A1002" t="s">
        <v>1213</v>
      </c>
      <c r="B1002" s="4">
        <v>9629</v>
      </c>
      <c r="C1002" t="s">
        <v>3498</v>
      </c>
      <c r="D1002" t="s">
        <v>3499</v>
      </c>
      <c r="E1002" t="s">
        <v>309</v>
      </c>
      <c r="F1002" t="s">
        <v>3500</v>
      </c>
      <c r="G1002" t="s">
        <v>3501</v>
      </c>
      <c r="H1002" t="s">
        <v>321</v>
      </c>
      <c r="I1002" t="s">
        <v>917</v>
      </c>
      <c r="J1002" t="s">
        <v>204</v>
      </c>
      <c r="K1002" t="s">
        <v>204</v>
      </c>
      <c r="L1002" t="s">
        <v>325</v>
      </c>
      <c r="M1002" t="s">
        <v>340</v>
      </c>
      <c r="N1002" t="s">
        <v>476</v>
      </c>
      <c r="O1002" t="s">
        <v>339</v>
      </c>
      <c r="P1002" t="s">
        <v>1212</v>
      </c>
      <c r="Q1002" s="131">
        <v>5454</v>
      </c>
      <c r="R1002" s="131">
        <v>1</v>
      </c>
      <c r="S1002" s="131">
        <v>5029</v>
      </c>
      <c r="U1002" s="131">
        <v>274.28199999999998</v>
      </c>
      <c r="V1002" s="132">
        <v>8.0000000000000007E-5</v>
      </c>
      <c r="W1002" s="132">
        <f t="shared" si="15"/>
        <v>8.1825672845408527E-3</v>
      </c>
      <c r="X1002" s="132">
        <v>9.88743750378484E-4</v>
      </c>
    </row>
    <row r="1003" spans="1:24">
      <c r="A1003" t="s">
        <v>1213</v>
      </c>
      <c r="B1003" s="4">
        <v>9629</v>
      </c>
      <c r="C1003" t="s">
        <v>1691</v>
      </c>
      <c r="D1003" t="s">
        <v>1692</v>
      </c>
      <c r="E1003" t="s">
        <v>309</v>
      </c>
      <c r="F1003" t="s">
        <v>3478</v>
      </c>
      <c r="G1003" t="s">
        <v>3479</v>
      </c>
      <c r="H1003" t="s">
        <v>321</v>
      </c>
      <c r="I1003" t="s">
        <v>917</v>
      </c>
      <c r="J1003" t="s">
        <v>204</v>
      </c>
      <c r="K1003" t="s">
        <v>204</v>
      </c>
      <c r="L1003" t="s">
        <v>325</v>
      </c>
      <c r="M1003" t="s">
        <v>340</v>
      </c>
      <c r="N1003" t="s">
        <v>464</v>
      </c>
      <c r="O1003" t="s">
        <v>339</v>
      </c>
      <c r="P1003" t="s">
        <v>1212</v>
      </c>
      <c r="Q1003" s="131">
        <v>17941</v>
      </c>
      <c r="R1003" s="131">
        <v>1</v>
      </c>
      <c r="S1003" s="131">
        <v>1513</v>
      </c>
      <c r="U1003" s="131">
        <v>271.447</v>
      </c>
      <c r="V1003" s="132">
        <v>9.0000000000000006E-5</v>
      </c>
      <c r="W1003" s="132">
        <f t="shared" si="15"/>
        <v>8.0979916352030435E-3</v>
      </c>
      <c r="X1003" s="132">
        <v>9.7852401837885241E-4</v>
      </c>
    </row>
    <row r="1004" spans="1:24">
      <c r="A1004" t="s">
        <v>1213</v>
      </c>
      <c r="B1004" s="4">
        <v>9629</v>
      </c>
      <c r="C1004" t="s">
        <v>1624</v>
      </c>
      <c r="D1004" t="s">
        <v>1625</v>
      </c>
      <c r="E1004" t="s">
        <v>309</v>
      </c>
      <c r="F1004" t="s">
        <v>1624</v>
      </c>
      <c r="G1004" t="s">
        <v>3505</v>
      </c>
      <c r="H1004" t="s">
        <v>321</v>
      </c>
      <c r="I1004" t="s">
        <v>917</v>
      </c>
      <c r="J1004" t="s">
        <v>204</v>
      </c>
      <c r="K1004" t="s">
        <v>204</v>
      </c>
      <c r="L1004" t="s">
        <v>325</v>
      </c>
      <c r="M1004" t="s">
        <v>340</v>
      </c>
      <c r="N1004" t="s">
        <v>447</v>
      </c>
      <c r="O1004" t="s">
        <v>339</v>
      </c>
      <c r="P1004" t="s">
        <v>1212</v>
      </c>
      <c r="Q1004" s="131">
        <v>15448</v>
      </c>
      <c r="R1004" s="131">
        <v>1</v>
      </c>
      <c r="S1004" s="131">
        <v>1740</v>
      </c>
      <c r="U1004" s="131">
        <v>268.79500000000002</v>
      </c>
      <c r="V1004" s="132">
        <v>5.0000000000000002E-5</v>
      </c>
      <c r="W1004" s="132">
        <f t="shared" si="15"/>
        <v>8.0188753664045005E-3</v>
      </c>
      <c r="X1004" s="132">
        <v>9.6896397278342975E-4</v>
      </c>
    </row>
    <row r="1005" spans="1:24">
      <c r="A1005" t="s">
        <v>1213</v>
      </c>
      <c r="B1005" s="4">
        <v>9629</v>
      </c>
      <c r="C1005" t="s">
        <v>2576</v>
      </c>
      <c r="D1005" t="s">
        <v>2577</v>
      </c>
      <c r="E1005" t="s">
        <v>309</v>
      </c>
      <c r="F1005" t="s">
        <v>2576</v>
      </c>
      <c r="G1005" t="s">
        <v>3621</v>
      </c>
      <c r="H1005" t="s">
        <v>321</v>
      </c>
      <c r="I1005" t="s">
        <v>917</v>
      </c>
      <c r="J1005" t="s">
        <v>204</v>
      </c>
      <c r="K1005" t="s">
        <v>204</v>
      </c>
      <c r="L1005" t="s">
        <v>325</v>
      </c>
      <c r="M1005" t="s">
        <v>340</v>
      </c>
      <c r="N1005" t="s">
        <v>451</v>
      </c>
      <c r="O1005" t="s">
        <v>339</v>
      </c>
      <c r="P1005" t="s">
        <v>1212</v>
      </c>
      <c r="Q1005" s="131">
        <v>309</v>
      </c>
      <c r="R1005" s="131">
        <v>1</v>
      </c>
      <c r="S1005" s="131">
        <v>81100</v>
      </c>
      <c r="U1005" s="131">
        <v>250.59899999999999</v>
      </c>
      <c r="V1005" s="132">
        <v>4.0000000000000003E-5</v>
      </c>
      <c r="W1005" s="132">
        <f t="shared" si="15"/>
        <v>7.4760399112543049E-3</v>
      </c>
      <c r="X1005" s="132">
        <v>9.0337023611136616E-4</v>
      </c>
    </row>
    <row r="1006" spans="1:24">
      <c r="A1006" t="s">
        <v>1213</v>
      </c>
      <c r="B1006" s="4">
        <v>9629</v>
      </c>
      <c r="C1006" t="s">
        <v>2178</v>
      </c>
      <c r="D1006" t="s">
        <v>2179</v>
      </c>
      <c r="E1006" t="s">
        <v>309</v>
      </c>
      <c r="F1006" t="s">
        <v>2178</v>
      </c>
      <c r="G1006" t="s">
        <v>3609</v>
      </c>
      <c r="H1006" t="s">
        <v>321</v>
      </c>
      <c r="I1006" t="s">
        <v>917</v>
      </c>
      <c r="J1006" t="s">
        <v>204</v>
      </c>
      <c r="K1006" t="s">
        <v>204</v>
      </c>
      <c r="L1006" t="s">
        <v>325</v>
      </c>
      <c r="M1006" t="s">
        <v>340</v>
      </c>
      <c r="N1006" t="s">
        <v>464</v>
      </c>
      <c r="O1006" t="s">
        <v>339</v>
      </c>
      <c r="P1006" t="s">
        <v>1212</v>
      </c>
      <c r="Q1006" s="131">
        <v>8614</v>
      </c>
      <c r="R1006" s="131">
        <v>1</v>
      </c>
      <c r="S1006" s="131">
        <v>2855</v>
      </c>
      <c r="U1006" s="131">
        <v>245.93</v>
      </c>
      <c r="V1006" s="132">
        <v>4.0000000000000003E-5</v>
      </c>
      <c r="W1006" s="132">
        <f t="shared" si="15"/>
        <v>7.336751125801665E-3</v>
      </c>
      <c r="X1006" s="132">
        <v>8.8653922069468875E-4</v>
      </c>
    </row>
    <row r="1007" spans="1:24">
      <c r="A1007" t="s">
        <v>1213</v>
      </c>
      <c r="B1007" s="4">
        <v>9629</v>
      </c>
      <c r="C1007" t="s">
        <v>3786</v>
      </c>
      <c r="D1007" t="s">
        <v>3787</v>
      </c>
      <c r="E1007" t="s">
        <v>309</v>
      </c>
      <c r="F1007" t="s">
        <v>3786</v>
      </c>
      <c r="G1007" t="s">
        <v>3788</v>
      </c>
      <c r="H1007" t="s">
        <v>321</v>
      </c>
      <c r="I1007" t="s">
        <v>917</v>
      </c>
      <c r="J1007" t="s">
        <v>204</v>
      </c>
      <c r="K1007" t="s">
        <v>204</v>
      </c>
      <c r="L1007" t="s">
        <v>325</v>
      </c>
      <c r="M1007" t="s">
        <v>340</v>
      </c>
      <c r="N1007" t="s">
        <v>446</v>
      </c>
      <c r="O1007" t="s">
        <v>339</v>
      </c>
      <c r="P1007" t="s">
        <v>1212</v>
      </c>
      <c r="Q1007" s="131">
        <v>1700</v>
      </c>
      <c r="R1007" s="131">
        <v>1</v>
      </c>
      <c r="S1007" s="131">
        <v>14100</v>
      </c>
      <c r="U1007" s="131">
        <v>239.7</v>
      </c>
      <c r="V1007" s="132">
        <v>7.2000000000000005E-4</v>
      </c>
      <c r="W1007" s="132">
        <f t="shared" si="15"/>
        <v>7.1508935260222789E-3</v>
      </c>
      <c r="X1007" s="132">
        <v>8.6408104420167069E-4</v>
      </c>
    </row>
    <row r="1008" spans="1:24">
      <c r="A1008" t="s">
        <v>1213</v>
      </c>
      <c r="B1008" s="4">
        <v>9629</v>
      </c>
      <c r="C1008" t="s">
        <v>2203</v>
      </c>
      <c r="D1008" t="s">
        <v>2204</v>
      </c>
      <c r="E1008" t="s">
        <v>309</v>
      </c>
      <c r="F1008" t="s">
        <v>3606</v>
      </c>
      <c r="G1008" t="s">
        <v>3607</v>
      </c>
      <c r="H1008" t="s">
        <v>321</v>
      </c>
      <c r="I1008" t="s">
        <v>917</v>
      </c>
      <c r="J1008" t="s">
        <v>204</v>
      </c>
      <c r="K1008" t="s">
        <v>204</v>
      </c>
      <c r="L1008" t="s">
        <v>325</v>
      </c>
      <c r="M1008" t="s">
        <v>340</v>
      </c>
      <c r="N1008" t="s">
        <v>459</v>
      </c>
      <c r="O1008" t="s">
        <v>339</v>
      </c>
      <c r="P1008" t="s">
        <v>1212</v>
      </c>
      <c r="Q1008" s="131">
        <v>4042</v>
      </c>
      <c r="R1008" s="131">
        <v>1</v>
      </c>
      <c r="S1008" s="131">
        <v>5930</v>
      </c>
      <c r="U1008" s="131">
        <v>239.691</v>
      </c>
      <c r="V1008" s="132">
        <v>3.0000000000000001E-5</v>
      </c>
      <c r="W1008" s="132">
        <f t="shared" si="15"/>
        <v>7.1506250318973969E-3</v>
      </c>
      <c r="X1008" s="132">
        <v>8.6404860060802118E-4</v>
      </c>
    </row>
    <row r="1009" spans="1:24">
      <c r="A1009" t="s">
        <v>1213</v>
      </c>
      <c r="B1009" s="4">
        <v>9629</v>
      </c>
      <c r="C1009" t="s">
        <v>2789</v>
      </c>
      <c r="D1009" t="s">
        <v>2790</v>
      </c>
      <c r="E1009" t="s">
        <v>309</v>
      </c>
      <c r="F1009" t="s">
        <v>2789</v>
      </c>
      <c r="G1009" t="s">
        <v>3480</v>
      </c>
      <c r="H1009" t="s">
        <v>321</v>
      </c>
      <c r="I1009" t="s">
        <v>917</v>
      </c>
      <c r="J1009" t="s">
        <v>204</v>
      </c>
      <c r="K1009" t="s">
        <v>204</v>
      </c>
      <c r="L1009" t="s">
        <v>325</v>
      </c>
      <c r="M1009" t="s">
        <v>340</v>
      </c>
      <c r="N1009" t="s">
        <v>441</v>
      </c>
      <c r="O1009" t="s">
        <v>339</v>
      </c>
      <c r="P1009" t="s">
        <v>1212</v>
      </c>
      <c r="Q1009" s="131">
        <v>16889</v>
      </c>
      <c r="R1009" s="131">
        <v>1</v>
      </c>
      <c r="S1009" s="131">
        <v>1348</v>
      </c>
      <c r="U1009" s="131">
        <v>227.66399999999999</v>
      </c>
      <c r="V1009" s="132">
        <v>3.0000000000000001E-5</v>
      </c>
      <c r="W1009" s="132">
        <f t="shared" si="15"/>
        <v>6.7918273830135005E-3</v>
      </c>
      <c r="X1009" s="132">
        <v>8.2069314496090596E-4</v>
      </c>
    </row>
    <row r="1010" spans="1:24">
      <c r="A1010" t="s">
        <v>1213</v>
      </c>
      <c r="B1010" s="4">
        <v>9629</v>
      </c>
      <c r="C1010" t="s">
        <v>2454</v>
      </c>
      <c r="D1010" t="s">
        <v>2455</v>
      </c>
      <c r="E1010" t="s">
        <v>309</v>
      </c>
      <c r="F1010" t="s">
        <v>2454</v>
      </c>
      <c r="G1010" t="s">
        <v>3618</v>
      </c>
      <c r="H1010" t="s">
        <v>321</v>
      </c>
      <c r="I1010" t="s">
        <v>917</v>
      </c>
      <c r="J1010" t="s">
        <v>204</v>
      </c>
      <c r="K1010" t="s">
        <v>204</v>
      </c>
      <c r="L1010" t="s">
        <v>325</v>
      </c>
      <c r="M1010" t="s">
        <v>340</v>
      </c>
      <c r="N1010" t="s">
        <v>478</v>
      </c>
      <c r="O1010" t="s">
        <v>339</v>
      </c>
      <c r="P1010" t="s">
        <v>1212</v>
      </c>
      <c r="Q1010" s="131">
        <v>16558.2</v>
      </c>
      <c r="R1010" s="131">
        <v>1</v>
      </c>
      <c r="S1010" s="131">
        <v>1373</v>
      </c>
      <c r="U1010" s="131">
        <v>227.34399999999999</v>
      </c>
      <c r="V1010" s="132">
        <v>8.0000000000000007E-5</v>
      </c>
      <c r="W1010" s="132">
        <f t="shared" si="15"/>
        <v>6.7822809252399202E-3</v>
      </c>
      <c r="X1010" s="132">
        <v>8.1953959496447492E-4</v>
      </c>
    </row>
    <row r="1011" spans="1:24">
      <c r="A1011" t="s">
        <v>1213</v>
      </c>
      <c r="B1011" s="4">
        <v>9629</v>
      </c>
      <c r="C1011" t="s">
        <v>2396</v>
      </c>
      <c r="D1011" t="s">
        <v>2397</v>
      </c>
      <c r="E1011" t="s">
        <v>309</v>
      </c>
      <c r="F1011" t="s">
        <v>2396</v>
      </c>
      <c r="G1011" t="s">
        <v>3659</v>
      </c>
      <c r="H1011" t="s">
        <v>321</v>
      </c>
      <c r="I1011" t="s">
        <v>917</v>
      </c>
      <c r="J1011" t="s">
        <v>204</v>
      </c>
      <c r="K1011" t="s">
        <v>204</v>
      </c>
      <c r="L1011" t="s">
        <v>325</v>
      </c>
      <c r="M1011" t="s">
        <v>340</v>
      </c>
      <c r="N1011" t="s">
        <v>451</v>
      </c>
      <c r="O1011" t="s">
        <v>339</v>
      </c>
      <c r="P1011" t="s">
        <v>1212</v>
      </c>
      <c r="Q1011" s="131">
        <v>272790</v>
      </c>
      <c r="R1011" s="131">
        <v>1</v>
      </c>
      <c r="S1011" s="131">
        <v>64.8</v>
      </c>
      <c r="U1011" s="131">
        <v>176.768</v>
      </c>
      <c r="V1011" s="132">
        <v>2.2000000000000001E-4</v>
      </c>
      <c r="W1011" s="132">
        <f t="shared" si="15"/>
        <v>5.2734632741255998E-3</v>
      </c>
      <c r="X1011" s="132">
        <v>6.3722101802853959E-4</v>
      </c>
    </row>
    <row r="1012" spans="1:24">
      <c r="A1012" t="s">
        <v>1213</v>
      </c>
      <c r="B1012" s="4">
        <v>9629</v>
      </c>
      <c r="C1012" t="s">
        <v>1634</v>
      </c>
      <c r="D1012" t="s">
        <v>1635</v>
      </c>
      <c r="E1012" t="s">
        <v>309</v>
      </c>
      <c r="F1012" t="s">
        <v>3437</v>
      </c>
      <c r="G1012" t="s">
        <v>3438</v>
      </c>
      <c r="H1012" t="s">
        <v>321</v>
      </c>
      <c r="I1012" t="s">
        <v>917</v>
      </c>
      <c r="J1012" t="s">
        <v>204</v>
      </c>
      <c r="K1012" t="s">
        <v>204</v>
      </c>
      <c r="L1012" t="s">
        <v>325</v>
      </c>
      <c r="M1012" t="s">
        <v>340</v>
      </c>
      <c r="N1012" t="s">
        <v>454</v>
      </c>
      <c r="O1012" t="s">
        <v>339</v>
      </c>
      <c r="P1012" t="s">
        <v>1212</v>
      </c>
      <c r="Q1012" s="131">
        <v>3256</v>
      </c>
      <c r="R1012" s="131">
        <v>1</v>
      </c>
      <c r="S1012" s="131">
        <v>5205</v>
      </c>
      <c r="U1012" s="131">
        <v>169.47499999999999</v>
      </c>
      <c r="V1012" s="132">
        <v>3.0000000000000001E-5</v>
      </c>
      <c r="W1012" s="132">
        <f t="shared" si="15"/>
        <v>5.055893534929602E-3</v>
      </c>
      <c r="X1012" s="132">
        <v>6.1093089264112701E-4</v>
      </c>
    </row>
    <row r="1013" spans="1:24">
      <c r="A1013" t="s">
        <v>1213</v>
      </c>
      <c r="B1013" s="4">
        <v>9629</v>
      </c>
      <c r="C1013" t="s">
        <v>3694</v>
      </c>
      <c r="D1013" t="s">
        <v>3695</v>
      </c>
      <c r="E1013" t="s">
        <v>309</v>
      </c>
      <c r="F1013" t="s">
        <v>3694</v>
      </c>
      <c r="G1013" t="s">
        <v>3696</v>
      </c>
      <c r="H1013" t="s">
        <v>321</v>
      </c>
      <c r="I1013" t="s">
        <v>917</v>
      </c>
      <c r="J1013" t="s">
        <v>204</v>
      </c>
      <c r="K1013" t="s">
        <v>204</v>
      </c>
      <c r="L1013" t="s">
        <v>325</v>
      </c>
      <c r="M1013" t="s">
        <v>340</v>
      </c>
      <c r="N1013" t="s">
        <v>451</v>
      </c>
      <c r="O1013" t="s">
        <v>339</v>
      </c>
      <c r="P1013" t="s">
        <v>1212</v>
      </c>
      <c r="Q1013" s="131">
        <v>1495</v>
      </c>
      <c r="R1013" s="131">
        <v>1</v>
      </c>
      <c r="S1013" s="131">
        <v>11080</v>
      </c>
      <c r="U1013" s="131">
        <v>165.64599999999999</v>
      </c>
      <c r="V1013" s="132">
        <v>4.0000000000000003E-5</v>
      </c>
      <c r="W1013" s="132">
        <f t="shared" si="15"/>
        <v>4.941664201132609E-3</v>
      </c>
      <c r="X1013" s="132">
        <v>5.9712794596508115E-4</v>
      </c>
    </row>
    <row r="1014" spans="1:24">
      <c r="A1014" t="s">
        <v>1213</v>
      </c>
      <c r="B1014" s="4">
        <v>9629</v>
      </c>
      <c r="C1014" t="s">
        <v>2428</v>
      </c>
      <c r="D1014" t="s">
        <v>2429</v>
      </c>
      <c r="E1014" t="s">
        <v>309</v>
      </c>
      <c r="F1014" t="s">
        <v>2428</v>
      </c>
      <c r="G1014" t="s">
        <v>3459</v>
      </c>
      <c r="H1014" t="s">
        <v>321</v>
      </c>
      <c r="I1014" t="s">
        <v>917</v>
      </c>
      <c r="J1014" t="s">
        <v>204</v>
      </c>
      <c r="K1014" t="s">
        <v>204</v>
      </c>
      <c r="L1014" t="s">
        <v>325</v>
      </c>
      <c r="M1014" t="s">
        <v>340</v>
      </c>
      <c r="N1014" t="s">
        <v>454</v>
      </c>
      <c r="O1014" t="s">
        <v>339</v>
      </c>
      <c r="P1014" t="s">
        <v>1212</v>
      </c>
      <c r="Q1014" s="131">
        <v>101104.4</v>
      </c>
      <c r="R1014" s="131">
        <v>1</v>
      </c>
      <c r="S1014" s="131">
        <v>161.9</v>
      </c>
      <c r="U1014" s="131">
        <v>163.68799999999999</v>
      </c>
      <c r="V1014" s="132">
        <v>4.0000000000000003E-5</v>
      </c>
      <c r="W1014" s="132">
        <f t="shared" si="15"/>
        <v>4.8832518126305157E-3</v>
      </c>
      <c r="X1014" s="132">
        <v>5.900696619244183E-4</v>
      </c>
    </row>
    <row r="1015" spans="1:24">
      <c r="A1015" t="s">
        <v>1213</v>
      </c>
      <c r="B1015" s="4">
        <v>9629</v>
      </c>
      <c r="C1015" t="s">
        <v>1737</v>
      </c>
      <c r="D1015" t="s">
        <v>1738</v>
      </c>
      <c r="E1015" t="s">
        <v>309</v>
      </c>
      <c r="F1015" t="s">
        <v>3530</v>
      </c>
      <c r="G1015" t="s">
        <v>3531</v>
      </c>
      <c r="H1015" t="s">
        <v>321</v>
      </c>
      <c r="I1015" t="s">
        <v>917</v>
      </c>
      <c r="J1015" t="s">
        <v>204</v>
      </c>
      <c r="K1015" t="s">
        <v>204</v>
      </c>
      <c r="L1015" t="s">
        <v>325</v>
      </c>
      <c r="M1015" t="s">
        <v>340</v>
      </c>
      <c r="N1015" t="s">
        <v>447</v>
      </c>
      <c r="O1015" t="s">
        <v>339</v>
      </c>
      <c r="P1015" t="s">
        <v>1212</v>
      </c>
      <c r="Q1015" s="131">
        <v>9513</v>
      </c>
      <c r="R1015" s="131">
        <v>1</v>
      </c>
      <c r="S1015" s="131">
        <v>1628</v>
      </c>
      <c r="U1015" s="131">
        <v>154.87200000000001</v>
      </c>
      <c r="V1015" s="132">
        <v>1.4999999999999999E-4</v>
      </c>
      <c r="W1015" s="132">
        <f t="shared" si="15"/>
        <v>4.6202469009683873E-3</v>
      </c>
      <c r="X1015" s="132">
        <v>5.5828935952274166E-4</v>
      </c>
    </row>
    <row r="1016" spans="1:24">
      <c r="A1016" t="s">
        <v>1213</v>
      </c>
      <c r="B1016" s="4">
        <v>9629</v>
      </c>
      <c r="C1016" t="s">
        <v>2356</v>
      </c>
      <c r="D1016" t="s">
        <v>2357</v>
      </c>
      <c r="E1016" t="s">
        <v>309</v>
      </c>
      <c r="F1016" t="s">
        <v>2356</v>
      </c>
      <c r="G1016" t="s">
        <v>3645</v>
      </c>
      <c r="H1016" t="s">
        <v>321</v>
      </c>
      <c r="I1016" t="s">
        <v>917</v>
      </c>
      <c r="J1016" t="s">
        <v>204</v>
      </c>
      <c r="K1016" t="s">
        <v>204</v>
      </c>
      <c r="L1016" t="s">
        <v>325</v>
      </c>
      <c r="M1016" t="s">
        <v>340</v>
      </c>
      <c r="N1016" t="s">
        <v>447</v>
      </c>
      <c r="O1016" t="s">
        <v>339</v>
      </c>
      <c r="P1016" t="s">
        <v>1212</v>
      </c>
      <c r="Q1016" s="131">
        <v>16455</v>
      </c>
      <c r="R1016" s="131">
        <v>1</v>
      </c>
      <c r="S1016" s="131">
        <v>898.1</v>
      </c>
      <c r="U1016" s="131">
        <v>147.78200000000001</v>
      </c>
      <c r="V1016" s="132">
        <v>3.0000000000000001E-5</v>
      </c>
      <c r="W1016" s="132">
        <f t="shared" si="15"/>
        <v>4.4087331959225054E-3</v>
      </c>
      <c r="X1016" s="132">
        <v>5.3273101741431505E-4</v>
      </c>
    </row>
    <row r="1017" spans="1:24">
      <c r="A1017" t="s">
        <v>1213</v>
      </c>
      <c r="B1017" s="4">
        <v>9629</v>
      </c>
      <c r="C1017" t="s">
        <v>1820</v>
      </c>
      <c r="D1017" t="s">
        <v>1821</v>
      </c>
      <c r="E1017" t="s">
        <v>309</v>
      </c>
      <c r="F1017" t="s">
        <v>3632</v>
      </c>
      <c r="G1017" t="s">
        <v>3633</v>
      </c>
      <c r="H1017" t="s">
        <v>321</v>
      </c>
      <c r="I1017" t="s">
        <v>917</v>
      </c>
      <c r="J1017" t="s">
        <v>204</v>
      </c>
      <c r="K1017" t="s">
        <v>204</v>
      </c>
      <c r="L1017" t="s">
        <v>325</v>
      </c>
      <c r="M1017" t="s">
        <v>340</v>
      </c>
      <c r="N1017" t="s">
        <v>464</v>
      </c>
      <c r="O1017" t="s">
        <v>339</v>
      </c>
      <c r="P1017" t="s">
        <v>1212</v>
      </c>
      <c r="Q1017" s="131">
        <v>2579</v>
      </c>
      <c r="R1017" s="131">
        <v>1</v>
      </c>
      <c r="S1017" s="131">
        <v>5594</v>
      </c>
      <c r="U1017" s="131">
        <v>144.26900000000001</v>
      </c>
      <c r="V1017" s="132">
        <v>2.0000000000000002E-5</v>
      </c>
      <c r="W1017" s="132">
        <f t="shared" si="15"/>
        <v>4.3039309891769219E-3</v>
      </c>
      <c r="X1017" s="132">
        <v>5.2006720135974488E-4</v>
      </c>
    </row>
    <row r="1018" spans="1:24">
      <c r="A1018" t="s">
        <v>1213</v>
      </c>
      <c r="B1018" s="4">
        <v>9629</v>
      </c>
      <c r="C1018" t="s">
        <v>1534</v>
      </c>
      <c r="D1018" t="s">
        <v>1535</v>
      </c>
      <c r="E1018" t="s">
        <v>309</v>
      </c>
      <c r="F1018" t="s">
        <v>1534</v>
      </c>
      <c r="G1018" t="s">
        <v>3509</v>
      </c>
      <c r="H1018" t="s">
        <v>321</v>
      </c>
      <c r="I1018" t="s">
        <v>917</v>
      </c>
      <c r="J1018" t="s">
        <v>204</v>
      </c>
      <c r="K1018" t="s">
        <v>204</v>
      </c>
      <c r="L1018" t="s">
        <v>325</v>
      </c>
      <c r="M1018" t="s">
        <v>340</v>
      </c>
      <c r="N1018" t="s">
        <v>464</v>
      </c>
      <c r="O1018" t="s">
        <v>339</v>
      </c>
      <c r="P1018" t="s">
        <v>1212</v>
      </c>
      <c r="Q1018" s="131">
        <v>8291</v>
      </c>
      <c r="R1018" s="131">
        <v>1</v>
      </c>
      <c r="S1018" s="131">
        <v>1609</v>
      </c>
      <c r="U1018" s="131">
        <v>133.40199999999999</v>
      </c>
      <c r="V1018" s="132">
        <v>2.0000000000000002E-5</v>
      </c>
      <c r="W1018" s="132">
        <f t="shared" si="15"/>
        <v>3.9797392497222528E-3</v>
      </c>
      <c r="X1018" s="132">
        <v>4.8089336444969241E-4</v>
      </c>
    </row>
    <row r="1019" spans="1:24">
      <c r="A1019" t="s">
        <v>1213</v>
      </c>
      <c r="B1019" s="4">
        <v>9629</v>
      </c>
      <c r="C1019" t="s">
        <v>3469</v>
      </c>
      <c r="D1019" t="s">
        <v>3470</v>
      </c>
      <c r="E1019" t="s">
        <v>309</v>
      </c>
      <c r="F1019" t="s">
        <v>3471</v>
      </c>
      <c r="G1019" t="s">
        <v>3472</v>
      </c>
      <c r="H1019" t="s">
        <v>321</v>
      </c>
      <c r="I1019" t="s">
        <v>917</v>
      </c>
      <c r="J1019" t="s">
        <v>204</v>
      </c>
      <c r="K1019" t="s">
        <v>204</v>
      </c>
      <c r="L1019" t="s">
        <v>325</v>
      </c>
      <c r="M1019" t="s">
        <v>340</v>
      </c>
      <c r="N1019" t="s">
        <v>454</v>
      </c>
      <c r="O1019" t="s">
        <v>339</v>
      </c>
      <c r="P1019" t="s">
        <v>1212</v>
      </c>
      <c r="Q1019" s="131">
        <v>12415</v>
      </c>
      <c r="R1019" s="131">
        <v>1</v>
      </c>
      <c r="S1019" s="131">
        <v>1025</v>
      </c>
      <c r="U1019" s="131">
        <v>127.254</v>
      </c>
      <c r="V1019" s="132">
        <v>1.0000000000000001E-5</v>
      </c>
      <c r="W1019" s="132">
        <f t="shared" si="15"/>
        <v>3.7963279297473472E-3</v>
      </c>
      <c r="X1019" s="132">
        <v>4.5873078514325994E-4</v>
      </c>
    </row>
    <row r="1020" spans="1:24">
      <c r="A1020" t="s">
        <v>1213</v>
      </c>
      <c r="B1020" s="4">
        <v>9629</v>
      </c>
      <c r="C1020" t="s">
        <v>3433</v>
      </c>
      <c r="D1020" t="s">
        <v>3434</v>
      </c>
      <c r="E1020" t="s">
        <v>309</v>
      </c>
      <c r="F1020" t="s">
        <v>3433</v>
      </c>
      <c r="G1020" t="s">
        <v>3435</v>
      </c>
      <c r="H1020" t="s">
        <v>321</v>
      </c>
      <c r="I1020" t="s">
        <v>917</v>
      </c>
      <c r="J1020" t="s">
        <v>204</v>
      </c>
      <c r="K1020" t="s">
        <v>204</v>
      </c>
      <c r="L1020" t="s">
        <v>325</v>
      </c>
      <c r="M1020" t="s">
        <v>340</v>
      </c>
      <c r="N1020" t="s">
        <v>458</v>
      </c>
      <c r="O1020" t="s">
        <v>339</v>
      </c>
      <c r="P1020" t="s">
        <v>1212</v>
      </c>
      <c r="Q1020" s="131">
        <v>389</v>
      </c>
      <c r="R1020" s="131">
        <v>1</v>
      </c>
      <c r="S1020" s="131">
        <v>29980</v>
      </c>
      <c r="U1020" s="131">
        <v>116.622</v>
      </c>
      <c r="V1020" s="132">
        <v>1.0000000000000001E-5</v>
      </c>
      <c r="W1020" s="132">
        <f t="shared" si="15"/>
        <v>3.4791468702201509E-3</v>
      </c>
      <c r="X1020" s="132">
        <v>4.2040408651183663E-4</v>
      </c>
    </row>
    <row r="1021" spans="1:24">
      <c r="A1021" t="s">
        <v>1213</v>
      </c>
      <c r="B1021" s="4">
        <v>9629</v>
      </c>
      <c r="C1021" t="s">
        <v>3852</v>
      </c>
      <c r="D1021" t="s">
        <v>3853</v>
      </c>
      <c r="E1021" t="s">
        <v>309</v>
      </c>
      <c r="F1021" t="s">
        <v>3854</v>
      </c>
      <c r="G1021" t="s">
        <v>3855</v>
      </c>
      <c r="H1021" t="s">
        <v>321</v>
      </c>
      <c r="I1021" t="s">
        <v>917</v>
      </c>
      <c r="J1021" t="s">
        <v>204</v>
      </c>
      <c r="K1021" t="s">
        <v>204</v>
      </c>
      <c r="L1021" t="s">
        <v>325</v>
      </c>
      <c r="M1021" t="s">
        <v>340</v>
      </c>
      <c r="N1021" t="s">
        <v>450</v>
      </c>
      <c r="O1021" t="s">
        <v>339</v>
      </c>
      <c r="P1021" t="s">
        <v>1212</v>
      </c>
      <c r="Q1021" s="131">
        <v>60823</v>
      </c>
      <c r="R1021" s="131">
        <v>1</v>
      </c>
      <c r="S1021" s="131">
        <v>161</v>
      </c>
      <c r="U1021" s="131">
        <v>97.924999999999997</v>
      </c>
      <c r="V1021" s="132">
        <v>4.9199999999999999E-3</v>
      </c>
      <c r="W1021" s="132">
        <f t="shared" si="15"/>
        <v>2.9213652421181961E-3</v>
      </c>
      <c r="X1021" s="132">
        <v>3.5300432312661078E-4</v>
      </c>
    </row>
    <row r="1022" spans="1:24">
      <c r="A1022" t="s">
        <v>1213</v>
      </c>
      <c r="B1022" s="4">
        <v>9629</v>
      </c>
      <c r="C1022" t="s">
        <v>3284</v>
      </c>
      <c r="D1022" t="s">
        <v>3285</v>
      </c>
      <c r="E1022" t="s">
        <v>311</v>
      </c>
      <c r="F1022" t="s">
        <v>3284</v>
      </c>
      <c r="G1022" t="s">
        <v>3510</v>
      </c>
      <c r="H1022" t="s">
        <v>321</v>
      </c>
      <c r="I1022" t="s">
        <v>917</v>
      </c>
      <c r="J1022" t="s">
        <v>204</v>
      </c>
      <c r="K1022" t="s">
        <v>233</v>
      </c>
      <c r="L1022" t="s">
        <v>325</v>
      </c>
      <c r="M1022" t="s">
        <v>340</v>
      </c>
      <c r="N1022" t="s">
        <v>454</v>
      </c>
      <c r="O1022" t="s">
        <v>339</v>
      </c>
      <c r="P1022" t="s">
        <v>1212</v>
      </c>
      <c r="Q1022" s="131">
        <v>1329</v>
      </c>
      <c r="R1022" s="131">
        <v>1</v>
      </c>
      <c r="S1022" s="131">
        <v>4556</v>
      </c>
      <c r="T1022" s="131">
        <f>1.484-4.78300000000013/1000/R1022</f>
        <v>1.4792169999999998</v>
      </c>
      <c r="U1022" s="131">
        <f>62.033-4.78300000000013/1000</f>
        <v>62.028216999999998</v>
      </c>
      <c r="V1022" s="132">
        <v>1.0000000000000001E-5</v>
      </c>
      <c r="W1022" s="132">
        <f t="shared" si="15"/>
        <v>1.8504679823779936E-3</v>
      </c>
      <c r="X1022" s="132">
        <v>2.2360202968430465E-4</v>
      </c>
    </row>
    <row r="1023" spans="1:24">
      <c r="A1023" t="s">
        <v>1213</v>
      </c>
      <c r="B1023" s="4">
        <v>9629</v>
      </c>
      <c r="C1023" t="s">
        <v>3789</v>
      </c>
      <c r="D1023" t="s">
        <v>3790</v>
      </c>
      <c r="E1023" t="s">
        <v>309</v>
      </c>
      <c r="F1023" t="s">
        <v>3791</v>
      </c>
      <c r="G1023" t="s">
        <v>3792</v>
      </c>
      <c r="H1023" t="s">
        <v>321</v>
      </c>
      <c r="I1023" t="s">
        <v>917</v>
      </c>
      <c r="J1023" t="s">
        <v>204</v>
      </c>
      <c r="K1023" t="s">
        <v>204</v>
      </c>
      <c r="L1023" t="s">
        <v>325</v>
      </c>
      <c r="M1023" t="s">
        <v>340</v>
      </c>
      <c r="N1023" t="s">
        <v>450</v>
      </c>
      <c r="O1023" t="s">
        <v>339</v>
      </c>
      <c r="P1023" t="s">
        <v>1212</v>
      </c>
      <c r="Q1023" s="131">
        <v>34500</v>
      </c>
      <c r="R1023" s="131">
        <v>1</v>
      </c>
      <c r="S1023" s="131">
        <v>108.6</v>
      </c>
      <c r="U1023" s="131">
        <v>37.466999999999999</v>
      </c>
      <c r="V1023" s="132">
        <v>8.5500000000000003E-3</v>
      </c>
      <c r="W1023" s="132">
        <f t="shared" si="15"/>
        <v>1.1177410418835073E-3</v>
      </c>
      <c r="X1023" s="132">
        <v>1.3506268036338757E-4</v>
      </c>
    </row>
    <row r="1024" spans="1:24">
      <c r="A1024" t="s">
        <v>1213</v>
      </c>
      <c r="B1024" s="4">
        <v>9629</v>
      </c>
      <c r="C1024" t="s">
        <v>3550</v>
      </c>
      <c r="D1024" t="s">
        <v>3551</v>
      </c>
      <c r="E1024" t="s">
        <v>80</v>
      </c>
      <c r="F1024" t="s">
        <v>3552</v>
      </c>
      <c r="G1024" t="s">
        <v>3553</v>
      </c>
      <c r="H1024" t="s">
        <v>321</v>
      </c>
      <c r="I1024" t="s">
        <v>917</v>
      </c>
      <c r="J1024" t="s">
        <v>205</v>
      </c>
      <c r="K1024" t="s">
        <v>224</v>
      </c>
      <c r="L1024" t="s">
        <v>325</v>
      </c>
      <c r="M1024" t="s">
        <v>344</v>
      </c>
      <c r="N1024" t="s">
        <v>544</v>
      </c>
      <c r="O1024" t="s">
        <v>339</v>
      </c>
      <c r="P1024" t="s">
        <v>1216</v>
      </c>
      <c r="Q1024" s="131">
        <v>1211</v>
      </c>
      <c r="R1024" s="131">
        <v>3.71</v>
      </c>
      <c r="S1024" s="131">
        <v>43030</v>
      </c>
      <c r="U1024" s="131">
        <v>1933.2560000000001</v>
      </c>
      <c r="V1024" s="132">
        <v>0</v>
      </c>
      <c r="W1024" s="132">
        <f t="shared" si="15"/>
        <v>5.7674208654750633E-2</v>
      </c>
      <c r="X1024" s="132">
        <v>6.9690857871887576E-3</v>
      </c>
    </row>
    <row r="1025" spans="1:24">
      <c r="A1025" t="s">
        <v>1213</v>
      </c>
      <c r="B1025" s="4">
        <v>9629</v>
      </c>
      <c r="C1025" t="s">
        <v>3119</v>
      </c>
      <c r="D1025" t="s">
        <v>3120</v>
      </c>
      <c r="E1025" t="s">
        <v>80</v>
      </c>
      <c r="F1025" t="s">
        <v>3718</v>
      </c>
      <c r="G1025" t="s">
        <v>3719</v>
      </c>
      <c r="H1025" t="s">
        <v>321</v>
      </c>
      <c r="I1025" t="s">
        <v>917</v>
      </c>
      <c r="J1025" t="s">
        <v>205</v>
      </c>
      <c r="K1025" t="s">
        <v>224</v>
      </c>
      <c r="L1025" t="s">
        <v>325</v>
      </c>
      <c r="M1025" t="s">
        <v>344</v>
      </c>
      <c r="N1025" t="s">
        <v>544</v>
      </c>
      <c r="O1025" t="s">
        <v>339</v>
      </c>
      <c r="P1025" t="s">
        <v>1216</v>
      </c>
      <c r="Q1025" s="131">
        <v>2246</v>
      </c>
      <c r="R1025" s="131">
        <v>3.71</v>
      </c>
      <c r="S1025" s="131">
        <v>18633</v>
      </c>
      <c r="U1025" s="131">
        <v>1552.625</v>
      </c>
      <c r="V1025" s="132">
        <v>0</v>
      </c>
      <c r="W1025" s="132">
        <f t="shared" si="15"/>
        <v>4.6318965627202092E-2</v>
      </c>
      <c r="X1025" s="132">
        <v>5.5969705100276136E-3</v>
      </c>
    </row>
    <row r="1026" spans="1:24">
      <c r="A1026" t="s">
        <v>1213</v>
      </c>
      <c r="B1026" s="4">
        <v>9629</v>
      </c>
      <c r="C1026" t="s">
        <v>3227</v>
      </c>
      <c r="D1026" t="s">
        <v>3228</v>
      </c>
      <c r="E1026" t="s">
        <v>80</v>
      </c>
      <c r="F1026" t="s">
        <v>3548</v>
      </c>
      <c r="G1026" t="s">
        <v>3549</v>
      </c>
      <c r="H1026" t="s">
        <v>321</v>
      </c>
      <c r="I1026" t="s">
        <v>917</v>
      </c>
      <c r="J1026" t="s">
        <v>205</v>
      </c>
      <c r="K1026" t="s">
        <v>301</v>
      </c>
      <c r="L1026" t="s">
        <v>325</v>
      </c>
      <c r="M1026" t="s">
        <v>344</v>
      </c>
      <c r="N1026" t="s">
        <v>548</v>
      </c>
      <c r="O1026" t="s">
        <v>339</v>
      </c>
      <c r="P1026" t="s">
        <v>1216</v>
      </c>
      <c r="Q1026" s="131">
        <v>2331</v>
      </c>
      <c r="R1026" s="131">
        <v>3.71</v>
      </c>
      <c r="S1026" s="131">
        <v>17367</v>
      </c>
      <c r="T1026" s="131">
        <f>0.914+974.7999998/1000/R1026</f>
        <v>1.1767493260916442</v>
      </c>
      <c r="U1026" s="131">
        <f>1505.289+974.7999998/1000</f>
        <v>1506.2637999998001</v>
      </c>
      <c r="V1026" s="132">
        <v>0</v>
      </c>
      <c r="W1026" s="132">
        <f t="shared" si="15"/>
        <v>4.4935886758032069E-2</v>
      </c>
      <c r="X1026" s="132">
        <v>5.4298456284814509E-3</v>
      </c>
    </row>
    <row r="1027" spans="1:24">
      <c r="A1027" t="s">
        <v>1213</v>
      </c>
      <c r="B1027" s="4">
        <v>9629</v>
      </c>
      <c r="C1027" t="s">
        <v>3563</v>
      </c>
      <c r="D1027" t="s">
        <v>3564</v>
      </c>
      <c r="E1027" t="s">
        <v>80</v>
      </c>
      <c r="F1027" t="s">
        <v>3565</v>
      </c>
      <c r="G1027" t="s">
        <v>3566</v>
      </c>
      <c r="H1027" t="s">
        <v>321</v>
      </c>
      <c r="I1027" t="s">
        <v>917</v>
      </c>
      <c r="J1027" t="s">
        <v>205</v>
      </c>
      <c r="K1027" t="s">
        <v>224</v>
      </c>
      <c r="L1027" t="s">
        <v>325</v>
      </c>
      <c r="M1027" t="s">
        <v>344</v>
      </c>
      <c r="N1027" t="s">
        <v>546</v>
      </c>
      <c r="O1027" t="s">
        <v>339</v>
      </c>
      <c r="P1027" t="s">
        <v>1216</v>
      </c>
      <c r="Q1027" s="131">
        <v>1627</v>
      </c>
      <c r="R1027" s="131">
        <v>3.71</v>
      </c>
      <c r="S1027" s="131">
        <v>23300</v>
      </c>
      <c r="U1027" s="131">
        <v>1406.4280000000001</v>
      </c>
      <c r="V1027" s="132">
        <v>0</v>
      </c>
      <c r="W1027" s="132">
        <f t="shared" ref="W1027:W1090" si="16">U1027/SUMIF(B:B,B1027,U:U)</f>
        <v>4.1957517229939352E-2</v>
      </c>
      <c r="X1027" s="132">
        <v>5.0699531699393719E-3</v>
      </c>
    </row>
    <row r="1028" spans="1:24">
      <c r="A1028" t="s">
        <v>1213</v>
      </c>
      <c r="B1028" s="4">
        <v>9629</v>
      </c>
      <c r="C1028" t="s">
        <v>3544</v>
      </c>
      <c r="D1028" t="s">
        <v>3545</v>
      </c>
      <c r="E1028" t="s">
        <v>80</v>
      </c>
      <c r="F1028" t="s">
        <v>3546</v>
      </c>
      <c r="G1028" t="s">
        <v>3547</v>
      </c>
      <c r="H1028" t="s">
        <v>321</v>
      </c>
      <c r="I1028" t="s">
        <v>917</v>
      </c>
      <c r="J1028" t="s">
        <v>205</v>
      </c>
      <c r="K1028" t="s">
        <v>224</v>
      </c>
      <c r="L1028" t="s">
        <v>325</v>
      </c>
      <c r="M1028" t="s">
        <v>344</v>
      </c>
      <c r="N1028" t="s">
        <v>545</v>
      </c>
      <c r="O1028" t="s">
        <v>339</v>
      </c>
      <c r="P1028" t="s">
        <v>1216</v>
      </c>
      <c r="Q1028" s="131">
        <v>1866</v>
      </c>
      <c r="R1028" s="131">
        <v>3.71</v>
      </c>
      <c r="S1028" s="131">
        <v>16719</v>
      </c>
      <c r="U1028" s="131">
        <v>1157.433</v>
      </c>
      <c r="V1028" s="132">
        <v>0</v>
      </c>
      <c r="W1028" s="132">
        <f t="shared" si="16"/>
        <v>3.4529328938275108E-2</v>
      </c>
      <c r="X1028" s="132">
        <v>4.1723651031851166E-3</v>
      </c>
    </row>
    <row r="1029" spans="1:24">
      <c r="A1029" t="s">
        <v>1213</v>
      </c>
      <c r="B1029" s="4">
        <v>9629</v>
      </c>
      <c r="C1029" t="s">
        <v>3209</v>
      </c>
      <c r="D1029" t="s">
        <v>3210</v>
      </c>
      <c r="E1029" t="s">
        <v>80</v>
      </c>
      <c r="F1029" t="s">
        <v>3209</v>
      </c>
      <c r="G1029" t="s">
        <v>3562</v>
      </c>
      <c r="H1029" t="s">
        <v>321</v>
      </c>
      <c r="I1029" t="s">
        <v>917</v>
      </c>
      <c r="J1029" t="s">
        <v>205</v>
      </c>
      <c r="K1029" t="s">
        <v>224</v>
      </c>
      <c r="L1029" t="s">
        <v>325</v>
      </c>
      <c r="M1029" t="s">
        <v>340</v>
      </c>
      <c r="N1029" t="s">
        <v>545</v>
      </c>
      <c r="O1029" t="s">
        <v>339</v>
      </c>
      <c r="P1029" t="s">
        <v>1216</v>
      </c>
      <c r="Q1029" s="131">
        <v>427</v>
      </c>
      <c r="R1029" s="131">
        <v>3.71</v>
      </c>
      <c r="S1029" s="131">
        <v>57244</v>
      </c>
      <c r="U1029" s="131">
        <v>906.84199999999998</v>
      </c>
      <c r="V1029" s="132">
        <v>0</v>
      </c>
      <c r="W1029" s="132">
        <f t="shared" si="16"/>
        <v>2.7053527688465147E-2</v>
      </c>
      <c r="X1029" s="132">
        <v>3.2690237058236606E-3</v>
      </c>
    </row>
    <row r="1030" spans="1:24">
      <c r="A1030" t="s">
        <v>1213</v>
      </c>
      <c r="B1030" s="4">
        <v>9629</v>
      </c>
      <c r="C1030" t="s">
        <v>3797</v>
      </c>
      <c r="D1030" t="s">
        <v>3798</v>
      </c>
      <c r="E1030" t="s">
        <v>80</v>
      </c>
      <c r="F1030" t="s">
        <v>3799</v>
      </c>
      <c r="G1030" t="s">
        <v>3800</v>
      </c>
      <c r="H1030" t="s">
        <v>321</v>
      </c>
      <c r="I1030" t="s">
        <v>917</v>
      </c>
      <c r="J1030" t="s">
        <v>205</v>
      </c>
      <c r="K1030" t="s">
        <v>224</v>
      </c>
      <c r="L1030" t="s">
        <v>325</v>
      </c>
      <c r="M1030" t="s">
        <v>344</v>
      </c>
      <c r="N1030" t="s">
        <v>548</v>
      </c>
      <c r="O1030" t="s">
        <v>339</v>
      </c>
      <c r="P1030" t="s">
        <v>1216</v>
      </c>
      <c r="Q1030" s="131">
        <v>6425</v>
      </c>
      <c r="R1030" s="131">
        <v>3.71</v>
      </c>
      <c r="S1030" s="131">
        <v>2291</v>
      </c>
      <c r="U1030" s="131">
        <v>546.1</v>
      </c>
      <c r="V1030" s="132">
        <v>1.1E-4</v>
      </c>
      <c r="W1030" s="132">
        <f t="shared" si="16"/>
        <v>1.6291626844225141E-2</v>
      </c>
      <c r="X1030" s="132">
        <v>1.9686051657844491E-3</v>
      </c>
    </row>
    <row r="1031" spans="1:24">
      <c r="A1031" t="s">
        <v>1213</v>
      </c>
      <c r="B1031" s="4">
        <v>9629</v>
      </c>
      <c r="C1031" t="s">
        <v>3793</v>
      </c>
      <c r="D1031" t="s">
        <v>3794</v>
      </c>
      <c r="E1031" t="s">
        <v>309</v>
      </c>
      <c r="F1031" t="s">
        <v>3795</v>
      </c>
      <c r="G1031" t="s">
        <v>3796</v>
      </c>
      <c r="H1031" t="s">
        <v>321</v>
      </c>
      <c r="I1031" t="s">
        <v>917</v>
      </c>
      <c r="J1031" t="s">
        <v>205</v>
      </c>
      <c r="K1031" t="s">
        <v>204</v>
      </c>
      <c r="L1031" t="s">
        <v>325</v>
      </c>
      <c r="M1031" t="s">
        <v>346</v>
      </c>
      <c r="N1031" t="s">
        <v>544</v>
      </c>
      <c r="O1031" t="s">
        <v>339</v>
      </c>
      <c r="P1031" t="s">
        <v>1216</v>
      </c>
      <c r="Q1031" s="131">
        <v>16825.48</v>
      </c>
      <c r="R1031" s="131">
        <v>3.71</v>
      </c>
      <c r="S1031" s="131">
        <v>706</v>
      </c>
      <c r="U1031" s="131">
        <v>440.70299999999997</v>
      </c>
      <c r="V1031" s="132">
        <v>1.56E-3</v>
      </c>
      <c r="W1031" s="132">
        <f t="shared" si="16"/>
        <v>1.3147351813093851E-2</v>
      </c>
      <c r="X1031" s="132">
        <v>1.5886654502411718E-3</v>
      </c>
    </row>
    <row r="1032" spans="1:24">
      <c r="A1032" t="s">
        <v>1213</v>
      </c>
      <c r="B1032" s="4">
        <v>9629</v>
      </c>
      <c r="C1032" t="s">
        <v>3801</v>
      </c>
      <c r="D1032" t="s">
        <v>3802</v>
      </c>
      <c r="E1032" t="s">
        <v>80</v>
      </c>
      <c r="F1032" t="s">
        <v>3803</v>
      </c>
      <c r="G1032" t="s">
        <v>3804</v>
      </c>
      <c r="H1032" t="s">
        <v>321</v>
      </c>
      <c r="I1032" t="s">
        <v>917</v>
      </c>
      <c r="J1032" t="s">
        <v>205</v>
      </c>
      <c r="K1032" t="s">
        <v>224</v>
      </c>
      <c r="L1032" t="s">
        <v>325</v>
      </c>
      <c r="M1032" t="s">
        <v>344</v>
      </c>
      <c r="N1032" t="s">
        <v>548</v>
      </c>
      <c r="O1032" t="s">
        <v>339</v>
      </c>
      <c r="P1032" t="s">
        <v>1216</v>
      </c>
      <c r="Q1032" s="131">
        <v>927</v>
      </c>
      <c r="R1032" s="131">
        <v>3.71</v>
      </c>
      <c r="S1032" s="131">
        <v>12144</v>
      </c>
      <c r="T1032" s="131">
        <f>0.007+8.5217/1000/R1032</f>
        <v>9.2969541778975748E-3</v>
      </c>
      <c r="U1032" s="131">
        <f>417.679+8.5217/1000</f>
        <v>417.68752169999999</v>
      </c>
      <c r="V1032" s="132">
        <v>0</v>
      </c>
      <c r="W1032" s="132">
        <f t="shared" si="16"/>
        <v>1.2460738401438548E-2</v>
      </c>
      <c r="X1032" s="132">
        <v>1.5056982473948435E-3</v>
      </c>
    </row>
    <row r="1033" spans="1:24">
      <c r="A1033" t="s">
        <v>1213</v>
      </c>
      <c r="B1033" s="4">
        <v>9629</v>
      </c>
      <c r="C1033" t="s">
        <v>3805</v>
      </c>
      <c r="D1033" t="s">
        <v>3806</v>
      </c>
      <c r="E1033" t="s">
        <v>311</v>
      </c>
      <c r="F1033" t="s">
        <v>3807</v>
      </c>
      <c r="G1033" t="s">
        <v>3808</v>
      </c>
      <c r="H1033" t="s">
        <v>321</v>
      </c>
      <c r="I1033" t="s">
        <v>917</v>
      </c>
      <c r="J1033" t="s">
        <v>205</v>
      </c>
      <c r="K1033" t="s">
        <v>204</v>
      </c>
      <c r="L1033" t="s">
        <v>325</v>
      </c>
      <c r="M1033" t="s">
        <v>346</v>
      </c>
      <c r="N1033" t="s">
        <v>544</v>
      </c>
      <c r="O1033" t="s">
        <v>339</v>
      </c>
      <c r="P1033" t="s">
        <v>1216</v>
      </c>
      <c r="Q1033" s="131">
        <v>285</v>
      </c>
      <c r="R1033" s="131">
        <v>3.71</v>
      </c>
      <c r="S1033" s="131">
        <v>16717</v>
      </c>
      <c r="U1033" s="131">
        <v>176.75700000000001</v>
      </c>
      <c r="V1033" s="132">
        <v>1.0000000000000001E-5</v>
      </c>
      <c r="W1033" s="132">
        <f t="shared" si="16"/>
        <v>5.2731351146396328E-3</v>
      </c>
      <c r="X1033" s="132">
        <v>6.371813647474123E-4</v>
      </c>
    </row>
    <row r="1034" spans="1:24">
      <c r="A1034" t="s">
        <v>1213</v>
      </c>
      <c r="B1034" s="4">
        <v>9629</v>
      </c>
      <c r="C1034" t="s">
        <v>3809</v>
      </c>
      <c r="D1034" t="s">
        <v>3810</v>
      </c>
      <c r="E1034" t="s">
        <v>309</v>
      </c>
      <c r="F1034" t="s">
        <v>3811</v>
      </c>
      <c r="G1034" t="s">
        <v>3812</v>
      </c>
      <c r="H1034" t="s">
        <v>321</v>
      </c>
      <c r="I1034" t="s">
        <v>917</v>
      </c>
      <c r="J1034" t="s">
        <v>205</v>
      </c>
      <c r="K1034" t="s">
        <v>204</v>
      </c>
      <c r="L1034" t="s">
        <v>325</v>
      </c>
      <c r="M1034" t="s">
        <v>346</v>
      </c>
      <c r="N1034" t="s">
        <v>546</v>
      </c>
      <c r="O1034" t="s">
        <v>339</v>
      </c>
      <c r="P1034" t="s">
        <v>1216</v>
      </c>
      <c r="Q1034" s="131">
        <v>13964</v>
      </c>
      <c r="R1034" s="131">
        <v>3.71</v>
      </c>
      <c r="S1034" s="131">
        <v>191</v>
      </c>
      <c r="U1034" s="131">
        <v>98.95</v>
      </c>
      <c r="V1034" s="132">
        <v>1.8000000000000001E-4</v>
      </c>
      <c r="W1034" s="132">
        <f t="shared" si="16"/>
        <v>2.951943739674195E-3</v>
      </c>
      <c r="X1034" s="132">
        <v>3.566992879589292E-4</v>
      </c>
    </row>
    <row r="1035" spans="1:24">
      <c r="A1035" t="s">
        <v>1213</v>
      </c>
      <c r="B1035" s="4">
        <v>9629</v>
      </c>
      <c r="C1035" t="s">
        <v>3813</v>
      </c>
      <c r="D1035" t="s">
        <v>3814</v>
      </c>
      <c r="E1035" t="s">
        <v>311</v>
      </c>
      <c r="F1035" t="s">
        <v>3815</v>
      </c>
      <c r="G1035" t="s">
        <v>3816</v>
      </c>
      <c r="H1035" t="s">
        <v>321</v>
      </c>
      <c r="I1035" t="s">
        <v>917</v>
      </c>
      <c r="J1035" t="s">
        <v>205</v>
      </c>
      <c r="K1035" t="s">
        <v>224</v>
      </c>
      <c r="L1035" t="s">
        <v>325</v>
      </c>
      <c r="M1035" t="s">
        <v>346</v>
      </c>
      <c r="N1035" t="s">
        <v>486</v>
      </c>
      <c r="O1035" t="s">
        <v>339</v>
      </c>
      <c r="P1035" t="s">
        <v>1216</v>
      </c>
      <c r="Q1035" s="131">
        <v>1574</v>
      </c>
      <c r="R1035" s="131">
        <v>3.71</v>
      </c>
      <c r="S1035" s="131">
        <v>702</v>
      </c>
      <c r="U1035" s="131">
        <v>40.994</v>
      </c>
      <c r="V1035" s="132">
        <v>1.0000000000000001E-5</v>
      </c>
      <c r="W1035" s="132">
        <f t="shared" si="16"/>
        <v>1.2229609061566846E-3</v>
      </c>
      <c r="X1035" s="132">
        <v>1.4777696423030158E-4</v>
      </c>
    </row>
    <row r="1036" spans="1:24">
      <c r="A1036" t="s">
        <v>1213</v>
      </c>
      <c r="B1036" s="4">
        <v>9629</v>
      </c>
      <c r="C1036" t="s">
        <v>3825</v>
      </c>
      <c r="D1036" t="s">
        <v>3826</v>
      </c>
      <c r="E1036" t="s">
        <v>80</v>
      </c>
      <c r="F1036" t="s">
        <v>3827</v>
      </c>
      <c r="G1036" t="s">
        <v>3828</v>
      </c>
      <c r="H1036" t="s">
        <v>321</v>
      </c>
      <c r="I1036" t="s">
        <v>917</v>
      </c>
      <c r="J1036" t="s">
        <v>205</v>
      </c>
      <c r="K1036" t="s">
        <v>272</v>
      </c>
      <c r="L1036" t="s">
        <v>325</v>
      </c>
      <c r="M1036" t="s">
        <v>314</v>
      </c>
      <c r="N1036" t="s">
        <v>568</v>
      </c>
      <c r="O1036" t="s">
        <v>339</v>
      </c>
      <c r="P1036" t="s">
        <v>1218</v>
      </c>
      <c r="Q1036" s="131">
        <v>2564</v>
      </c>
      <c r="R1036" s="131">
        <v>4.1524000000000001</v>
      </c>
      <c r="S1036" s="131">
        <v>102</v>
      </c>
      <c r="U1036" s="131">
        <v>10.86</v>
      </c>
      <c r="V1036" s="132">
        <v>4.0000000000000003E-5</v>
      </c>
      <c r="W1036" s="132">
        <f t="shared" si="16"/>
        <v>3.2398291069087167E-4</v>
      </c>
      <c r="X1036" s="132">
        <v>3.9148603003880449E-5</v>
      </c>
    </row>
    <row r="1037" spans="1:24">
      <c r="A1037" t="s">
        <v>1213</v>
      </c>
      <c r="B1037" s="4">
        <v>9629</v>
      </c>
      <c r="C1037" t="s">
        <v>3817</v>
      </c>
      <c r="D1037" t="s">
        <v>3818</v>
      </c>
      <c r="E1037" t="s">
        <v>80</v>
      </c>
      <c r="F1037" t="s">
        <v>3819</v>
      </c>
      <c r="G1037" t="s">
        <v>3820</v>
      </c>
      <c r="H1037" t="s">
        <v>321</v>
      </c>
      <c r="I1037" t="s">
        <v>917</v>
      </c>
      <c r="J1037" t="s">
        <v>205</v>
      </c>
      <c r="K1037" t="s">
        <v>224</v>
      </c>
      <c r="L1037" t="s">
        <v>325</v>
      </c>
      <c r="M1037" t="s">
        <v>344</v>
      </c>
      <c r="N1037" t="s">
        <v>569</v>
      </c>
      <c r="O1037" t="s">
        <v>339</v>
      </c>
      <c r="P1037" t="s">
        <v>1216</v>
      </c>
      <c r="Q1037" s="131">
        <v>0</v>
      </c>
      <c r="R1037" s="131">
        <v>3.71</v>
      </c>
      <c r="S1037" s="131">
        <v>0</v>
      </c>
      <c r="T1037" s="131">
        <v>0.99299999999999999</v>
      </c>
      <c r="U1037" s="131">
        <v>3.6829999999999998</v>
      </c>
      <c r="V1037" t="s">
        <v>1871</v>
      </c>
      <c r="W1037" s="132">
        <f t="shared" si="16"/>
        <v>1.0987376243779746E-4</v>
      </c>
      <c r="X1037" s="132">
        <v>1.327663949017419E-5</v>
      </c>
    </row>
    <row r="1038" spans="1:24">
      <c r="A1038" t="s">
        <v>1213</v>
      </c>
      <c r="B1038" s="4">
        <v>9629</v>
      </c>
      <c r="C1038" t="s">
        <v>3825</v>
      </c>
      <c r="D1038" t="s">
        <v>3826</v>
      </c>
      <c r="E1038" t="s">
        <v>80</v>
      </c>
      <c r="F1038" t="s">
        <v>3829</v>
      </c>
      <c r="G1038" t="s">
        <v>3830</v>
      </c>
      <c r="H1038" t="s">
        <v>321</v>
      </c>
      <c r="I1038" t="s">
        <v>917</v>
      </c>
      <c r="J1038" t="s">
        <v>205</v>
      </c>
      <c r="K1038" t="s">
        <v>272</v>
      </c>
      <c r="L1038" s="134"/>
      <c r="M1038" t="s">
        <v>314</v>
      </c>
      <c r="N1038" t="s">
        <v>568</v>
      </c>
      <c r="O1038" t="s">
        <v>339</v>
      </c>
      <c r="P1038" t="s">
        <v>1218</v>
      </c>
      <c r="Q1038" s="131">
        <v>2564</v>
      </c>
      <c r="R1038" s="131">
        <v>4.1524000000000001</v>
      </c>
      <c r="S1038" s="131">
        <v>0</v>
      </c>
      <c r="U1038" s="131">
        <v>0</v>
      </c>
      <c r="W1038" s="132">
        <f t="shared" si="16"/>
        <v>0</v>
      </c>
      <c r="X1038" s="132">
        <v>0</v>
      </c>
    </row>
    <row r="1039" spans="1:24">
      <c r="A1039" t="s">
        <v>1213</v>
      </c>
      <c r="B1039" s="4">
        <v>9630</v>
      </c>
      <c r="C1039" t="s">
        <v>1573</v>
      </c>
      <c r="D1039" t="s">
        <v>1574</v>
      </c>
      <c r="E1039" t="s">
        <v>309</v>
      </c>
      <c r="F1039" t="s">
        <v>1573</v>
      </c>
      <c r="G1039" t="s">
        <v>3404</v>
      </c>
      <c r="H1039" t="s">
        <v>321</v>
      </c>
      <c r="I1039" t="s">
        <v>917</v>
      </c>
      <c r="J1039" t="s">
        <v>204</v>
      </c>
      <c r="K1039" t="s">
        <v>204</v>
      </c>
      <c r="L1039" t="s">
        <v>325</v>
      </c>
      <c r="M1039" t="s">
        <v>340</v>
      </c>
      <c r="N1039" t="s">
        <v>448</v>
      </c>
      <c r="O1039" t="s">
        <v>339</v>
      </c>
      <c r="P1039" t="s">
        <v>1212</v>
      </c>
      <c r="Q1039" s="131">
        <v>28428</v>
      </c>
      <c r="R1039" s="131">
        <v>1</v>
      </c>
      <c r="S1039" s="131">
        <v>3644</v>
      </c>
      <c r="U1039" s="131">
        <v>1035.9159999999999</v>
      </c>
      <c r="V1039" s="132">
        <v>2.0000000000000002E-5</v>
      </c>
      <c r="W1039" s="132">
        <f t="shared" si="16"/>
        <v>6.6224149630126225E-2</v>
      </c>
      <c r="X1039" s="132">
        <v>5.9077628036995674E-3</v>
      </c>
    </row>
    <row r="1040" spans="1:24">
      <c r="A1040" t="s">
        <v>1213</v>
      </c>
      <c r="B1040" s="4">
        <v>9630</v>
      </c>
      <c r="C1040" t="s">
        <v>1600</v>
      </c>
      <c r="D1040" t="s">
        <v>1601</v>
      </c>
      <c r="E1040" t="s">
        <v>309</v>
      </c>
      <c r="F1040" t="s">
        <v>1600</v>
      </c>
      <c r="G1040" t="s">
        <v>3406</v>
      </c>
      <c r="H1040" t="s">
        <v>321</v>
      </c>
      <c r="I1040" t="s">
        <v>917</v>
      </c>
      <c r="J1040" t="s">
        <v>204</v>
      </c>
      <c r="K1040" t="s">
        <v>204</v>
      </c>
      <c r="L1040" t="s">
        <v>325</v>
      </c>
      <c r="M1040" t="s">
        <v>340</v>
      </c>
      <c r="N1040" t="s">
        <v>448</v>
      </c>
      <c r="O1040" t="s">
        <v>339</v>
      </c>
      <c r="P1040" t="s">
        <v>1212</v>
      </c>
      <c r="Q1040" s="131">
        <v>27405</v>
      </c>
      <c r="R1040" s="131">
        <v>1</v>
      </c>
      <c r="S1040" s="131">
        <v>3729</v>
      </c>
      <c r="U1040" s="131">
        <v>1021.932</v>
      </c>
      <c r="V1040" s="132">
        <v>2.0000000000000002E-5</v>
      </c>
      <c r="W1040" s="132">
        <f t="shared" si="16"/>
        <v>6.5330178971860803E-2</v>
      </c>
      <c r="X1040" s="132">
        <v>5.8280129445923284E-3</v>
      </c>
    </row>
    <row r="1041" spans="1:24">
      <c r="A1041" t="s">
        <v>1213</v>
      </c>
      <c r="B1041" s="4">
        <v>9630</v>
      </c>
      <c r="C1041" t="s">
        <v>3683</v>
      </c>
      <c r="D1041" t="s">
        <v>3684</v>
      </c>
      <c r="E1041" t="s">
        <v>309</v>
      </c>
      <c r="F1041" t="s">
        <v>3683</v>
      </c>
      <c r="G1041" t="s">
        <v>3685</v>
      </c>
      <c r="H1041" t="s">
        <v>321</v>
      </c>
      <c r="I1041" t="s">
        <v>917</v>
      </c>
      <c r="J1041" t="s">
        <v>204</v>
      </c>
      <c r="K1041" t="s">
        <v>204</v>
      </c>
      <c r="L1041" t="s">
        <v>325</v>
      </c>
      <c r="M1041" t="s">
        <v>340</v>
      </c>
      <c r="N1041" t="s">
        <v>451</v>
      </c>
      <c r="O1041" t="s">
        <v>339</v>
      </c>
      <c r="P1041" t="s">
        <v>1212</v>
      </c>
      <c r="Q1041" s="131">
        <v>104839</v>
      </c>
      <c r="R1041" s="131">
        <v>1</v>
      </c>
      <c r="S1041" s="131">
        <v>512</v>
      </c>
      <c r="U1041" s="131">
        <v>536.77599999999995</v>
      </c>
      <c r="V1041" s="132">
        <v>5.5999999999999995E-4</v>
      </c>
      <c r="W1041" s="132">
        <f t="shared" si="16"/>
        <v>3.4315073946015538E-2</v>
      </c>
      <c r="X1041" s="132">
        <v>3.0611992543011584E-3</v>
      </c>
    </row>
    <row r="1042" spans="1:24">
      <c r="A1042" t="s">
        <v>1213</v>
      </c>
      <c r="B1042" s="4">
        <v>9630</v>
      </c>
      <c r="C1042" t="s">
        <v>2089</v>
      </c>
      <c r="D1042" t="s">
        <v>2090</v>
      </c>
      <c r="E1042" t="s">
        <v>309</v>
      </c>
      <c r="F1042" t="s">
        <v>2089</v>
      </c>
      <c r="G1042" t="s">
        <v>3405</v>
      </c>
      <c r="H1042" t="s">
        <v>321</v>
      </c>
      <c r="I1042" t="s">
        <v>917</v>
      </c>
      <c r="J1042" t="s">
        <v>204</v>
      </c>
      <c r="K1042" t="s">
        <v>204</v>
      </c>
      <c r="L1042" t="s">
        <v>325</v>
      </c>
      <c r="M1042" t="s">
        <v>340</v>
      </c>
      <c r="N1042" t="s">
        <v>467</v>
      </c>
      <c r="O1042" t="s">
        <v>339</v>
      </c>
      <c r="P1042" t="s">
        <v>1212</v>
      </c>
      <c r="Q1042" s="131">
        <v>7647</v>
      </c>
      <c r="R1042" s="131">
        <v>1</v>
      </c>
      <c r="S1042" s="131">
        <v>6629</v>
      </c>
      <c r="U1042" s="131">
        <v>506.92</v>
      </c>
      <c r="V1042" s="132">
        <v>1.0000000000000001E-5</v>
      </c>
      <c r="W1042" s="132">
        <f t="shared" si="16"/>
        <v>3.2406436362121628E-2</v>
      </c>
      <c r="X1042" s="132">
        <v>2.8909323926374192E-3</v>
      </c>
    </row>
    <row r="1043" spans="1:24">
      <c r="A1043" t="s">
        <v>1213</v>
      </c>
      <c r="B1043" s="4">
        <v>9630</v>
      </c>
      <c r="C1043" t="s">
        <v>2361</v>
      </c>
      <c r="D1043" t="s">
        <v>2362</v>
      </c>
      <c r="E1043" t="s">
        <v>309</v>
      </c>
      <c r="F1043" t="s">
        <v>2361</v>
      </c>
      <c r="G1043" t="s">
        <v>3440</v>
      </c>
      <c r="H1043" t="s">
        <v>321</v>
      </c>
      <c r="I1043" t="s">
        <v>917</v>
      </c>
      <c r="J1043" t="s">
        <v>204</v>
      </c>
      <c r="K1043" t="s">
        <v>204</v>
      </c>
      <c r="L1043" t="s">
        <v>325</v>
      </c>
      <c r="M1043" t="s">
        <v>340</v>
      </c>
      <c r="N1043" t="s">
        <v>446</v>
      </c>
      <c r="O1043" t="s">
        <v>339</v>
      </c>
      <c r="P1043" t="s">
        <v>1212</v>
      </c>
      <c r="Q1043" s="131">
        <v>651</v>
      </c>
      <c r="R1043" s="131">
        <v>1</v>
      </c>
      <c r="S1043" s="131">
        <v>74080</v>
      </c>
      <c r="U1043" s="131">
        <v>482.26100000000002</v>
      </c>
      <c r="V1043" s="132">
        <v>1.0000000000000001E-5</v>
      </c>
      <c r="W1043" s="132">
        <f t="shared" si="16"/>
        <v>3.0830033154014714E-2</v>
      </c>
      <c r="X1043" s="132">
        <v>2.7503036901398927E-3</v>
      </c>
    </row>
    <row r="1044" spans="1:24">
      <c r="A1044" t="s">
        <v>1213</v>
      </c>
      <c r="B1044" s="4">
        <v>9630</v>
      </c>
      <c r="C1044" t="s">
        <v>3113</v>
      </c>
      <c r="D1044" t="s">
        <v>3114</v>
      </c>
      <c r="E1044" t="s">
        <v>309</v>
      </c>
      <c r="F1044" t="s">
        <v>3113</v>
      </c>
      <c r="G1044" t="s">
        <v>3413</v>
      </c>
      <c r="H1044" t="s">
        <v>321</v>
      </c>
      <c r="I1044" t="s">
        <v>917</v>
      </c>
      <c r="J1044" t="s">
        <v>204</v>
      </c>
      <c r="K1044" t="s">
        <v>204</v>
      </c>
      <c r="L1044" t="s">
        <v>325</v>
      </c>
      <c r="M1044" t="s">
        <v>340</v>
      </c>
      <c r="N1044" t="s">
        <v>448</v>
      </c>
      <c r="O1044" t="s">
        <v>339</v>
      </c>
      <c r="P1044" t="s">
        <v>1212</v>
      </c>
      <c r="Q1044" s="131">
        <v>22607</v>
      </c>
      <c r="R1044" s="131">
        <v>1</v>
      </c>
      <c r="S1044" s="131">
        <v>2085</v>
      </c>
      <c r="U1044" s="131">
        <v>471.35599999999999</v>
      </c>
      <c r="V1044" s="132">
        <v>2.0000000000000002E-5</v>
      </c>
      <c r="W1044" s="132">
        <f t="shared" si="16"/>
        <v>3.0132897139399119E-2</v>
      </c>
      <c r="X1044" s="132">
        <v>2.6881131714353414E-3</v>
      </c>
    </row>
    <row r="1045" spans="1:24">
      <c r="A1045" t="s">
        <v>1213</v>
      </c>
      <c r="B1045" s="4">
        <v>9630</v>
      </c>
      <c r="C1045" t="s">
        <v>2436</v>
      </c>
      <c r="D1045" t="s">
        <v>2437</v>
      </c>
      <c r="E1045" t="s">
        <v>309</v>
      </c>
      <c r="F1045" t="s">
        <v>2436</v>
      </c>
      <c r="G1045" t="s">
        <v>3426</v>
      </c>
      <c r="H1045" t="s">
        <v>321</v>
      </c>
      <c r="I1045" t="s">
        <v>917</v>
      </c>
      <c r="J1045" t="s">
        <v>204</v>
      </c>
      <c r="K1045" t="s">
        <v>204</v>
      </c>
      <c r="L1045" t="s">
        <v>325</v>
      </c>
      <c r="M1045" t="s">
        <v>340</v>
      </c>
      <c r="N1045" t="s">
        <v>475</v>
      </c>
      <c r="O1045" t="s">
        <v>339</v>
      </c>
      <c r="P1045" t="s">
        <v>1212</v>
      </c>
      <c r="Q1045" s="131">
        <v>13449</v>
      </c>
      <c r="R1045" s="131">
        <v>1</v>
      </c>
      <c r="S1045" s="131">
        <v>3310</v>
      </c>
      <c r="U1045" s="131">
        <v>445.16199999999998</v>
      </c>
      <c r="V1045" s="132">
        <v>5.0000000000000002E-5</v>
      </c>
      <c r="W1045" s="132">
        <f t="shared" si="16"/>
        <v>2.8458364285951998E-2</v>
      </c>
      <c r="X1045" s="132">
        <v>2.5387304619491412E-3</v>
      </c>
    </row>
    <row r="1046" spans="1:24">
      <c r="A1046" t="s">
        <v>1213</v>
      </c>
      <c r="B1046" s="4">
        <v>9630</v>
      </c>
      <c r="C1046" t="s">
        <v>2228</v>
      </c>
      <c r="D1046" t="s">
        <v>2229</v>
      </c>
      <c r="E1046" t="s">
        <v>309</v>
      </c>
      <c r="F1046" t="s">
        <v>2228</v>
      </c>
      <c r="G1046" t="s">
        <v>3439</v>
      </c>
      <c r="H1046" t="s">
        <v>321</v>
      </c>
      <c r="I1046" t="s">
        <v>917</v>
      </c>
      <c r="J1046" t="s">
        <v>204</v>
      </c>
      <c r="K1046" t="s">
        <v>204</v>
      </c>
      <c r="L1046" t="s">
        <v>325</v>
      </c>
      <c r="M1046" t="s">
        <v>340</v>
      </c>
      <c r="N1046" t="s">
        <v>441</v>
      </c>
      <c r="O1046" t="s">
        <v>339</v>
      </c>
      <c r="P1046" t="s">
        <v>1212</v>
      </c>
      <c r="Q1046" s="131">
        <v>6079</v>
      </c>
      <c r="R1046" s="131">
        <v>1</v>
      </c>
      <c r="S1046" s="131">
        <v>6254</v>
      </c>
      <c r="U1046" s="131">
        <v>380.18099999999998</v>
      </c>
      <c r="V1046" s="132">
        <v>5.0000000000000002E-5</v>
      </c>
      <c r="W1046" s="132">
        <f t="shared" si="16"/>
        <v>2.4304251918621796E-2</v>
      </c>
      <c r="X1046" s="132">
        <v>2.1681479680527235E-3</v>
      </c>
    </row>
    <row r="1047" spans="1:24">
      <c r="A1047" t="s">
        <v>1213</v>
      </c>
      <c r="B1047" s="4">
        <v>9630</v>
      </c>
      <c r="C1047" t="s">
        <v>3410</v>
      </c>
      <c r="D1047" t="s">
        <v>3411</v>
      </c>
      <c r="E1047" t="s">
        <v>309</v>
      </c>
      <c r="F1047" t="s">
        <v>3410</v>
      </c>
      <c r="G1047" t="s">
        <v>3412</v>
      </c>
      <c r="H1047" t="s">
        <v>321</v>
      </c>
      <c r="I1047" t="s">
        <v>917</v>
      </c>
      <c r="J1047" t="s">
        <v>204</v>
      </c>
      <c r="K1047" t="s">
        <v>204</v>
      </c>
      <c r="L1047" t="s">
        <v>325</v>
      </c>
      <c r="M1047" t="s">
        <v>340</v>
      </c>
      <c r="N1047" t="s">
        <v>480</v>
      </c>
      <c r="O1047" t="s">
        <v>339</v>
      </c>
      <c r="P1047" t="s">
        <v>1212</v>
      </c>
      <c r="Q1047" s="131">
        <v>571</v>
      </c>
      <c r="R1047" s="131">
        <v>1</v>
      </c>
      <c r="S1047" s="131">
        <v>64880</v>
      </c>
      <c r="U1047" s="131">
        <v>370.46499999999997</v>
      </c>
      <c r="V1047" s="132">
        <v>1.0000000000000001E-5</v>
      </c>
      <c r="W1047" s="132">
        <f t="shared" si="16"/>
        <v>2.3683126424077543E-2</v>
      </c>
      <c r="X1047" s="132">
        <v>2.1127382404293013E-3</v>
      </c>
    </row>
    <row r="1048" spans="1:24">
      <c r="A1048" t="s">
        <v>1213</v>
      </c>
      <c r="B1048" s="4">
        <v>9630</v>
      </c>
      <c r="C1048" t="s">
        <v>1893</v>
      </c>
      <c r="D1048" t="s">
        <v>1894</v>
      </c>
      <c r="E1048" t="s">
        <v>309</v>
      </c>
      <c r="F1048" t="s">
        <v>1893</v>
      </c>
      <c r="G1048" t="s">
        <v>3599</v>
      </c>
      <c r="H1048" t="s">
        <v>321</v>
      </c>
      <c r="I1048" t="s">
        <v>917</v>
      </c>
      <c r="J1048" t="s">
        <v>204</v>
      </c>
      <c r="K1048" t="s">
        <v>204</v>
      </c>
      <c r="L1048" t="s">
        <v>325</v>
      </c>
      <c r="M1048" t="s">
        <v>340</v>
      </c>
      <c r="N1048" t="s">
        <v>464</v>
      </c>
      <c r="O1048" t="s">
        <v>339</v>
      </c>
      <c r="P1048" t="s">
        <v>1212</v>
      </c>
      <c r="Q1048" s="131">
        <v>3135</v>
      </c>
      <c r="R1048" s="131">
        <v>1</v>
      </c>
      <c r="S1048" s="131">
        <v>9550</v>
      </c>
      <c r="U1048" s="131">
        <v>299.39299999999997</v>
      </c>
      <c r="V1048" s="132">
        <v>9.0000000000000006E-5</v>
      </c>
      <c r="W1048" s="132">
        <f t="shared" si="16"/>
        <v>1.9139627952664481E-2</v>
      </c>
      <c r="X1048" s="132">
        <v>1.7074191624494885E-3</v>
      </c>
    </row>
    <row r="1049" spans="1:24">
      <c r="A1049" t="s">
        <v>1213</v>
      </c>
      <c r="B1049" s="4">
        <v>9630</v>
      </c>
      <c r="C1049" t="s">
        <v>3415</v>
      </c>
      <c r="D1049" t="s">
        <v>3416</v>
      </c>
      <c r="E1049" t="s">
        <v>309</v>
      </c>
      <c r="F1049" t="s">
        <v>3415</v>
      </c>
      <c r="G1049" t="s">
        <v>3417</v>
      </c>
      <c r="H1049" t="s">
        <v>321</v>
      </c>
      <c r="I1049" t="s">
        <v>917</v>
      </c>
      <c r="J1049" t="s">
        <v>204</v>
      </c>
      <c r="K1049" t="s">
        <v>204</v>
      </c>
      <c r="L1049" t="s">
        <v>325</v>
      </c>
      <c r="M1049" t="s">
        <v>340</v>
      </c>
      <c r="N1049" t="s">
        <v>458</v>
      </c>
      <c r="O1049" t="s">
        <v>339</v>
      </c>
      <c r="P1049" t="s">
        <v>1212</v>
      </c>
      <c r="Q1049" s="131">
        <v>384</v>
      </c>
      <c r="R1049" s="131">
        <v>1</v>
      </c>
      <c r="S1049" s="131">
        <v>77890</v>
      </c>
      <c r="U1049" s="131">
        <v>299.09800000000001</v>
      </c>
      <c r="V1049" s="132">
        <v>1.0000000000000001E-5</v>
      </c>
      <c r="W1049" s="132">
        <f t="shared" si="16"/>
        <v>1.9120769160889006E-2</v>
      </c>
      <c r="X1049" s="132">
        <v>1.7057367962855419E-3</v>
      </c>
    </row>
    <row r="1050" spans="1:24">
      <c r="A1050" t="s">
        <v>1213</v>
      </c>
      <c r="B1050" s="4">
        <v>9630</v>
      </c>
      <c r="C1050" t="s">
        <v>1807</v>
      </c>
      <c r="D1050" t="s">
        <v>1808</v>
      </c>
      <c r="E1050" t="s">
        <v>309</v>
      </c>
      <c r="F1050" t="s">
        <v>1807</v>
      </c>
      <c r="G1050" t="s">
        <v>3409</v>
      </c>
      <c r="H1050" t="s">
        <v>321</v>
      </c>
      <c r="I1050" t="s">
        <v>917</v>
      </c>
      <c r="J1050" t="s">
        <v>204</v>
      </c>
      <c r="K1050" t="s">
        <v>204</v>
      </c>
      <c r="L1050" t="s">
        <v>325</v>
      </c>
      <c r="M1050" t="s">
        <v>340</v>
      </c>
      <c r="N1050" t="s">
        <v>464</v>
      </c>
      <c r="O1050" t="s">
        <v>339</v>
      </c>
      <c r="P1050" t="s">
        <v>1212</v>
      </c>
      <c r="Q1050" s="131">
        <v>1106</v>
      </c>
      <c r="R1050" s="131">
        <v>1</v>
      </c>
      <c r="S1050" s="131">
        <v>25940</v>
      </c>
      <c r="U1050" s="131">
        <v>286.89600000000002</v>
      </c>
      <c r="V1050" s="132">
        <v>1.0000000000000001E-5</v>
      </c>
      <c r="W1050" s="132">
        <f t="shared" si="16"/>
        <v>1.8340718390569017E-2</v>
      </c>
      <c r="X1050" s="132">
        <v>1.6361495693957727E-3</v>
      </c>
    </row>
    <row r="1051" spans="1:24">
      <c r="A1051" t="s">
        <v>1213</v>
      </c>
      <c r="B1051" s="4">
        <v>9630</v>
      </c>
      <c r="C1051" t="s">
        <v>2866</v>
      </c>
      <c r="D1051" t="s">
        <v>2867</v>
      </c>
      <c r="E1051" t="s">
        <v>309</v>
      </c>
      <c r="F1051" t="s">
        <v>2866</v>
      </c>
      <c r="G1051" t="s">
        <v>3663</v>
      </c>
      <c r="H1051" t="s">
        <v>321</v>
      </c>
      <c r="I1051" t="s">
        <v>917</v>
      </c>
      <c r="J1051" t="s">
        <v>204</v>
      </c>
      <c r="K1051" t="s">
        <v>204</v>
      </c>
      <c r="L1051" t="s">
        <v>325</v>
      </c>
      <c r="M1051" t="s">
        <v>340</v>
      </c>
      <c r="N1051" t="s">
        <v>464</v>
      </c>
      <c r="O1051" t="s">
        <v>339</v>
      </c>
      <c r="P1051" t="s">
        <v>1212</v>
      </c>
      <c r="Q1051" s="131">
        <v>70125.600000000006</v>
      </c>
      <c r="R1051" s="131">
        <v>1</v>
      </c>
      <c r="S1051" s="131">
        <v>399.6</v>
      </c>
      <c r="U1051" s="131">
        <v>280.22199999999998</v>
      </c>
      <c r="V1051" s="132">
        <v>4.8000000000000001E-4</v>
      </c>
      <c r="W1051" s="132">
        <f t="shared" si="16"/>
        <v>1.7914062199689194E-2</v>
      </c>
      <c r="X1051" s="132">
        <v>1.5980881735375263E-3</v>
      </c>
    </row>
    <row r="1052" spans="1:24">
      <c r="A1052" t="s">
        <v>1213</v>
      </c>
      <c r="B1052" s="4">
        <v>9630</v>
      </c>
      <c r="C1052" t="s">
        <v>1861</v>
      </c>
      <c r="D1052" t="s">
        <v>1862</v>
      </c>
      <c r="E1052" t="s">
        <v>309</v>
      </c>
      <c r="F1052" t="s">
        <v>1861</v>
      </c>
      <c r="G1052" t="s">
        <v>3460</v>
      </c>
      <c r="H1052" t="s">
        <v>321</v>
      </c>
      <c r="I1052" t="s">
        <v>917</v>
      </c>
      <c r="J1052" t="s">
        <v>204</v>
      </c>
      <c r="K1052" t="s">
        <v>204</v>
      </c>
      <c r="L1052" t="s">
        <v>325</v>
      </c>
      <c r="M1052" t="s">
        <v>340</v>
      </c>
      <c r="N1052" t="s">
        <v>464</v>
      </c>
      <c r="O1052" t="s">
        <v>339</v>
      </c>
      <c r="P1052" t="s">
        <v>1212</v>
      </c>
      <c r="Q1052" s="131">
        <v>957</v>
      </c>
      <c r="R1052" s="131">
        <v>1</v>
      </c>
      <c r="S1052" s="131">
        <v>28210</v>
      </c>
      <c r="U1052" s="131">
        <v>269.97000000000003</v>
      </c>
      <c r="V1052" s="132">
        <v>2.0000000000000002E-5</v>
      </c>
      <c r="W1052" s="132">
        <f t="shared" si="16"/>
        <v>1.7258671239410512E-2</v>
      </c>
      <c r="X1052" s="132">
        <v>1.5396216721382549E-3</v>
      </c>
    </row>
    <row r="1053" spans="1:24">
      <c r="A1053" t="s">
        <v>1213</v>
      </c>
      <c r="B1053" s="4">
        <v>9630</v>
      </c>
      <c r="C1053" t="s">
        <v>1986</v>
      </c>
      <c r="D1053" t="s">
        <v>1987</v>
      </c>
      <c r="E1053" t="s">
        <v>309</v>
      </c>
      <c r="F1053" t="s">
        <v>1986</v>
      </c>
      <c r="G1053" t="s">
        <v>3445</v>
      </c>
      <c r="H1053" t="s">
        <v>321</v>
      </c>
      <c r="I1053" t="s">
        <v>917</v>
      </c>
      <c r="J1053" t="s">
        <v>204</v>
      </c>
      <c r="K1053" t="s">
        <v>204</v>
      </c>
      <c r="L1053" t="s">
        <v>325</v>
      </c>
      <c r="M1053" t="s">
        <v>340</v>
      </c>
      <c r="N1053" t="s">
        <v>484</v>
      </c>
      <c r="O1053" t="s">
        <v>339</v>
      </c>
      <c r="P1053" t="s">
        <v>1212</v>
      </c>
      <c r="Q1053" s="131">
        <v>57319</v>
      </c>
      <c r="R1053" s="131">
        <v>1</v>
      </c>
      <c r="S1053" s="131">
        <v>428.6</v>
      </c>
      <c r="T1053" s="131">
        <v>8.4280000000000008</v>
      </c>
      <c r="U1053" s="131">
        <v>254.09700000000001</v>
      </c>
      <c r="V1053" s="132">
        <v>2.0000000000000002E-5</v>
      </c>
      <c r="W1053" s="132">
        <f t="shared" si="16"/>
        <v>1.6243940385674307E-2</v>
      </c>
      <c r="X1053" s="132">
        <v>1.4490989666456054E-3</v>
      </c>
    </row>
    <row r="1054" spans="1:24">
      <c r="A1054" t="s">
        <v>1213</v>
      </c>
      <c r="B1054" s="4">
        <v>9630</v>
      </c>
      <c r="C1054" t="s">
        <v>2348</v>
      </c>
      <c r="D1054" t="s">
        <v>2349</v>
      </c>
      <c r="E1054" t="s">
        <v>309</v>
      </c>
      <c r="F1054" t="s">
        <v>2348</v>
      </c>
      <c r="G1054" t="s">
        <v>3446</v>
      </c>
      <c r="H1054" t="s">
        <v>321</v>
      </c>
      <c r="I1054" t="s">
        <v>917</v>
      </c>
      <c r="J1054" t="s">
        <v>204</v>
      </c>
      <c r="K1054" t="s">
        <v>204</v>
      </c>
      <c r="L1054" t="s">
        <v>325</v>
      </c>
      <c r="M1054" t="s">
        <v>340</v>
      </c>
      <c r="N1054" t="s">
        <v>456</v>
      </c>
      <c r="O1054" t="s">
        <v>339</v>
      </c>
      <c r="P1054" t="s">
        <v>1212</v>
      </c>
      <c r="Q1054" s="131">
        <v>14562</v>
      </c>
      <c r="R1054" s="131">
        <v>1</v>
      </c>
      <c r="S1054" s="131">
        <v>1588</v>
      </c>
      <c r="U1054" s="131">
        <v>231.245</v>
      </c>
      <c r="V1054" s="132">
        <v>1.0000000000000001E-5</v>
      </c>
      <c r="W1054" s="132">
        <f t="shared" si="16"/>
        <v>1.4783055268205664E-2</v>
      </c>
      <c r="X1054" s="132">
        <v>1.3187754697692733E-3</v>
      </c>
    </row>
    <row r="1055" spans="1:24">
      <c r="A1055" t="s">
        <v>1213</v>
      </c>
      <c r="B1055" s="4">
        <v>9630</v>
      </c>
      <c r="C1055" t="s">
        <v>2343</v>
      </c>
      <c r="D1055" t="s">
        <v>2344</v>
      </c>
      <c r="E1055" t="s">
        <v>309</v>
      </c>
      <c r="F1055" t="s">
        <v>3619</v>
      </c>
      <c r="G1055" t="s">
        <v>3620</v>
      </c>
      <c r="H1055" t="s">
        <v>321</v>
      </c>
      <c r="I1055" t="s">
        <v>917</v>
      </c>
      <c r="J1055" t="s">
        <v>204</v>
      </c>
      <c r="K1055" t="s">
        <v>204</v>
      </c>
      <c r="L1055" t="s">
        <v>325</v>
      </c>
      <c r="M1055" t="s">
        <v>340</v>
      </c>
      <c r="N1055" t="s">
        <v>476</v>
      </c>
      <c r="O1055" t="s">
        <v>339</v>
      </c>
      <c r="P1055" t="s">
        <v>1212</v>
      </c>
      <c r="Q1055" s="131">
        <v>751</v>
      </c>
      <c r="R1055" s="131">
        <v>1</v>
      </c>
      <c r="S1055" s="131">
        <v>29830</v>
      </c>
      <c r="U1055" s="131">
        <v>224.023</v>
      </c>
      <c r="V1055" s="132">
        <v>5.0000000000000002E-5</v>
      </c>
      <c r="W1055" s="132">
        <f t="shared" si="16"/>
        <v>1.4321366474298849E-2</v>
      </c>
      <c r="X1055" s="132">
        <v>1.2775888649013899E-3</v>
      </c>
    </row>
    <row r="1056" spans="1:24">
      <c r="A1056" t="s">
        <v>1213</v>
      </c>
      <c r="B1056" s="4">
        <v>9630</v>
      </c>
      <c r="C1056" t="s">
        <v>2195</v>
      </c>
      <c r="D1056" t="s">
        <v>2196</v>
      </c>
      <c r="E1056" t="s">
        <v>309</v>
      </c>
      <c r="F1056" t="s">
        <v>3610</v>
      </c>
      <c r="G1056" t="s">
        <v>3611</v>
      </c>
      <c r="H1056" t="s">
        <v>321</v>
      </c>
      <c r="I1056" t="s">
        <v>917</v>
      </c>
      <c r="J1056" t="s">
        <v>204</v>
      </c>
      <c r="K1056" t="s">
        <v>204</v>
      </c>
      <c r="L1056" t="s">
        <v>325</v>
      </c>
      <c r="M1056" t="s">
        <v>340</v>
      </c>
      <c r="N1056" t="s">
        <v>445</v>
      </c>
      <c r="O1056" t="s">
        <v>339</v>
      </c>
      <c r="P1056" t="s">
        <v>1212</v>
      </c>
      <c r="Q1056" s="131">
        <v>5131</v>
      </c>
      <c r="R1056" s="131">
        <v>1</v>
      </c>
      <c r="S1056" s="131">
        <v>3619</v>
      </c>
      <c r="U1056" s="131">
        <v>185.691</v>
      </c>
      <c r="V1056" s="132">
        <v>2.0000000000000002E-5</v>
      </c>
      <c r="W1056" s="132">
        <f t="shared" si="16"/>
        <v>1.1870874249425406E-2</v>
      </c>
      <c r="X1056" s="132">
        <v>1.058983916438955E-3</v>
      </c>
    </row>
    <row r="1057" spans="1:24">
      <c r="A1057" t="s">
        <v>1213</v>
      </c>
      <c r="B1057" s="4">
        <v>9630</v>
      </c>
      <c r="C1057" t="s">
        <v>1881</v>
      </c>
      <c r="D1057" t="s">
        <v>1882</v>
      </c>
      <c r="E1057" t="s">
        <v>309</v>
      </c>
      <c r="F1057" t="s">
        <v>3407</v>
      </c>
      <c r="G1057" t="s">
        <v>3408</v>
      </c>
      <c r="H1057" t="s">
        <v>321</v>
      </c>
      <c r="I1057" t="s">
        <v>917</v>
      </c>
      <c r="J1057" t="s">
        <v>204</v>
      </c>
      <c r="K1057" t="s">
        <v>204</v>
      </c>
      <c r="L1057" t="s">
        <v>325</v>
      </c>
      <c r="M1057" t="s">
        <v>340</v>
      </c>
      <c r="N1057" t="s">
        <v>448</v>
      </c>
      <c r="O1057" t="s">
        <v>339</v>
      </c>
      <c r="P1057" t="s">
        <v>1212</v>
      </c>
      <c r="Q1057" s="131">
        <v>1237</v>
      </c>
      <c r="R1057" s="131">
        <v>1</v>
      </c>
      <c r="S1057" s="131">
        <v>14550</v>
      </c>
      <c r="U1057" s="131">
        <v>179.98400000000001</v>
      </c>
      <c r="V1057" s="132">
        <v>0</v>
      </c>
      <c r="W1057" s="132">
        <f t="shared" si="16"/>
        <v>1.1506036538704528E-2</v>
      </c>
      <c r="X1057" s="132">
        <v>1.0264372598367657E-3</v>
      </c>
    </row>
    <row r="1058" spans="1:24">
      <c r="A1058" t="s">
        <v>1213</v>
      </c>
      <c r="B1058" s="4">
        <v>9630</v>
      </c>
      <c r="C1058" t="s">
        <v>3423</v>
      </c>
      <c r="D1058" t="s">
        <v>3424</v>
      </c>
      <c r="E1058" t="s">
        <v>309</v>
      </c>
      <c r="F1058" t="s">
        <v>3423</v>
      </c>
      <c r="G1058" t="s">
        <v>3425</v>
      </c>
      <c r="H1058" t="s">
        <v>321</v>
      </c>
      <c r="I1058" t="s">
        <v>917</v>
      </c>
      <c r="J1058" t="s">
        <v>204</v>
      </c>
      <c r="K1058" t="s">
        <v>204</v>
      </c>
      <c r="L1058" t="s">
        <v>325</v>
      </c>
      <c r="M1058" t="s">
        <v>340</v>
      </c>
      <c r="N1058" t="s">
        <v>458</v>
      </c>
      <c r="O1058" t="s">
        <v>339</v>
      </c>
      <c r="P1058" t="s">
        <v>1212</v>
      </c>
      <c r="Q1058" s="131">
        <v>1044</v>
      </c>
      <c r="R1058" s="131">
        <v>1</v>
      </c>
      <c r="S1058" s="131">
        <v>16470</v>
      </c>
      <c r="U1058" s="131">
        <v>171.947</v>
      </c>
      <c r="V1058" s="132">
        <v>1.0000000000000001E-5</v>
      </c>
      <c r="W1058" s="132">
        <f t="shared" si="16"/>
        <v>1.099224633701122E-2</v>
      </c>
      <c r="X1058" s="132">
        <v>9.8060276200746918E-4</v>
      </c>
    </row>
    <row r="1059" spans="1:24">
      <c r="A1059" t="s">
        <v>1213</v>
      </c>
      <c r="B1059" s="4">
        <v>9630</v>
      </c>
      <c r="C1059" t="s">
        <v>2404</v>
      </c>
      <c r="D1059" t="s">
        <v>2405</v>
      </c>
      <c r="E1059" t="s">
        <v>309</v>
      </c>
      <c r="F1059" t="s">
        <v>2404</v>
      </c>
      <c r="G1059" t="s">
        <v>3418</v>
      </c>
      <c r="H1059" t="s">
        <v>321</v>
      </c>
      <c r="I1059" t="s">
        <v>917</v>
      </c>
      <c r="J1059" t="s">
        <v>204</v>
      </c>
      <c r="K1059" t="s">
        <v>204</v>
      </c>
      <c r="L1059" t="s">
        <v>325</v>
      </c>
      <c r="M1059" t="s">
        <v>340</v>
      </c>
      <c r="N1059" t="s">
        <v>440</v>
      </c>
      <c r="O1059" t="s">
        <v>339</v>
      </c>
      <c r="P1059" t="s">
        <v>1212</v>
      </c>
      <c r="Q1059" s="131">
        <v>5686</v>
      </c>
      <c r="R1059" s="131">
        <v>1</v>
      </c>
      <c r="S1059" s="131">
        <v>3016</v>
      </c>
      <c r="U1059" s="131">
        <v>171.49</v>
      </c>
      <c r="V1059" s="132">
        <v>2.0000000000000002E-5</v>
      </c>
      <c r="W1059" s="132">
        <f t="shared" si="16"/>
        <v>1.0963031191786156E-2</v>
      </c>
      <c r="X1059" s="132">
        <v>9.7799652018738868E-4</v>
      </c>
    </row>
    <row r="1060" spans="1:24">
      <c r="A1060" t="s">
        <v>1213</v>
      </c>
      <c r="B1060" s="4">
        <v>9630</v>
      </c>
      <c r="C1060" t="s">
        <v>2238</v>
      </c>
      <c r="D1060" t="s">
        <v>2239</v>
      </c>
      <c r="E1060" t="s">
        <v>309</v>
      </c>
      <c r="F1060" t="s">
        <v>2238</v>
      </c>
      <c r="G1060" t="s">
        <v>3785</v>
      </c>
      <c r="H1060" t="s">
        <v>321</v>
      </c>
      <c r="I1060" t="s">
        <v>917</v>
      </c>
      <c r="J1060" t="s">
        <v>204</v>
      </c>
      <c r="K1060" t="s">
        <v>204</v>
      </c>
      <c r="L1060" t="s">
        <v>325</v>
      </c>
      <c r="M1060" t="s">
        <v>340</v>
      </c>
      <c r="N1060" t="s">
        <v>447</v>
      </c>
      <c r="O1060" t="s">
        <v>339</v>
      </c>
      <c r="P1060" t="s">
        <v>1212</v>
      </c>
      <c r="Q1060" s="131">
        <v>455</v>
      </c>
      <c r="R1060" s="131">
        <v>1</v>
      </c>
      <c r="S1060" s="131">
        <v>33200</v>
      </c>
      <c r="U1060" s="131">
        <v>151.06</v>
      </c>
      <c r="V1060" s="132">
        <v>2.0000000000000002E-5</v>
      </c>
      <c r="W1060" s="132">
        <f t="shared" si="16"/>
        <v>9.6569799511995839E-3</v>
      </c>
      <c r="X1060" s="132">
        <v>8.6148553466386911E-4</v>
      </c>
    </row>
    <row r="1061" spans="1:24">
      <c r="A1061" t="s">
        <v>1213</v>
      </c>
      <c r="B1061" s="4">
        <v>9630</v>
      </c>
      <c r="C1061" t="s">
        <v>1973</v>
      </c>
      <c r="D1061" t="s">
        <v>1974</v>
      </c>
      <c r="E1061" t="s">
        <v>309</v>
      </c>
      <c r="F1061" t="s">
        <v>3512</v>
      </c>
      <c r="G1061" t="s">
        <v>3513</v>
      </c>
      <c r="H1061" t="s">
        <v>321</v>
      </c>
      <c r="I1061" t="s">
        <v>917</v>
      </c>
      <c r="J1061" t="s">
        <v>204</v>
      </c>
      <c r="K1061" t="s">
        <v>204</v>
      </c>
      <c r="L1061" t="s">
        <v>325</v>
      </c>
      <c r="M1061" t="s">
        <v>340</v>
      </c>
      <c r="N1061" t="s">
        <v>464</v>
      </c>
      <c r="O1061" t="s">
        <v>339</v>
      </c>
      <c r="P1061" t="s">
        <v>1212</v>
      </c>
      <c r="Q1061" s="131">
        <v>15409</v>
      </c>
      <c r="R1061" s="131">
        <v>1</v>
      </c>
      <c r="S1061" s="131">
        <v>954</v>
      </c>
      <c r="U1061" s="131">
        <v>147.00200000000001</v>
      </c>
      <c r="V1061" s="132">
        <v>2.0000000000000002E-5</v>
      </c>
      <c r="W1061" s="132">
        <f t="shared" si="16"/>
        <v>9.3975596900982474E-3</v>
      </c>
      <c r="X1061" s="132">
        <v>8.3834301977133655E-4</v>
      </c>
    </row>
    <row r="1062" spans="1:24">
      <c r="A1062" t="s">
        <v>1213</v>
      </c>
      <c r="B1062" s="4">
        <v>9630</v>
      </c>
      <c r="C1062" t="s">
        <v>1624</v>
      </c>
      <c r="D1062" t="s">
        <v>1625</v>
      </c>
      <c r="E1062" t="s">
        <v>309</v>
      </c>
      <c r="F1062" t="s">
        <v>1624</v>
      </c>
      <c r="G1062" t="s">
        <v>3505</v>
      </c>
      <c r="H1062" t="s">
        <v>321</v>
      </c>
      <c r="I1062" t="s">
        <v>917</v>
      </c>
      <c r="J1062" t="s">
        <v>204</v>
      </c>
      <c r="K1062" t="s">
        <v>204</v>
      </c>
      <c r="L1062" t="s">
        <v>325</v>
      </c>
      <c r="M1062" t="s">
        <v>340</v>
      </c>
      <c r="N1062" t="s">
        <v>447</v>
      </c>
      <c r="O1062" t="s">
        <v>339</v>
      </c>
      <c r="P1062" t="s">
        <v>1212</v>
      </c>
      <c r="Q1062" s="131">
        <v>8255</v>
      </c>
      <c r="R1062" s="131">
        <v>1</v>
      </c>
      <c r="S1062" s="131">
        <v>1740</v>
      </c>
      <c r="U1062" s="131">
        <v>143.637</v>
      </c>
      <c r="V1062" s="132">
        <v>3.0000000000000001E-5</v>
      </c>
      <c r="W1062" s="132">
        <f t="shared" si="16"/>
        <v>9.1824416076423578E-3</v>
      </c>
      <c r="X1062" s="132">
        <v>8.1915263963004215E-4</v>
      </c>
    </row>
    <row r="1063" spans="1:24">
      <c r="A1063" t="s">
        <v>1213</v>
      </c>
      <c r="B1063" s="4">
        <v>9630</v>
      </c>
      <c r="C1063" t="s">
        <v>3125</v>
      </c>
      <c r="D1063" t="s">
        <v>3126</v>
      </c>
      <c r="E1063" t="s">
        <v>309</v>
      </c>
      <c r="F1063" t="s">
        <v>3125</v>
      </c>
      <c r="G1063" t="s">
        <v>3489</v>
      </c>
      <c r="H1063" t="s">
        <v>321</v>
      </c>
      <c r="I1063" t="s">
        <v>917</v>
      </c>
      <c r="J1063" t="s">
        <v>204</v>
      </c>
      <c r="K1063" t="s">
        <v>204</v>
      </c>
      <c r="L1063" t="s">
        <v>325</v>
      </c>
      <c r="M1063" t="s">
        <v>340</v>
      </c>
      <c r="N1063" t="s">
        <v>441</v>
      </c>
      <c r="O1063" t="s">
        <v>339</v>
      </c>
      <c r="P1063" t="s">
        <v>1212</v>
      </c>
      <c r="Q1063" s="131">
        <v>494</v>
      </c>
      <c r="R1063" s="131">
        <v>1</v>
      </c>
      <c r="S1063" s="131">
        <v>28560</v>
      </c>
      <c r="U1063" s="131">
        <v>141.08600000000001</v>
      </c>
      <c r="V1063" s="132">
        <v>1.0000000000000001E-5</v>
      </c>
      <c r="W1063" s="132">
        <f t="shared" si="16"/>
        <v>9.0193610048652489E-3</v>
      </c>
      <c r="X1063" s="132">
        <v>8.0460444951401195E-4</v>
      </c>
    </row>
    <row r="1064" spans="1:24">
      <c r="A1064" t="s">
        <v>1213</v>
      </c>
      <c r="B1064" s="4">
        <v>9630</v>
      </c>
      <c r="C1064" t="s">
        <v>3786</v>
      </c>
      <c r="D1064" t="s">
        <v>3787</v>
      </c>
      <c r="E1064" t="s">
        <v>309</v>
      </c>
      <c r="F1064" t="s">
        <v>3786</v>
      </c>
      <c r="G1064" t="s">
        <v>3788</v>
      </c>
      <c r="H1064" t="s">
        <v>321</v>
      </c>
      <c r="I1064" t="s">
        <v>917</v>
      </c>
      <c r="J1064" t="s">
        <v>204</v>
      </c>
      <c r="K1064" t="s">
        <v>204</v>
      </c>
      <c r="L1064" t="s">
        <v>325</v>
      </c>
      <c r="M1064" t="s">
        <v>340</v>
      </c>
      <c r="N1064" t="s">
        <v>446</v>
      </c>
      <c r="O1064" t="s">
        <v>339</v>
      </c>
      <c r="P1064" t="s">
        <v>1212</v>
      </c>
      <c r="Q1064" s="131">
        <v>1000</v>
      </c>
      <c r="R1064" s="131">
        <v>1</v>
      </c>
      <c r="S1064" s="131">
        <v>14100</v>
      </c>
      <c r="U1064" s="131">
        <v>141</v>
      </c>
      <c r="V1064" s="132">
        <v>4.2000000000000002E-4</v>
      </c>
      <c r="W1064" s="132">
        <f t="shared" si="16"/>
        <v>9.0138631876018876E-3</v>
      </c>
      <c r="X1064" s="132">
        <v>8.0411399700520026E-4</v>
      </c>
    </row>
    <row r="1065" spans="1:24">
      <c r="A1065" t="s">
        <v>1213</v>
      </c>
      <c r="B1065" s="4">
        <v>9630</v>
      </c>
      <c r="C1065" t="s">
        <v>2428</v>
      </c>
      <c r="D1065" t="s">
        <v>2429</v>
      </c>
      <c r="E1065" t="s">
        <v>309</v>
      </c>
      <c r="F1065" t="s">
        <v>2428</v>
      </c>
      <c r="G1065" t="s">
        <v>3459</v>
      </c>
      <c r="H1065" t="s">
        <v>321</v>
      </c>
      <c r="I1065" t="s">
        <v>917</v>
      </c>
      <c r="J1065" t="s">
        <v>204</v>
      </c>
      <c r="K1065" t="s">
        <v>204</v>
      </c>
      <c r="L1065" t="s">
        <v>325</v>
      </c>
      <c r="M1065" t="s">
        <v>340</v>
      </c>
      <c r="N1065" t="s">
        <v>454</v>
      </c>
      <c r="O1065" t="s">
        <v>339</v>
      </c>
      <c r="P1065" t="s">
        <v>1212</v>
      </c>
      <c r="Q1065" s="131">
        <v>85947.8</v>
      </c>
      <c r="R1065" s="131">
        <v>1</v>
      </c>
      <c r="S1065" s="131">
        <v>161.9</v>
      </c>
      <c r="U1065" s="131">
        <v>139.149</v>
      </c>
      <c r="V1065" s="132">
        <v>3.0000000000000001E-5</v>
      </c>
      <c r="W1065" s="132">
        <f t="shared" si="16"/>
        <v>8.8955322602242218E-3</v>
      </c>
      <c r="X1065" s="132">
        <v>7.9355786219345115E-4</v>
      </c>
    </row>
    <row r="1066" spans="1:24">
      <c r="A1066" t="s">
        <v>1213</v>
      </c>
      <c r="B1066" s="4">
        <v>9630</v>
      </c>
      <c r="C1066" t="s">
        <v>1691</v>
      </c>
      <c r="D1066" t="s">
        <v>1692</v>
      </c>
      <c r="E1066" t="s">
        <v>309</v>
      </c>
      <c r="F1066" t="s">
        <v>3478</v>
      </c>
      <c r="G1066" t="s">
        <v>3479</v>
      </c>
      <c r="H1066" t="s">
        <v>321</v>
      </c>
      <c r="I1066" t="s">
        <v>917</v>
      </c>
      <c r="J1066" t="s">
        <v>204</v>
      </c>
      <c r="K1066" t="s">
        <v>204</v>
      </c>
      <c r="L1066" t="s">
        <v>325</v>
      </c>
      <c r="M1066" t="s">
        <v>340</v>
      </c>
      <c r="N1066" t="s">
        <v>464</v>
      </c>
      <c r="O1066" t="s">
        <v>339</v>
      </c>
      <c r="P1066" t="s">
        <v>1212</v>
      </c>
      <c r="Q1066" s="131">
        <v>8795</v>
      </c>
      <c r="R1066" s="131">
        <v>1</v>
      </c>
      <c r="S1066" s="131">
        <v>1513</v>
      </c>
      <c r="U1066" s="131">
        <v>133.06800000000001</v>
      </c>
      <c r="V1066" s="132">
        <v>5.0000000000000002E-5</v>
      </c>
      <c r="W1066" s="132">
        <f t="shared" si="16"/>
        <v>8.5067854372184986E-3</v>
      </c>
      <c r="X1066" s="132">
        <v>7.588783074715461E-4</v>
      </c>
    </row>
    <row r="1067" spans="1:24">
      <c r="A1067" t="s">
        <v>1213</v>
      </c>
      <c r="B1067" s="4">
        <v>9630</v>
      </c>
      <c r="C1067" t="s">
        <v>2178</v>
      </c>
      <c r="D1067" t="s">
        <v>2179</v>
      </c>
      <c r="E1067" t="s">
        <v>309</v>
      </c>
      <c r="F1067" t="s">
        <v>2178</v>
      </c>
      <c r="G1067" t="s">
        <v>3609</v>
      </c>
      <c r="H1067" t="s">
        <v>321</v>
      </c>
      <c r="I1067" t="s">
        <v>917</v>
      </c>
      <c r="J1067" t="s">
        <v>204</v>
      </c>
      <c r="K1067" t="s">
        <v>204</v>
      </c>
      <c r="L1067" t="s">
        <v>325</v>
      </c>
      <c r="M1067" t="s">
        <v>340</v>
      </c>
      <c r="N1067" t="s">
        <v>464</v>
      </c>
      <c r="O1067" t="s">
        <v>339</v>
      </c>
      <c r="P1067" t="s">
        <v>1212</v>
      </c>
      <c r="Q1067" s="131">
        <v>4557</v>
      </c>
      <c r="R1067" s="131">
        <v>1</v>
      </c>
      <c r="S1067" s="131">
        <v>2855</v>
      </c>
      <c r="U1067" s="131">
        <v>130.102</v>
      </c>
      <c r="V1067" s="132">
        <v>2.0000000000000002E-5</v>
      </c>
      <c r="W1067" s="132">
        <f t="shared" si="16"/>
        <v>8.3171746697402894E-3</v>
      </c>
      <c r="X1067" s="132">
        <v>7.4196339885369193E-4</v>
      </c>
    </row>
    <row r="1068" spans="1:24">
      <c r="A1068" t="s">
        <v>1213</v>
      </c>
      <c r="B1068" s="4">
        <v>9630</v>
      </c>
      <c r="C1068" t="s">
        <v>2128</v>
      </c>
      <c r="D1068" t="s">
        <v>2129</v>
      </c>
      <c r="E1068" t="s">
        <v>309</v>
      </c>
      <c r="F1068" t="s">
        <v>3419</v>
      </c>
      <c r="G1068" t="s">
        <v>3420</v>
      </c>
      <c r="H1068" t="s">
        <v>321</v>
      </c>
      <c r="I1068" t="s">
        <v>917</v>
      </c>
      <c r="J1068" t="s">
        <v>204</v>
      </c>
      <c r="K1068" t="s">
        <v>204</v>
      </c>
      <c r="L1068" t="s">
        <v>325</v>
      </c>
      <c r="M1068" t="s">
        <v>340</v>
      </c>
      <c r="N1068" t="s">
        <v>445</v>
      </c>
      <c r="O1068" t="s">
        <v>339</v>
      </c>
      <c r="P1068" t="s">
        <v>1212</v>
      </c>
      <c r="Q1068" s="131">
        <v>3093</v>
      </c>
      <c r="R1068" s="131">
        <v>1</v>
      </c>
      <c r="S1068" s="131">
        <v>4200</v>
      </c>
      <c r="U1068" s="131">
        <v>129.90600000000001</v>
      </c>
      <c r="V1068" s="132">
        <v>1.0000000000000001E-5</v>
      </c>
      <c r="W1068" s="132">
        <f t="shared" si="16"/>
        <v>8.3046447606284473E-3</v>
      </c>
      <c r="X1068" s="132">
        <v>7.4084562336849328E-4</v>
      </c>
    </row>
    <row r="1069" spans="1:24">
      <c r="A1069" t="s">
        <v>1213</v>
      </c>
      <c r="B1069" s="4">
        <v>9630</v>
      </c>
      <c r="C1069" t="s">
        <v>2789</v>
      </c>
      <c r="D1069" t="s">
        <v>2790</v>
      </c>
      <c r="E1069" t="s">
        <v>309</v>
      </c>
      <c r="F1069" t="s">
        <v>2789</v>
      </c>
      <c r="G1069" t="s">
        <v>3480</v>
      </c>
      <c r="H1069" t="s">
        <v>321</v>
      </c>
      <c r="I1069" t="s">
        <v>917</v>
      </c>
      <c r="J1069" t="s">
        <v>204</v>
      </c>
      <c r="K1069" t="s">
        <v>204</v>
      </c>
      <c r="L1069" t="s">
        <v>325</v>
      </c>
      <c r="M1069" t="s">
        <v>340</v>
      </c>
      <c r="N1069" t="s">
        <v>441</v>
      </c>
      <c r="O1069" t="s">
        <v>339</v>
      </c>
      <c r="P1069" t="s">
        <v>1212</v>
      </c>
      <c r="Q1069" s="131">
        <v>9529</v>
      </c>
      <c r="R1069" s="131">
        <v>1</v>
      </c>
      <c r="S1069" s="131">
        <v>1348</v>
      </c>
      <c r="U1069" s="131">
        <v>128.45099999999999</v>
      </c>
      <c r="V1069" s="132">
        <v>2.0000000000000002E-5</v>
      </c>
      <c r="W1069" s="132">
        <f t="shared" si="16"/>
        <v>8.2116293639053206E-3</v>
      </c>
      <c r="X1069" s="132">
        <v>7.3254785127173741E-4</v>
      </c>
    </row>
    <row r="1070" spans="1:24">
      <c r="A1070" t="s">
        <v>1213</v>
      </c>
      <c r="B1070" s="4">
        <v>9630</v>
      </c>
      <c r="C1070" t="s">
        <v>3461</v>
      </c>
      <c r="D1070" t="s">
        <v>3462</v>
      </c>
      <c r="E1070" t="s">
        <v>309</v>
      </c>
      <c r="F1070" t="s">
        <v>3461</v>
      </c>
      <c r="G1070" t="s">
        <v>3463</v>
      </c>
      <c r="H1070" t="s">
        <v>321</v>
      </c>
      <c r="I1070" t="s">
        <v>917</v>
      </c>
      <c r="J1070" t="s">
        <v>204</v>
      </c>
      <c r="K1070" t="s">
        <v>204</v>
      </c>
      <c r="L1070" t="s">
        <v>325</v>
      </c>
      <c r="M1070" t="s">
        <v>340</v>
      </c>
      <c r="N1070" t="s">
        <v>475</v>
      </c>
      <c r="O1070" t="s">
        <v>339</v>
      </c>
      <c r="P1070" t="s">
        <v>1212</v>
      </c>
      <c r="Q1070" s="131">
        <v>415</v>
      </c>
      <c r="R1070" s="131">
        <v>1</v>
      </c>
      <c r="S1070" s="131">
        <v>28150</v>
      </c>
      <c r="U1070" s="131">
        <v>116.82299999999999</v>
      </c>
      <c r="V1070" s="132">
        <v>3.0000000000000001E-5</v>
      </c>
      <c r="W1070" s="132">
        <f t="shared" si="16"/>
        <v>7.4682733274128747E-3</v>
      </c>
      <c r="X1070" s="132">
        <v>6.6623410973147871E-4</v>
      </c>
    </row>
    <row r="1071" spans="1:24">
      <c r="A1071" t="s">
        <v>1213</v>
      </c>
      <c r="B1071" s="4">
        <v>9630</v>
      </c>
      <c r="C1071" t="s">
        <v>1674</v>
      </c>
      <c r="D1071" t="s">
        <v>1675</v>
      </c>
      <c r="E1071" t="s">
        <v>309</v>
      </c>
      <c r="F1071" t="s">
        <v>1674</v>
      </c>
      <c r="G1071" t="s">
        <v>3464</v>
      </c>
      <c r="H1071" t="s">
        <v>321</v>
      </c>
      <c r="I1071" t="s">
        <v>917</v>
      </c>
      <c r="J1071" t="s">
        <v>204</v>
      </c>
      <c r="K1071" t="s">
        <v>204</v>
      </c>
      <c r="L1071" t="s">
        <v>325</v>
      </c>
      <c r="M1071" t="s">
        <v>340</v>
      </c>
      <c r="N1071" t="s">
        <v>464</v>
      </c>
      <c r="O1071" t="s">
        <v>339</v>
      </c>
      <c r="P1071" t="s">
        <v>1212</v>
      </c>
      <c r="Q1071" s="131">
        <v>278</v>
      </c>
      <c r="R1071" s="131">
        <v>1</v>
      </c>
      <c r="S1071" s="131">
        <v>41490</v>
      </c>
      <c r="U1071" s="131">
        <v>115.342</v>
      </c>
      <c r="V1071" s="132">
        <v>1.0000000000000001E-5</v>
      </c>
      <c r="W1071" s="132">
        <f t="shared" si="16"/>
        <v>7.3735957998891984E-3</v>
      </c>
      <c r="X1071" s="132">
        <v>6.577880612948497E-4</v>
      </c>
    </row>
    <row r="1072" spans="1:24">
      <c r="A1072" t="s">
        <v>1213</v>
      </c>
      <c r="B1072" s="4">
        <v>9630</v>
      </c>
      <c r="C1072" t="s">
        <v>2576</v>
      </c>
      <c r="D1072" t="s">
        <v>2577</v>
      </c>
      <c r="E1072" t="s">
        <v>309</v>
      </c>
      <c r="F1072" t="s">
        <v>2576</v>
      </c>
      <c r="G1072" t="s">
        <v>3621</v>
      </c>
      <c r="H1072" t="s">
        <v>321</v>
      </c>
      <c r="I1072" t="s">
        <v>917</v>
      </c>
      <c r="J1072" t="s">
        <v>204</v>
      </c>
      <c r="K1072" t="s">
        <v>204</v>
      </c>
      <c r="L1072" t="s">
        <v>325</v>
      </c>
      <c r="M1072" t="s">
        <v>340</v>
      </c>
      <c r="N1072" t="s">
        <v>451</v>
      </c>
      <c r="O1072" t="s">
        <v>339</v>
      </c>
      <c r="P1072" t="s">
        <v>1212</v>
      </c>
      <c r="Q1072" s="131">
        <v>136</v>
      </c>
      <c r="R1072" s="131">
        <v>1</v>
      </c>
      <c r="S1072" s="131">
        <v>81100</v>
      </c>
      <c r="U1072" s="131">
        <v>110.29600000000001</v>
      </c>
      <c r="V1072" s="132">
        <v>2.0000000000000002E-5</v>
      </c>
      <c r="W1072" s="132">
        <f t="shared" si="16"/>
        <v>7.0510145683669355E-3</v>
      </c>
      <c r="X1072" s="132">
        <v>6.2901104548713171E-4</v>
      </c>
    </row>
    <row r="1073" spans="1:24">
      <c r="A1073" t="s">
        <v>1213</v>
      </c>
      <c r="B1073" s="4">
        <v>9630</v>
      </c>
      <c r="C1073" t="s">
        <v>2396</v>
      </c>
      <c r="D1073" t="s">
        <v>2397</v>
      </c>
      <c r="E1073" t="s">
        <v>309</v>
      </c>
      <c r="F1073" t="s">
        <v>2396</v>
      </c>
      <c r="G1073" t="s">
        <v>3659</v>
      </c>
      <c r="H1073" t="s">
        <v>321</v>
      </c>
      <c r="I1073" t="s">
        <v>917</v>
      </c>
      <c r="J1073" t="s">
        <v>204</v>
      </c>
      <c r="K1073" t="s">
        <v>204</v>
      </c>
      <c r="L1073" t="s">
        <v>325</v>
      </c>
      <c r="M1073" t="s">
        <v>340</v>
      </c>
      <c r="N1073" t="s">
        <v>451</v>
      </c>
      <c r="O1073" t="s">
        <v>339</v>
      </c>
      <c r="P1073" t="s">
        <v>1212</v>
      </c>
      <c r="Q1073" s="131">
        <v>152376</v>
      </c>
      <c r="R1073" s="131">
        <v>1</v>
      </c>
      <c r="S1073" s="131">
        <v>64.8</v>
      </c>
      <c r="U1073" s="131">
        <v>98.74</v>
      </c>
      <c r="V1073" s="132">
        <v>1.2E-4</v>
      </c>
      <c r="W1073" s="132">
        <f t="shared" si="16"/>
        <v>6.3122613556298611E-3</v>
      </c>
      <c r="X1073" s="132">
        <v>5.6310791534959904E-4</v>
      </c>
    </row>
    <row r="1074" spans="1:24">
      <c r="A1074" t="s">
        <v>1213</v>
      </c>
      <c r="B1074" s="4">
        <v>9630</v>
      </c>
      <c r="C1074" t="s">
        <v>2203</v>
      </c>
      <c r="D1074" t="s">
        <v>2204</v>
      </c>
      <c r="E1074" t="s">
        <v>309</v>
      </c>
      <c r="F1074" t="s">
        <v>3606</v>
      </c>
      <c r="G1074" t="s">
        <v>3607</v>
      </c>
      <c r="H1074" t="s">
        <v>321</v>
      </c>
      <c r="I1074" t="s">
        <v>917</v>
      </c>
      <c r="J1074" t="s">
        <v>204</v>
      </c>
      <c r="K1074" t="s">
        <v>204</v>
      </c>
      <c r="L1074" t="s">
        <v>325</v>
      </c>
      <c r="M1074" t="s">
        <v>340</v>
      </c>
      <c r="N1074" t="s">
        <v>459</v>
      </c>
      <c r="O1074" t="s">
        <v>339</v>
      </c>
      <c r="P1074" t="s">
        <v>1212</v>
      </c>
      <c r="Q1074" s="131">
        <v>1654</v>
      </c>
      <c r="R1074" s="131">
        <v>1</v>
      </c>
      <c r="S1074" s="131">
        <v>5930</v>
      </c>
      <c r="U1074" s="131">
        <v>98.081999999999994</v>
      </c>
      <c r="V1074" s="132">
        <v>1.0000000000000001E-5</v>
      </c>
      <c r="W1074" s="132">
        <f t="shared" si="16"/>
        <v>6.2701966607543857E-3</v>
      </c>
      <c r="X1074" s="132">
        <v>5.5935538336357481E-4</v>
      </c>
    </row>
    <row r="1075" spans="1:24">
      <c r="A1075" t="s">
        <v>1213</v>
      </c>
      <c r="B1075" s="4">
        <v>9630</v>
      </c>
      <c r="C1075" t="s">
        <v>1634</v>
      </c>
      <c r="D1075" t="s">
        <v>1635</v>
      </c>
      <c r="E1075" t="s">
        <v>309</v>
      </c>
      <c r="F1075" t="s">
        <v>3437</v>
      </c>
      <c r="G1075" t="s">
        <v>3438</v>
      </c>
      <c r="H1075" t="s">
        <v>321</v>
      </c>
      <c r="I1075" t="s">
        <v>917</v>
      </c>
      <c r="J1075" t="s">
        <v>204</v>
      </c>
      <c r="K1075" t="s">
        <v>204</v>
      </c>
      <c r="L1075" t="s">
        <v>325</v>
      </c>
      <c r="M1075" t="s">
        <v>340</v>
      </c>
      <c r="N1075" t="s">
        <v>454</v>
      </c>
      <c r="O1075" t="s">
        <v>339</v>
      </c>
      <c r="P1075" t="s">
        <v>1212</v>
      </c>
      <c r="Q1075" s="131">
        <v>1790</v>
      </c>
      <c r="R1075" s="131">
        <v>1</v>
      </c>
      <c r="S1075" s="131">
        <v>5205</v>
      </c>
      <c r="U1075" s="131">
        <v>93.17</v>
      </c>
      <c r="V1075" s="132">
        <v>2.0000000000000002E-5</v>
      </c>
      <c r="W1075" s="132">
        <f t="shared" si="16"/>
        <v>5.95618179566573E-3</v>
      </c>
      <c r="X1075" s="132">
        <v>5.3134256099981916E-4</v>
      </c>
    </row>
    <row r="1076" spans="1:24">
      <c r="A1076" t="s">
        <v>1213</v>
      </c>
      <c r="B1076" s="4">
        <v>9630</v>
      </c>
      <c r="C1076" t="s">
        <v>2211</v>
      </c>
      <c r="D1076" t="s">
        <v>2212</v>
      </c>
      <c r="E1076" t="s">
        <v>309</v>
      </c>
      <c r="F1076" t="s">
        <v>2211</v>
      </c>
      <c r="G1076" t="s">
        <v>3617</v>
      </c>
      <c r="H1076" t="s">
        <v>321</v>
      </c>
      <c r="I1076" t="s">
        <v>917</v>
      </c>
      <c r="J1076" t="s">
        <v>204</v>
      </c>
      <c r="K1076" t="s">
        <v>204</v>
      </c>
      <c r="L1076" t="s">
        <v>325</v>
      </c>
      <c r="M1076" t="s">
        <v>340</v>
      </c>
      <c r="N1076" t="s">
        <v>454</v>
      </c>
      <c r="O1076" t="s">
        <v>339</v>
      </c>
      <c r="P1076" t="s">
        <v>1212</v>
      </c>
      <c r="Q1076" s="131">
        <v>201</v>
      </c>
      <c r="R1076" s="131">
        <v>1</v>
      </c>
      <c r="S1076" s="131">
        <v>43600</v>
      </c>
      <c r="U1076" s="131">
        <v>87.635999999999996</v>
      </c>
      <c r="V1076" s="132">
        <v>1.0000000000000001E-5</v>
      </c>
      <c r="W1076" s="132">
        <f t="shared" si="16"/>
        <v>5.6024036475792842E-3</v>
      </c>
      <c r="X1076" s="132">
        <v>4.9978251235140235E-4</v>
      </c>
    </row>
    <row r="1077" spans="1:24">
      <c r="A1077" t="s">
        <v>1213</v>
      </c>
      <c r="B1077" s="4">
        <v>9630</v>
      </c>
      <c r="C1077" t="s">
        <v>2812</v>
      </c>
      <c r="D1077" t="s">
        <v>2813</v>
      </c>
      <c r="E1077" t="s">
        <v>309</v>
      </c>
      <c r="F1077" t="s">
        <v>2812</v>
      </c>
      <c r="G1077" t="s">
        <v>3637</v>
      </c>
      <c r="H1077" t="s">
        <v>321</v>
      </c>
      <c r="I1077" t="s">
        <v>917</v>
      </c>
      <c r="J1077" t="s">
        <v>204</v>
      </c>
      <c r="K1077" t="s">
        <v>204</v>
      </c>
      <c r="L1077" t="s">
        <v>325</v>
      </c>
      <c r="M1077" t="s">
        <v>340</v>
      </c>
      <c r="N1077" t="s">
        <v>447</v>
      </c>
      <c r="O1077" t="s">
        <v>339</v>
      </c>
      <c r="P1077" t="s">
        <v>1212</v>
      </c>
      <c r="Q1077" s="131">
        <v>358</v>
      </c>
      <c r="R1077" s="131">
        <v>1</v>
      </c>
      <c r="S1077" s="131">
        <v>24250</v>
      </c>
      <c r="U1077" s="131">
        <v>86.814999999999998</v>
      </c>
      <c r="V1077" s="132">
        <v>3.0000000000000001E-5</v>
      </c>
      <c r="W1077" s="132">
        <f t="shared" si="16"/>
        <v>5.5499186711465099E-3</v>
      </c>
      <c r="X1077" s="132">
        <v>4.9510040177309542E-4</v>
      </c>
    </row>
    <row r="1078" spans="1:24">
      <c r="A1078" t="s">
        <v>1213</v>
      </c>
      <c r="B1078" s="4">
        <v>9630</v>
      </c>
      <c r="C1078" t="s">
        <v>3498</v>
      </c>
      <c r="D1078" t="s">
        <v>3499</v>
      </c>
      <c r="E1078" t="s">
        <v>309</v>
      </c>
      <c r="F1078" t="s">
        <v>3500</v>
      </c>
      <c r="G1078" t="s">
        <v>3501</v>
      </c>
      <c r="H1078" t="s">
        <v>321</v>
      </c>
      <c r="I1078" t="s">
        <v>917</v>
      </c>
      <c r="J1078" t="s">
        <v>204</v>
      </c>
      <c r="K1078" t="s">
        <v>204</v>
      </c>
      <c r="L1078" t="s">
        <v>325</v>
      </c>
      <c r="M1078" t="s">
        <v>340</v>
      </c>
      <c r="N1078" t="s">
        <v>476</v>
      </c>
      <c r="O1078" t="s">
        <v>339</v>
      </c>
      <c r="P1078" t="s">
        <v>1212</v>
      </c>
      <c r="Q1078" s="131">
        <v>1704</v>
      </c>
      <c r="R1078" s="131">
        <v>1</v>
      </c>
      <c r="S1078" s="131">
        <v>5029</v>
      </c>
      <c r="U1078" s="131">
        <v>85.694000000000003</v>
      </c>
      <c r="V1078" s="132">
        <v>2.0000000000000002E-5</v>
      </c>
      <c r="W1078" s="132">
        <f t="shared" si="16"/>
        <v>5.4782552623996892E-3</v>
      </c>
      <c r="X1078" s="132">
        <v>4.8870741035009668E-4</v>
      </c>
    </row>
    <row r="1079" spans="1:24">
      <c r="A1079" t="s">
        <v>1213</v>
      </c>
      <c r="B1079" s="4">
        <v>9630</v>
      </c>
      <c r="C1079" t="s">
        <v>2356</v>
      </c>
      <c r="D1079" t="s">
        <v>2357</v>
      </c>
      <c r="E1079" t="s">
        <v>309</v>
      </c>
      <c r="F1079" t="s">
        <v>2356</v>
      </c>
      <c r="G1079" t="s">
        <v>3645</v>
      </c>
      <c r="H1079" t="s">
        <v>321</v>
      </c>
      <c r="I1079" t="s">
        <v>917</v>
      </c>
      <c r="J1079" t="s">
        <v>204</v>
      </c>
      <c r="K1079" t="s">
        <v>204</v>
      </c>
      <c r="L1079" t="s">
        <v>325</v>
      </c>
      <c r="M1079" t="s">
        <v>340</v>
      </c>
      <c r="N1079" t="s">
        <v>447</v>
      </c>
      <c r="O1079" t="s">
        <v>339</v>
      </c>
      <c r="P1079" t="s">
        <v>1212</v>
      </c>
      <c r="Q1079" s="131">
        <v>9218</v>
      </c>
      <c r="R1079" s="131">
        <v>1</v>
      </c>
      <c r="S1079" s="131">
        <v>898.1</v>
      </c>
      <c r="U1079" s="131">
        <v>82.787000000000006</v>
      </c>
      <c r="V1079" s="132">
        <v>2.0000000000000002E-5</v>
      </c>
      <c r="W1079" s="132">
        <f t="shared" si="16"/>
        <v>5.2924162532765788E-3</v>
      </c>
      <c r="X1079" s="132">
        <v>4.7212897496503204E-4</v>
      </c>
    </row>
    <row r="1080" spans="1:24">
      <c r="A1080" t="s">
        <v>1213</v>
      </c>
      <c r="B1080" s="4">
        <v>9630</v>
      </c>
      <c r="C1080" t="s">
        <v>1820</v>
      </c>
      <c r="D1080" t="s">
        <v>1821</v>
      </c>
      <c r="E1080" t="s">
        <v>309</v>
      </c>
      <c r="F1080" t="s">
        <v>3632</v>
      </c>
      <c r="G1080" t="s">
        <v>3633</v>
      </c>
      <c r="H1080" t="s">
        <v>321</v>
      </c>
      <c r="I1080" t="s">
        <v>917</v>
      </c>
      <c r="J1080" t="s">
        <v>204</v>
      </c>
      <c r="K1080" t="s">
        <v>204</v>
      </c>
      <c r="L1080" t="s">
        <v>325</v>
      </c>
      <c r="M1080" t="s">
        <v>340</v>
      </c>
      <c r="N1080" t="s">
        <v>464</v>
      </c>
      <c r="O1080" t="s">
        <v>339</v>
      </c>
      <c r="P1080" t="s">
        <v>1212</v>
      </c>
      <c r="Q1080" s="131">
        <v>1455</v>
      </c>
      <c r="R1080" s="131">
        <v>1</v>
      </c>
      <c r="S1080" s="131">
        <v>5594</v>
      </c>
      <c r="U1080" s="131">
        <v>81.393000000000001</v>
      </c>
      <c r="V1080" s="132">
        <v>1.0000000000000001E-5</v>
      </c>
      <c r="W1080" s="132">
        <f t="shared" si="16"/>
        <v>5.203300471123975E-3</v>
      </c>
      <c r="X1080" s="132">
        <v>4.6417908197336359E-4</v>
      </c>
    </row>
    <row r="1081" spans="1:24">
      <c r="A1081" t="s">
        <v>1213</v>
      </c>
      <c r="B1081" s="4">
        <v>9630</v>
      </c>
      <c r="C1081" t="s">
        <v>2145</v>
      </c>
      <c r="D1081" t="s">
        <v>2146</v>
      </c>
      <c r="E1081" t="s">
        <v>309</v>
      </c>
      <c r="F1081" t="s">
        <v>3612</v>
      </c>
      <c r="G1081" t="s">
        <v>3613</v>
      </c>
      <c r="H1081" t="s">
        <v>321</v>
      </c>
      <c r="I1081" t="s">
        <v>917</v>
      </c>
      <c r="J1081" t="s">
        <v>204</v>
      </c>
      <c r="K1081" t="s">
        <v>204</v>
      </c>
      <c r="L1081" t="s">
        <v>325</v>
      </c>
      <c r="M1081" t="s">
        <v>340</v>
      </c>
      <c r="N1081" t="s">
        <v>445</v>
      </c>
      <c r="O1081" t="s">
        <v>339</v>
      </c>
      <c r="P1081" t="s">
        <v>1212</v>
      </c>
      <c r="Q1081" s="131">
        <v>1280</v>
      </c>
      <c r="R1081" s="131">
        <v>1</v>
      </c>
      <c r="S1081" s="131">
        <v>6329</v>
      </c>
      <c r="U1081" s="131">
        <v>81.010999999999996</v>
      </c>
      <c r="V1081" s="132">
        <v>2.0000000000000002E-5</v>
      </c>
      <c r="W1081" s="132">
        <f t="shared" si="16"/>
        <v>5.1788799339774223E-3</v>
      </c>
      <c r="X1081" s="132">
        <v>4.6200056036445585E-4</v>
      </c>
    </row>
    <row r="1082" spans="1:24">
      <c r="A1082" t="s">
        <v>1213</v>
      </c>
      <c r="B1082" s="4">
        <v>9630</v>
      </c>
      <c r="C1082" t="s">
        <v>1534</v>
      </c>
      <c r="D1082" t="s">
        <v>1535</v>
      </c>
      <c r="E1082" t="s">
        <v>309</v>
      </c>
      <c r="F1082" t="s">
        <v>1534</v>
      </c>
      <c r="G1082" t="s">
        <v>3509</v>
      </c>
      <c r="H1082" t="s">
        <v>321</v>
      </c>
      <c r="I1082" t="s">
        <v>917</v>
      </c>
      <c r="J1082" t="s">
        <v>204</v>
      </c>
      <c r="K1082" t="s">
        <v>204</v>
      </c>
      <c r="L1082" t="s">
        <v>325</v>
      </c>
      <c r="M1082" t="s">
        <v>340</v>
      </c>
      <c r="N1082" t="s">
        <v>464</v>
      </c>
      <c r="O1082" t="s">
        <v>339</v>
      </c>
      <c r="P1082" t="s">
        <v>1212</v>
      </c>
      <c r="Q1082" s="131">
        <v>4876</v>
      </c>
      <c r="R1082" s="131">
        <v>1</v>
      </c>
      <c r="S1082" s="131">
        <v>1609</v>
      </c>
      <c r="U1082" s="131">
        <v>78.454999999999998</v>
      </c>
      <c r="V1082" s="132">
        <v>1.0000000000000001E-5</v>
      </c>
      <c r="W1082" s="132">
        <f t="shared" si="16"/>
        <v>5.0154796906617454E-3</v>
      </c>
      <c r="X1082" s="132">
        <v>4.4742385556768074E-4</v>
      </c>
    </row>
    <row r="1083" spans="1:24">
      <c r="A1083" t="s">
        <v>1213</v>
      </c>
      <c r="B1083" s="4">
        <v>9630</v>
      </c>
      <c r="C1083" t="s">
        <v>3469</v>
      </c>
      <c r="D1083" t="s">
        <v>3470</v>
      </c>
      <c r="E1083" t="s">
        <v>309</v>
      </c>
      <c r="F1083" t="s">
        <v>3471</v>
      </c>
      <c r="G1083" t="s">
        <v>3472</v>
      </c>
      <c r="H1083" t="s">
        <v>321</v>
      </c>
      <c r="I1083" t="s">
        <v>917</v>
      </c>
      <c r="J1083" t="s">
        <v>204</v>
      </c>
      <c r="K1083" t="s">
        <v>204</v>
      </c>
      <c r="L1083" t="s">
        <v>325</v>
      </c>
      <c r="M1083" t="s">
        <v>340</v>
      </c>
      <c r="N1083" t="s">
        <v>454</v>
      </c>
      <c r="O1083" t="s">
        <v>339</v>
      </c>
      <c r="P1083" t="s">
        <v>1212</v>
      </c>
      <c r="Q1083" s="131">
        <v>6884</v>
      </c>
      <c r="R1083" s="131">
        <v>1</v>
      </c>
      <c r="S1083" s="131">
        <v>1025</v>
      </c>
      <c r="U1083" s="131">
        <v>70.561000000000007</v>
      </c>
      <c r="V1083" s="132">
        <v>1.0000000000000001E-5</v>
      </c>
      <c r="W1083" s="132">
        <f t="shared" si="16"/>
        <v>4.5108312083714675E-3</v>
      </c>
      <c r="X1083" s="132">
        <v>4.0240487760768751E-4</v>
      </c>
    </row>
    <row r="1084" spans="1:24">
      <c r="A1084" t="s">
        <v>1213</v>
      </c>
      <c r="B1084" s="4">
        <v>9630</v>
      </c>
      <c r="C1084" t="s">
        <v>3433</v>
      </c>
      <c r="D1084" t="s">
        <v>3434</v>
      </c>
      <c r="E1084" t="s">
        <v>309</v>
      </c>
      <c r="F1084" t="s">
        <v>3433</v>
      </c>
      <c r="G1084" t="s">
        <v>3435</v>
      </c>
      <c r="H1084" t="s">
        <v>321</v>
      </c>
      <c r="I1084" t="s">
        <v>917</v>
      </c>
      <c r="J1084" t="s">
        <v>204</v>
      </c>
      <c r="K1084" t="s">
        <v>204</v>
      </c>
      <c r="L1084" t="s">
        <v>325</v>
      </c>
      <c r="M1084" t="s">
        <v>340</v>
      </c>
      <c r="N1084" t="s">
        <v>458</v>
      </c>
      <c r="O1084" t="s">
        <v>339</v>
      </c>
      <c r="P1084" t="s">
        <v>1212</v>
      </c>
      <c r="Q1084" s="131">
        <v>219</v>
      </c>
      <c r="R1084" s="131">
        <v>1</v>
      </c>
      <c r="S1084" s="131">
        <v>29980</v>
      </c>
      <c r="U1084" s="131">
        <v>65.656000000000006</v>
      </c>
      <c r="V1084" s="132">
        <v>0</v>
      </c>
      <c r="W1084" s="132">
        <f t="shared" si="16"/>
        <v>4.1972638400368063E-3</v>
      </c>
      <c r="X1084" s="132">
        <v>3.7443197579697468E-4</v>
      </c>
    </row>
    <row r="1085" spans="1:24">
      <c r="A1085" t="s">
        <v>1213</v>
      </c>
      <c r="B1085" s="4">
        <v>9630</v>
      </c>
      <c r="C1085" t="s">
        <v>2454</v>
      </c>
      <c r="D1085" t="s">
        <v>2455</v>
      </c>
      <c r="E1085" t="s">
        <v>309</v>
      </c>
      <c r="F1085" t="s">
        <v>2454</v>
      </c>
      <c r="G1085" t="s">
        <v>3618</v>
      </c>
      <c r="H1085" t="s">
        <v>321</v>
      </c>
      <c r="I1085" t="s">
        <v>917</v>
      </c>
      <c r="J1085" t="s">
        <v>204</v>
      </c>
      <c r="K1085" t="s">
        <v>204</v>
      </c>
      <c r="L1085" t="s">
        <v>325</v>
      </c>
      <c r="M1085" t="s">
        <v>340</v>
      </c>
      <c r="N1085" t="s">
        <v>478</v>
      </c>
      <c r="O1085" t="s">
        <v>339</v>
      </c>
      <c r="P1085" t="s">
        <v>1212</v>
      </c>
      <c r="Q1085" s="131">
        <v>4653.92</v>
      </c>
      <c r="R1085" s="131">
        <v>1</v>
      </c>
      <c r="S1085" s="131">
        <v>1373</v>
      </c>
      <c r="U1085" s="131">
        <v>63.898000000000003</v>
      </c>
      <c r="V1085" s="132">
        <v>2.0000000000000002E-5</v>
      </c>
      <c r="W1085" s="132">
        <f t="shared" si="16"/>
        <v>4.0848782266764928E-3</v>
      </c>
      <c r="X1085" s="132">
        <v>3.6440621404708004E-4</v>
      </c>
    </row>
    <row r="1086" spans="1:24">
      <c r="A1086" t="s">
        <v>1213</v>
      </c>
      <c r="B1086" s="4">
        <v>9630</v>
      </c>
      <c r="C1086" t="s">
        <v>3694</v>
      </c>
      <c r="D1086" t="s">
        <v>3695</v>
      </c>
      <c r="E1086" t="s">
        <v>309</v>
      </c>
      <c r="F1086" t="s">
        <v>3694</v>
      </c>
      <c r="G1086" t="s">
        <v>3696</v>
      </c>
      <c r="H1086" t="s">
        <v>321</v>
      </c>
      <c r="I1086" t="s">
        <v>917</v>
      </c>
      <c r="J1086" t="s">
        <v>204</v>
      </c>
      <c r="K1086" t="s">
        <v>204</v>
      </c>
      <c r="L1086" t="s">
        <v>325</v>
      </c>
      <c r="M1086" t="s">
        <v>340</v>
      </c>
      <c r="N1086" t="s">
        <v>451</v>
      </c>
      <c r="O1086" t="s">
        <v>339</v>
      </c>
      <c r="P1086" t="s">
        <v>1212</v>
      </c>
      <c r="Q1086" s="131">
        <v>554</v>
      </c>
      <c r="R1086" s="131">
        <v>1</v>
      </c>
      <c r="S1086" s="131">
        <v>11080</v>
      </c>
      <c r="U1086" s="131">
        <v>61.383000000000003</v>
      </c>
      <c r="V1086" s="132">
        <v>2.0000000000000002E-5</v>
      </c>
      <c r="W1086" s="132">
        <f t="shared" si="16"/>
        <v>3.9240990357770691E-3</v>
      </c>
      <c r="X1086" s="132">
        <v>3.5006332963241285E-4</v>
      </c>
    </row>
    <row r="1087" spans="1:24">
      <c r="A1087" t="s">
        <v>1213</v>
      </c>
      <c r="B1087" s="4">
        <v>9630</v>
      </c>
      <c r="C1087" t="s">
        <v>1737</v>
      </c>
      <c r="D1087" t="s">
        <v>1738</v>
      </c>
      <c r="E1087" t="s">
        <v>309</v>
      </c>
      <c r="F1087" t="s">
        <v>3530</v>
      </c>
      <c r="G1087" t="s">
        <v>3531</v>
      </c>
      <c r="H1087" t="s">
        <v>321</v>
      </c>
      <c r="I1087" t="s">
        <v>917</v>
      </c>
      <c r="J1087" t="s">
        <v>204</v>
      </c>
      <c r="K1087" t="s">
        <v>204</v>
      </c>
      <c r="L1087" t="s">
        <v>325</v>
      </c>
      <c r="M1087" t="s">
        <v>340</v>
      </c>
      <c r="N1087" t="s">
        <v>447</v>
      </c>
      <c r="O1087" t="s">
        <v>339</v>
      </c>
      <c r="P1087" t="s">
        <v>1212</v>
      </c>
      <c r="Q1087" s="131">
        <v>2714</v>
      </c>
      <c r="R1087" s="131">
        <v>1</v>
      </c>
      <c r="S1087" s="131">
        <v>1628</v>
      </c>
      <c r="U1087" s="131">
        <v>44.183999999999997</v>
      </c>
      <c r="V1087" s="132">
        <v>4.0000000000000003E-5</v>
      </c>
      <c r="W1087" s="132">
        <f t="shared" si="16"/>
        <v>2.8245995112127788E-3</v>
      </c>
      <c r="X1087" s="132">
        <v>2.5197853080622529E-4</v>
      </c>
    </row>
    <row r="1088" spans="1:24">
      <c r="A1088" t="s">
        <v>1213</v>
      </c>
      <c r="B1088" s="4">
        <v>9630</v>
      </c>
      <c r="C1088" t="s">
        <v>3451</v>
      </c>
      <c r="D1088" t="s">
        <v>3452</v>
      </c>
      <c r="E1088" t="s">
        <v>309</v>
      </c>
      <c r="F1088" t="s">
        <v>3453</v>
      </c>
      <c r="G1088" t="s">
        <v>3454</v>
      </c>
      <c r="H1088" t="s">
        <v>321</v>
      </c>
      <c r="I1088" t="s">
        <v>917</v>
      </c>
      <c r="J1088" t="s">
        <v>204</v>
      </c>
      <c r="K1088" t="s">
        <v>204</v>
      </c>
      <c r="L1088" t="s">
        <v>325</v>
      </c>
      <c r="M1088" t="s">
        <v>340</v>
      </c>
      <c r="N1088" t="s">
        <v>448</v>
      </c>
      <c r="O1088" t="s">
        <v>339</v>
      </c>
      <c r="P1088" t="s">
        <v>1212</v>
      </c>
      <c r="Q1088" s="131">
        <v>271</v>
      </c>
      <c r="R1088" s="131">
        <v>1</v>
      </c>
      <c r="S1088" s="131">
        <v>15410</v>
      </c>
      <c r="U1088" s="131">
        <v>41.761000000000003</v>
      </c>
      <c r="V1088" s="132">
        <v>0</v>
      </c>
      <c r="W1088" s="132">
        <f t="shared" si="16"/>
        <v>2.6697017062229963E-3</v>
      </c>
      <c r="X1088" s="132">
        <v>2.3816031651726361E-4</v>
      </c>
    </row>
    <row r="1089" spans="1:24">
      <c r="A1089" t="s">
        <v>1213</v>
      </c>
      <c r="B1089" s="4">
        <v>9630</v>
      </c>
      <c r="C1089" t="s">
        <v>3284</v>
      </c>
      <c r="D1089" t="s">
        <v>3285</v>
      </c>
      <c r="E1089" t="s">
        <v>311</v>
      </c>
      <c r="F1089" t="s">
        <v>3284</v>
      </c>
      <c r="G1089" t="s">
        <v>3510</v>
      </c>
      <c r="H1089" t="s">
        <v>321</v>
      </c>
      <c r="I1089" t="s">
        <v>917</v>
      </c>
      <c r="J1089" t="s">
        <v>204</v>
      </c>
      <c r="K1089" t="s">
        <v>233</v>
      </c>
      <c r="L1089" t="s">
        <v>325</v>
      </c>
      <c r="M1089" t="s">
        <v>340</v>
      </c>
      <c r="N1089" t="s">
        <v>454</v>
      </c>
      <c r="O1089" t="s">
        <v>339</v>
      </c>
      <c r="P1089" t="s">
        <v>1212</v>
      </c>
      <c r="Q1089" s="131">
        <v>747</v>
      </c>
      <c r="R1089" s="131">
        <v>1</v>
      </c>
      <c r="S1089" s="131">
        <v>4556</v>
      </c>
      <c r="T1089" s="131">
        <f>0.834-2.68900000000008/1000/R1089</f>
        <v>0.83131099999999991</v>
      </c>
      <c r="U1089" s="131">
        <f>34.867-2.68900000000008/1000</f>
        <v>34.864311000000001</v>
      </c>
      <c r="V1089" s="132">
        <v>0</v>
      </c>
      <c r="W1089" s="132">
        <f t="shared" si="16"/>
        <v>2.2288094289645644E-3</v>
      </c>
      <c r="X1089" s="132">
        <v>1.9882893951093879E-4</v>
      </c>
    </row>
    <row r="1090" spans="1:24">
      <c r="A1090" t="s">
        <v>1213</v>
      </c>
      <c r="B1090" s="4">
        <v>9630</v>
      </c>
      <c r="C1090" t="s">
        <v>3852</v>
      </c>
      <c r="D1090" t="s">
        <v>3853</v>
      </c>
      <c r="E1090" t="s">
        <v>309</v>
      </c>
      <c r="F1090" t="s">
        <v>3854</v>
      </c>
      <c r="G1090" t="s">
        <v>3855</v>
      </c>
      <c r="H1090" t="s">
        <v>321</v>
      </c>
      <c r="I1090" t="s">
        <v>917</v>
      </c>
      <c r="J1090" t="s">
        <v>204</v>
      </c>
      <c r="K1090" t="s">
        <v>204</v>
      </c>
      <c r="L1090" t="s">
        <v>325</v>
      </c>
      <c r="M1090" t="s">
        <v>340</v>
      </c>
      <c r="N1090" t="s">
        <v>450</v>
      </c>
      <c r="O1090" t="s">
        <v>339</v>
      </c>
      <c r="P1090" t="s">
        <v>1212</v>
      </c>
      <c r="Q1090" s="131">
        <v>20915</v>
      </c>
      <c r="R1090" s="131">
        <v>1</v>
      </c>
      <c r="S1090" s="131">
        <v>161</v>
      </c>
      <c r="U1090" s="131">
        <v>33.673000000000002</v>
      </c>
      <c r="V1090" s="132">
        <v>1.6900000000000001E-3</v>
      </c>
      <c r="W1090" s="132">
        <f t="shared" si="16"/>
        <v>2.1526511710363008E-3</v>
      </c>
      <c r="X1090" s="132">
        <v>1.9203496894436956E-4</v>
      </c>
    </row>
    <row r="1091" spans="1:24">
      <c r="A1091" t="s">
        <v>1213</v>
      </c>
      <c r="B1091" s="4">
        <v>9630</v>
      </c>
      <c r="C1091" t="s">
        <v>3789</v>
      </c>
      <c r="D1091" t="s">
        <v>3790</v>
      </c>
      <c r="E1091" t="s">
        <v>309</v>
      </c>
      <c r="F1091" t="s">
        <v>3791</v>
      </c>
      <c r="G1091" t="s">
        <v>3792</v>
      </c>
      <c r="H1091" t="s">
        <v>321</v>
      </c>
      <c r="I1091" t="s">
        <v>917</v>
      </c>
      <c r="J1091" t="s">
        <v>204</v>
      </c>
      <c r="K1091" t="s">
        <v>204</v>
      </c>
      <c r="L1091" t="s">
        <v>325</v>
      </c>
      <c r="M1091" t="s">
        <v>340</v>
      </c>
      <c r="N1091" t="s">
        <v>450</v>
      </c>
      <c r="O1091" t="s">
        <v>339</v>
      </c>
      <c r="P1091" t="s">
        <v>1212</v>
      </c>
      <c r="Q1091" s="131">
        <v>11600</v>
      </c>
      <c r="R1091" s="131">
        <v>1</v>
      </c>
      <c r="S1091" s="131">
        <v>108.6</v>
      </c>
      <c r="U1091" s="131">
        <v>12.598000000000001</v>
      </c>
      <c r="V1091" s="132">
        <v>2.8700000000000002E-3</v>
      </c>
      <c r="W1091" s="132">
        <f t="shared" ref="W1091:W1154" si="17">U1091/SUMIF(B:B,B1091,U:U)</f>
        <v>8.05366300974529E-4</v>
      </c>
      <c r="X1091" s="132">
        <v>7.1845589604762502E-5</v>
      </c>
    </row>
    <row r="1092" spans="1:24">
      <c r="A1092" t="s">
        <v>1213</v>
      </c>
      <c r="B1092" s="4">
        <v>9630</v>
      </c>
      <c r="C1092" t="s">
        <v>3119</v>
      </c>
      <c r="D1092" t="s">
        <v>3120</v>
      </c>
      <c r="E1092" t="s">
        <v>80</v>
      </c>
      <c r="F1092" t="s">
        <v>3718</v>
      </c>
      <c r="G1092" t="s">
        <v>3719</v>
      </c>
      <c r="H1092" t="s">
        <v>321</v>
      </c>
      <c r="I1092" t="s">
        <v>917</v>
      </c>
      <c r="J1092" t="s">
        <v>205</v>
      </c>
      <c r="K1092" t="s">
        <v>224</v>
      </c>
      <c r="L1092" t="s">
        <v>325</v>
      </c>
      <c r="M1092" t="s">
        <v>344</v>
      </c>
      <c r="N1092" t="s">
        <v>544</v>
      </c>
      <c r="O1092" t="s">
        <v>339</v>
      </c>
      <c r="P1092" t="s">
        <v>1216</v>
      </c>
      <c r="Q1092" s="131">
        <v>1244</v>
      </c>
      <c r="R1092" s="131">
        <v>3.71</v>
      </c>
      <c r="S1092" s="131">
        <v>18633</v>
      </c>
      <c r="U1092" s="131">
        <v>859.95799999999997</v>
      </c>
      <c r="V1092" s="132">
        <v>0</v>
      </c>
      <c r="W1092" s="132">
        <f t="shared" si="17"/>
        <v>5.4975487653076201E-2</v>
      </c>
      <c r="X1092" s="132">
        <v>4.9042855647985668E-3</v>
      </c>
    </row>
    <row r="1093" spans="1:24">
      <c r="A1093" t="s">
        <v>1213</v>
      </c>
      <c r="B1093" s="4">
        <v>9630</v>
      </c>
      <c r="C1093" t="s">
        <v>3550</v>
      </c>
      <c r="D1093" t="s">
        <v>3551</v>
      </c>
      <c r="E1093" t="s">
        <v>80</v>
      </c>
      <c r="F1093" t="s">
        <v>3552</v>
      </c>
      <c r="G1093" t="s">
        <v>3553</v>
      </c>
      <c r="H1093" t="s">
        <v>321</v>
      </c>
      <c r="I1093" t="s">
        <v>917</v>
      </c>
      <c r="J1093" t="s">
        <v>205</v>
      </c>
      <c r="K1093" t="s">
        <v>224</v>
      </c>
      <c r="L1093" t="s">
        <v>325</v>
      </c>
      <c r="M1093" t="s">
        <v>344</v>
      </c>
      <c r="N1093" t="s">
        <v>544</v>
      </c>
      <c r="O1093" t="s">
        <v>339</v>
      </c>
      <c r="P1093" t="s">
        <v>1216</v>
      </c>
      <c r="Q1093" s="131">
        <v>446</v>
      </c>
      <c r="R1093" s="131">
        <v>3.71</v>
      </c>
      <c r="S1093" s="131">
        <v>43030</v>
      </c>
      <c r="U1093" s="131">
        <v>712</v>
      </c>
      <c r="V1093" s="132">
        <v>0</v>
      </c>
      <c r="W1093" s="132">
        <f t="shared" si="17"/>
        <v>4.5516812692003861E-2</v>
      </c>
      <c r="X1093" s="132">
        <v>4.0604905380688125E-3</v>
      </c>
    </row>
    <row r="1094" spans="1:24">
      <c r="A1094" t="s">
        <v>1213</v>
      </c>
      <c r="B1094" s="4">
        <v>9630</v>
      </c>
      <c r="C1094" t="s">
        <v>3563</v>
      </c>
      <c r="D1094" t="s">
        <v>3564</v>
      </c>
      <c r="E1094" t="s">
        <v>80</v>
      </c>
      <c r="F1094" t="s">
        <v>3565</v>
      </c>
      <c r="G1094" t="s">
        <v>3566</v>
      </c>
      <c r="H1094" t="s">
        <v>321</v>
      </c>
      <c r="I1094" t="s">
        <v>917</v>
      </c>
      <c r="J1094" t="s">
        <v>205</v>
      </c>
      <c r="K1094" t="s">
        <v>224</v>
      </c>
      <c r="L1094" t="s">
        <v>325</v>
      </c>
      <c r="M1094" t="s">
        <v>344</v>
      </c>
      <c r="N1094" t="s">
        <v>546</v>
      </c>
      <c r="O1094" t="s">
        <v>339</v>
      </c>
      <c r="P1094" t="s">
        <v>1216</v>
      </c>
      <c r="Q1094" s="131">
        <v>753</v>
      </c>
      <c r="R1094" s="131">
        <v>3.71</v>
      </c>
      <c r="S1094" s="131">
        <v>23300</v>
      </c>
      <c r="U1094" s="131">
        <v>650.91600000000005</v>
      </c>
      <c r="V1094" s="132">
        <v>0</v>
      </c>
      <c r="W1094" s="132">
        <f t="shared" si="17"/>
        <v>4.1611828160433129E-2</v>
      </c>
      <c r="X1094" s="132">
        <v>3.7121323863449429E-3</v>
      </c>
    </row>
    <row r="1095" spans="1:24">
      <c r="A1095" t="s">
        <v>1213</v>
      </c>
      <c r="B1095" s="4">
        <v>9630</v>
      </c>
      <c r="C1095" t="s">
        <v>3227</v>
      </c>
      <c r="D1095" t="s">
        <v>3228</v>
      </c>
      <c r="E1095" t="s">
        <v>80</v>
      </c>
      <c r="F1095" t="s">
        <v>3548</v>
      </c>
      <c r="G1095" t="s">
        <v>3549</v>
      </c>
      <c r="H1095" t="s">
        <v>321</v>
      </c>
      <c r="I1095" t="s">
        <v>917</v>
      </c>
      <c r="J1095" t="s">
        <v>205</v>
      </c>
      <c r="K1095" t="s">
        <v>301</v>
      </c>
      <c r="L1095" t="s">
        <v>325</v>
      </c>
      <c r="M1095" t="s">
        <v>344</v>
      </c>
      <c r="N1095" t="s">
        <v>548</v>
      </c>
      <c r="O1095" t="s">
        <v>339</v>
      </c>
      <c r="P1095" t="s">
        <v>1216</v>
      </c>
      <c r="Q1095" s="131">
        <v>800</v>
      </c>
      <c r="R1095" s="131">
        <v>3.71</v>
      </c>
      <c r="S1095" s="131">
        <v>17367</v>
      </c>
      <c r="T1095" s="131">
        <f>0.314+334.5500002/1000/R1095</f>
        <v>0.40417520221024261</v>
      </c>
      <c r="U1095" s="131">
        <f>516.616+334.5500002/1000</f>
        <v>516.9505500002</v>
      </c>
      <c r="V1095" s="132">
        <v>0</v>
      </c>
      <c r="W1095" s="132">
        <f t="shared" si="17"/>
        <v>3.3047670442959941E-2</v>
      </c>
      <c r="X1095" s="132">
        <v>2.9481359788276415E-3</v>
      </c>
    </row>
    <row r="1096" spans="1:24">
      <c r="A1096" t="s">
        <v>1213</v>
      </c>
      <c r="B1096" s="4">
        <v>9630</v>
      </c>
      <c r="C1096" t="s">
        <v>3209</v>
      </c>
      <c r="D1096" t="s">
        <v>3210</v>
      </c>
      <c r="E1096" t="s">
        <v>80</v>
      </c>
      <c r="F1096" t="s">
        <v>3209</v>
      </c>
      <c r="G1096" t="s">
        <v>3562</v>
      </c>
      <c r="H1096" t="s">
        <v>321</v>
      </c>
      <c r="I1096" t="s">
        <v>917</v>
      </c>
      <c r="J1096" t="s">
        <v>205</v>
      </c>
      <c r="K1096" t="s">
        <v>224</v>
      </c>
      <c r="L1096" t="s">
        <v>325</v>
      </c>
      <c r="M1096" t="s">
        <v>340</v>
      </c>
      <c r="N1096" t="s">
        <v>545</v>
      </c>
      <c r="O1096" t="s">
        <v>339</v>
      </c>
      <c r="P1096" t="s">
        <v>1216</v>
      </c>
      <c r="Q1096" s="131">
        <v>217</v>
      </c>
      <c r="R1096" s="131">
        <v>3.71</v>
      </c>
      <c r="S1096" s="131">
        <v>57244</v>
      </c>
      <c r="U1096" s="131">
        <v>460.85399999999998</v>
      </c>
      <c r="V1096" s="132">
        <v>0</v>
      </c>
      <c r="W1096" s="132">
        <f t="shared" si="17"/>
        <v>2.946152415219206E-2</v>
      </c>
      <c r="X1096" s="132">
        <v>2.6282209359988263E-3</v>
      </c>
    </row>
    <row r="1097" spans="1:24">
      <c r="A1097" t="s">
        <v>1213</v>
      </c>
      <c r="B1097" s="4">
        <v>9630</v>
      </c>
      <c r="C1097" t="s">
        <v>3544</v>
      </c>
      <c r="D1097" t="s">
        <v>3545</v>
      </c>
      <c r="E1097" t="s">
        <v>80</v>
      </c>
      <c r="F1097" t="s">
        <v>3546</v>
      </c>
      <c r="G1097" t="s">
        <v>3547</v>
      </c>
      <c r="H1097" t="s">
        <v>321</v>
      </c>
      <c r="I1097" t="s">
        <v>917</v>
      </c>
      <c r="J1097" t="s">
        <v>205</v>
      </c>
      <c r="K1097" t="s">
        <v>224</v>
      </c>
      <c r="L1097" t="s">
        <v>325</v>
      </c>
      <c r="M1097" t="s">
        <v>344</v>
      </c>
      <c r="N1097" t="s">
        <v>545</v>
      </c>
      <c r="O1097" t="s">
        <v>339</v>
      </c>
      <c r="P1097" t="s">
        <v>1216</v>
      </c>
      <c r="Q1097" s="131">
        <v>739</v>
      </c>
      <c r="R1097" s="131">
        <v>3.71</v>
      </c>
      <c r="S1097" s="131">
        <v>16719</v>
      </c>
      <c r="U1097" s="131">
        <v>458.38299999999998</v>
      </c>
      <c r="V1097" s="132">
        <v>0</v>
      </c>
      <c r="W1097" s="132">
        <f t="shared" si="17"/>
        <v>2.930355779803203E-2</v>
      </c>
      <c r="X1097" s="132">
        <v>2.6141289807747139E-3</v>
      </c>
    </row>
    <row r="1098" spans="1:24">
      <c r="A1098" t="s">
        <v>1213</v>
      </c>
      <c r="B1098" s="4">
        <v>9630</v>
      </c>
      <c r="C1098" t="s">
        <v>3797</v>
      </c>
      <c r="D1098" t="s">
        <v>3798</v>
      </c>
      <c r="E1098" t="s">
        <v>80</v>
      </c>
      <c r="F1098" t="s">
        <v>3799</v>
      </c>
      <c r="G1098" t="s">
        <v>3800</v>
      </c>
      <c r="H1098" t="s">
        <v>321</v>
      </c>
      <c r="I1098" t="s">
        <v>917</v>
      </c>
      <c r="J1098" t="s">
        <v>205</v>
      </c>
      <c r="K1098" t="s">
        <v>224</v>
      </c>
      <c r="L1098" t="s">
        <v>325</v>
      </c>
      <c r="M1098" t="s">
        <v>344</v>
      </c>
      <c r="N1098" t="s">
        <v>548</v>
      </c>
      <c r="O1098" t="s">
        <v>339</v>
      </c>
      <c r="P1098" t="s">
        <v>1216</v>
      </c>
      <c r="Q1098" s="131">
        <v>3557</v>
      </c>
      <c r="R1098" s="131">
        <v>3.71</v>
      </c>
      <c r="S1098" s="131">
        <v>2291</v>
      </c>
      <c r="U1098" s="131">
        <v>302.33100000000002</v>
      </c>
      <c r="V1098" s="132">
        <v>6.0000000000000002E-5</v>
      </c>
      <c r="W1098" s="132">
        <f t="shared" si="17"/>
        <v>1.9327448733126713E-2</v>
      </c>
      <c r="X1098" s="132">
        <v>1.7241743888551718E-3</v>
      </c>
    </row>
    <row r="1099" spans="1:24">
      <c r="A1099" t="s">
        <v>1213</v>
      </c>
      <c r="B1099" s="4">
        <v>9630</v>
      </c>
      <c r="C1099" t="s">
        <v>3801</v>
      </c>
      <c r="D1099" t="s">
        <v>3802</v>
      </c>
      <c r="E1099" t="s">
        <v>80</v>
      </c>
      <c r="F1099" t="s">
        <v>3803</v>
      </c>
      <c r="G1099" t="s">
        <v>3804</v>
      </c>
      <c r="H1099" t="s">
        <v>321</v>
      </c>
      <c r="I1099" t="s">
        <v>917</v>
      </c>
      <c r="J1099" t="s">
        <v>205</v>
      </c>
      <c r="K1099" t="s">
        <v>224</v>
      </c>
      <c r="L1099" t="s">
        <v>325</v>
      </c>
      <c r="M1099" t="s">
        <v>344</v>
      </c>
      <c r="N1099" t="s">
        <v>548</v>
      </c>
      <c r="O1099" t="s">
        <v>339</v>
      </c>
      <c r="P1099" t="s">
        <v>1216</v>
      </c>
      <c r="Q1099" s="131">
        <v>512</v>
      </c>
      <c r="R1099" s="131">
        <v>3.71</v>
      </c>
      <c r="S1099" s="131">
        <v>12144</v>
      </c>
      <c r="T1099" s="131">
        <f>0.004+4.7052/1000/R1099</f>
        <v>5.2682479784366574E-3</v>
      </c>
      <c r="U1099" s="131">
        <f>230.692+4.7052/1000</f>
        <v>230.6967052</v>
      </c>
      <c r="V1099" s="132">
        <v>0</v>
      </c>
      <c r="W1099" s="132">
        <f t="shared" si="17"/>
        <v>1.4748003819172519E-2</v>
      </c>
      <c r="X1099" s="132">
        <v>1.3156485795340592E-3</v>
      </c>
    </row>
    <row r="1100" spans="1:24">
      <c r="A1100" t="s">
        <v>1213</v>
      </c>
      <c r="B1100" s="4">
        <v>9630</v>
      </c>
      <c r="C1100" t="s">
        <v>3793</v>
      </c>
      <c r="D1100" t="s">
        <v>3794</v>
      </c>
      <c r="E1100" t="s">
        <v>309</v>
      </c>
      <c r="F1100" t="s">
        <v>3795</v>
      </c>
      <c r="G1100" t="s">
        <v>3796</v>
      </c>
      <c r="H1100" t="s">
        <v>321</v>
      </c>
      <c r="I1100" t="s">
        <v>917</v>
      </c>
      <c r="J1100" t="s">
        <v>205</v>
      </c>
      <c r="K1100" t="s">
        <v>204</v>
      </c>
      <c r="L1100" t="s">
        <v>325</v>
      </c>
      <c r="M1100" t="s">
        <v>346</v>
      </c>
      <c r="N1100" t="s">
        <v>544</v>
      </c>
      <c r="O1100" t="s">
        <v>339</v>
      </c>
      <c r="P1100" t="s">
        <v>1216</v>
      </c>
      <c r="Q1100" s="131">
        <v>5391.33</v>
      </c>
      <c r="R1100" s="131">
        <v>3.71</v>
      </c>
      <c r="S1100" s="131">
        <v>706</v>
      </c>
      <c r="U1100" s="131">
        <v>141.21299999999999</v>
      </c>
      <c r="V1100" s="132">
        <v>5.0000000000000001E-4</v>
      </c>
      <c r="W1100" s="132">
        <f t="shared" si="17"/>
        <v>9.0274798745448616E-3</v>
      </c>
      <c r="X1100" s="132">
        <v>8.0532872240493146E-4</v>
      </c>
    </row>
    <row r="1101" spans="1:24">
      <c r="A1101" t="s">
        <v>1213</v>
      </c>
      <c r="B1101" s="4">
        <v>9630</v>
      </c>
      <c r="C1101" t="s">
        <v>3805</v>
      </c>
      <c r="D1101" t="s">
        <v>3806</v>
      </c>
      <c r="E1101" t="s">
        <v>311</v>
      </c>
      <c r="F1101" t="s">
        <v>3807</v>
      </c>
      <c r="G1101" t="s">
        <v>3808</v>
      </c>
      <c r="H1101" t="s">
        <v>321</v>
      </c>
      <c r="I1101" t="s">
        <v>917</v>
      </c>
      <c r="J1101" t="s">
        <v>205</v>
      </c>
      <c r="K1101" t="s">
        <v>204</v>
      </c>
      <c r="L1101" t="s">
        <v>325</v>
      </c>
      <c r="M1101" t="s">
        <v>346</v>
      </c>
      <c r="N1101" t="s">
        <v>544</v>
      </c>
      <c r="O1101" t="s">
        <v>339</v>
      </c>
      <c r="P1101" t="s">
        <v>1216</v>
      </c>
      <c r="Q1101" s="131">
        <v>181</v>
      </c>
      <c r="R1101" s="131">
        <v>3.71</v>
      </c>
      <c r="S1101" s="131">
        <v>16717</v>
      </c>
      <c r="U1101" s="131">
        <v>112.256</v>
      </c>
      <c r="V1101" s="132">
        <v>0</v>
      </c>
      <c r="W1101" s="132">
        <f t="shared" si="17"/>
        <v>7.1763136594853727E-3</v>
      </c>
      <c r="X1101" s="132">
        <v>6.4018880033911885E-4</v>
      </c>
    </row>
    <row r="1102" spans="1:24">
      <c r="A1102" t="s">
        <v>1213</v>
      </c>
      <c r="B1102" s="4">
        <v>9630</v>
      </c>
      <c r="C1102" t="s">
        <v>3809</v>
      </c>
      <c r="D1102" t="s">
        <v>3810</v>
      </c>
      <c r="E1102" t="s">
        <v>309</v>
      </c>
      <c r="F1102" t="s">
        <v>3811</v>
      </c>
      <c r="G1102" t="s">
        <v>3812</v>
      </c>
      <c r="H1102" t="s">
        <v>321</v>
      </c>
      <c r="I1102" t="s">
        <v>917</v>
      </c>
      <c r="J1102" t="s">
        <v>205</v>
      </c>
      <c r="K1102" t="s">
        <v>204</v>
      </c>
      <c r="L1102" t="s">
        <v>325</v>
      </c>
      <c r="M1102" t="s">
        <v>346</v>
      </c>
      <c r="N1102" t="s">
        <v>546</v>
      </c>
      <c r="O1102" t="s">
        <v>339</v>
      </c>
      <c r="P1102" t="s">
        <v>1216</v>
      </c>
      <c r="Q1102" s="131">
        <v>4995</v>
      </c>
      <c r="R1102" s="131">
        <v>3.71</v>
      </c>
      <c r="S1102" s="131">
        <v>191</v>
      </c>
      <c r="U1102" s="131">
        <v>35.395000000000003</v>
      </c>
      <c r="V1102" s="132">
        <v>6.0000000000000002E-5</v>
      </c>
      <c r="W1102" s="132">
        <f t="shared" si="17"/>
        <v>2.2627353725189281E-3</v>
      </c>
      <c r="X1102" s="132">
        <v>2.0185542499290117E-4</v>
      </c>
    </row>
    <row r="1103" spans="1:24">
      <c r="A1103" t="s">
        <v>1213</v>
      </c>
      <c r="B1103" s="4">
        <v>9630</v>
      </c>
      <c r="C1103" t="s">
        <v>3813</v>
      </c>
      <c r="D1103" t="s">
        <v>3814</v>
      </c>
      <c r="E1103" t="s">
        <v>311</v>
      </c>
      <c r="F1103" t="s">
        <v>3815</v>
      </c>
      <c r="G1103" t="s">
        <v>3816</v>
      </c>
      <c r="H1103" t="s">
        <v>321</v>
      </c>
      <c r="I1103" t="s">
        <v>917</v>
      </c>
      <c r="J1103" t="s">
        <v>205</v>
      </c>
      <c r="K1103" t="s">
        <v>224</v>
      </c>
      <c r="L1103" t="s">
        <v>325</v>
      </c>
      <c r="M1103" t="s">
        <v>346</v>
      </c>
      <c r="N1103" t="s">
        <v>486</v>
      </c>
      <c r="O1103" t="s">
        <v>339</v>
      </c>
      <c r="P1103" t="s">
        <v>1216</v>
      </c>
      <c r="Q1103" s="131">
        <v>596</v>
      </c>
      <c r="R1103" s="131">
        <v>3.71</v>
      </c>
      <c r="S1103" s="131">
        <v>702</v>
      </c>
      <c r="U1103" s="131">
        <v>15.522</v>
      </c>
      <c r="V1103" s="132">
        <v>1.0000000000000001E-5</v>
      </c>
      <c r="W1103" s="132">
        <f t="shared" si="17"/>
        <v>9.922920879287696E-4</v>
      </c>
      <c r="X1103" s="132">
        <v>8.8520974904359701E-5</v>
      </c>
    </row>
    <row r="1104" spans="1:24">
      <c r="A1104" t="s">
        <v>1213</v>
      </c>
      <c r="B1104" s="4">
        <v>9630</v>
      </c>
      <c r="C1104" t="s">
        <v>3825</v>
      </c>
      <c r="D1104" t="s">
        <v>3826</v>
      </c>
      <c r="E1104" t="s">
        <v>80</v>
      </c>
      <c r="F1104" t="s">
        <v>3827</v>
      </c>
      <c r="G1104" t="s">
        <v>3828</v>
      </c>
      <c r="H1104" t="s">
        <v>321</v>
      </c>
      <c r="I1104" t="s">
        <v>917</v>
      </c>
      <c r="J1104" t="s">
        <v>205</v>
      </c>
      <c r="K1104" t="s">
        <v>272</v>
      </c>
      <c r="L1104" t="s">
        <v>325</v>
      </c>
      <c r="M1104" t="s">
        <v>314</v>
      </c>
      <c r="N1104" t="s">
        <v>568</v>
      </c>
      <c r="O1104" t="s">
        <v>339</v>
      </c>
      <c r="P1104" t="s">
        <v>1218</v>
      </c>
      <c r="Q1104" s="131">
        <v>2302</v>
      </c>
      <c r="R1104" s="131">
        <v>4.1524000000000001</v>
      </c>
      <c r="S1104" s="131">
        <v>102</v>
      </c>
      <c r="U1104" s="131">
        <v>9.75</v>
      </c>
      <c r="V1104" s="132">
        <v>4.0000000000000003E-5</v>
      </c>
      <c r="W1104" s="132">
        <f t="shared" si="17"/>
        <v>6.2329905020651354E-4</v>
      </c>
      <c r="X1104" s="132">
        <v>5.5603627452487248E-5</v>
      </c>
    </row>
    <row r="1105" spans="1:24">
      <c r="A1105" t="s">
        <v>1213</v>
      </c>
      <c r="B1105" s="4">
        <v>9630</v>
      </c>
      <c r="C1105" t="s">
        <v>3817</v>
      </c>
      <c r="D1105" t="s">
        <v>3818</v>
      </c>
      <c r="E1105" t="s">
        <v>80</v>
      </c>
      <c r="F1105" t="s">
        <v>3819</v>
      </c>
      <c r="G1105" t="s">
        <v>3820</v>
      </c>
      <c r="H1105" t="s">
        <v>321</v>
      </c>
      <c r="I1105" t="s">
        <v>917</v>
      </c>
      <c r="J1105" t="s">
        <v>205</v>
      </c>
      <c r="K1105" t="s">
        <v>224</v>
      </c>
      <c r="L1105" t="s">
        <v>325</v>
      </c>
      <c r="M1105" t="s">
        <v>344</v>
      </c>
      <c r="N1105" t="s">
        <v>569</v>
      </c>
      <c r="O1105" t="s">
        <v>339</v>
      </c>
      <c r="P1105" t="s">
        <v>1216</v>
      </c>
      <c r="Q1105" s="131">
        <v>0</v>
      </c>
      <c r="R1105" s="131">
        <v>3.71</v>
      </c>
      <c r="S1105" s="131">
        <v>0</v>
      </c>
      <c r="T1105" s="131">
        <v>0.54900000000000004</v>
      </c>
      <c r="U1105" s="131">
        <v>2.0379999999999998</v>
      </c>
      <c r="V1105" t="s">
        <v>1871</v>
      </c>
      <c r="W1105" s="132">
        <f t="shared" si="17"/>
        <v>1.3028548352008969E-4</v>
      </c>
      <c r="X1105" s="132">
        <v>1.1622583871607077E-5</v>
      </c>
    </row>
    <row r="1106" spans="1:24">
      <c r="A1106" t="s">
        <v>1213</v>
      </c>
      <c r="B1106" s="4">
        <v>9630</v>
      </c>
      <c r="C1106" t="s">
        <v>3825</v>
      </c>
      <c r="D1106" t="s">
        <v>3826</v>
      </c>
      <c r="E1106" t="s">
        <v>80</v>
      </c>
      <c r="F1106" t="s">
        <v>3829</v>
      </c>
      <c r="G1106" t="s">
        <v>3830</v>
      </c>
      <c r="H1106" t="s">
        <v>321</v>
      </c>
      <c r="I1106" t="s">
        <v>917</v>
      </c>
      <c r="J1106" t="s">
        <v>205</v>
      </c>
      <c r="K1106" t="s">
        <v>272</v>
      </c>
      <c r="L1106" s="134"/>
      <c r="M1106" t="s">
        <v>314</v>
      </c>
      <c r="N1106" t="s">
        <v>568</v>
      </c>
      <c r="O1106" t="s">
        <v>339</v>
      </c>
      <c r="P1106" t="s">
        <v>1218</v>
      </c>
      <c r="Q1106" s="131">
        <v>2302</v>
      </c>
      <c r="R1106" s="131">
        <v>4.1524000000000001</v>
      </c>
      <c r="S1106" s="131">
        <v>0</v>
      </c>
      <c r="U1106" s="131">
        <v>0</v>
      </c>
      <c r="W1106" s="132">
        <f t="shared" si="17"/>
        <v>0</v>
      </c>
      <c r="X1106" s="132">
        <v>0</v>
      </c>
    </row>
    <row r="1107" spans="1:24">
      <c r="A1107" t="s">
        <v>1213</v>
      </c>
      <c r="B1107" s="4">
        <v>9631</v>
      </c>
      <c r="C1107" t="s">
        <v>1573</v>
      </c>
      <c r="D1107" t="s">
        <v>1574</v>
      </c>
      <c r="E1107" t="s">
        <v>309</v>
      </c>
      <c r="F1107" t="s">
        <v>1573</v>
      </c>
      <c r="G1107" t="s">
        <v>3404</v>
      </c>
      <c r="H1107" t="s">
        <v>321</v>
      </c>
      <c r="I1107" t="s">
        <v>917</v>
      </c>
      <c r="J1107" t="s">
        <v>204</v>
      </c>
      <c r="K1107" t="s">
        <v>204</v>
      </c>
      <c r="L1107" t="s">
        <v>325</v>
      </c>
      <c r="M1107" t="s">
        <v>340</v>
      </c>
      <c r="N1107" t="s">
        <v>448</v>
      </c>
      <c r="O1107" t="s">
        <v>339</v>
      </c>
      <c r="P1107" t="s">
        <v>1212</v>
      </c>
      <c r="Q1107" s="131">
        <v>14818</v>
      </c>
      <c r="R1107" s="131">
        <v>1</v>
      </c>
      <c r="S1107" s="131">
        <v>3644</v>
      </c>
      <c r="U1107" s="131">
        <v>539.96799999999996</v>
      </c>
      <c r="V1107" s="132">
        <v>1.0000000000000001E-5</v>
      </c>
      <c r="W1107" s="132">
        <f t="shared" si="17"/>
        <v>6.791380713030469E-2</v>
      </c>
      <c r="X1107" s="132">
        <v>4.6068761934423188E-3</v>
      </c>
    </row>
    <row r="1108" spans="1:24">
      <c r="A1108" t="s">
        <v>1213</v>
      </c>
      <c r="B1108" s="4">
        <v>9631</v>
      </c>
      <c r="C1108" t="s">
        <v>1600</v>
      </c>
      <c r="D1108" t="s">
        <v>1601</v>
      </c>
      <c r="E1108" t="s">
        <v>309</v>
      </c>
      <c r="F1108" t="s">
        <v>1600</v>
      </c>
      <c r="G1108" t="s">
        <v>3406</v>
      </c>
      <c r="H1108" t="s">
        <v>321</v>
      </c>
      <c r="I1108" t="s">
        <v>917</v>
      </c>
      <c r="J1108" t="s">
        <v>204</v>
      </c>
      <c r="K1108" t="s">
        <v>204</v>
      </c>
      <c r="L1108" t="s">
        <v>325</v>
      </c>
      <c r="M1108" t="s">
        <v>340</v>
      </c>
      <c r="N1108" t="s">
        <v>448</v>
      </c>
      <c r="O1108" t="s">
        <v>339</v>
      </c>
      <c r="P1108" t="s">
        <v>1212</v>
      </c>
      <c r="Q1108" s="131">
        <v>14239</v>
      </c>
      <c r="R1108" s="131">
        <v>1</v>
      </c>
      <c r="S1108" s="131">
        <v>3729</v>
      </c>
      <c r="U1108" s="131">
        <v>530.97199999999998</v>
      </c>
      <c r="V1108" s="132">
        <v>1.0000000000000001E-5</v>
      </c>
      <c r="W1108" s="132">
        <f t="shared" si="17"/>
        <v>6.6782346360510517E-2</v>
      </c>
      <c r="X1108" s="132">
        <v>4.5301245003119724E-3</v>
      </c>
    </row>
    <row r="1109" spans="1:24">
      <c r="A1109" t="s">
        <v>1213</v>
      </c>
      <c r="B1109" s="4">
        <v>9631</v>
      </c>
      <c r="C1109" t="s">
        <v>2089</v>
      </c>
      <c r="D1109" t="s">
        <v>2090</v>
      </c>
      <c r="E1109" t="s">
        <v>309</v>
      </c>
      <c r="F1109" t="s">
        <v>2089</v>
      </c>
      <c r="G1109" t="s">
        <v>3405</v>
      </c>
      <c r="H1109" t="s">
        <v>321</v>
      </c>
      <c r="I1109" t="s">
        <v>917</v>
      </c>
      <c r="J1109" t="s">
        <v>204</v>
      </c>
      <c r="K1109" t="s">
        <v>204</v>
      </c>
      <c r="L1109" t="s">
        <v>325</v>
      </c>
      <c r="M1109" t="s">
        <v>340</v>
      </c>
      <c r="N1109" t="s">
        <v>467</v>
      </c>
      <c r="O1109" t="s">
        <v>339</v>
      </c>
      <c r="P1109" t="s">
        <v>1212</v>
      </c>
      <c r="Q1109" s="131">
        <v>4038</v>
      </c>
      <c r="R1109" s="131">
        <v>1</v>
      </c>
      <c r="S1109" s="131">
        <v>6629</v>
      </c>
      <c r="U1109" s="131">
        <v>267.67899999999997</v>
      </c>
      <c r="V1109" s="132">
        <v>0</v>
      </c>
      <c r="W1109" s="132">
        <f t="shared" si="17"/>
        <v>3.3666995041989202E-2</v>
      </c>
      <c r="X1109" s="132">
        <v>2.2837723950020119E-3</v>
      </c>
    </row>
    <row r="1110" spans="1:24">
      <c r="A1110" t="s">
        <v>1213</v>
      </c>
      <c r="B1110" s="4">
        <v>9631</v>
      </c>
      <c r="C1110" t="s">
        <v>3113</v>
      </c>
      <c r="D1110" t="s">
        <v>3114</v>
      </c>
      <c r="E1110" t="s">
        <v>309</v>
      </c>
      <c r="F1110" t="s">
        <v>3113</v>
      </c>
      <c r="G1110" t="s">
        <v>3413</v>
      </c>
      <c r="H1110" t="s">
        <v>321</v>
      </c>
      <c r="I1110" t="s">
        <v>917</v>
      </c>
      <c r="J1110" t="s">
        <v>204</v>
      </c>
      <c r="K1110" t="s">
        <v>204</v>
      </c>
      <c r="L1110" t="s">
        <v>325</v>
      </c>
      <c r="M1110" t="s">
        <v>340</v>
      </c>
      <c r="N1110" t="s">
        <v>448</v>
      </c>
      <c r="O1110" t="s">
        <v>339</v>
      </c>
      <c r="P1110" t="s">
        <v>1212</v>
      </c>
      <c r="Q1110" s="131">
        <v>12785</v>
      </c>
      <c r="R1110" s="131">
        <v>1</v>
      </c>
      <c r="S1110" s="131">
        <v>2085</v>
      </c>
      <c r="U1110" s="131">
        <v>266.56700000000001</v>
      </c>
      <c r="V1110" s="132">
        <v>1.0000000000000001E-5</v>
      </c>
      <c r="W1110" s="132">
        <f t="shared" si="17"/>
        <v>3.3527134617799444E-2</v>
      </c>
      <c r="X1110" s="132">
        <v>2.2742850803331655E-3</v>
      </c>
    </row>
    <row r="1111" spans="1:24">
      <c r="A1111" t="s">
        <v>1213</v>
      </c>
      <c r="B1111" s="4">
        <v>9631</v>
      </c>
      <c r="C1111" t="s">
        <v>2361</v>
      </c>
      <c r="D1111" t="s">
        <v>2362</v>
      </c>
      <c r="E1111" t="s">
        <v>309</v>
      </c>
      <c r="F1111" t="s">
        <v>2361</v>
      </c>
      <c r="G1111" t="s">
        <v>3440</v>
      </c>
      <c r="H1111" t="s">
        <v>321</v>
      </c>
      <c r="I1111" t="s">
        <v>917</v>
      </c>
      <c r="J1111" t="s">
        <v>204</v>
      </c>
      <c r="K1111" t="s">
        <v>204</v>
      </c>
      <c r="L1111" t="s">
        <v>325</v>
      </c>
      <c r="M1111" t="s">
        <v>340</v>
      </c>
      <c r="N1111" t="s">
        <v>446</v>
      </c>
      <c r="O1111" t="s">
        <v>339</v>
      </c>
      <c r="P1111" t="s">
        <v>1212</v>
      </c>
      <c r="Q1111" s="131">
        <v>339</v>
      </c>
      <c r="R1111" s="131">
        <v>1</v>
      </c>
      <c r="S1111" s="131">
        <v>74080</v>
      </c>
      <c r="U1111" s="131">
        <v>251.131</v>
      </c>
      <c r="V1111" s="132">
        <v>1.0000000000000001E-5</v>
      </c>
      <c r="W1111" s="132">
        <f t="shared" si="17"/>
        <v>3.1585690815827135E-2</v>
      </c>
      <c r="X1111" s="132">
        <v>2.1425888669983463E-3</v>
      </c>
    </row>
    <row r="1112" spans="1:24">
      <c r="A1112" t="s">
        <v>1213</v>
      </c>
      <c r="B1112" s="4">
        <v>9631</v>
      </c>
      <c r="C1112" t="s">
        <v>3683</v>
      </c>
      <c r="D1112" t="s">
        <v>3684</v>
      </c>
      <c r="E1112" t="s">
        <v>309</v>
      </c>
      <c r="F1112" t="s">
        <v>3683</v>
      </c>
      <c r="G1112" t="s">
        <v>3685</v>
      </c>
      <c r="H1112" t="s">
        <v>321</v>
      </c>
      <c r="I1112" t="s">
        <v>917</v>
      </c>
      <c r="J1112" t="s">
        <v>204</v>
      </c>
      <c r="K1112" t="s">
        <v>204</v>
      </c>
      <c r="L1112" t="s">
        <v>325</v>
      </c>
      <c r="M1112" t="s">
        <v>340</v>
      </c>
      <c r="N1112" t="s">
        <v>451</v>
      </c>
      <c r="O1112" t="s">
        <v>339</v>
      </c>
      <c r="P1112" t="s">
        <v>1212</v>
      </c>
      <c r="Q1112" s="131">
        <v>48661</v>
      </c>
      <c r="R1112" s="131">
        <v>1</v>
      </c>
      <c r="S1112" s="131">
        <v>512</v>
      </c>
      <c r="U1112" s="131">
        <v>249.14400000000001</v>
      </c>
      <c r="V1112" s="132">
        <v>2.5999999999999998E-4</v>
      </c>
      <c r="W1112" s="132">
        <f t="shared" si="17"/>
        <v>3.1335778349221861E-2</v>
      </c>
      <c r="X1112" s="132">
        <v>2.1256362642582396E-3</v>
      </c>
    </row>
    <row r="1113" spans="1:24">
      <c r="A1113" t="s">
        <v>1213</v>
      </c>
      <c r="B1113" s="4">
        <v>9631</v>
      </c>
      <c r="C1113" t="s">
        <v>2228</v>
      </c>
      <c r="D1113" t="s">
        <v>2229</v>
      </c>
      <c r="E1113" t="s">
        <v>309</v>
      </c>
      <c r="F1113" t="s">
        <v>2228</v>
      </c>
      <c r="G1113" t="s">
        <v>3439</v>
      </c>
      <c r="H1113" t="s">
        <v>321</v>
      </c>
      <c r="I1113" t="s">
        <v>917</v>
      </c>
      <c r="J1113" t="s">
        <v>204</v>
      </c>
      <c r="K1113" t="s">
        <v>204</v>
      </c>
      <c r="L1113" t="s">
        <v>325</v>
      </c>
      <c r="M1113" t="s">
        <v>340</v>
      </c>
      <c r="N1113" t="s">
        <v>441</v>
      </c>
      <c r="O1113" t="s">
        <v>339</v>
      </c>
      <c r="P1113" t="s">
        <v>1212</v>
      </c>
      <c r="Q1113" s="131">
        <v>3356.9</v>
      </c>
      <c r="R1113" s="131">
        <v>1</v>
      </c>
      <c r="S1113" s="131">
        <v>6254</v>
      </c>
      <c r="U1113" s="131">
        <v>209.941</v>
      </c>
      <c r="V1113" s="132">
        <v>3.0000000000000001E-5</v>
      </c>
      <c r="W1113" s="132">
        <f t="shared" si="17"/>
        <v>2.6405069527718858E-2</v>
      </c>
      <c r="X1113" s="132">
        <v>1.7911657633924119E-3</v>
      </c>
    </row>
    <row r="1114" spans="1:24">
      <c r="A1114" t="s">
        <v>1213</v>
      </c>
      <c r="B1114" s="4">
        <v>9631</v>
      </c>
      <c r="C1114" t="s">
        <v>1893</v>
      </c>
      <c r="D1114" t="s">
        <v>1894</v>
      </c>
      <c r="E1114" t="s">
        <v>309</v>
      </c>
      <c r="F1114" t="s">
        <v>1893</v>
      </c>
      <c r="G1114" t="s">
        <v>3599</v>
      </c>
      <c r="H1114" t="s">
        <v>321</v>
      </c>
      <c r="I1114" t="s">
        <v>917</v>
      </c>
      <c r="J1114" t="s">
        <v>204</v>
      </c>
      <c r="K1114" t="s">
        <v>204</v>
      </c>
      <c r="L1114" t="s">
        <v>325</v>
      </c>
      <c r="M1114" t="s">
        <v>340</v>
      </c>
      <c r="N1114" t="s">
        <v>464</v>
      </c>
      <c r="O1114" t="s">
        <v>339</v>
      </c>
      <c r="P1114" t="s">
        <v>1212</v>
      </c>
      <c r="Q1114" s="131">
        <v>2169</v>
      </c>
      <c r="R1114" s="131">
        <v>1</v>
      </c>
      <c r="S1114" s="131">
        <v>9550</v>
      </c>
      <c r="U1114" s="131">
        <v>207.14</v>
      </c>
      <c r="V1114" s="132">
        <v>6.0000000000000002E-5</v>
      </c>
      <c r="W1114" s="132">
        <f t="shared" si="17"/>
        <v>2.6052777218226474E-2</v>
      </c>
      <c r="X1114" s="132">
        <v>1.7672683098065847E-3</v>
      </c>
    </row>
    <row r="1115" spans="1:24">
      <c r="A1115" t="s">
        <v>1213</v>
      </c>
      <c r="B1115" s="4">
        <v>9631</v>
      </c>
      <c r="C1115" t="s">
        <v>3410</v>
      </c>
      <c r="D1115" t="s">
        <v>3411</v>
      </c>
      <c r="E1115" t="s">
        <v>309</v>
      </c>
      <c r="F1115" t="s">
        <v>3410</v>
      </c>
      <c r="G1115" t="s">
        <v>3412</v>
      </c>
      <c r="H1115" t="s">
        <v>321</v>
      </c>
      <c r="I1115" t="s">
        <v>917</v>
      </c>
      <c r="J1115" t="s">
        <v>204</v>
      </c>
      <c r="K1115" t="s">
        <v>204</v>
      </c>
      <c r="L1115" t="s">
        <v>325</v>
      </c>
      <c r="M1115" t="s">
        <v>340</v>
      </c>
      <c r="N1115" t="s">
        <v>480</v>
      </c>
      <c r="O1115" t="s">
        <v>339</v>
      </c>
      <c r="P1115" t="s">
        <v>1212</v>
      </c>
      <c r="Q1115" s="131">
        <v>289</v>
      </c>
      <c r="R1115" s="131">
        <v>1</v>
      </c>
      <c r="S1115" s="131">
        <v>64880</v>
      </c>
      <c r="U1115" s="131">
        <v>187.50299999999999</v>
      </c>
      <c r="V1115" s="132">
        <v>0</v>
      </c>
      <c r="W1115" s="132">
        <f t="shared" si="17"/>
        <v>2.3582957838896971E-2</v>
      </c>
      <c r="X1115" s="132">
        <v>1.5997301819719225E-3</v>
      </c>
    </row>
    <row r="1116" spans="1:24">
      <c r="A1116" t="s">
        <v>1213</v>
      </c>
      <c r="B1116" s="4">
        <v>9631</v>
      </c>
      <c r="C1116" t="s">
        <v>1674</v>
      </c>
      <c r="D1116" t="s">
        <v>1675</v>
      </c>
      <c r="E1116" t="s">
        <v>309</v>
      </c>
      <c r="F1116" t="s">
        <v>1674</v>
      </c>
      <c r="G1116" t="s">
        <v>3464</v>
      </c>
      <c r="H1116" t="s">
        <v>321</v>
      </c>
      <c r="I1116" t="s">
        <v>917</v>
      </c>
      <c r="J1116" t="s">
        <v>204</v>
      </c>
      <c r="K1116" t="s">
        <v>204</v>
      </c>
      <c r="L1116" t="s">
        <v>325</v>
      </c>
      <c r="M1116" t="s">
        <v>340</v>
      </c>
      <c r="N1116" t="s">
        <v>464</v>
      </c>
      <c r="O1116" t="s">
        <v>339</v>
      </c>
      <c r="P1116" t="s">
        <v>1212</v>
      </c>
      <c r="Q1116" s="131">
        <v>416</v>
      </c>
      <c r="R1116" s="131">
        <v>1</v>
      </c>
      <c r="S1116" s="131">
        <v>41490</v>
      </c>
      <c r="U1116" s="131">
        <v>172.59800000000001</v>
      </c>
      <c r="V1116" s="132">
        <v>2.0000000000000002E-5</v>
      </c>
      <c r="W1116" s="132">
        <f t="shared" si="17"/>
        <v>2.1708299904950535E-2</v>
      </c>
      <c r="X1116" s="132">
        <v>1.4725643320266338E-3</v>
      </c>
    </row>
    <row r="1117" spans="1:24">
      <c r="A1117" t="s">
        <v>1213</v>
      </c>
      <c r="B1117" s="4">
        <v>9631</v>
      </c>
      <c r="C1117" t="s">
        <v>3415</v>
      </c>
      <c r="D1117" t="s">
        <v>3416</v>
      </c>
      <c r="E1117" t="s">
        <v>309</v>
      </c>
      <c r="F1117" t="s">
        <v>3415</v>
      </c>
      <c r="G1117" t="s">
        <v>3417</v>
      </c>
      <c r="H1117" t="s">
        <v>321</v>
      </c>
      <c r="I1117" t="s">
        <v>917</v>
      </c>
      <c r="J1117" t="s">
        <v>204</v>
      </c>
      <c r="K1117" t="s">
        <v>204</v>
      </c>
      <c r="L1117" t="s">
        <v>325</v>
      </c>
      <c r="M1117" t="s">
        <v>340</v>
      </c>
      <c r="N1117" t="s">
        <v>458</v>
      </c>
      <c r="O1117" t="s">
        <v>339</v>
      </c>
      <c r="P1117" t="s">
        <v>1212</v>
      </c>
      <c r="Q1117" s="131">
        <v>187</v>
      </c>
      <c r="R1117" s="131">
        <v>1</v>
      </c>
      <c r="S1117" s="131">
        <v>77890</v>
      </c>
      <c r="U1117" s="131">
        <v>145.654</v>
      </c>
      <c r="V1117" s="132">
        <v>1.0000000000000001E-5</v>
      </c>
      <c r="W1117" s="132">
        <f t="shared" si="17"/>
        <v>1.8319451641129473E-2</v>
      </c>
      <c r="X1117" s="132">
        <v>1.2426846499786052E-3</v>
      </c>
    </row>
    <row r="1118" spans="1:24">
      <c r="A1118" t="s">
        <v>1213</v>
      </c>
      <c r="B1118" s="4">
        <v>9631</v>
      </c>
      <c r="C1118" t="s">
        <v>2436</v>
      </c>
      <c r="D1118" t="s">
        <v>2437</v>
      </c>
      <c r="E1118" t="s">
        <v>309</v>
      </c>
      <c r="F1118" t="s">
        <v>2436</v>
      </c>
      <c r="G1118" t="s">
        <v>3426</v>
      </c>
      <c r="H1118" t="s">
        <v>321</v>
      </c>
      <c r="I1118" t="s">
        <v>917</v>
      </c>
      <c r="J1118" t="s">
        <v>204</v>
      </c>
      <c r="K1118" t="s">
        <v>204</v>
      </c>
      <c r="L1118" t="s">
        <v>325</v>
      </c>
      <c r="M1118" t="s">
        <v>340</v>
      </c>
      <c r="N1118" t="s">
        <v>475</v>
      </c>
      <c r="O1118" t="s">
        <v>339</v>
      </c>
      <c r="P1118" t="s">
        <v>1212</v>
      </c>
      <c r="Q1118" s="131">
        <v>4298</v>
      </c>
      <c r="R1118" s="131">
        <v>1</v>
      </c>
      <c r="S1118" s="131">
        <v>3310</v>
      </c>
      <c r="U1118" s="131">
        <v>142.26400000000001</v>
      </c>
      <c r="V1118" s="132">
        <v>2.0000000000000002E-5</v>
      </c>
      <c r="W1118" s="132">
        <f t="shared" si="17"/>
        <v>1.7893078585371109E-2</v>
      </c>
      <c r="X1118" s="132">
        <v>1.2137619910510958E-3</v>
      </c>
    </row>
    <row r="1119" spans="1:24">
      <c r="A1119" t="s">
        <v>1213</v>
      </c>
      <c r="B1119" s="4">
        <v>9631</v>
      </c>
      <c r="C1119" t="s">
        <v>1861</v>
      </c>
      <c r="D1119" t="s">
        <v>1862</v>
      </c>
      <c r="E1119" t="s">
        <v>309</v>
      </c>
      <c r="F1119" t="s">
        <v>1861</v>
      </c>
      <c r="G1119" t="s">
        <v>3460</v>
      </c>
      <c r="H1119" t="s">
        <v>321</v>
      </c>
      <c r="I1119" t="s">
        <v>917</v>
      </c>
      <c r="J1119" t="s">
        <v>204</v>
      </c>
      <c r="K1119" t="s">
        <v>204</v>
      </c>
      <c r="L1119" t="s">
        <v>325</v>
      </c>
      <c r="M1119" t="s">
        <v>340</v>
      </c>
      <c r="N1119" t="s">
        <v>464</v>
      </c>
      <c r="O1119" t="s">
        <v>339</v>
      </c>
      <c r="P1119" t="s">
        <v>1212</v>
      </c>
      <c r="Q1119" s="131">
        <v>480</v>
      </c>
      <c r="R1119" s="131">
        <v>1</v>
      </c>
      <c r="S1119" s="131">
        <v>28210</v>
      </c>
      <c r="U1119" s="131">
        <v>135.40799999999999</v>
      </c>
      <c r="V1119" s="132">
        <v>1.0000000000000001E-5</v>
      </c>
      <c r="W1119" s="132">
        <f t="shared" si="17"/>
        <v>1.7030773667884573E-2</v>
      </c>
      <c r="X1119" s="132">
        <v>1.1552682596036015E-3</v>
      </c>
    </row>
    <row r="1120" spans="1:24">
      <c r="A1120" t="s">
        <v>1213</v>
      </c>
      <c r="B1120" s="4">
        <v>9631</v>
      </c>
      <c r="C1120" t="s">
        <v>1807</v>
      </c>
      <c r="D1120" t="s">
        <v>1808</v>
      </c>
      <c r="E1120" t="s">
        <v>309</v>
      </c>
      <c r="F1120" t="s">
        <v>1807</v>
      </c>
      <c r="G1120" t="s">
        <v>3409</v>
      </c>
      <c r="H1120" t="s">
        <v>321</v>
      </c>
      <c r="I1120" t="s">
        <v>917</v>
      </c>
      <c r="J1120" t="s">
        <v>204</v>
      </c>
      <c r="K1120" t="s">
        <v>204</v>
      </c>
      <c r="L1120" t="s">
        <v>325</v>
      </c>
      <c r="M1120" t="s">
        <v>340</v>
      </c>
      <c r="N1120" t="s">
        <v>464</v>
      </c>
      <c r="O1120" t="s">
        <v>339</v>
      </c>
      <c r="P1120" t="s">
        <v>1212</v>
      </c>
      <c r="Q1120" s="131">
        <v>515</v>
      </c>
      <c r="R1120" s="131">
        <v>1</v>
      </c>
      <c r="S1120" s="131">
        <v>25940</v>
      </c>
      <c r="U1120" s="131">
        <v>133.59100000000001</v>
      </c>
      <c r="V1120" s="132">
        <v>0</v>
      </c>
      <c r="W1120" s="132">
        <f t="shared" si="17"/>
        <v>1.68022427409486E-2</v>
      </c>
      <c r="X1120" s="132">
        <v>1.1397660556887684E-3</v>
      </c>
    </row>
    <row r="1121" spans="1:24">
      <c r="A1121" t="s">
        <v>1213</v>
      </c>
      <c r="B1121" s="4">
        <v>9631</v>
      </c>
      <c r="C1121" t="s">
        <v>2348</v>
      </c>
      <c r="D1121" t="s">
        <v>2349</v>
      </c>
      <c r="E1121" t="s">
        <v>309</v>
      </c>
      <c r="F1121" t="s">
        <v>2348</v>
      </c>
      <c r="G1121" t="s">
        <v>3446</v>
      </c>
      <c r="H1121" t="s">
        <v>321</v>
      </c>
      <c r="I1121" t="s">
        <v>917</v>
      </c>
      <c r="J1121" t="s">
        <v>204</v>
      </c>
      <c r="K1121" t="s">
        <v>204</v>
      </c>
      <c r="L1121" t="s">
        <v>325</v>
      </c>
      <c r="M1121" t="s">
        <v>340</v>
      </c>
      <c r="N1121" t="s">
        <v>456</v>
      </c>
      <c r="O1121" t="s">
        <v>339</v>
      </c>
      <c r="P1121" t="s">
        <v>1212</v>
      </c>
      <c r="Q1121" s="131">
        <v>8193</v>
      </c>
      <c r="R1121" s="131">
        <v>1</v>
      </c>
      <c r="S1121" s="131">
        <v>1588</v>
      </c>
      <c r="U1121" s="131">
        <v>130.10499999999999</v>
      </c>
      <c r="V1121" s="132">
        <v>1.0000000000000001E-5</v>
      </c>
      <c r="W1121" s="132">
        <f t="shared" si="17"/>
        <v>1.6363795403965219E-2</v>
      </c>
      <c r="X1121" s="132">
        <v>1.110024348012869E-3</v>
      </c>
    </row>
    <row r="1122" spans="1:24">
      <c r="A1122" t="s">
        <v>1213</v>
      </c>
      <c r="B1122" s="4">
        <v>9631</v>
      </c>
      <c r="C1122" t="s">
        <v>1881</v>
      </c>
      <c r="D1122" t="s">
        <v>1882</v>
      </c>
      <c r="E1122" t="s">
        <v>309</v>
      </c>
      <c r="F1122" t="s">
        <v>3407</v>
      </c>
      <c r="G1122" t="s">
        <v>3408</v>
      </c>
      <c r="H1122" t="s">
        <v>321</v>
      </c>
      <c r="I1122" t="s">
        <v>917</v>
      </c>
      <c r="J1122" t="s">
        <v>204</v>
      </c>
      <c r="K1122" t="s">
        <v>204</v>
      </c>
      <c r="L1122" t="s">
        <v>325</v>
      </c>
      <c r="M1122" t="s">
        <v>340</v>
      </c>
      <c r="N1122" t="s">
        <v>448</v>
      </c>
      <c r="O1122" t="s">
        <v>339</v>
      </c>
      <c r="P1122" t="s">
        <v>1212</v>
      </c>
      <c r="Q1122" s="131">
        <v>868</v>
      </c>
      <c r="R1122" s="131">
        <v>1</v>
      </c>
      <c r="S1122" s="131">
        <v>14550</v>
      </c>
      <c r="U1122" s="131">
        <v>126.294</v>
      </c>
      <c r="V1122" s="132">
        <v>0</v>
      </c>
      <c r="W1122" s="132">
        <f t="shared" si="17"/>
        <v>1.588447159408465E-2</v>
      </c>
      <c r="X1122" s="132">
        <v>1.0775098190533591E-3</v>
      </c>
    </row>
    <row r="1123" spans="1:24">
      <c r="A1123" t="s">
        <v>1213</v>
      </c>
      <c r="B1123" s="4">
        <v>9631</v>
      </c>
      <c r="C1123" t="s">
        <v>1986</v>
      </c>
      <c r="D1123" t="s">
        <v>1987</v>
      </c>
      <c r="E1123" t="s">
        <v>309</v>
      </c>
      <c r="F1123" t="s">
        <v>1986</v>
      </c>
      <c r="G1123" t="s">
        <v>3445</v>
      </c>
      <c r="H1123" t="s">
        <v>321</v>
      </c>
      <c r="I1123" t="s">
        <v>917</v>
      </c>
      <c r="J1123" t="s">
        <v>204</v>
      </c>
      <c r="K1123" t="s">
        <v>204</v>
      </c>
      <c r="L1123" t="s">
        <v>325</v>
      </c>
      <c r="M1123" t="s">
        <v>340</v>
      </c>
      <c r="N1123" t="s">
        <v>484</v>
      </c>
      <c r="O1123" t="s">
        <v>339</v>
      </c>
      <c r="P1123" t="s">
        <v>1212</v>
      </c>
      <c r="Q1123" s="131">
        <v>27428</v>
      </c>
      <c r="R1123" s="131">
        <v>1</v>
      </c>
      <c r="S1123" s="131">
        <v>428.6</v>
      </c>
      <c r="T1123" s="131">
        <v>4.0330000000000004</v>
      </c>
      <c r="U1123" s="131">
        <v>121.589</v>
      </c>
      <c r="V1123" s="132">
        <v>1.0000000000000001E-5</v>
      </c>
      <c r="W1123" s="132">
        <f t="shared" si="17"/>
        <v>1.5292706040296122E-2</v>
      </c>
      <c r="X1123" s="132">
        <v>1.0373678986244706E-3</v>
      </c>
    </row>
    <row r="1124" spans="1:24">
      <c r="A1124" t="s">
        <v>1213</v>
      </c>
      <c r="B1124" s="4">
        <v>9631</v>
      </c>
      <c r="C1124" t="s">
        <v>2428</v>
      </c>
      <c r="D1124" t="s">
        <v>2429</v>
      </c>
      <c r="E1124" t="s">
        <v>309</v>
      </c>
      <c r="F1124" t="s">
        <v>2428</v>
      </c>
      <c r="G1124" t="s">
        <v>3459</v>
      </c>
      <c r="H1124" t="s">
        <v>321</v>
      </c>
      <c r="I1124" t="s">
        <v>917</v>
      </c>
      <c r="J1124" t="s">
        <v>204</v>
      </c>
      <c r="K1124" t="s">
        <v>204</v>
      </c>
      <c r="L1124" t="s">
        <v>325</v>
      </c>
      <c r="M1124" t="s">
        <v>340</v>
      </c>
      <c r="N1124" t="s">
        <v>454</v>
      </c>
      <c r="O1124" t="s">
        <v>339</v>
      </c>
      <c r="P1124" t="s">
        <v>1212</v>
      </c>
      <c r="Q1124" s="131">
        <v>70266.8</v>
      </c>
      <c r="R1124" s="131">
        <v>1</v>
      </c>
      <c r="S1124" s="131">
        <v>161.9</v>
      </c>
      <c r="U1124" s="131">
        <v>113.762</v>
      </c>
      <c r="V1124" s="132">
        <v>3.0000000000000001E-5</v>
      </c>
      <c r="W1124" s="132">
        <f t="shared" si="17"/>
        <v>1.4308274799169065E-2</v>
      </c>
      <c r="X1124" s="132">
        <v>9.7058983035732695E-4</v>
      </c>
    </row>
    <row r="1125" spans="1:24">
      <c r="A1125" t="s">
        <v>1213</v>
      </c>
      <c r="B1125" s="4">
        <v>9631</v>
      </c>
      <c r="C1125" t="s">
        <v>3451</v>
      </c>
      <c r="D1125" t="s">
        <v>3452</v>
      </c>
      <c r="E1125" t="s">
        <v>309</v>
      </c>
      <c r="F1125" t="s">
        <v>3453</v>
      </c>
      <c r="G1125" t="s">
        <v>3454</v>
      </c>
      <c r="H1125" t="s">
        <v>321</v>
      </c>
      <c r="I1125" t="s">
        <v>917</v>
      </c>
      <c r="J1125" t="s">
        <v>204</v>
      </c>
      <c r="K1125" t="s">
        <v>204</v>
      </c>
      <c r="L1125" t="s">
        <v>325</v>
      </c>
      <c r="M1125" t="s">
        <v>340</v>
      </c>
      <c r="N1125" t="s">
        <v>448</v>
      </c>
      <c r="O1125" t="s">
        <v>339</v>
      </c>
      <c r="P1125" t="s">
        <v>1212</v>
      </c>
      <c r="Q1125" s="131">
        <v>736</v>
      </c>
      <c r="R1125" s="131">
        <v>1</v>
      </c>
      <c r="S1125" s="131">
        <v>15410</v>
      </c>
      <c r="U1125" s="131">
        <v>113.41800000000001</v>
      </c>
      <c r="V1125" s="132">
        <v>1.0000000000000001E-5</v>
      </c>
      <c r="W1125" s="132">
        <f t="shared" si="17"/>
        <v>1.4265008624779427E-2</v>
      </c>
      <c r="X1125" s="132">
        <v>9.6765490567559743E-4</v>
      </c>
    </row>
    <row r="1126" spans="1:24">
      <c r="A1126" t="s">
        <v>1213</v>
      </c>
      <c r="B1126" s="4">
        <v>9631</v>
      </c>
      <c r="C1126" t="s">
        <v>2866</v>
      </c>
      <c r="D1126" t="s">
        <v>2867</v>
      </c>
      <c r="E1126" t="s">
        <v>309</v>
      </c>
      <c r="F1126" t="s">
        <v>2866</v>
      </c>
      <c r="G1126" t="s">
        <v>3663</v>
      </c>
      <c r="H1126" t="s">
        <v>321</v>
      </c>
      <c r="I1126" t="s">
        <v>917</v>
      </c>
      <c r="J1126" t="s">
        <v>204</v>
      </c>
      <c r="K1126" t="s">
        <v>204</v>
      </c>
      <c r="L1126" t="s">
        <v>325</v>
      </c>
      <c r="M1126" t="s">
        <v>340</v>
      </c>
      <c r="N1126" t="s">
        <v>464</v>
      </c>
      <c r="O1126" t="s">
        <v>339</v>
      </c>
      <c r="P1126" t="s">
        <v>1212</v>
      </c>
      <c r="Q1126" s="131">
        <v>27694.6</v>
      </c>
      <c r="R1126" s="131">
        <v>1</v>
      </c>
      <c r="S1126" s="131">
        <v>399.6</v>
      </c>
      <c r="U1126" s="131">
        <v>110.66800000000001</v>
      </c>
      <c r="V1126" s="132">
        <v>1.9000000000000001E-4</v>
      </c>
      <c r="W1126" s="132">
        <f t="shared" si="17"/>
        <v>1.3919130777187833E-2</v>
      </c>
      <c r="X1126" s="132">
        <v>9.4419257173735218E-4</v>
      </c>
    </row>
    <row r="1127" spans="1:24">
      <c r="A1127" t="s">
        <v>1213</v>
      </c>
      <c r="B1127" s="4">
        <v>9631</v>
      </c>
      <c r="C1127" t="s">
        <v>2128</v>
      </c>
      <c r="D1127" t="s">
        <v>2129</v>
      </c>
      <c r="E1127" t="s">
        <v>309</v>
      </c>
      <c r="F1127" t="s">
        <v>3419</v>
      </c>
      <c r="G1127" t="s">
        <v>3420</v>
      </c>
      <c r="H1127" t="s">
        <v>321</v>
      </c>
      <c r="I1127" t="s">
        <v>917</v>
      </c>
      <c r="J1127" t="s">
        <v>204</v>
      </c>
      <c r="K1127" t="s">
        <v>204</v>
      </c>
      <c r="L1127" t="s">
        <v>325</v>
      </c>
      <c r="M1127" t="s">
        <v>340</v>
      </c>
      <c r="N1127" t="s">
        <v>445</v>
      </c>
      <c r="O1127" t="s">
        <v>339</v>
      </c>
      <c r="P1127" t="s">
        <v>1212</v>
      </c>
      <c r="Q1127" s="131">
        <v>2504</v>
      </c>
      <c r="R1127" s="131">
        <v>1</v>
      </c>
      <c r="S1127" s="131">
        <v>4200</v>
      </c>
      <c r="U1127" s="131">
        <v>105.16800000000001</v>
      </c>
      <c r="V1127" s="132">
        <v>1.0000000000000001E-5</v>
      </c>
      <c r="W1127" s="132">
        <f t="shared" si="17"/>
        <v>1.3227375082004644E-2</v>
      </c>
      <c r="X1127" s="132">
        <v>8.972679038608619E-4</v>
      </c>
    </row>
    <row r="1128" spans="1:24">
      <c r="A1128" t="s">
        <v>1213</v>
      </c>
      <c r="B1128" s="4">
        <v>9631</v>
      </c>
      <c r="C1128" t="s">
        <v>3423</v>
      </c>
      <c r="D1128" t="s">
        <v>3424</v>
      </c>
      <c r="E1128" t="s">
        <v>309</v>
      </c>
      <c r="F1128" t="s">
        <v>3423</v>
      </c>
      <c r="G1128" t="s">
        <v>3425</v>
      </c>
      <c r="H1128" t="s">
        <v>321</v>
      </c>
      <c r="I1128" t="s">
        <v>917</v>
      </c>
      <c r="J1128" t="s">
        <v>204</v>
      </c>
      <c r="K1128" t="s">
        <v>204</v>
      </c>
      <c r="L1128" t="s">
        <v>325</v>
      </c>
      <c r="M1128" t="s">
        <v>340</v>
      </c>
      <c r="N1128" t="s">
        <v>458</v>
      </c>
      <c r="O1128" t="s">
        <v>339</v>
      </c>
      <c r="P1128" t="s">
        <v>1212</v>
      </c>
      <c r="Q1128" s="131">
        <v>546</v>
      </c>
      <c r="R1128" s="131">
        <v>1</v>
      </c>
      <c r="S1128" s="131">
        <v>16470</v>
      </c>
      <c r="U1128" s="131">
        <v>89.926000000000002</v>
      </c>
      <c r="V1128" s="132">
        <v>0</v>
      </c>
      <c r="W1128" s="132">
        <f t="shared" si="17"/>
        <v>1.1310331390007889E-2</v>
      </c>
      <c r="X1128" s="132">
        <v>7.6722685153841343E-4</v>
      </c>
    </row>
    <row r="1129" spans="1:24">
      <c r="A1129" t="s">
        <v>1213</v>
      </c>
      <c r="B1129" s="4">
        <v>9631</v>
      </c>
      <c r="C1129" t="s">
        <v>2195</v>
      </c>
      <c r="D1129" t="s">
        <v>2196</v>
      </c>
      <c r="E1129" t="s">
        <v>309</v>
      </c>
      <c r="F1129" t="s">
        <v>3610</v>
      </c>
      <c r="G1129" t="s">
        <v>3611</v>
      </c>
      <c r="H1129" t="s">
        <v>321</v>
      </c>
      <c r="I1129" t="s">
        <v>917</v>
      </c>
      <c r="J1129" t="s">
        <v>204</v>
      </c>
      <c r="K1129" t="s">
        <v>204</v>
      </c>
      <c r="L1129" t="s">
        <v>325</v>
      </c>
      <c r="M1129" t="s">
        <v>340</v>
      </c>
      <c r="N1129" t="s">
        <v>445</v>
      </c>
      <c r="O1129" t="s">
        <v>339</v>
      </c>
      <c r="P1129" t="s">
        <v>1212</v>
      </c>
      <c r="Q1129" s="131">
        <v>2364</v>
      </c>
      <c r="R1129" s="131">
        <v>1</v>
      </c>
      <c r="S1129" s="131">
        <v>3619</v>
      </c>
      <c r="U1129" s="131">
        <v>85.552999999999997</v>
      </c>
      <c r="V1129" s="132">
        <v>1.0000000000000001E-5</v>
      </c>
      <c r="W1129" s="132">
        <f t="shared" si="17"/>
        <v>1.0760322725455873E-2</v>
      </c>
      <c r="X1129" s="132">
        <v>7.2991747469770569E-4</v>
      </c>
    </row>
    <row r="1130" spans="1:24">
      <c r="A1130" t="s">
        <v>1213</v>
      </c>
      <c r="B1130" s="4">
        <v>9631</v>
      </c>
      <c r="C1130" t="s">
        <v>2343</v>
      </c>
      <c r="D1130" t="s">
        <v>2344</v>
      </c>
      <c r="E1130" t="s">
        <v>309</v>
      </c>
      <c r="F1130" t="s">
        <v>3619</v>
      </c>
      <c r="G1130" t="s">
        <v>3620</v>
      </c>
      <c r="H1130" t="s">
        <v>321</v>
      </c>
      <c r="I1130" t="s">
        <v>917</v>
      </c>
      <c r="J1130" t="s">
        <v>204</v>
      </c>
      <c r="K1130" t="s">
        <v>204</v>
      </c>
      <c r="L1130" t="s">
        <v>325</v>
      </c>
      <c r="M1130" t="s">
        <v>340</v>
      </c>
      <c r="N1130" t="s">
        <v>476</v>
      </c>
      <c r="O1130" t="s">
        <v>339</v>
      </c>
      <c r="P1130" t="s">
        <v>1212</v>
      </c>
      <c r="Q1130" s="131">
        <v>265</v>
      </c>
      <c r="R1130" s="131">
        <v>1</v>
      </c>
      <c r="S1130" s="131">
        <v>29830</v>
      </c>
      <c r="U1130" s="131">
        <v>79.05</v>
      </c>
      <c r="V1130" s="132">
        <v>2.0000000000000002E-5</v>
      </c>
      <c r="W1130" s="132">
        <f t="shared" si="17"/>
        <v>9.9424159462238228E-3</v>
      </c>
      <c r="X1130" s="132">
        <v>6.7443545375210255E-4</v>
      </c>
    </row>
    <row r="1131" spans="1:24">
      <c r="A1131" t="s">
        <v>1213</v>
      </c>
      <c r="B1131" s="4">
        <v>9631</v>
      </c>
      <c r="C1131" t="s">
        <v>1973</v>
      </c>
      <c r="D1131" t="s">
        <v>1974</v>
      </c>
      <c r="E1131" t="s">
        <v>309</v>
      </c>
      <c r="F1131" t="s">
        <v>3512</v>
      </c>
      <c r="G1131" t="s">
        <v>3513</v>
      </c>
      <c r="H1131" t="s">
        <v>321</v>
      </c>
      <c r="I1131" t="s">
        <v>917</v>
      </c>
      <c r="J1131" t="s">
        <v>204</v>
      </c>
      <c r="K1131" t="s">
        <v>204</v>
      </c>
      <c r="L1131" t="s">
        <v>325</v>
      </c>
      <c r="M1131" t="s">
        <v>340</v>
      </c>
      <c r="N1131" t="s">
        <v>464</v>
      </c>
      <c r="O1131" t="s">
        <v>339</v>
      </c>
      <c r="P1131" t="s">
        <v>1212</v>
      </c>
      <c r="Q1131" s="131">
        <v>8276</v>
      </c>
      <c r="R1131" s="131">
        <v>1</v>
      </c>
      <c r="S1131" s="131">
        <v>954</v>
      </c>
      <c r="U1131" s="131">
        <v>78.953000000000003</v>
      </c>
      <c r="V1131" s="132">
        <v>1.0000000000000001E-5</v>
      </c>
      <c r="W1131" s="132">
        <f t="shared" si="17"/>
        <v>9.9302158912360477E-3</v>
      </c>
      <c r="X1131" s="132">
        <v>6.736078732459172E-4</v>
      </c>
    </row>
    <row r="1132" spans="1:24">
      <c r="A1132" t="s">
        <v>1213</v>
      </c>
      <c r="B1132" s="4">
        <v>9631</v>
      </c>
      <c r="C1132" t="s">
        <v>2404</v>
      </c>
      <c r="D1132" t="s">
        <v>2405</v>
      </c>
      <c r="E1132" t="s">
        <v>309</v>
      </c>
      <c r="F1132" t="s">
        <v>2404</v>
      </c>
      <c r="G1132" t="s">
        <v>3418</v>
      </c>
      <c r="H1132" t="s">
        <v>321</v>
      </c>
      <c r="I1132" t="s">
        <v>917</v>
      </c>
      <c r="J1132" t="s">
        <v>204</v>
      </c>
      <c r="K1132" t="s">
        <v>204</v>
      </c>
      <c r="L1132" t="s">
        <v>325</v>
      </c>
      <c r="M1132" t="s">
        <v>340</v>
      </c>
      <c r="N1132" t="s">
        <v>440</v>
      </c>
      <c r="O1132" t="s">
        <v>339</v>
      </c>
      <c r="P1132" t="s">
        <v>1212</v>
      </c>
      <c r="Q1132" s="131">
        <v>2578</v>
      </c>
      <c r="R1132" s="131">
        <v>1</v>
      </c>
      <c r="S1132" s="131">
        <v>3016</v>
      </c>
      <c r="U1132" s="131">
        <v>77.751999999999995</v>
      </c>
      <c r="V1132" s="132">
        <v>1.0000000000000001E-5</v>
      </c>
      <c r="W1132" s="132">
        <f t="shared" si="17"/>
        <v>9.7791616021605902E-3</v>
      </c>
      <c r="X1132" s="132">
        <v>6.6336123213325078E-4</v>
      </c>
    </row>
    <row r="1133" spans="1:24">
      <c r="A1133" t="s">
        <v>1213</v>
      </c>
      <c r="B1133" s="4">
        <v>9631</v>
      </c>
      <c r="C1133" t="s">
        <v>2812</v>
      </c>
      <c r="D1133" t="s">
        <v>2813</v>
      </c>
      <c r="E1133" t="s">
        <v>309</v>
      </c>
      <c r="F1133" t="s">
        <v>2812</v>
      </c>
      <c r="G1133" t="s">
        <v>3637</v>
      </c>
      <c r="H1133" t="s">
        <v>321</v>
      </c>
      <c r="I1133" t="s">
        <v>917</v>
      </c>
      <c r="J1133" t="s">
        <v>204</v>
      </c>
      <c r="K1133" t="s">
        <v>204</v>
      </c>
      <c r="L1133" t="s">
        <v>325</v>
      </c>
      <c r="M1133" t="s">
        <v>340</v>
      </c>
      <c r="N1133" t="s">
        <v>447</v>
      </c>
      <c r="O1133" t="s">
        <v>339</v>
      </c>
      <c r="P1133" t="s">
        <v>1212</v>
      </c>
      <c r="Q1133" s="131">
        <v>302</v>
      </c>
      <c r="R1133" s="131">
        <v>1</v>
      </c>
      <c r="S1133" s="131">
        <v>24250</v>
      </c>
      <c r="U1133" s="131">
        <v>73.234999999999999</v>
      </c>
      <c r="V1133" s="132">
        <v>2.0000000000000002E-5</v>
      </c>
      <c r="W1133" s="132">
        <f t="shared" si="17"/>
        <v>9.2110415157710523E-3</v>
      </c>
      <c r="X1133" s="132">
        <v>6.2482328216995867E-4</v>
      </c>
    </row>
    <row r="1134" spans="1:24">
      <c r="A1134" t="s">
        <v>1213</v>
      </c>
      <c r="B1134" s="4">
        <v>9631</v>
      </c>
      <c r="C1134" t="s">
        <v>1624</v>
      </c>
      <c r="D1134" t="s">
        <v>1625</v>
      </c>
      <c r="E1134" t="s">
        <v>309</v>
      </c>
      <c r="F1134" t="s">
        <v>1624</v>
      </c>
      <c r="G1134" t="s">
        <v>3505</v>
      </c>
      <c r="H1134" t="s">
        <v>321</v>
      </c>
      <c r="I1134" t="s">
        <v>917</v>
      </c>
      <c r="J1134" t="s">
        <v>204</v>
      </c>
      <c r="K1134" t="s">
        <v>204</v>
      </c>
      <c r="L1134" t="s">
        <v>325</v>
      </c>
      <c r="M1134" t="s">
        <v>340</v>
      </c>
      <c r="N1134" t="s">
        <v>447</v>
      </c>
      <c r="O1134" t="s">
        <v>339</v>
      </c>
      <c r="P1134" t="s">
        <v>1212</v>
      </c>
      <c r="Q1134" s="131">
        <v>4099</v>
      </c>
      <c r="R1134" s="131">
        <v>1</v>
      </c>
      <c r="S1134" s="131">
        <v>1740</v>
      </c>
      <c r="U1134" s="131">
        <v>71.322999999999993</v>
      </c>
      <c r="V1134" s="132">
        <v>1.0000000000000001E-5</v>
      </c>
      <c r="W1134" s="132">
        <f t="shared" si="17"/>
        <v>8.970562081372823E-3</v>
      </c>
      <c r="X1134" s="132">
        <v>6.0851056126453142E-4</v>
      </c>
    </row>
    <row r="1135" spans="1:24">
      <c r="A1135" t="s">
        <v>1213</v>
      </c>
      <c r="B1135" s="4">
        <v>9631</v>
      </c>
      <c r="C1135" t="s">
        <v>1691</v>
      </c>
      <c r="D1135" t="s">
        <v>1692</v>
      </c>
      <c r="E1135" t="s">
        <v>309</v>
      </c>
      <c r="F1135" t="s">
        <v>3478</v>
      </c>
      <c r="G1135" t="s">
        <v>3479</v>
      </c>
      <c r="H1135" t="s">
        <v>321</v>
      </c>
      <c r="I1135" t="s">
        <v>917</v>
      </c>
      <c r="J1135" t="s">
        <v>204</v>
      </c>
      <c r="K1135" t="s">
        <v>204</v>
      </c>
      <c r="L1135" t="s">
        <v>325</v>
      </c>
      <c r="M1135" t="s">
        <v>340</v>
      </c>
      <c r="N1135" t="s">
        <v>464</v>
      </c>
      <c r="O1135" t="s">
        <v>339</v>
      </c>
      <c r="P1135" t="s">
        <v>1212</v>
      </c>
      <c r="Q1135" s="131">
        <v>4692</v>
      </c>
      <c r="R1135" s="131">
        <v>1</v>
      </c>
      <c r="S1135" s="131">
        <v>1513</v>
      </c>
      <c r="U1135" s="131">
        <v>70.989999999999995</v>
      </c>
      <c r="V1135" s="132">
        <v>2.0000000000000002E-5</v>
      </c>
      <c r="W1135" s="132">
        <f t="shared" si="17"/>
        <v>8.9286794183735512E-3</v>
      </c>
      <c r="X1135" s="132">
        <v>6.0566948591855483E-4</v>
      </c>
    </row>
    <row r="1136" spans="1:24">
      <c r="A1136" t="s">
        <v>1213</v>
      </c>
      <c r="B1136" s="4">
        <v>9631</v>
      </c>
      <c r="C1136" t="s">
        <v>2238</v>
      </c>
      <c r="D1136" t="s">
        <v>2239</v>
      </c>
      <c r="E1136" t="s">
        <v>309</v>
      </c>
      <c r="F1136" t="s">
        <v>2238</v>
      </c>
      <c r="G1136" t="s">
        <v>3785</v>
      </c>
      <c r="H1136" t="s">
        <v>321</v>
      </c>
      <c r="I1136" t="s">
        <v>917</v>
      </c>
      <c r="J1136" t="s">
        <v>204</v>
      </c>
      <c r="K1136" t="s">
        <v>204</v>
      </c>
      <c r="L1136" t="s">
        <v>325</v>
      </c>
      <c r="M1136" t="s">
        <v>340</v>
      </c>
      <c r="N1136" t="s">
        <v>447</v>
      </c>
      <c r="O1136" t="s">
        <v>339</v>
      </c>
      <c r="P1136" t="s">
        <v>1212</v>
      </c>
      <c r="Q1136" s="131">
        <v>209</v>
      </c>
      <c r="R1136" s="131">
        <v>1</v>
      </c>
      <c r="S1136" s="131">
        <v>33200</v>
      </c>
      <c r="U1136" s="131">
        <v>69.388000000000005</v>
      </c>
      <c r="V1136" s="132">
        <v>1.0000000000000001E-5</v>
      </c>
      <c r="W1136" s="132">
        <f t="shared" si="17"/>
        <v>8.7271898504311038E-3</v>
      </c>
      <c r="X1136" s="132">
        <v>5.9200160992980261E-4</v>
      </c>
    </row>
    <row r="1137" spans="1:24">
      <c r="A1137" t="s">
        <v>1213</v>
      </c>
      <c r="B1137" s="4">
        <v>9631</v>
      </c>
      <c r="C1137" t="s">
        <v>3125</v>
      </c>
      <c r="D1137" t="s">
        <v>3126</v>
      </c>
      <c r="E1137" t="s">
        <v>309</v>
      </c>
      <c r="F1137" t="s">
        <v>3125</v>
      </c>
      <c r="G1137" t="s">
        <v>3489</v>
      </c>
      <c r="H1137" t="s">
        <v>321</v>
      </c>
      <c r="I1137" t="s">
        <v>917</v>
      </c>
      <c r="J1137" t="s">
        <v>204</v>
      </c>
      <c r="K1137" t="s">
        <v>204</v>
      </c>
      <c r="L1137" t="s">
        <v>325</v>
      </c>
      <c r="M1137" t="s">
        <v>340</v>
      </c>
      <c r="N1137" t="s">
        <v>441</v>
      </c>
      <c r="O1137" t="s">
        <v>339</v>
      </c>
      <c r="P1137" t="s">
        <v>1212</v>
      </c>
      <c r="Q1137" s="131">
        <v>237</v>
      </c>
      <c r="R1137" s="131">
        <v>1</v>
      </c>
      <c r="S1137" s="131">
        <v>28560</v>
      </c>
      <c r="U1137" s="131">
        <v>67.686999999999998</v>
      </c>
      <c r="V1137" s="132">
        <v>0</v>
      </c>
      <c r="W1137" s="132">
        <f t="shared" si="17"/>
        <v>8.5132486799753566E-3</v>
      </c>
      <c r="X1137" s="132">
        <v>5.7748908991927346E-4</v>
      </c>
    </row>
    <row r="1138" spans="1:24">
      <c r="A1138" t="s">
        <v>1213</v>
      </c>
      <c r="B1138" s="4">
        <v>9631</v>
      </c>
      <c r="C1138" t="s">
        <v>2145</v>
      </c>
      <c r="D1138" t="s">
        <v>2146</v>
      </c>
      <c r="E1138" t="s">
        <v>309</v>
      </c>
      <c r="F1138" t="s">
        <v>3612</v>
      </c>
      <c r="G1138" t="s">
        <v>3613</v>
      </c>
      <c r="H1138" t="s">
        <v>321</v>
      </c>
      <c r="I1138" t="s">
        <v>917</v>
      </c>
      <c r="J1138" t="s">
        <v>204</v>
      </c>
      <c r="K1138" t="s">
        <v>204</v>
      </c>
      <c r="L1138" t="s">
        <v>325</v>
      </c>
      <c r="M1138" t="s">
        <v>340</v>
      </c>
      <c r="N1138" t="s">
        <v>445</v>
      </c>
      <c r="O1138" t="s">
        <v>339</v>
      </c>
      <c r="P1138" t="s">
        <v>1212</v>
      </c>
      <c r="Q1138" s="131">
        <v>1046</v>
      </c>
      <c r="R1138" s="131">
        <v>1</v>
      </c>
      <c r="S1138" s="131">
        <v>6329</v>
      </c>
      <c r="U1138" s="131">
        <v>66.200999999999993</v>
      </c>
      <c r="V1138" s="132">
        <v>1.0000000000000001E-5</v>
      </c>
      <c r="W1138" s="132">
        <f t="shared" si="17"/>
        <v>8.3263488685131355E-3</v>
      </c>
      <c r="X1138" s="132">
        <v>5.6481089783482527E-4</v>
      </c>
    </row>
    <row r="1139" spans="1:24">
      <c r="A1139" t="s">
        <v>1213</v>
      </c>
      <c r="B1139" s="4">
        <v>9631</v>
      </c>
      <c r="C1139" t="s">
        <v>2178</v>
      </c>
      <c r="D1139" t="s">
        <v>2179</v>
      </c>
      <c r="E1139" t="s">
        <v>309</v>
      </c>
      <c r="F1139" t="s">
        <v>2178</v>
      </c>
      <c r="G1139" t="s">
        <v>3609</v>
      </c>
      <c r="H1139" t="s">
        <v>321</v>
      </c>
      <c r="I1139" t="s">
        <v>917</v>
      </c>
      <c r="J1139" t="s">
        <v>204</v>
      </c>
      <c r="K1139" t="s">
        <v>204</v>
      </c>
      <c r="L1139" t="s">
        <v>325</v>
      </c>
      <c r="M1139" t="s">
        <v>340</v>
      </c>
      <c r="N1139" t="s">
        <v>464</v>
      </c>
      <c r="O1139" t="s">
        <v>339</v>
      </c>
      <c r="P1139" t="s">
        <v>1212</v>
      </c>
      <c r="Q1139" s="131">
        <v>2287</v>
      </c>
      <c r="R1139" s="131">
        <v>1</v>
      </c>
      <c r="S1139" s="131">
        <v>2855</v>
      </c>
      <c r="U1139" s="131">
        <v>65.293999999999997</v>
      </c>
      <c r="V1139" s="132">
        <v>1.0000000000000001E-5</v>
      </c>
      <c r="W1139" s="132">
        <f t="shared" si="17"/>
        <v>8.2122720656892887E-3</v>
      </c>
      <c r="X1139" s="132">
        <v>5.5707259351410227E-4</v>
      </c>
    </row>
    <row r="1140" spans="1:24">
      <c r="A1140" t="s">
        <v>1213</v>
      </c>
      <c r="B1140" s="4">
        <v>9631</v>
      </c>
      <c r="C1140" t="s">
        <v>2576</v>
      </c>
      <c r="D1140" t="s">
        <v>2577</v>
      </c>
      <c r="E1140" t="s">
        <v>309</v>
      </c>
      <c r="F1140" t="s">
        <v>2576</v>
      </c>
      <c r="G1140" t="s">
        <v>3621</v>
      </c>
      <c r="H1140" t="s">
        <v>321</v>
      </c>
      <c r="I1140" t="s">
        <v>917</v>
      </c>
      <c r="J1140" t="s">
        <v>204</v>
      </c>
      <c r="K1140" t="s">
        <v>204</v>
      </c>
      <c r="L1140" t="s">
        <v>325</v>
      </c>
      <c r="M1140" t="s">
        <v>340</v>
      </c>
      <c r="N1140" t="s">
        <v>451</v>
      </c>
      <c r="O1140" t="s">
        <v>339</v>
      </c>
      <c r="P1140" t="s">
        <v>1212</v>
      </c>
      <c r="Q1140" s="131">
        <v>72</v>
      </c>
      <c r="R1140" s="131">
        <v>1</v>
      </c>
      <c r="S1140" s="131">
        <v>81100</v>
      </c>
      <c r="U1140" s="131">
        <v>58.392000000000003</v>
      </c>
      <c r="V1140" s="132">
        <v>1.0000000000000001E-5</v>
      </c>
      <c r="W1140" s="132">
        <f t="shared" si="17"/>
        <v>7.3441815551157693E-3</v>
      </c>
      <c r="X1140" s="132">
        <v>4.9818640120800472E-4</v>
      </c>
    </row>
    <row r="1141" spans="1:24">
      <c r="A1141" t="s">
        <v>1213</v>
      </c>
      <c r="B1141" s="4">
        <v>9631</v>
      </c>
      <c r="C1141" t="s">
        <v>3786</v>
      </c>
      <c r="D1141" t="s">
        <v>3787</v>
      </c>
      <c r="E1141" t="s">
        <v>309</v>
      </c>
      <c r="F1141" t="s">
        <v>3786</v>
      </c>
      <c r="G1141" t="s">
        <v>3788</v>
      </c>
      <c r="H1141" t="s">
        <v>321</v>
      </c>
      <c r="I1141" t="s">
        <v>917</v>
      </c>
      <c r="J1141" t="s">
        <v>204</v>
      </c>
      <c r="K1141" t="s">
        <v>204</v>
      </c>
      <c r="L1141" t="s">
        <v>325</v>
      </c>
      <c r="M1141" t="s">
        <v>340</v>
      </c>
      <c r="N1141" t="s">
        <v>446</v>
      </c>
      <c r="O1141" t="s">
        <v>339</v>
      </c>
      <c r="P1141" t="s">
        <v>1212</v>
      </c>
      <c r="Q1141" s="131">
        <v>400</v>
      </c>
      <c r="R1141" s="131">
        <v>1</v>
      </c>
      <c r="S1141" s="131">
        <v>14100</v>
      </c>
      <c r="U1141" s="131">
        <v>56.4</v>
      </c>
      <c r="V1141" s="132">
        <v>1.7000000000000001E-4</v>
      </c>
      <c r="W1141" s="132">
        <f t="shared" si="17"/>
        <v>7.093640219696694E-3</v>
      </c>
      <c r="X1141" s="132">
        <v>4.8119113967891948E-4</v>
      </c>
    </row>
    <row r="1142" spans="1:24">
      <c r="A1142" t="s">
        <v>1213</v>
      </c>
      <c r="B1142" s="4">
        <v>9631</v>
      </c>
      <c r="C1142" t="s">
        <v>2396</v>
      </c>
      <c r="D1142" t="s">
        <v>2397</v>
      </c>
      <c r="E1142" t="s">
        <v>309</v>
      </c>
      <c r="F1142" t="s">
        <v>2396</v>
      </c>
      <c r="G1142" t="s">
        <v>3659</v>
      </c>
      <c r="H1142" t="s">
        <v>321</v>
      </c>
      <c r="I1142" t="s">
        <v>917</v>
      </c>
      <c r="J1142" t="s">
        <v>204</v>
      </c>
      <c r="K1142" t="s">
        <v>204</v>
      </c>
      <c r="L1142" t="s">
        <v>325</v>
      </c>
      <c r="M1142" t="s">
        <v>340</v>
      </c>
      <c r="N1142" t="s">
        <v>451</v>
      </c>
      <c r="O1142" t="s">
        <v>339</v>
      </c>
      <c r="P1142" t="s">
        <v>1212</v>
      </c>
      <c r="Q1142" s="131">
        <v>74392</v>
      </c>
      <c r="R1142" s="131">
        <v>1</v>
      </c>
      <c r="S1142" s="131">
        <v>64.8</v>
      </c>
      <c r="U1142" s="131">
        <v>48.206000000000003</v>
      </c>
      <c r="V1142" s="132">
        <v>6.0000000000000002E-5</v>
      </c>
      <c r="W1142" s="132">
        <f t="shared" si="17"/>
        <v>6.0630500076365047E-3</v>
      </c>
      <c r="X1142" s="132">
        <v>4.1128191630074458E-4</v>
      </c>
    </row>
    <row r="1143" spans="1:24">
      <c r="A1143" t="s">
        <v>1213</v>
      </c>
      <c r="B1143" s="4">
        <v>9631</v>
      </c>
      <c r="C1143" t="s">
        <v>3461</v>
      </c>
      <c r="D1143" t="s">
        <v>3462</v>
      </c>
      <c r="E1143" t="s">
        <v>309</v>
      </c>
      <c r="F1143" t="s">
        <v>3461</v>
      </c>
      <c r="G1143" t="s">
        <v>3463</v>
      </c>
      <c r="H1143" t="s">
        <v>321</v>
      </c>
      <c r="I1143" t="s">
        <v>917</v>
      </c>
      <c r="J1143" t="s">
        <v>204</v>
      </c>
      <c r="K1143" t="s">
        <v>204</v>
      </c>
      <c r="L1143" t="s">
        <v>325</v>
      </c>
      <c r="M1143" t="s">
        <v>340</v>
      </c>
      <c r="N1143" t="s">
        <v>475</v>
      </c>
      <c r="O1143" t="s">
        <v>339</v>
      </c>
      <c r="P1143" t="s">
        <v>1212</v>
      </c>
      <c r="Q1143" s="131">
        <v>164</v>
      </c>
      <c r="R1143" s="131">
        <v>1</v>
      </c>
      <c r="S1143" s="131">
        <v>28150</v>
      </c>
      <c r="U1143" s="131">
        <v>46.165999999999997</v>
      </c>
      <c r="V1143" s="132">
        <v>1.0000000000000001E-5</v>
      </c>
      <c r="W1143" s="132">
        <f t="shared" si="17"/>
        <v>5.8064715316049212E-3</v>
      </c>
      <c r="X1143" s="132">
        <v>3.9387713039746447E-4</v>
      </c>
    </row>
    <row r="1144" spans="1:24">
      <c r="A1144" t="s">
        <v>1213</v>
      </c>
      <c r="B1144" s="4">
        <v>9631</v>
      </c>
      <c r="C1144" t="s">
        <v>2789</v>
      </c>
      <c r="D1144" t="s">
        <v>2790</v>
      </c>
      <c r="E1144" t="s">
        <v>309</v>
      </c>
      <c r="F1144" t="s">
        <v>2789</v>
      </c>
      <c r="G1144" t="s">
        <v>3480</v>
      </c>
      <c r="H1144" t="s">
        <v>321</v>
      </c>
      <c r="I1144" t="s">
        <v>917</v>
      </c>
      <c r="J1144" t="s">
        <v>204</v>
      </c>
      <c r="K1144" t="s">
        <v>204</v>
      </c>
      <c r="L1144" t="s">
        <v>325</v>
      </c>
      <c r="M1144" t="s">
        <v>340</v>
      </c>
      <c r="N1144" t="s">
        <v>441</v>
      </c>
      <c r="O1144" t="s">
        <v>339</v>
      </c>
      <c r="P1144" t="s">
        <v>1212</v>
      </c>
      <c r="Q1144" s="131">
        <v>3291</v>
      </c>
      <c r="R1144" s="131">
        <v>1</v>
      </c>
      <c r="S1144" s="131">
        <v>1348</v>
      </c>
      <c r="U1144" s="131">
        <v>44.363</v>
      </c>
      <c r="V1144" s="132">
        <v>1.0000000000000001E-5</v>
      </c>
      <c r="W1144" s="132">
        <f t="shared" si="17"/>
        <v>5.5797014373475968E-3</v>
      </c>
      <c r="X1144" s="132">
        <v>3.7849437109177135E-4</v>
      </c>
    </row>
    <row r="1145" spans="1:24">
      <c r="A1145" t="s">
        <v>1213</v>
      </c>
      <c r="B1145" s="4">
        <v>9631</v>
      </c>
      <c r="C1145" t="s">
        <v>1634</v>
      </c>
      <c r="D1145" t="s">
        <v>1635</v>
      </c>
      <c r="E1145" t="s">
        <v>309</v>
      </c>
      <c r="F1145" t="s">
        <v>3437</v>
      </c>
      <c r="G1145" t="s">
        <v>3438</v>
      </c>
      <c r="H1145" t="s">
        <v>321</v>
      </c>
      <c r="I1145" t="s">
        <v>917</v>
      </c>
      <c r="J1145" t="s">
        <v>204</v>
      </c>
      <c r="K1145" t="s">
        <v>204</v>
      </c>
      <c r="L1145" t="s">
        <v>325</v>
      </c>
      <c r="M1145" t="s">
        <v>340</v>
      </c>
      <c r="N1145" t="s">
        <v>454</v>
      </c>
      <c r="O1145" t="s">
        <v>339</v>
      </c>
      <c r="P1145" t="s">
        <v>1212</v>
      </c>
      <c r="Q1145" s="131">
        <v>827</v>
      </c>
      <c r="R1145" s="131">
        <v>1</v>
      </c>
      <c r="S1145" s="131">
        <v>5205</v>
      </c>
      <c r="U1145" s="131">
        <v>43.045000000000002</v>
      </c>
      <c r="V1145" s="132">
        <v>1.0000000000000001E-5</v>
      </c>
      <c r="W1145" s="132">
        <f t="shared" si="17"/>
        <v>5.4139316180291525E-3</v>
      </c>
      <c r="X1145" s="132">
        <v>3.6724951431700516E-4</v>
      </c>
    </row>
    <row r="1146" spans="1:24">
      <c r="A1146" t="s">
        <v>1213</v>
      </c>
      <c r="B1146" s="4">
        <v>9631</v>
      </c>
      <c r="C1146" t="s">
        <v>2203</v>
      </c>
      <c r="D1146" t="s">
        <v>2204</v>
      </c>
      <c r="E1146" t="s">
        <v>309</v>
      </c>
      <c r="F1146" t="s">
        <v>3606</v>
      </c>
      <c r="G1146" t="s">
        <v>3607</v>
      </c>
      <c r="H1146" t="s">
        <v>321</v>
      </c>
      <c r="I1146" t="s">
        <v>917</v>
      </c>
      <c r="J1146" t="s">
        <v>204</v>
      </c>
      <c r="K1146" t="s">
        <v>204</v>
      </c>
      <c r="L1146" t="s">
        <v>325</v>
      </c>
      <c r="M1146" t="s">
        <v>340</v>
      </c>
      <c r="N1146" t="s">
        <v>459</v>
      </c>
      <c r="O1146" t="s">
        <v>339</v>
      </c>
      <c r="P1146" t="s">
        <v>1212</v>
      </c>
      <c r="Q1146" s="131">
        <v>703</v>
      </c>
      <c r="R1146" s="131">
        <v>1</v>
      </c>
      <c r="S1146" s="131">
        <v>5930</v>
      </c>
      <c r="U1146" s="131">
        <v>41.688000000000002</v>
      </c>
      <c r="V1146" s="132">
        <v>1.0000000000000001E-5</v>
      </c>
      <c r="W1146" s="132">
        <f t="shared" si="17"/>
        <v>5.2432566219630461E-3</v>
      </c>
      <c r="X1146" s="132">
        <v>3.5567191898820563E-4</v>
      </c>
    </row>
    <row r="1147" spans="1:24">
      <c r="A1147" t="s">
        <v>1213</v>
      </c>
      <c r="B1147" s="4">
        <v>9631</v>
      </c>
      <c r="C1147" t="s">
        <v>2211</v>
      </c>
      <c r="D1147" t="s">
        <v>2212</v>
      </c>
      <c r="E1147" t="s">
        <v>309</v>
      </c>
      <c r="F1147" t="s">
        <v>2211</v>
      </c>
      <c r="G1147" t="s">
        <v>3617</v>
      </c>
      <c r="H1147" t="s">
        <v>321</v>
      </c>
      <c r="I1147" t="s">
        <v>917</v>
      </c>
      <c r="J1147" t="s">
        <v>204</v>
      </c>
      <c r="K1147" t="s">
        <v>204</v>
      </c>
      <c r="L1147" t="s">
        <v>325</v>
      </c>
      <c r="M1147" t="s">
        <v>340</v>
      </c>
      <c r="N1147" t="s">
        <v>454</v>
      </c>
      <c r="O1147" t="s">
        <v>339</v>
      </c>
      <c r="P1147" t="s">
        <v>1212</v>
      </c>
      <c r="Q1147" s="131">
        <v>94</v>
      </c>
      <c r="R1147" s="131">
        <v>1</v>
      </c>
      <c r="S1147" s="131">
        <v>43600</v>
      </c>
      <c r="U1147" s="131">
        <v>40.984000000000002</v>
      </c>
      <c r="V1147" s="132">
        <v>1.0000000000000001E-5</v>
      </c>
      <c r="W1147" s="132">
        <f t="shared" si="17"/>
        <v>5.1547118929795976E-3</v>
      </c>
      <c r="X1147" s="132">
        <v>3.4966556150001487E-4</v>
      </c>
    </row>
    <row r="1148" spans="1:24">
      <c r="A1148" t="s">
        <v>1213</v>
      </c>
      <c r="B1148" s="4">
        <v>9631</v>
      </c>
      <c r="C1148" t="s">
        <v>1737</v>
      </c>
      <c r="D1148" t="s">
        <v>1738</v>
      </c>
      <c r="E1148" t="s">
        <v>309</v>
      </c>
      <c r="F1148" t="s">
        <v>3530</v>
      </c>
      <c r="G1148" t="s">
        <v>3531</v>
      </c>
      <c r="H1148" t="s">
        <v>321</v>
      </c>
      <c r="I1148" t="s">
        <v>917</v>
      </c>
      <c r="J1148" t="s">
        <v>204</v>
      </c>
      <c r="K1148" t="s">
        <v>204</v>
      </c>
      <c r="L1148" t="s">
        <v>325</v>
      </c>
      <c r="M1148" t="s">
        <v>340</v>
      </c>
      <c r="N1148" t="s">
        <v>447</v>
      </c>
      <c r="O1148" t="s">
        <v>339</v>
      </c>
      <c r="P1148" t="s">
        <v>1212</v>
      </c>
      <c r="Q1148" s="131">
        <v>2504</v>
      </c>
      <c r="R1148" s="131">
        <v>1</v>
      </c>
      <c r="S1148" s="131">
        <v>1628</v>
      </c>
      <c r="U1148" s="131">
        <v>40.765000000000001</v>
      </c>
      <c r="V1148" s="132">
        <v>4.0000000000000003E-5</v>
      </c>
      <c r="W1148" s="132">
        <f t="shared" si="17"/>
        <v>5.1271674389350309E-3</v>
      </c>
      <c r="X1148" s="132">
        <v>3.4779710654275097E-4</v>
      </c>
    </row>
    <row r="1149" spans="1:24">
      <c r="A1149" t="s">
        <v>1213</v>
      </c>
      <c r="B1149" s="4">
        <v>9631</v>
      </c>
      <c r="C1149" t="s">
        <v>2356</v>
      </c>
      <c r="D1149" t="s">
        <v>2357</v>
      </c>
      <c r="E1149" t="s">
        <v>309</v>
      </c>
      <c r="F1149" t="s">
        <v>2356</v>
      </c>
      <c r="G1149" t="s">
        <v>3645</v>
      </c>
      <c r="H1149" t="s">
        <v>321</v>
      </c>
      <c r="I1149" t="s">
        <v>917</v>
      </c>
      <c r="J1149" t="s">
        <v>204</v>
      </c>
      <c r="K1149" t="s">
        <v>204</v>
      </c>
      <c r="L1149" t="s">
        <v>325</v>
      </c>
      <c r="M1149" t="s">
        <v>340</v>
      </c>
      <c r="N1149" t="s">
        <v>447</v>
      </c>
      <c r="O1149" t="s">
        <v>339</v>
      </c>
      <c r="P1149" t="s">
        <v>1212</v>
      </c>
      <c r="Q1149" s="131">
        <v>4276</v>
      </c>
      <c r="R1149" s="131">
        <v>1</v>
      </c>
      <c r="S1149" s="131">
        <v>898.1</v>
      </c>
      <c r="U1149" s="131">
        <v>38.402999999999999</v>
      </c>
      <c r="V1149" s="132">
        <v>1.0000000000000001E-5</v>
      </c>
      <c r="W1149" s="132">
        <f t="shared" si="17"/>
        <v>4.8300898112945412E-3</v>
      </c>
      <c r="X1149" s="132">
        <v>3.2764509462924725E-4</v>
      </c>
    </row>
    <row r="1150" spans="1:24">
      <c r="A1150" t="s">
        <v>1213</v>
      </c>
      <c r="B1150" s="4">
        <v>9631</v>
      </c>
      <c r="C1150" t="s">
        <v>1820</v>
      </c>
      <c r="D1150" t="s">
        <v>1821</v>
      </c>
      <c r="E1150" t="s">
        <v>309</v>
      </c>
      <c r="F1150" t="s">
        <v>3632</v>
      </c>
      <c r="G1150" t="s">
        <v>3633</v>
      </c>
      <c r="H1150" t="s">
        <v>321</v>
      </c>
      <c r="I1150" t="s">
        <v>917</v>
      </c>
      <c r="J1150" t="s">
        <v>204</v>
      </c>
      <c r="K1150" t="s">
        <v>204</v>
      </c>
      <c r="L1150" t="s">
        <v>325</v>
      </c>
      <c r="M1150" t="s">
        <v>340</v>
      </c>
      <c r="N1150" t="s">
        <v>464</v>
      </c>
      <c r="O1150" t="s">
        <v>339</v>
      </c>
      <c r="P1150" t="s">
        <v>1212</v>
      </c>
      <c r="Q1150" s="131">
        <v>680</v>
      </c>
      <c r="R1150" s="131">
        <v>1</v>
      </c>
      <c r="S1150" s="131">
        <v>5594</v>
      </c>
      <c r="U1150" s="131">
        <v>38.039000000000001</v>
      </c>
      <c r="V1150" s="132">
        <v>1.0000000000000001E-5</v>
      </c>
      <c r="W1150" s="132">
        <f t="shared" si="17"/>
        <v>4.7843081616496903E-3</v>
      </c>
      <c r="X1150" s="132">
        <v>3.2453953479160319E-4</v>
      </c>
    </row>
    <row r="1151" spans="1:24">
      <c r="A1151" t="s">
        <v>1213</v>
      </c>
      <c r="B1151" s="4">
        <v>9631</v>
      </c>
      <c r="C1151" t="s">
        <v>1534</v>
      </c>
      <c r="D1151" t="s">
        <v>1535</v>
      </c>
      <c r="E1151" t="s">
        <v>309</v>
      </c>
      <c r="F1151" t="s">
        <v>1534</v>
      </c>
      <c r="G1151" t="s">
        <v>3509</v>
      </c>
      <c r="H1151" t="s">
        <v>321</v>
      </c>
      <c r="I1151" t="s">
        <v>917</v>
      </c>
      <c r="J1151" t="s">
        <v>204</v>
      </c>
      <c r="K1151" t="s">
        <v>204</v>
      </c>
      <c r="L1151" t="s">
        <v>325</v>
      </c>
      <c r="M1151" t="s">
        <v>340</v>
      </c>
      <c r="N1151" t="s">
        <v>464</v>
      </c>
      <c r="O1151" t="s">
        <v>339</v>
      </c>
      <c r="P1151" t="s">
        <v>1212</v>
      </c>
      <c r="Q1151" s="131">
        <v>2276</v>
      </c>
      <c r="R1151" s="131">
        <v>1</v>
      </c>
      <c r="S1151" s="131">
        <v>1609</v>
      </c>
      <c r="U1151" s="131">
        <v>36.621000000000002</v>
      </c>
      <c r="V1151" s="132">
        <v>0</v>
      </c>
      <c r="W1151" s="132">
        <f t="shared" si="17"/>
        <v>4.6059609660551891E-3</v>
      </c>
      <c r="X1151" s="132">
        <v>3.1244150223726442E-4</v>
      </c>
    </row>
    <row r="1152" spans="1:24">
      <c r="A1152" t="s">
        <v>1213</v>
      </c>
      <c r="B1152" s="4">
        <v>9631</v>
      </c>
      <c r="C1152" t="s">
        <v>3469</v>
      </c>
      <c r="D1152" t="s">
        <v>3470</v>
      </c>
      <c r="E1152" t="s">
        <v>309</v>
      </c>
      <c r="F1152" t="s">
        <v>3471</v>
      </c>
      <c r="G1152" t="s">
        <v>3472</v>
      </c>
      <c r="H1152" t="s">
        <v>321</v>
      </c>
      <c r="I1152" t="s">
        <v>917</v>
      </c>
      <c r="J1152" t="s">
        <v>204</v>
      </c>
      <c r="K1152" t="s">
        <v>204</v>
      </c>
      <c r="L1152" t="s">
        <v>325</v>
      </c>
      <c r="M1152" t="s">
        <v>340</v>
      </c>
      <c r="N1152" t="s">
        <v>454</v>
      </c>
      <c r="O1152" t="s">
        <v>339</v>
      </c>
      <c r="P1152" t="s">
        <v>1212</v>
      </c>
      <c r="Q1152" s="131">
        <v>3101</v>
      </c>
      <c r="R1152" s="131">
        <v>1</v>
      </c>
      <c r="S1152" s="131">
        <v>1025</v>
      </c>
      <c r="U1152" s="131">
        <v>31.785</v>
      </c>
      <c r="V1152" s="132">
        <v>0</v>
      </c>
      <c r="W1152" s="132">
        <f t="shared" si="17"/>
        <v>3.9977190493450249E-3</v>
      </c>
      <c r="X1152" s="132">
        <v>2.7118192153713572E-4</v>
      </c>
    </row>
    <row r="1153" spans="1:24">
      <c r="A1153" t="s">
        <v>1213</v>
      </c>
      <c r="B1153" s="4">
        <v>9631</v>
      </c>
      <c r="C1153" t="s">
        <v>3433</v>
      </c>
      <c r="D1153" t="s">
        <v>3434</v>
      </c>
      <c r="E1153" t="s">
        <v>309</v>
      </c>
      <c r="F1153" t="s">
        <v>3433</v>
      </c>
      <c r="G1153" t="s">
        <v>3435</v>
      </c>
      <c r="H1153" t="s">
        <v>321</v>
      </c>
      <c r="I1153" t="s">
        <v>917</v>
      </c>
      <c r="J1153" t="s">
        <v>204</v>
      </c>
      <c r="K1153" t="s">
        <v>204</v>
      </c>
      <c r="L1153" t="s">
        <v>325</v>
      </c>
      <c r="M1153" t="s">
        <v>340</v>
      </c>
      <c r="N1153" t="s">
        <v>458</v>
      </c>
      <c r="O1153" t="s">
        <v>339</v>
      </c>
      <c r="P1153" t="s">
        <v>1212</v>
      </c>
      <c r="Q1153" s="131">
        <v>102</v>
      </c>
      <c r="R1153" s="131">
        <v>1</v>
      </c>
      <c r="S1153" s="131">
        <v>29980</v>
      </c>
      <c r="U1153" s="131">
        <v>30.58</v>
      </c>
      <c r="V1153" s="132">
        <v>0</v>
      </c>
      <c r="W1153" s="132">
        <f t="shared" si="17"/>
        <v>3.8461616652185264E-3</v>
      </c>
      <c r="X1153" s="132">
        <v>2.6090115339328648E-4</v>
      </c>
    </row>
    <row r="1154" spans="1:24">
      <c r="A1154" t="s">
        <v>1213</v>
      </c>
      <c r="B1154" s="4">
        <v>9631</v>
      </c>
      <c r="C1154" t="s">
        <v>3498</v>
      </c>
      <c r="D1154" t="s">
        <v>3499</v>
      </c>
      <c r="E1154" t="s">
        <v>309</v>
      </c>
      <c r="F1154" t="s">
        <v>3500</v>
      </c>
      <c r="G1154" t="s">
        <v>3501</v>
      </c>
      <c r="H1154" t="s">
        <v>321</v>
      </c>
      <c r="I1154" t="s">
        <v>917</v>
      </c>
      <c r="J1154" t="s">
        <v>204</v>
      </c>
      <c r="K1154" t="s">
        <v>204</v>
      </c>
      <c r="L1154" t="s">
        <v>325</v>
      </c>
      <c r="M1154" t="s">
        <v>340</v>
      </c>
      <c r="N1154" t="s">
        <v>476</v>
      </c>
      <c r="O1154" t="s">
        <v>339</v>
      </c>
      <c r="P1154" t="s">
        <v>1212</v>
      </c>
      <c r="Q1154" s="131">
        <v>601</v>
      </c>
      <c r="R1154" s="131">
        <v>1</v>
      </c>
      <c r="S1154" s="131">
        <v>5029</v>
      </c>
      <c r="U1154" s="131">
        <v>30.224</v>
      </c>
      <c r="V1154" s="132">
        <v>1.0000000000000001E-5</v>
      </c>
      <c r="W1154" s="132">
        <f t="shared" si="17"/>
        <v>3.8013862056757602E-3</v>
      </c>
      <c r="X1154" s="132">
        <v>2.5786384761800822E-4</v>
      </c>
    </row>
    <row r="1155" spans="1:24">
      <c r="A1155" t="s">
        <v>1213</v>
      </c>
      <c r="B1155" s="4">
        <v>9631</v>
      </c>
      <c r="C1155" t="s">
        <v>3694</v>
      </c>
      <c r="D1155" t="s">
        <v>3695</v>
      </c>
      <c r="E1155" t="s">
        <v>309</v>
      </c>
      <c r="F1155" t="s">
        <v>3694</v>
      </c>
      <c r="G1155" t="s">
        <v>3696</v>
      </c>
      <c r="H1155" t="s">
        <v>321</v>
      </c>
      <c r="I1155" t="s">
        <v>917</v>
      </c>
      <c r="J1155" t="s">
        <v>204</v>
      </c>
      <c r="K1155" t="s">
        <v>204</v>
      </c>
      <c r="L1155" t="s">
        <v>325</v>
      </c>
      <c r="M1155" t="s">
        <v>340</v>
      </c>
      <c r="N1155" t="s">
        <v>451</v>
      </c>
      <c r="O1155" t="s">
        <v>339</v>
      </c>
      <c r="P1155" t="s">
        <v>1212</v>
      </c>
      <c r="Q1155" s="131">
        <v>258</v>
      </c>
      <c r="R1155" s="131">
        <v>1</v>
      </c>
      <c r="S1155" s="131">
        <v>11080</v>
      </c>
      <c r="U1155" s="131">
        <v>28.585999999999999</v>
      </c>
      <c r="V1155" s="132">
        <v>1.0000000000000001E-5</v>
      </c>
      <c r="W1155" s="132">
        <f t="shared" ref="W1155:W1218" si="18">U1155/SUMIF(B:B,B1155,U:U)</f>
        <v>3.5953687822739308E-3</v>
      </c>
      <c r="X1155" s="132">
        <v>2.4388882834860978E-4</v>
      </c>
    </row>
    <row r="1156" spans="1:24">
      <c r="A1156" t="s">
        <v>1213</v>
      </c>
      <c r="B1156" s="4">
        <v>9631</v>
      </c>
      <c r="C1156" t="s">
        <v>2454</v>
      </c>
      <c r="D1156" t="s">
        <v>2455</v>
      </c>
      <c r="E1156" t="s">
        <v>309</v>
      </c>
      <c r="F1156" t="s">
        <v>2454</v>
      </c>
      <c r="G1156" t="s">
        <v>3618</v>
      </c>
      <c r="H1156" t="s">
        <v>321</v>
      </c>
      <c r="I1156" t="s">
        <v>917</v>
      </c>
      <c r="J1156" t="s">
        <v>204</v>
      </c>
      <c r="K1156" t="s">
        <v>204</v>
      </c>
      <c r="L1156" t="s">
        <v>325</v>
      </c>
      <c r="M1156" t="s">
        <v>340</v>
      </c>
      <c r="N1156" t="s">
        <v>478</v>
      </c>
      <c r="O1156" t="s">
        <v>339</v>
      </c>
      <c r="P1156" t="s">
        <v>1212</v>
      </c>
      <c r="Q1156" s="131">
        <v>1860.56</v>
      </c>
      <c r="R1156" s="131">
        <v>1</v>
      </c>
      <c r="S1156" s="131">
        <v>1373</v>
      </c>
      <c r="U1156" s="131">
        <v>25.545000000000002</v>
      </c>
      <c r="V1156" s="132">
        <v>1.0000000000000001E-5</v>
      </c>
      <c r="W1156" s="132">
        <f t="shared" si="18"/>
        <v>3.2128907697190081E-3</v>
      </c>
      <c r="X1156" s="132">
        <v>2.1794375289180851E-4</v>
      </c>
    </row>
    <row r="1157" spans="1:24">
      <c r="A1157" t="s">
        <v>1213</v>
      </c>
      <c r="B1157" s="4">
        <v>9631</v>
      </c>
      <c r="C1157" t="s">
        <v>3284</v>
      </c>
      <c r="D1157" t="s">
        <v>3285</v>
      </c>
      <c r="E1157" t="s">
        <v>311</v>
      </c>
      <c r="F1157" t="s">
        <v>3284</v>
      </c>
      <c r="G1157" t="s">
        <v>3510</v>
      </c>
      <c r="H1157" t="s">
        <v>321</v>
      </c>
      <c r="I1157" t="s">
        <v>917</v>
      </c>
      <c r="J1157" t="s">
        <v>204</v>
      </c>
      <c r="K1157" t="s">
        <v>233</v>
      </c>
      <c r="L1157" t="s">
        <v>325</v>
      </c>
      <c r="M1157" t="s">
        <v>340</v>
      </c>
      <c r="N1157" t="s">
        <v>454</v>
      </c>
      <c r="O1157" t="s">
        <v>339</v>
      </c>
      <c r="P1157" t="s">
        <v>1212</v>
      </c>
      <c r="Q1157" s="131">
        <v>348</v>
      </c>
      <c r="R1157" s="131">
        <v>1</v>
      </c>
      <c r="S1157" s="131">
        <v>4556</v>
      </c>
      <c r="T1157" s="131">
        <f>0.389-1.24599999999998/1000/R1157</f>
        <v>0.38775400000000004</v>
      </c>
      <c r="U1157" s="131">
        <f>16.243-1.24599999999998/1000</f>
        <v>16.241754</v>
      </c>
      <c r="V1157" s="132">
        <v>0</v>
      </c>
      <c r="W1157" s="132">
        <f t="shared" si="18"/>
        <v>2.042786514411696E-3</v>
      </c>
      <c r="X1157" s="132">
        <v>1.3857071130575621E-4</v>
      </c>
    </row>
    <row r="1158" spans="1:24">
      <c r="A1158" t="s">
        <v>1213</v>
      </c>
      <c r="B1158" s="4">
        <v>9631</v>
      </c>
      <c r="C1158" t="s">
        <v>3852</v>
      </c>
      <c r="D1158" t="s">
        <v>3853</v>
      </c>
      <c r="E1158" t="s">
        <v>309</v>
      </c>
      <c r="F1158" t="s">
        <v>3854</v>
      </c>
      <c r="G1158" t="s">
        <v>3855</v>
      </c>
      <c r="H1158" t="s">
        <v>321</v>
      </c>
      <c r="I1158" t="s">
        <v>917</v>
      </c>
      <c r="J1158" t="s">
        <v>204</v>
      </c>
      <c r="K1158" t="s">
        <v>204</v>
      </c>
      <c r="L1158" t="s">
        <v>325</v>
      </c>
      <c r="M1158" t="s">
        <v>340</v>
      </c>
      <c r="N1158" t="s">
        <v>450</v>
      </c>
      <c r="O1158" t="s">
        <v>339</v>
      </c>
      <c r="P1158" t="s">
        <v>1212</v>
      </c>
      <c r="Q1158" s="131">
        <v>6776</v>
      </c>
      <c r="R1158" s="131">
        <v>1</v>
      </c>
      <c r="S1158" s="131">
        <v>161</v>
      </c>
      <c r="U1158" s="131">
        <v>10.909000000000001</v>
      </c>
      <c r="V1158" s="132">
        <v>5.5000000000000003E-4</v>
      </c>
      <c r="W1158" s="132">
        <f t="shared" si="18"/>
        <v>1.3720659779551639E-3</v>
      </c>
      <c r="X1158" s="132">
        <v>9.307294579356973E-5</v>
      </c>
    </row>
    <row r="1159" spans="1:24">
      <c r="A1159" t="s">
        <v>1213</v>
      </c>
      <c r="B1159" s="4">
        <v>9631</v>
      </c>
      <c r="C1159" t="s">
        <v>3789</v>
      </c>
      <c r="D1159" t="s">
        <v>3790</v>
      </c>
      <c r="E1159" t="s">
        <v>309</v>
      </c>
      <c r="F1159" t="s">
        <v>3791</v>
      </c>
      <c r="G1159" t="s">
        <v>3792</v>
      </c>
      <c r="H1159" t="s">
        <v>321</v>
      </c>
      <c r="I1159" t="s">
        <v>917</v>
      </c>
      <c r="J1159" t="s">
        <v>204</v>
      </c>
      <c r="K1159" t="s">
        <v>204</v>
      </c>
      <c r="L1159" t="s">
        <v>325</v>
      </c>
      <c r="M1159" t="s">
        <v>340</v>
      </c>
      <c r="N1159" t="s">
        <v>450</v>
      </c>
      <c r="O1159" t="s">
        <v>339</v>
      </c>
      <c r="P1159" t="s">
        <v>1212</v>
      </c>
      <c r="Q1159" s="131">
        <v>3900</v>
      </c>
      <c r="R1159" s="131">
        <v>1</v>
      </c>
      <c r="S1159" s="131">
        <v>108.6</v>
      </c>
      <c r="U1159" s="131">
        <v>4.2350000000000003</v>
      </c>
      <c r="V1159" s="132">
        <v>9.7000000000000005E-4</v>
      </c>
      <c r="W1159" s="132">
        <f t="shared" si="18"/>
        <v>5.3265188529105496E-4</v>
      </c>
      <c r="X1159" s="132">
        <v>3.613199426489759E-5</v>
      </c>
    </row>
    <row r="1160" spans="1:24">
      <c r="A1160" t="s">
        <v>1213</v>
      </c>
      <c r="B1160" s="4">
        <v>9631</v>
      </c>
      <c r="C1160" t="s">
        <v>3119</v>
      </c>
      <c r="D1160" t="s">
        <v>3120</v>
      </c>
      <c r="E1160" t="s">
        <v>80</v>
      </c>
      <c r="F1160" t="s">
        <v>3718</v>
      </c>
      <c r="G1160" t="s">
        <v>3719</v>
      </c>
      <c r="H1160" t="s">
        <v>321</v>
      </c>
      <c r="I1160" t="s">
        <v>917</v>
      </c>
      <c r="J1160" t="s">
        <v>205</v>
      </c>
      <c r="K1160" t="s">
        <v>224</v>
      </c>
      <c r="L1160" t="s">
        <v>325</v>
      </c>
      <c r="M1160" t="s">
        <v>344</v>
      </c>
      <c r="N1160" t="s">
        <v>544</v>
      </c>
      <c r="O1160" t="s">
        <v>339</v>
      </c>
      <c r="P1160" t="s">
        <v>1216</v>
      </c>
      <c r="Q1160" s="131">
        <v>578</v>
      </c>
      <c r="R1160" s="131">
        <v>3.71</v>
      </c>
      <c r="S1160" s="131">
        <v>18633</v>
      </c>
      <c r="U1160" s="131">
        <v>399.56200000000001</v>
      </c>
      <c r="V1160" s="132">
        <v>0</v>
      </c>
      <c r="W1160" s="132">
        <f t="shared" si="18"/>
        <v>5.0254416196142737E-2</v>
      </c>
      <c r="X1160" s="132">
        <v>3.4089662083756815E-3</v>
      </c>
    </row>
    <row r="1161" spans="1:24">
      <c r="A1161" t="s">
        <v>1213</v>
      </c>
      <c r="B1161" s="4">
        <v>9631</v>
      </c>
      <c r="C1161" t="s">
        <v>3550</v>
      </c>
      <c r="D1161" t="s">
        <v>3551</v>
      </c>
      <c r="E1161" t="s">
        <v>80</v>
      </c>
      <c r="F1161" t="s">
        <v>3552</v>
      </c>
      <c r="G1161" t="s">
        <v>3553</v>
      </c>
      <c r="H1161" t="s">
        <v>321</v>
      </c>
      <c r="I1161" t="s">
        <v>917</v>
      </c>
      <c r="J1161" t="s">
        <v>205</v>
      </c>
      <c r="K1161" t="s">
        <v>224</v>
      </c>
      <c r="L1161" t="s">
        <v>325</v>
      </c>
      <c r="M1161" t="s">
        <v>344</v>
      </c>
      <c r="N1161" t="s">
        <v>544</v>
      </c>
      <c r="O1161" t="s">
        <v>339</v>
      </c>
      <c r="P1161" t="s">
        <v>1216</v>
      </c>
      <c r="Q1161" s="131">
        <v>197</v>
      </c>
      <c r="R1161" s="131">
        <v>3.71</v>
      </c>
      <c r="S1161" s="131">
        <v>43030</v>
      </c>
      <c r="U1161" s="131">
        <v>314.49299999999999</v>
      </c>
      <c r="V1161" s="132">
        <v>0</v>
      </c>
      <c r="W1161" s="132">
        <f t="shared" si="18"/>
        <v>3.9554967971862982E-2</v>
      </c>
      <c r="X1161" s="132">
        <v>2.6831781044511067E-3</v>
      </c>
    </row>
    <row r="1162" spans="1:24">
      <c r="A1162" t="s">
        <v>1213</v>
      </c>
      <c r="B1162" s="4">
        <v>9631</v>
      </c>
      <c r="C1162" t="s">
        <v>3563</v>
      </c>
      <c r="D1162" t="s">
        <v>3564</v>
      </c>
      <c r="E1162" t="s">
        <v>80</v>
      </c>
      <c r="F1162" t="s">
        <v>3565</v>
      </c>
      <c r="G1162" t="s">
        <v>3566</v>
      </c>
      <c r="H1162" t="s">
        <v>321</v>
      </c>
      <c r="I1162" t="s">
        <v>917</v>
      </c>
      <c r="J1162" t="s">
        <v>205</v>
      </c>
      <c r="K1162" t="s">
        <v>224</v>
      </c>
      <c r="L1162" t="s">
        <v>325</v>
      </c>
      <c r="M1162" t="s">
        <v>344</v>
      </c>
      <c r="N1162" t="s">
        <v>546</v>
      </c>
      <c r="O1162" t="s">
        <v>339</v>
      </c>
      <c r="P1162" t="s">
        <v>1216</v>
      </c>
      <c r="Q1162" s="131">
        <v>346</v>
      </c>
      <c r="R1162" s="131">
        <v>3.71</v>
      </c>
      <c r="S1162" s="131">
        <v>23300</v>
      </c>
      <c r="U1162" s="131">
        <v>299.09300000000002</v>
      </c>
      <c r="V1162" s="132">
        <v>0</v>
      </c>
      <c r="W1162" s="132">
        <f t="shared" si="18"/>
        <v>3.7618052025350061E-2</v>
      </c>
      <c r="X1162" s="132">
        <v>2.5517890343969341E-3</v>
      </c>
    </row>
    <row r="1163" spans="1:24">
      <c r="A1163" t="s">
        <v>1213</v>
      </c>
      <c r="B1163" s="4">
        <v>9631</v>
      </c>
      <c r="C1163" t="s">
        <v>3209</v>
      </c>
      <c r="D1163" t="s">
        <v>3210</v>
      </c>
      <c r="E1163" t="s">
        <v>80</v>
      </c>
      <c r="F1163" t="s">
        <v>3209</v>
      </c>
      <c r="G1163" t="s">
        <v>3562</v>
      </c>
      <c r="H1163" t="s">
        <v>321</v>
      </c>
      <c r="I1163" t="s">
        <v>917</v>
      </c>
      <c r="J1163" t="s">
        <v>205</v>
      </c>
      <c r="K1163" t="s">
        <v>224</v>
      </c>
      <c r="L1163" t="s">
        <v>325</v>
      </c>
      <c r="M1163" t="s">
        <v>340</v>
      </c>
      <c r="N1163" t="s">
        <v>545</v>
      </c>
      <c r="O1163" t="s">
        <v>339</v>
      </c>
      <c r="P1163" t="s">
        <v>1216</v>
      </c>
      <c r="Q1163" s="131">
        <v>105</v>
      </c>
      <c r="R1163" s="131">
        <v>3.71</v>
      </c>
      <c r="S1163" s="131">
        <v>57244</v>
      </c>
      <c r="U1163" s="131">
        <v>222.994</v>
      </c>
      <c r="V1163" s="132">
        <v>0</v>
      </c>
      <c r="W1163" s="132">
        <f t="shared" si="18"/>
        <v>2.8046794453032705E-2</v>
      </c>
      <c r="X1163" s="132">
        <v>1.9025307979000173E-3</v>
      </c>
    </row>
    <row r="1164" spans="1:24">
      <c r="A1164" t="s">
        <v>1213</v>
      </c>
      <c r="B1164" s="4">
        <v>9631</v>
      </c>
      <c r="C1164" t="s">
        <v>3227</v>
      </c>
      <c r="D1164" t="s">
        <v>3228</v>
      </c>
      <c r="E1164" t="s">
        <v>80</v>
      </c>
      <c r="F1164" t="s">
        <v>3548</v>
      </c>
      <c r="G1164" t="s">
        <v>3549</v>
      </c>
      <c r="H1164" t="s">
        <v>321</v>
      </c>
      <c r="I1164" t="s">
        <v>917</v>
      </c>
      <c r="J1164" t="s">
        <v>205</v>
      </c>
      <c r="K1164" t="s">
        <v>301</v>
      </c>
      <c r="L1164" t="s">
        <v>325</v>
      </c>
      <c r="M1164" t="s">
        <v>344</v>
      </c>
      <c r="N1164" t="s">
        <v>548</v>
      </c>
      <c r="O1164" t="s">
        <v>339</v>
      </c>
      <c r="P1164" t="s">
        <v>1216</v>
      </c>
      <c r="Q1164" s="131">
        <v>332</v>
      </c>
      <c r="R1164" s="131">
        <v>3.71</v>
      </c>
      <c r="S1164" s="131">
        <v>17367</v>
      </c>
      <c r="T1164" s="131">
        <f>0.13+138.8399998/1000/R1164</f>
        <v>0.16742318053908356</v>
      </c>
      <c r="U1164" s="131">
        <f>214.396+138.8399998/1000</f>
        <v>214.5348399998</v>
      </c>
      <c r="V1164" s="132">
        <v>0</v>
      </c>
      <c r="W1164" s="132">
        <f t="shared" si="18"/>
        <v>2.6982854070013766E-2</v>
      </c>
      <c r="X1164" s="132">
        <v>1.8303592936230214E-3</v>
      </c>
    </row>
    <row r="1165" spans="1:24">
      <c r="A1165" t="s">
        <v>1213</v>
      </c>
      <c r="B1165" s="4">
        <v>9631</v>
      </c>
      <c r="C1165" t="s">
        <v>3544</v>
      </c>
      <c r="D1165" t="s">
        <v>3545</v>
      </c>
      <c r="E1165" t="s">
        <v>80</v>
      </c>
      <c r="F1165" t="s">
        <v>3546</v>
      </c>
      <c r="G1165" t="s">
        <v>3547</v>
      </c>
      <c r="H1165" t="s">
        <v>321</v>
      </c>
      <c r="I1165" t="s">
        <v>917</v>
      </c>
      <c r="J1165" t="s">
        <v>205</v>
      </c>
      <c r="K1165" t="s">
        <v>224</v>
      </c>
      <c r="L1165" t="s">
        <v>325</v>
      </c>
      <c r="M1165" t="s">
        <v>344</v>
      </c>
      <c r="N1165" t="s">
        <v>545</v>
      </c>
      <c r="O1165" t="s">
        <v>339</v>
      </c>
      <c r="P1165" t="s">
        <v>1216</v>
      </c>
      <c r="Q1165" s="131">
        <v>323</v>
      </c>
      <c r="R1165" s="131">
        <v>3.71</v>
      </c>
      <c r="S1165" s="131">
        <v>16719</v>
      </c>
      <c r="U1165" s="131">
        <v>200.34899999999999</v>
      </c>
      <c r="V1165" s="132">
        <v>0</v>
      </c>
      <c r="W1165" s="132">
        <f t="shared" si="18"/>
        <v>2.5198647595319378E-2</v>
      </c>
      <c r="X1165" s="132">
        <v>1.7093291426158127E-3</v>
      </c>
    </row>
    <row r="1166" spans="1:24">
      <c r="A1166" t="s">
        <v>1213</v>
      </c>
      <c r="B1166" s="4">
        <v>9631</v>
      </c>
      <c r="C1166" t="s">
        <v>3797</v>
      </c>
      <c r="D1166" t="s">
        <v>3798</v>
      </c>
      <c r="E1166" t="s">
        <v>80</v>
      </c>
      <c r="F1166" t="s">
        <v>3799</v>
      </c>
      <c r="G1166" t="s">
        <v>3800</v>
      </c>
      <c r="H1166" t="s">
        <v>321</v>
      </c>
      <c r="I1166" t="s">
        <v>917</v>
      </c>
      <c r="J1166" t="s">
        <v>205</v>
      </c>
      <c r="K1166" t="s">
        <v>224</v>
      </c>
      <c r="L1166" t="s">
        <v>325</v>
      </c>
      <c r="M1166" t="s">
        <v>344</v>
      </c>
      <c r="N1166" t="s">
        <v>548</v>
      </c>
      <c r="O1166" t="s">
        <v>339</v>
      </c>
      <c r="P1166" t="s">
        <v>1216</v>
      </c>
      <c r="Q1166" s="131">
        <v>1625</v>
      </c>
      <c r="R1166" s="131">
        <v>3.71</v>
      </c>
      <c r="S1166" s="131">
        <v>2291</v>
      </c>
      <c r="U1166" s="131">
        <v>138.119</v>
      </c>
      <c r="V1166" s="132">
        <v>3.0000000000000001E-5</v>
      </c>
      <c r="W1166" s="132">
        <f t="shared" si="18"/>
        <v>1.7371746338728504E-2</v>
      </c>
      <c r="X1166" s="132">
        <v>1.1783978549878135E-3</v>
      </c>
    </row>
    <row r="1167" spans="1:24">
      <c r="A1167" t="s">
        <v>1213</v>
      </c>
      <c r="B1167" s="4">
        <v>9631</v>
      </c>
      <c r="C1167" t="s">
        <v>3801</v>
      </c>
      <c r="D1167" t="s">
        <v>3802</v>
      </c>
      <c r="E1167" t="s">
        <v>80</v>
      </c>
      <c r="F1167" t="s">
        <v>3803</v>
      </c>
      <c r="G1167" t="s">
        <v>3804</v>
      </c>
      <c r="H1167" t="s">
        <v>321</v>
      </c>
      <c r="I1167" t="s">
        <v>917</v>
      </c>
      <c r="J1167" t="s">
        <v>205</v>
      </c>
      <c r="K1167" t="s">
        <v>224</v>
      </c>
      <c r="L1167" t="s">
        <v>325</v>
      </c>
      <c r="M1167" t="s">
        <v>344</v>
      </c>
      <c r="N1167" t="s">
        <v>548</v>
      </c>
      <c r="O1167" t="s">
        <v>339</v>
      </c>
      <c r="P1167" t="s">
        <v>1216</v>
      </c>
      <c r="Q1167" s="131">
        <v>244</v>
      </c>
      <c r="R1167" s="131">
        <v>3.71</v>
      </c>
      <c r="S1167" s="131">
        <v>12144</v>
      </c>
      <c r="T1167" s="131">
        <f>0.002+2.2424/1000/R1167</f>
        <v>2.6044204851752022E-3</v>
      </c>
      <c r="U1167" s="131">
        <f>109.939+2.2424/1000</f>
        <v>109.94124239999999</v>
      </c>
      <c r="V1167" s="132">
        <v>0</v>
      </c>
      <c r="W1167" s="132">
        <f t="shared" si="18"/>
        <v>1.3827723739220983E-2</v>
      </c>
      <c r="X1167" s="132">
        <v>9.3799205191794934E-4</v>
      </c>
    </row>
    <row r="1168" spans="1:24">
      <c r="A1168" t="s">
        <v>1213</v>
      </c>
      <c r="B1168" s="4">
        <v>9631</v>
      </c>
      <c r="C1168" t="s">
        <v>3793</v>
      </c>
      <c r="D1168" t="s">
        <v>3794</v>
      </c>
      <c r="E1168" t="s">
        <v>309</v>
      </c>
      <c r="F1168" t="s">
        <v>3795</v>
      </c>
      <c r="G1168" t="s">
        <v>3796</v>
      </c>
      <c r="H1168" t="s">
        <v>321</v>
      </c>
      <c r="I1168" t="s">
        <v>917</v>
      </c>
      <c r="J1168" t="s">
        <v>205</v>
      </c>
      <c r="K1168" t="s">
        <v>204</v>
      </c>
      <c r="L1168" t="s">
        <v>325</v>
      </c>
      <c r="M1168" t="s">
        <v>346</v>
      </c>
      <c r="N1168" t="s">
        <v>544</v>
      </c>
      <c r="O1168" t="s">
        <v>339</v>
      </c>
      <c r="P1168" t="s">
        <v>1216</v>
      </c>
      <c r="Q1168" s="131">
        <v>4006.46</v>
      </c>
      <c r="R1168" s="131">
        <v>3.71</v>
      </c>
      <c r="S1168" s="131">
        <v>706</v>
      </c>
      <c r="U1168" s="131">
        <v>104.94</v>
      </c>
      <c r="V1168" s="132">
        <v>3.6999999999999999E-4</v>
      </c>
      <c r="W1168" s="132">
        <f t="shared" si="18"/>
        <v>1.3198698664095232E-2</v>
      </c>
      <c r="X1168" s="132">
        <v>8.953226630834364E-4</v>
      </c>
    </row>
    <row r="1169" spans="1:24">
      <c r="A1169" t="s">
        <v>1213</v>
      </c>
      <c r="B1169" s="4">
        <v>9631</v>
      </c>
      <c r="C1169" t="s">
        <v>3805</v>
      </c>
      <c r="D1169" t="s">
        <v>3806</v>
      </c>
      <c r="E1169" t="s">
        <v>311</v>
      </c>
      <c r="F1169" t="s">
        <v>3807</v>
      </c>
      <c r="G1169" t="s">
        <v>3808</v>
      </c>
      <c r="H1169" t="s">
        <v>321</v>
      </c>
      <c r="I1169" t="s">
        <v>917</v>
      </c>
      <c r="J1169" t="s">
        <v>205</v>
      </c>
      <c r="K1169" t="s">
        <v>204</v>
      </c>
      <c r="L1169" t="s">
        <v>325</v>
      </c>
      <c r="M1169" t="s">
        <v>346</v>
      </c>
      <c r="N1169" t="s">
        <v>544</v>
      </c>
      <c r="O1169" t="s">
        <v>339</v>
      </c>
      <c r="P1169" t="s">
        <v>1216</v>
      </c>
      <c r="Q1169" s="131">
        <v>72</v>
      </c>
      <c r="R1169" s="131">
        <v>3.71</v>
      </c>
      <c r="S1169" s="131">
        <v>16717</v>
      </c>
      <c r="U1169" s="131">
        <v>44.654000000000003</v>
      </c>
      <c r="V1169" s="132">
        <v>0</v>
      </c>
      <c r="W1169" s="132">
        <f t="shared" si="18"/>
        <v>5.6163016023109257E-3</v>
      </c>
      <c r="X1169" s="132">
        <v>3.8097711261032754E-4</v>
      </c>
    </row>
    <row r="1170" spans="1:24">
      <c r="A1170" t="s">
        <v>1213</v>
      </c>
      <c r="B1170" s="4">
        <v>9631</v>
      </c>
      <c r="C1170" t="s">
        <v>3809</v>
      </c>
      <c r="D1170" t="s">
        <v>3810</v>
      </c>
      <c r="E1170" t="s">
        <v>309</v>
      </c>
      <c r="F1170" t="s">
        <v>3811</v>
      </c>
      <c r="G1170" t="s">
        <v>3812</v>
      </c>
      <c r="H1170" t="s">
        <v>321</v>
      </c>
      <c r="I1170" t="s">
        <v>917</v>
      </c>
      <c r="J1170" t="s">
        <v>205</v>
      </c>
      <c r="K1170" t="s">
        <v>204</v>
      </c>
      <c r="L1170" t="s">
        <v>325</v>
      </c>
      <c r="M1170" t="s">
        <v>346</v>
      </c>
      <c r="N1170" t="s">
        <v>546</v>
      </c>
      <c r="O1170" t="s">
        <v>339</v>
      </c>
      <c r="P1170" t="s">
        <v>1216</v>
      </c>
      <c r="Q1170" s="131">
        <v>2232</v>
      </c>
      <c r="R1170" s="131">
        <v>3.71</v>
      </c>
      <c r="S1170" s="131">
        <v>191</v>
      </c>
      <c r="U1170" s="131">
        <v>15.816000000000001</v>
      </c>
      <c r="V1170" s="132">
        <v>3.0000000000000001E-5</v>
      </c>
      <c r="W1170" s="132">
        <f t="shared" si="18"/>
        <v>1.9892378318213284E-3</v>
      </c>
      <c r="X1170" s="132">
        <v>1.3493828129719488E-4</v>
      </c>
    </row>
    <row r="1171" spans="1:24">
      <c r="A1171" t="s">
        <v>1213</v>
      </c>
      <c r="B1171" s="4">
        <v>9631</v>
      </c>
      <c r="C1171" t="s">
        <v>3813</v>
      </c>
      <c r="D1171" t="s">
        <v>3814</v>
      </c>
      <c r="E1171" t="s">
        <v>311</v>
      </c>
      <c r="F1171" t="s">
        <v>3815</v>
      </c>
      <c r="G1171" t="s">
        <v>3816</v>
      </c>
      <c r="H1171" t="s">
        <v>321</v>
      </c>
      <c r="I1171" t="s">
        <v>917</v>
      </c>
      <c r="J1171" t="s">
        <v>205</v>
      </c>
      <c r="K1171" t="s">
        <v>224</v>
      </c>
      <c r="L1171" t="s">
        <v>325</v>
      </c>
      <c r="M1171" t="s">
        <v>346</v>
      </c>
      <c r="N1171" t="s">
        <v>486</v>
      </c>
      <c r="O1171" t="s">
        <v>339</v>
      </c>
      <c r="P1171" t="s">
        <v>1216</v>
      </c>
      <c r="Q1171" s="131">
        <v>415</v>
      </c>
      <c r="R1171" s="131">
        <v>3.71</v>
      </c>
      <c r="S1171" s="131">
        <v>702</v>
      </c>
      <c r="U1171" s="131">
        <v>10.808</v>
      </c>
      <c r="V1171" s="132">
        <v>0</v>
      </c>
      <c r="W1171" s="132">
        <f t="shared" si="18"/>
        <v>1.3593628279163451E-3</v>
      </c>
      <c r="X1171" s="132">
        <v>9.2211238256201445E-5</v>
      </c>
    </row>
    <row r="1172" spans="1:24">
      <c r="A1172" t="s">
        <v>1213</v>
      </c>
      <c r="B1172" s="4">
        <v>9631</v>
      </c>
      <c r="C1172" t="s">
        <v>3825</v>
      </c>
      <c r="D1172" t="s">
        <v>3826</v>
      </c>
      <c r="E1172" t="s">
        <v>80</v>
      </c>
      <c r="F1172" t="s">
        <v>3827</v>
      </c>
      <c r="G1172" t="s">
        <v>3828</v>
      </c>
      <c r="H1172" t="s">
        <v>321</v>
      </c>
      <c r="I1172" t="s">
        <v>917</v>
      </c>
      <c r="J1172" t="s">
        <v>205</v>
      </c>
      <c r="K1172" t="s">
        <v>272</v>
      </c>
      <c r="L1172" t="s">
        <v>325</v>
      </c>
      <c r="M1172" t="s">
        <v>314</v>
      </c>
      <c r="N1172" t="s">
        <v>568</v>
      </c>
      <c r="O1172" t="s">
        <v>339</v>
      </c>
      <c r="P1172" t="s">
        <v>1218</v>
      </c>
      <c r="Q1172" s="131">
        <v>1760</v>
      </c>
      <c r="R1172" s="131">
        <v>4.1524000000000001</v>
      </c>
      <c r="S1172" s="131">
        <v>102</v>
      </c>
      <c r="U1172" s="131">
        <v>7.4539999999999997</v>
      </c>
      <c r="V1172" s="132">
        <v>3.0000000000000001E-5</v>
      </c>
      <c r="W1172" s="132">
        <f t="shared" si="18"/>
        <v>9.3751762761736088E-4</v>
      </c>
      <c r="X1172" s="132">
        <v>6.3595722609338052E-5</v>
      </c>
    </row>
    <row r="1173" spans="1:24">
      <c r="A1173" t="s">
        <v>1213</v>
      </c>
      <c r="B1173" s="4">
        <v>9631</v>
      </c>
      <c r="C1173" t="s">
        <v>3817</v>
      </c>
      <c r="D1173" t="s">
        <v>3818</v>
      </c>
      <c r="E1173" t="s">
        <v>80</v>
      </c>
      <c r="F1173" t="s">
        <v>3819</v>
      </c>
      <c r="G1173" t="s">
        <v>3820</v>
      </c>
      <c r="H1173" t="s">
        <v>321</v>
      </c>
      <c r="I1173" t="s">
        <v>917</v>
      </c>
      <c r="J1173" t="s">
        <v>205</v>
      </c>
      <c r="K1173" t="s">
        <v>224</v>
      </c>
      <c r="L1173" t="s">
        <v>325</v>
      </c>
      <c r="M1173" t="s">
        <v>344</v>
      </c>
      <c r="N1173" t="s">
        <v>569</v>
      </c>
      <c r="O1173" t="s">
        <v>339</v>
      </c>
      <c r="P1173" t="s">
        <v>1216</v>
      </c>
      <c r="Q1173" s="131">
        <v>0</v>
      </c>
      <c r="R1173" s="131">
        <v>3.71</v>
      </c>
      <c r="S1173" s="131">
        <v>0</v>
      </c>
      <c r="T1173" s="131">
        <v>0.251</v>
      </c>
      <c r="U1173" s="131">
        <v>0.93200000000000005</v>
      </c>
      <c r="V1173" t="s">
        <v>1871</v>
      </c>
      <c r="W1173" s="132">
        <f t="shared" si="18"/>
        <v>1.1722114689286027E-4</v>
      </c>
      <c r="X1173" s="132">
        <v>7.9515982656161879E-6</v>
      </c>
    </row>
    <row r="1174" spans="1:24">
      <c r="A1174" t="s">
        <v>1213</v>
      </c>
      <c r="B1174" s="4">
        <v>9631</v>
      </c>
      <c r="C1174" t="s">
        <v>3825</v>
      </c>
      <c r="D1174" t="s">
        <v>3826</v>
      </c>
      <c r="E1174" t="s">
        <v>80</v>
      </c>
      <c r="F1174" t="s">
        <v>3829</v>
      </c>
      <c r="G1174" t="s">
        <v>3830</v>
      </c>
      <c r="H1174" t="s">
        <v>321</v>
      </c>
      <c r="I1174" t="s">
        <v>917</v>
      </c>
      <c r="J1174" t="s">
        <v>205</v>
      </c>
      <c r="K1174" t="s">
        <v>272</v>
      </c>
      <c r="L1174" s="134"/>
      <c r="M1174" t="s">
        <v>314</v>
      </c>
      <c r="N1174" t="s">
        <v>568</v>
      </c>
      <c r="O1174" t="s">
        <v>339</v>
      </c>
      <c r="P1174" t="s">
        <v>1218</v>
      </c>
      <c r="Q1174" s="131">
        <v>1760</v>
      </c>
      <c r="R1174" s="131">
        <v>4.1524000000000001</v>
      </c>
      <c r="S1174" s="131">
        <v>0</v>
      </c>
      <c r="U1174" s="131">
        <v>0</v>
      </c>
      <c r="W1174" s="132">
        <f t="shared" si="18"/>
        <v>0</v>
      </c>
      <c r="X1174" s="132">
        <v>0</v>
      </c>
    </row>
    <row r="1175" spans="1:24">
      <c r="A1175" t="s">
        <v>1213</v>
      </c>
      <c r="B1175" s="4">
        <v>9719</v>
      </c>
      <c r="C1175" t="s">
        <v>1600</v>
      </c>
      <c r="D1175" t="s">
        <v>1601</v>
      </c>
      <c r="E1175" t="s">
        <v>309</v>
      </c>
      <c r="F1175" t="s">
        <v>1600</v>
      </c>
      <c r="G1175" t="s">
        <v>3406</v>
      </c>
      <c r="H1175" t="s">
        <v>321</v>
      </c>
      <c r="I1175" t="s">
        <v>917</v>
      </c>
      <c r="J1175" t="s">
        <v>204</v>
      </c>
      <c r="K1175" t="s">
        <v>204</v>
      </c>
      <c r="L1175" t="s">
        <v>325</v>
      </c>
      <c r="M1175" t="s">
        <v>340</v>
      </c>
      <c r="N1175" t="s">
        <v>448</v>
      </c>
      <c r="O1175" t="s">
        <v>339</v>
      </c>
      <c r="P1175" t="s">
        <v>1212</v>
      </c>
      <c r="Q1175" s="131">
        <v>1352767</v>
      </c>
      <c r="R1175" s="131">
        <v>1</v>
      </c>
      <c r="S1175" s="131">
        <v>3729</v>
      </c>
      <c r="U1175" s="131">
        <v>50444.680999999997</v>
      </c>
      <c r="V1175" s="132">
        <v>1.01E-3</v>
      </c>
      <c r="W1175" s="132">
        <f t="shared" si="18"/>
        <v>0.10305277553534536</v>
      </c>
      <c r="X1175" s="132">
        <v>1.6658593342816198E-2</v>
      </c>
    </row>
    <row r="1176" spans="1:24">
      <c r="A1176" t="s">
        <v>1213</v>
      </c>
      <c r="B1176" s="4">
        <v>9719</v>
      </c>
      <c r="C1176" t="s">
        <v>1573</v>
      </c>
      <c r="D1176" t="s">
        <v>1574</v>
      </c>
      <c r="E1176" t="s">
        <v>309</v>
      </c>
      <c r="F1176" t="s">
        <v>1573</v>
      </c>
      <c r="G1176" t="s">
        <v>3404</v>
      </c>
      <c r="H1176" t="s">
        <v>321</v>
      </c>
      <c r="I1176" t="s">
        <v>917</v>
      </c>
      <c r="J1176" t="s">
        <v>204</v>
      </c>
      <c r="K1176" t="s">
        <v>204</v>
      </c>
      <c r="L1176" t="s">
        <v>325</v>
      </c>
      <c r="M1176" t="s">
        <v>340</v>
      </c>
      <c r="N1176" t="s">
        <v>448</v>
      </c>
      <c r="O1176" t="s">
        <v>339</v>
      </c>
      <c r="P1176" t="s">
        <v>1212</v>
      </c>
      <c r="Q1176" s="131">
        <v>870374</v>
      </c>
      <c r="R1176" s="131">
        <v>1</v>
      </c>
      <c r="S1176" s="131">
        <v>3644</v>
      </c>
      <c r="U1176" s="131">
        <v>31716.429</v>
      </c>
      <c r="V1176" s="132">
        <v>5.4000000000000001E-4</v>
      </c>
      <c r="W1176" s="132">
        <f t="shared" si="18"/>
        <v>6.4793075775813086E-2</v>
      </c>
      <c r="X1176" s="132">
        <v>1.0473871229303693E-2</v>
      </c>
    </row>
    <row r="1177" spans="1:24">
      <c r="A1177" t="s">
        <v>1213</v>
      </c>
      <c r="B1177" s="4">
        <v>9719</v>
      </c>
      <c r="C1177" t="s">
        <v>3831</v>
      </c>
      <c r="D1177" t="s">
        <v>3832</v>
      </c>
      <c r="E1177" t="s">
        <v>309</v>
      </c>
      <c r="F1177" t="s">
        <v>3831</v>
      </c>
      <c r="G1177" t="s">
        <v>3833</v>
      </c>
      <c r="H1177" t="s">
        <v>321</v>
      </c>
      <c r="I1177" t="s">
        <v>917</v>
      </c>
      <c r="J1177" t="s">
        <v>204</v>
      </c>
      <c r="K1177" t="s">
        <v>204</v>
      </c>
      <c r="L1177" t="s">
        <v>325</v>
      </c>
      <c r="M1177" t="s">
        <v>340</v>
      </c>
      <c r="N1177" t="s">
        <v>478</v>
      </c>
      <c r="O1177" t="s">
        <v>339</v>
      </c>
      <c r="P1177" t="s">
        <v>1212</v>
      </c>
      <c r="Q1177" s="131">
        <v>637847</v>
      </c>
      <c r="R1177" s="131">
        <v>1</v>
      </c>
      <c r="S1177" s="131">
        <v>3520</v>
      </c>
      <c r="U1177" s="131">
        <v>22452.214</v>
      </c>
      <c r="V1177" s="132">
        <v>6.2100000000000002E-3</v>
      </c>
      <c r="W1177" s="132">
        <f t="shared" si="18"/>
        <v>4.5867332764251971E-2</v>
      </c>
      <c r="X1177" s="132">
        <v>7.4145042699721832E-3</v>
      </c>
    </row>
    <row r="1178" spans="1:24">
      <c r="A1178" t="s">
        <v>1213</v>
      </c>
      <c r="B1178" s="4">
        <v>9719</v>
      </c>
      <c r="C1178" t="s">
        <v>3516</v>
      </c>
      <c r="D1178" t="s">
        <v>3517</v>
      </c>
      <c r="E1178" t="s">
        <v>309</v>
      </c>
      <c r="F1178" t="s">
        <v>3516</v>
      </c>
      <c r="G1178" t="s">
        <v>3518</v>
      </c>
      <c r="H1178" t="s">
        <v>321</v>
      </c>
      <c r="I1178" t="s">
        <v>917</v>
      </c>
      <c r="J1178" t="s">
        <v>204</v>
      </c>
      <c r="K1178" t="s">
        <v>204</v>
      </c>
      <c r="L1178" t="s">
        <v>325</v>
      </c>
      <c r="M1178" t="s">
        <v>340</v>
      </c>
      <c r="N1178" t="s">
        <v>475</v>
      </c>
      <c r="O1178" t="s">
        <v>339</v>
      </c>
      <c r="P1178" t="s">
        <v>1212</v>
      </c>
      <c r="Q1178" s="131">
        <v>1960156</v>
      </c>
      <c r="R1178" s="131">
        <v>1</v>
      </c>
      <c r="S1178" s="131">
        <v>1049</v>
      </c>
      <c r="U1178" s="131">
        <v>20562.036</v>
      </c>
      <c r="V1178" s="132">
        <v>1.37E-2</v>
      </c>
      <c r="W1178" s="132">
        <f t="shared" si="18"/>
        <v>4.2005912981344672E-2</v>
      </c>
      <c r="X1178" s="132">
        <v>6.790301558738116E-3</v>
      </c>
    </row>
    <row r="1179" spans="1:24">
      <c r="A1179" t="s">
        <v>1213</v>
      </c>
      <c r="B1179" s="4">
        <v>9719</v>
      </c>
      <c r="C1179" t="s">
        <v>3451</v>
      </c>
      <c r="D1179" t="s">
        <v>3452</v>
      </c>
      <c r="E1179" t="s">
        <v>309</v>
      </c>
      <c r="F1179" t="s">
        <v>3453</v>
      </c>
      <c r="G1179" t="s">
        <v>3454</v>
      </c>
      <c r="H1179" t="s">
        <v>321</v>
      </c>
      <c r="I1179" t="s">
        <v>917</v>
      </c>
      <c r="J1179" t="s">
        <v>204</v>
      </c>
      <c r="K1179" t="s">
        <v>204</v>
      </c>
      <c r="L1179" t="s">
        <v>325</v>
      </c>
      <c r="M1179" t="s">
        <v>340</v>
      </c>
      <c r="N1179" t="s">
        <v>448</v>
      </c>
      <c r="O1179" t="s">
        <v>339</v>
      </c>
      <c r="P1179" t="s">
        <v>1212</v>
      </c>
      <c r="Q1179" s="131">
        <v>125964</v>
      </c>
      <c r="R1179" s="131">
        <v>1</v>
      </c>
      <c r="S1179" s="131">
        <v>15410</v>
      </c>
      <c r="U1179" s="131">
        <v>19411.052</v>
      </c>
      <c r="V1179" s="132">
        <v>1.2600000000000001E-3</v>
      </c>
      <c r="W1179" s="132">
        <f t="shared" si="18"/>
        <v>3.9654582901632721E-2</v>
      </c>
      <c r="X1179" s="132">
        <v>6.4102064918253538E-3</v>
      </c>
    </row>
    <row r="1180" spans="1:24">
      <c r="A1180" t="s">
        <v>1213</v>
      </c>
      <c r="B1180" s="4">
        <v>9719</v>
      </c>
      <c r="C1180" t="s">
        <v>2089</v>
      </c>
      <c r="D1180" t="s">
        <v>2090</v>
      </c>
      <c r="E1180" t="s">
        <v>309</v>
      </c>
      <c r="F1180" t="s">
        <v>2089</v>
      </c>
      <c r="G1180" t="s">
        <v>3405</v>
      </c>
      <c r="H1180" t="s">
        <v>321</v>
      </c>
      <c r="I1180" t="s">
        <v>917</v>
      </c>
      <c r="J1180" t="s">
        <v>204</v>
      </c>
      <c r="K1180" t="s">
        <v>204</v>
      </c>
      <c r="L1180" t="s">
        <v>325</v>
      </c>
      <c r="M1180" t="s">
        <v>340</v>
      </c>
      <c r="N1180" t="s">
        <v>467</v>
      </c>
      <c r="O1180" t="s">
        <v>339</v>
      </c>
      <c r="P1180" t="s">
        <v>1212</v>
      </c>
      <c r="Q1180" s="131">
        <v>287079</v>
      </c>
      <c r="R1180" s="131">
        <v>1</v>
      </c>
      <c r="S1180" s="131">
        <v>6629</v>
      </c>
      <c r="U1180" s="131">
        <v>19030.467000000001</v>
      </c>
      <c r="V1180" s="132">
        <v>2.3000000000000001E-4</v>
      </c>
      <c r="W1180" s="132">
        <f t="shared" si="18"/>
        <v>3.8877090809312433E-2</v>
      </c>
      <c r="X1180" s="132">
        <v>6.2845240487670716E-3</v>
      </c>
    </row>
    <row r="1181" spans="1:24">
      <c r="A1181" t="s">
        <v>1213</v>
      </c>
      <c r="B1181" s="4">
        <v>9719</v>
      </c>
      <c r="C1181" t="s">
        <v>2361</v>
      </c>
      <c r="D1181" t="s">
        <v>2362</v>
      </c>
      <c r="E1181" t="s">
        <v>309</v>
      </c>
      <c r="F1181" t="s">
        <v>2361</v>
      </c>
      <c r="G1181" t="s">
        <v>3440</v>
      </c>
      <c r="H1181" t="s">
        <v>321</v>
      </c>
      <c r="I1181" t="s">
        <v>917</v>
      </c>
      <c r="J1181" t="s">
        <v>204</v>
      </c>
      <c r="K1181" t="s">
        <v>204</v>
      </c>
      <c r="L1181" t="s">
        <v>325</v>
      </c>
      <c r="M1181" t="s">
        <v>340</v>
      </c>
      <c r="N1181" t="s">
        <v>446</v>
      </c>
      <c r="O1181" t="s">
        <v>339</v>
      </c>
      <c r="P1181" t="s">
        <v>1212</v>
      </c>
      <c r="Q1181" s="131">
        <v>17309</v>
      </c>
      <c r="R1181" s="131">
        <v>1</v>
      </c>
      <c r="S1181" s="131">
        <v>74080</v>
      </c>
      <c r="U1181" s="131">
        <v>12822.507</v>
      </c>
      <c r="V1181" s="132">
        <v>3.8999999999999999E-4</v>
      </c>
      <c r="W1181" s="132">
        <f t="shared" si="18"/>
        <v>2.6194930951617967E-2</v>
      </c>
      <c r="X1181" s="132">
        <v>4.2344391026759411E-3</v>
      </c>
    </row>
    <row r="1182" spans="1:24">
      <c r="A1182" t="s">
        <v>1213</v>
      </c>
      <c r="B1182" s="4">
        <v>9719</v>
      </c>
      <c r="C1182" t="s">
        <v>1674</v>
      </c>
      <c r="D1182" t="s">
        <v>1675</v>
      </c>
      <c r="E1182" t="s">
        <v>309</v>
      </c>
      <c r="F1182" t="s">
        <v>1674</v>
      </c>
      <c r="G1182" t="s">
        <v>3464</v>
      </c>
      <c r="H1182" t="s">
        <v>321</v>
      </c>
      <c r="I1182" t="s">
        <v>917</v>
      </c>
      <c r="J1182" t="s">
        <v>204</v>
      </c>
      <c r="K1182" t="s">
        <v>204</v>
      </c>
      <c r="L1182" t="s">
        <v>325</v>
      </c>
      <c r="M1182" t="s">
        <v>340</v>
      </c>
      <c r="N1182" t="s">
        <v>464</v>
      </c>
      <c r="O1182" t="s">
        <v>339</v>
      </c>
      <c r="P1182" t="s">
        <v>1212</v>
      </c>
      <c r="Q1182" s="131">
        <v>30395</v>
      </c>
      <c r="R1182" s="131">
        <v>1</v>
      </c>
      <c r="S1182" s="131">
        <v>41490</v>
      </c>
      <c r="U1182" s="131">
        <v>12610.886</v>
      </c>
      <c r="V1182" s="132">
        <v>1.23E-3</v>
      </c>
      <c r="W1182" s="132">
        <f t="shared" si="18"/>
        <v>2.5762613193248851E-2</v>
      </c>
      <c r="X1182" s="132">
        <v>4.1645544664384738E-3</v>
      </c>
    </row>
    <row r="1183" spans="1:24">
      <c r="A1183" t="s">
        <v>1213</v>
      </c>
      <c r="B1183" s="4">
        <v>9719</v>
      </c>
      <c r="C1183" t="s">
        <v>2195</v>
      </c>
      <c r="D1183" t="s">
        <v>2196</v>
      </c>
      <c r="E1183" t="s">
        <v>309</v>
      </c>
      <c r="F1183" t="s">
        <v>3610</v>
      </c>
      <c r="G1183" t="s">
        <v>3611</v>
      </c>
      <c r="H1183" t="s">
        <v>321</v>
      </c>
      <c r="I1183" t="s">
        <v>917</v>
      </c>
      <c r="J1183" t="s">
        <v>204</v>
      </c>
      <c r="K1183" t="s">
        <v>204</v>
      </c>
      <c r="L1183" t="s">
        <v>325</v>
      </c>
      <c r="M1183" t="s">
        <v>340</v>
      </c>
      <c r="N1183" t="s">
        <v>445</v>
      </c>
      <c r="O1183" t="s">
        <v>339</v>
      </c>
      <c r="P1183" t="s">
        <v>1212</v>
      </c>
      <c r="Q1183" s="131">
        <v>340155</v>
      </c>
      <c r="R1183" s="131">
        <v>1</v>
      </c>
      <c r="S1183" s="131">
        <v>3619</v>
      </c>
      <c r="U1183" s="131">
        <v>12310.209000000001</v>
      </c>
      <c r="V1183" s="132">
        <v>1.5299999999999999E-3</v>
      </c>
      <c r="W1183" s="132">
        <f t="shared" si="18"/>
        <v>2.5148364103446081E-2</v>
      </c>
      <c r="X1183" s="132">
        <v>4.065260432434414E-3</v>
      </c>
    </row>
    <row r="1184" spans="1:24">
      <c r="A1184" t="s">
        <v>1213</v>
      </c>
      <c r="B1184" s="4">
        <v>9719</v>
      </c>
      <c r="C1184" t="s">
        <v>3427</v>
      </c>
      <c r="D1184" t="s">
        <v>3428</v>
      </c>
      <c r="E1184" t="s">
        <v>309</v>
      </c>
      <c r="F1184" t="s">
        <v>3427</v>
      </c>
      <c r="G1184" t="s">
        <v>3429</v>
      </c>
      <c r="H1184" t="s">
        <v>321</v>
      </c>
      <c r="I1184" t="s">
        <v>917</v>
      </c>
      <c r="J1184" t="s">
        <v>204</v>
      </c>
      <c r="K1184" t="s">
        <v>204</v>
      </c>
      <c r="L1184" t="s">
        <v>325</v>
      </c>
      <c r="M1184" t="s">
        <v>340</v>
      </c>
      <c r="N1184" t="s">
        <v>439</v>
      </c>
      <c r="O1184" t="s">
        <v>339</v>
      </c>
      <c r="P1184" t="s">
        <v>1212</v>
      </c>
      <c r="Q1184" s="131">
        <v>301633</v>
      </c>
      <c r="R1184" s="131">
        <v>1</v>
      </c>
      <c r="S1184" s="131">
        <v>3950</v>
      </c>
      <c r="U1184" s="131">
        <v>11914.504000000001</v>
      </c>
      <c r="V1184" s="132">
        <v>3.7699999999999999E-3</v>
      </c>
      <c r="W1184" s="132">
        <f t="shared" si="18"/>
        <v>2.4339983561933412E-2</v>
      </c>
      <c r="X1184" s="132">
        <v>3.9345848379407338E-3</v>
      </c>
    </row>
    <row r="1185" spans="1:24">
      <c r="A1185" t="s">
        <v>1213</v>
      </c>
      <c r="B1185" s="4">
        <v>9719</v>
      </c>
      <c r="C1185" t="s">
        <v>3415</v>
      </c>
      <c r="D1185" t="s">
        <v>3416</v>
      </c>
      <c r="E1185" t="s">
        <v>309</v>
      </c>
      <c r="F1185" t="s">
        <v>3415</v>
      </c>
      <c r="G1185" t="s">
        <v>3417</v>
      </c>
      <c r="H1185" t="s">
        <v>321</v>
      </c>
      <c r="I1185" t="s">
        <v>917</v>
      </c>
      <c r="J1185" t="s">
        <v>204</v>
      </c>
      <c r="K1185" t="s">
        <v>204</v>
      </c>
      <c r="L1185" t="s">
        <v>325</v>
      </c>
      <c r="M1185" t="s">
        <v>340</v>
      </c>
      <c r="N1185" t="s">
        <v>458</v>
      </c>
      <c r="O1185" t="s">
        <v>339</v>
      </c>
      <c r="P1185" t="s">
        <v>1212</v>
      </c>
      <c r="Q1185" s="131">
        <v>13750</v>
      </c>
      <c r="R1185" s="131">
        <v>1</v>
      </c>
      <c r="S1185" s="131">
        <v>77890</v>
      </c>
      <c r="U1185" s="131">
        <v>10709.875</v>
      </c>
      <c r="V1185" s="132">
        <v>4.6999999999999999E-4</v>
      </c>
      <c r="W1185" s="132">
        <f t="shared" si="18"/>
        <v>2.1879062817080894E-2</v>
      </c>
      <c r="X1185" s="132">
        <v>3.5367743207136873E-3</v>
      </c>
    </row>
    <row r="1186" spans="1:24">
      <c r="A1186" t="s">
        <v>1213</v>
      </c>
      <c r="B1186" s="4">
        <v>9719</v>
      </c>
      <c r="C1186" t="s">
        <v>1634</v>
      </c>
      <c r="D1186" t="s">
        <v>1635</v>
      </c>
      <c r="E1186" t="s">
        <v>309</v>
      </c>
      <c r="F1186" t="s">
        <v>3437</v>
      </c>
      <c r="G1186" t="s">
        <v>3438</v>
      </c>
      <c r="H1186" t="s">
        <v>321</v>
      </c>
      <c r="I1186" t="s">
        <v>917</v>
      </c>
      <c r="J1186" t="s">
        <v>204</v>
      </c>
      <c r="K1186" t="s">
        <v>204</v>
      </c>
      <c r="L1186" t="s">
        <v>325</v>
      </c>
      <c r="M1186" t="s">
        <v>340</v>
      </c>
      <c r="N1186" t="s">
        <v>454</v>
      </c>
      <c r="O1186" t="s">
        <v>339</v>
      </c>
      <c r="P1186" t="s">
        <v>1212</v>
      </c>
      <c r="Q1186" s="131">
        <v>205408</v>
      </c>
      <c r="R1186" s="131">
        <v>1</v>
      </c>
      <c r="S1186" s="131">
        <v>5205</v>
      </c>
      <c r="U1186" s="131">
        <v>10691.486000000001</v>
      </c>
      <c r="V1186" s="132">
        <v>2.0500000000000002E-3</v>
      </c>
      <c r="W1186" s="132">
        <f t="shared" si="18"/>
        <v>2.1841496170771458E-2</v>
      </c>
      <c r="X1186" s="132">
        <v>3.5307016314448021E-3</v>
      </c>
    </row>
    <row r="1187" spans="1:24">
      <c r="A1187" t="s">
        <v>1213</v>
      </c>
      <c r="B1187" s="4">
        <v>9719</v>
      </c>
      <c r="C1187" t="s">
        <v>3430</v>
      </c>
      <c r="D1187" t="s">
        <v>3431</v>
      </c>
      <c r="E1187" t="s">
        <v>309</v>
      </c>
      <c r="F1187" t="s">
        <v>3430</v>
      </c>
      <c r="G1187" t="s">
        <v>3432</v>
      </c>
      <c r="H1187" t="s">
        <v>321</v>
      </c>
      <c r="I1187" t="s">
        <v>917</v>
      </c>
      <c r="J1187" t="s">
        <v>204</v>
      </c>
      <c r="K1187" t="s">
        <v>204</v>
      </c>
      <c r="L1187" t="s">
        <v>325</v>
      </c>
      <c r="M1187" t="s">
        <v>340</v>
      </c>
      <c r="N1187" t="s">
        <v>463</v>
      </c>
      <c r="O1187" t="s">
        <v>339</v>
      </c>
      <c r="P1187" t="s">
        <v>1212</v>
      </c>
      <c r="Q1187" s="131">
        <v>42286</v>
      </c>
      <c r="R1187" s="131">
        <v>1</v>
      </c>
      <c r="S1187" s="131">
        <v>24950</v>
      </c>
      <c r="U1187" s="131">
        <v>10550.357</v>
      </c>
      <c r="V1187" s="132">
        <v>4.6899999999999997E-3</v>
      </c>
      <c r="W1187" s="132">
        <f t="shared" si="18"/>
        <v>2.1553185592327561E-2</v>
      </c>
      <c r="X1187" s="132">
        <v>3.4840959126004639E-3</v>
      </c>
    </row>
    <row r="1188" spans="1:24">
      <c r="A1188" t="s">
        <v>1213</v>
      </c>
      <c r="B1188" s="4">
        <v>9719</v>
      </c>
      <c r="C1188" t="s">
        <v>3455</v>
      </c>
      <c r="D1188" t="s">
        <v>3456</v>
      </c>
      <c r="E1188" t="s">
        <v>309</v>
      </c>
      <c r="F1188" t="s">
        <v>3457</v>
      </c>
      <c r="G1188" t="s">
        <v>3458</v>
      </c>
      <c r="H1188" t="s">
        <v>321</v>
      </c>
      <c r="I1188" t="s">
        <v>917</v>
      </c>
      <c r="J1188" t="s">
        <v>204</v>
      </c>
      <c r="K1188" t="s">
        <v>204</v>
      </c>
      <c r="L1188" t="s">
        <v>327</v>
      </c>
      <c r="M1188" t="s">
        <v>340</v>
      </c>
      <c r="N1188" t="s">
        <v>455</v>
      </c>
      <c r="O1188" t="s">
        <v>339</v>
      </c>
      <c r="P1188" t="s">
        <v>1212</v>
      </c>
      <c r="Q1188" s="131">
        <v>32430</v>
      </c>
      <c r="R1188" s="131">
        <v>1</v>
      </c>
      <c r="S1188" s="131">
        <f>U1188*1000/Q1188*100</f>
        <v>5649.1581868640151</v>
      </c>
      <c r="U1188" s="131">
        <f>1832022/1000</f>
        <v>1832.0219999999999</v>
      </c>
      <c r="V1188" s="132">
        <v>1.396E-2</v>
      </c>
      <c r="W1188" s="132">
        <f t="shared" si="18"/>
        <v>3.7426136551803055E-3</v>
      </c>
      <c r="X1188" s="132">
        <v>6.0499757136124653E-4</v>
      </c>
    </row>
    <row r="1189" spans="1:24">
      <c r="A1189" t="s">
        <v>1213</v>
      </c>
      <c r="B1189" s="4">
        <v>9719</v>
      </c>
      <c r="C1189" t="s">
        <v>2436</v>
      </c>
      <c r="D1189" t="s">
        <v>2437</v>
      </c>
      <c r="E1189" t="s">
        <v>309</v>
      </c>
      <c r="F1189" t="s">
        <v>2436</v>
      </c>
      <c r="G1189" t="s">
        <v>3426</v>
      </c>
      <c r="H1189" t="s">
        <v>321</v>
      </c>
      <c r="I1189" t="s">
        <v>917</v>
      </c>
      <c r="J1189" t="s">
        <v>204</v>
      </c>
      <c r="K1189" t="s">
        <v>204</v>
      </c>
      <c r="L1189" t="s">
        <v>325</v>
      </c>
      <c r="M1189" t="s">
        <v>340</v>
      </c>
      <c r="N1189" t="s">
        <v>475</v>
      </c>
      <c r="O1189" t="s">
        <v>339</v>
      </c>
      <c r="P1189" t="s">
        <v>1212</v>
      </c>
      <c r="Q1189" s="131">
        <v>268903</v>
      </c>
      <c r="R1189" s="131">
        <v>1</v>
      </c>
      <c r="S1189" s="131">
        <v>3310</v>
      </c>
      <c r="U1189" s="131">
        <v>8900.6890000000003</v>
      </c>
      <c r="V1189" s="132">
        <v>9.7999999999999997E-4</v>
      </c>
      <c r="W1189" s="132">
        <f t="shared" si="18"/>
        <v>1.8183100526037974E-2</v>
      </c>
      <c r="X1189" s="132">
        <v>2.9393179931473325E-3</v>
      </c>
    </row>
    <row r="1190" spans="1:24">
      <c r="A1190" t="s">
        <v>1213</v>
      </c>
      <c r="B1190" s="4">
        <v>9719</v>
      </c>
      <c r="C1190" t="s">
        <v>1861</v>
      </c>
      <c r="D1190" t="s">
        <v>1862</v>
      </c>
      <c r="E1190" t="s">
        <v>309</v>
      </c>
      <c r="F1190" t="s">
        <v>1861</v>
      </c>
      <c r="G1190" t="s">
        <v>3460</v>
      </c>
      <c r="H1190" t="s">
        <v>321</v>
      </c>
      <c r="I1190" t="s">
        <v>917</v>
      </c>
      <c r="J1190" t="s">
        <v>204</v>
      </c>
      <c r="K1190" t="s">
        <v>204</v>
      </c>
      <c r="L1190" t="s">
        <v>325</v>
      </c>
      <c r="M1190" t="s">
        <v>340</v>
      </c>
      <c r="N1190" t="s">
        <v>464</v>
      </c>
      <c r="O1190" t="s">
        <v>339</v>
      </c>
      <c r="P1190" t="s">
        <v>1212</v>
      </c>
      <c r="Q1190" s="131">
        <v>30757</v>
      </c>
      <c r="R1190" s="131">
        <v>1</v>
      </c>
      <c r="S1190" s="131">
        <v>28210</v>
      </c>
      <c r="U1190" s="131">
        <v>8676.5499999999993</v>
      </c>
      <c r="V1190" s="132">
        <v>6.4999999999999997E-4</v>
      </c>
      <c r="W1190" s="132">
        <f t="shared" si="18"/>
        <v>1.7725209910063676E-2</v>
      </c>
      <c r="X1190" s="132">
        <v>2.8652994766407954E-3</v>
      </c>
    </row>
    <row r="1191" spans="1:24">
      <c r="A1191" t="s">
        <v>1213</v>
      </c>
      <c r="B1191" s="4">
        <v>9719</v>
      </c>
      <c r="C1191" t="s">
        <v>3447</v>
      </c>
      <c r="D1191" t="s">
        <v>3448</v>
      </c>
      <c r="E1191" t="s">
        <v>309</v>
      </c>
      <c r="F1191" t="s">
        <v>3449</v>
      </c>
      <c r="G1191" t="s">
        <v>3450</v>
      </c>
      <c r="H1191" t="s">
        <v>321</v>
      </c>
      <c r="I1191" t="s">
        <v>917</v>
      </c>
      <c r="J1191" t="s">
        <v>204</v>
      </c>
      <c r="K1191" t="s">
        <v>204</v>
      </c>
      <c r="L1191" t="s">
        <v>325</v>
      </c>
      <c r="M1191" t="s">
        <v>340</v>
      </c>
      <c r="N1191" t="s">
        <v>445</v>
      </c>
      <c r="O1191" t="s">
        <v>339</v>
      </c>
      <c r="P1191" t="s">
        <v>1212</v>
      </c>
      <c r="Q1191" s="131">
        <v>78364</v>
      </c>
      <c r="R1191" s="131">
        <v>1</v>
      </c>
      <c r="S1191" s="131">
        <v>10880</v>
      </c>
      <c r="U1191" s="131">
        <v>8526.0030000000006</v>
      </c>
      <c r="V1191" s="132">
        <v>1.24E-3</v>
      </c>
      <c r="W1191" s="132">
        <f t="shared" si="18"/>
        <v>1.7417659423253788E-2</v>
      </c>
      <c r="X1191" s="132">
        <v>2.8155836056655992E-3</v>
      </c>
    </row>
    <row r="1192" spans="1:24">
      <c r="A1192" t="s">
        <v>1213</v>
      </c>
      <c r="B1192" s="4">
        <v>9719</v>
      </c>
      <c r="C1192" t="s">
        <v>3410</v>
      </c>
      <c r="D1192" t="s">
        <v>3411</v>
      </c>
      <c r="E1192" t="s">
        <v>309</v>
      </c>
      <c r="F1192" t="s">
        <v>3410</v>
      </c>
      <c r="G1192" t="s">
        <v>3412</v>
      </c>
      <c r="H1192" t="s">
        <v>321</v>
      </c>
      <c r="I1192" t="s">
        <v>917</v>
      </c>
      <c r="J1192" t="s">
        <v>204</v>
      </c>
      <c r="K1192" t="s">
        <v>204</v>
      </c>
      <c r="L1192" t="s">
        <v>325</v>
      </c>
      <c r="M1192" t="s">
        <v>340</v>
      </c>
      <c r="N1192" t="s">
        <v>480</v>
      </c>
      <c r="O1192" t="s">
        <v>339</v>
      </c>
      <c r="P1192" t="s">
        <v>1212</v>
      </c>
      <c r="Q1192" s="131">
        <v>13017</v>
      </c>
      <c r="R1192" s="131">
        <v>1</v>
      </c>
      <c r="S1192" s="131">
        <v>64880</v>
      </c>
      <c r="U1192" s="131">
        <v>8445.43</v>
      </c>
      <c r="V1192" s="132">
        <v>1.7000000000000001E-4</v>
      </c>
      <c r="W1192" s="132">
        <f t="shared" si="18"/>
        <v>1.7253057900980123E-2</v>
      </c>
      <c r="X1192" s="132">
        <v>2.7889755904139868E-3</v>
      </c>
    </row>
    <row r="1193" spans="1:24">
      <c r="A1193" t="s">
        <v>1213</v>
      </c>
      <c r="B1193" s="4">
        <v>9719</v>
      </c>
      <c r="C1193" t="s">
        <v>2128</v>
      </c>
      <c r="D1193" t="s">
        <v>2129</v>
      </c>
      <c r="E1193" t="s">
        <v>309</v>
      </c>
      <c r="F1193" t="s">
        <v>3419</v>
      </c>
      <c r="G1193" t="s">
        <v>3420</v>
      </c>
      <c r="H1193" t="s">
        <v>321</v>
      </c>
      <c r="I1193" t="s">
        <v>917</v>
      </c>
      <c r="J1193" t="s">
        <v>204</v>
      </c>
      <c r="K1193" t="s">
        <v>204</v>
      </c>
      <c r="L1193" t="s">
        <v>325</v>
      </c>
      <c r="M1193" t="s">
        <v>340</v>
      </c>
      <c r="N1193" t="s">
        <v>445</v>
      </c>
      <c r="O1193" t="s">
        <v>339</v>
      </c>
      <c r="P1193" t="s">
        <v>1212</v>
      </c>
      <c r="Q1193" s="131">
        <v>199895</v>
      </c>
      <c r="R1193" s="131">
        <v>1</v>
      </c>
      <c r="S1193" s="131">
        <v>4200</v>
      </c>
      <c r="U1193" s="131">
        <v>8395.59</v>
      </c>
      <c r="V1193" s="132">
        <v>7.6000000000000004E-4</v>
      </c>
      <c r="W1193" s="132">
        <f t="shared" si="18"/>
        <v>1.7151240420308939E-2</v>
      </c>
      <c r="X1193" s="132">
        <v>2.7725166838306354E-3</v>
      </c>
    </row>
    <row r="1194" spans="1:24">
      <c r="A1194" t="s">
        <v>1213</v>
      </c>
      <c r="B1194" s="4">
        <v>9719</v>
      </c>
      <c r="C1194" t="s">
        <v>3113</v>
      </c>
      <c r="D1194" t="s">
        <v>3114</v>
      </c>
      <c r="E1194" t="s">
        <v>309</v>
      </c>
      <c r="F1194" t="s">
        <v>3113</v>
      </c>
      <c r="G1194" t="s">
        <v>3413</v>
      </c>
      <c r="H1194" t="s">
        <v>321</v>
      </c>
      <c r="I1194" t="s">
        <v>917</v>
      </c>
      <c r="J1194" t="s">
        <v>204</v>
      </c>
      <c r="K1194" t="s">
        <v>204</v>
      </c>
      <c r="L1194" t="s">
        <v>325</v>
      </c>
      <c r="M1194" t="s">
        <v>340</v>
      </c>
      <c r="N1194" t="s">
        <v>448</v>
      </c>
      <c r="O1194" t="s">
        <v>339</v>
      </c>
      <c r="P1194" t="s">
        <v>1212</v>
      </c>
      <c r="Q1194" s="131">
        <v>362885</v>
      </c>
      <c r="R1194" s="131">
        <v>1</v>
      </c>
      <c r="S1194" s="131">
        <v>2085</v>
      </c>
      <c r="U1194" s="131">
        <v>7566.152</v>
      </c>
      <c r="V1194" s="132">
        <v>2.9E-4</v>
      </c>
      <c r="W1194" s="132">
        <f t="shared" si="18"/>
        <v>1.5456792436100538E-2</v>
      </c>
      <c r="X1194" s="132">
        <v>2.4986073227013859E-3</v>
      </c>
    </row>
    <row r="1195" spans="1:24">
      <c r="A1195" t="s">
        <v>1213</v>
      </c>
      <c r="B1195" s="4">
        <v>9719</v>
      </c>
      <c r="C1195" t="s">
        <v>2211</v>
      </c>
      <c r="D1195" t="s">
        <v>2212</v>
      </c>
      <c r="E1195" t="s">
        <v>309</v>
      </c>
      <c r="F1195" t="s">
        <v>2211</v>
      </c>
      <c r="G1195" t="s">
        <v>3617</v>
      </c>
      <c r="H1195" t="s">
        <v>321</v>
      </c>
      <c r="I1195" t="s">
        <v>917</v>
      </c>
      <c r="J1195" t="s">
        <v>204</v>
      </c>
      <c r="K1195" t="s">
        <v>204</v>
      </c>
      <c r="L1195" t="s">
        <v>325</v>
      </c>
      <c r="M1195" t="s">
        <v>340</v>
      </c>
      <c r="N1195" t="s">
        <v>454</v>
      </c>
      <c r="O1195" t="s">
        <v>339</v>
      </c>
      <c r="P1195" t="s">
        <v>1212</v>
      </c>
      <c r="Q1195" s="131">
        <v>13179</v>
      </c>
      <c r="R1195" s="131">
        <v>1</v>
      </c>
      <c r="S1195" s="131">
        <v>43600</v>
      </c>
      <c r="U1195" s="131">
        <v>5746.0439999999999</v>
      </c>
      <c r="V1195" s="132">
        <v>7.1000000000000002E-4</v>
      </c>
      <c r="W1195" s="132">
        <f t="shared" si="18"/>
        <v>1.1738517734867192E-2</v>
      </c>
      <c r="X1195" s="132">
        <v>1.897544169739699E-3</v>
      </c>
    </row>
    <row r="1196" spans="1:24">
      <c r="A1196" t="s">
        <v>1213</v>
      </c>
      <c r="B1196" s="4">
        <v>9719</v>
      </c>
      <c r="C1196" t="s">
        <v>3837</v>
      </c>
      <c r="D1196" t="s">
        <v>3838</v>
      </c>
      <c r="E1196" t="s">
        <v>309</v>
      </c>
      <c r="F1196" t="s">
        <v>3837</v>
      </c>
      <c r="G1196" t="s">
        <v>3839</v>
      </c>
      <c r="H1196" t="s">
        <v>321</v>
      </c>
      <c r="I1196" t="s">
        <v>917</v>
      </c>
      <c r="J1196" t="s">
        <v>204</v>
      </c>
      <c r="K1196" t="s">
        <v>204</v>
      </c>
      <c r="L1196" t="s">
        <v>325</v>
      </c>
      <c r="M1196" t="s">
        <v>340</v>
      </c>
      <c r="N1196" t="s">
        <v>445</v>
      </c>
      <c r="O1196" t="s">
        <v>339</v>
      </c>
      <c r="P1196" t="s">
        <v>1212</v>
      </c>
      <c r="Q1196" s="131">
        <v>46343</v>
      </c>
      <c r="R1196" s="131">
        <v>1</v>
      </c>
      <c r="S1196" s="131">
        <v>12010</v>
      </c>
      <c r="U1196" s="131">
        <v>5565.7939999999999</v>
      </c>
      <c r="V1196" s="132">
        <v>3.15E-3</v>
      </c>
      <c r="W1196" s="132">
        <f t="shared" si="18"/>
        <v>1.1370287379911711E-2</v>
      </c>
      <c r="X1196" s="132">
        <v>1.8380193320260336E-3</v>
      </c>
    </row>
    <row r="1197" spans="1:24">
      <c r="A1197" t="s">
        <v>1213</v>
      </c>
      <c r="B1197" s="4">
        <v>9719</v>
      </c>
      <c r="C1197" t="s">
        <v>1973</v>
      </c>
      <c r="D1197" t="s">
        <v>1974</v>
      </c>
      <c r="E1197" t="s">
        <v>309</v>
      </c>
      <c r="F1197" t="s">
        <v>3512</v>
      </c>
      <c r="G1197" t="s">
        <v>3513</v>
      </c>
      <c r="H1197" t="s">
        <v>321</v>
      </c>
      <c r="I1197" t="s">
        <v>917</v>
      </c>
      <c r="J1197" t="s">
        <v>204</v>
      </c>
      <c r="K1197" t="s">
        <v>204</v>
      </c>
      <c r="L1197" t="s">
        <v>325</v>
      </c>
      <c r="M1197" t="s">
        <v>340</v>
      </c>
      <c r="N1197" t="s">
        <v>464</v>
      </c>
      <c r="O1197" t="s">
        <v>339</v>
      </c>
      <c r="P1197" t="s">
        <v>1212</v>
      </c>
      <c r="Q1197" s="131">
        <v>526000</v>
      </c>
      <c r="R1197" s="131">
        <v>1</v>
      </c>
      <c r="S1197" s="131">
        <v>954</v>
      </c>
      <c r="U1197" s="131">
        <v>5018.04</v>
      </c>
      <c r="V1197" s="132">
        <v>7.1000000000000002E-4</v>
      </c>
      <c r="W1197" s="132">
        <f t="shared" si="18"/>
        <v>1.0251287935538428E-2</v>
      </c>
      <c r="X1197" s="132">
        <v>1.6571318537624492E-3</v>
      </c>
    </row>
    <row r="1198" spans="1:24">
      <c r="A1198" t="s">
        <v>1213</v>
      </c>
      <c r="B1198" s="4">
        <v>9719</v>
      </c>
      <c r="C1198" t="s">
        <v>2238</v>
      </c>
      <c r="D1198" t="s">
        <v>2239</v>
      </c>
      <c r="E1198" t="s">
        <v>309</v>
      </c>
      <c r="F1198" t="s">
        <v>2238</v>
      </c>
      <c r="G1198" t="s">
        <v>3785</v>
      </c>
      <c r="H1198" t="s">
        <v>321</v>
      </c>
      <c r="I1198" t="s">
        <v>917</v>
      </c>
      <c r="J1198" t="s">
        <v>204</v>
      </c>
      <c r="K1198" t="s">
        <v>204</v>
      </c>
      <c r="L1198" t="s">
        <v>325</v>
      </c>
      <c r="M1198" t="s">
        <v>340</v>
      </c>
      <c r="N1198" t="s">
        <v>447</v>
      </c>
      <c r="O1198" t="s">
        <v>339</v>
      </c>
      <c r="P1198" t="s">
        <v>1212</v>
      </c>
      <c r="Q1198" s="131">
        <v>13735</v>
      </c>
      <c r="R1198" s="131">
        <v>1</v>
      </c>
      <c r="S1198" s="131">
        <v>33200</v>
      </c>
      <c r="U1198" s="131">
        <v>4560.0200000000004</v>
      </c>
      <c r="V1198" s="132">
        <v>6.8999999999999997E-4</v>
      </c>
      <c r="W1198" s="132">
        <f t="shared" si="18"/>
        <v>9.3156048998840075E-3</v>
      </c>
      <c r="X1198" s="132">
        <v>1.50587767251633E-3</v>
      </c>
    </row>
    <row r="1199" spans="1:24">
      <c r="A1199" t="s">
        <v>1213</v>
      </c>
      <c r="B1199" s="4">
        <v>9719</v>
      </c>
      <c r="C1199" t="s">
        <v>1881</v>
      </c>
      <c r="D1199" t="s">
        <v>1882</v>
      </c>
      <c r="E1199" t="s">
        <v>309</v>
      </c>
      <c r="F1199" t="s">
        <v>3407</v>
      </c>
      <c r="G1199" t="s">
        <v>3408</v>
      </c>
      <c r="H1199" t="s">
        <v>321</v>
      </c>
      <c r="I1199" t="s">
        <v>917</v>
      </c>
      <c r="J1199" t="s">
        <v>204</v>
      </c>
      <c r="K1199" t="s">
        <v>204</v>
      </c>
      <c r="L1199" t="s">
        <v>325</v>
      </c>
      <c r="M1199" t="s">
        <v>340</v>
      </c>
      <c r="N1199" t="s">
        <v>448</v>
      </c>
      <c r="O1199" t="s">
        <v>339</v>
      </c>
      <c r="P1199" t="s">
        <v>1212</v>
      </c>
      <c r="Q1199" s="131">
        <v>29500</v>
      </c>
      <c r="R1199" s="131">
        <v>1</v>
      </c>
      <c r="S1199" s="131">
        <v>14550</v>
      </c>
      <c r="U1199" s="131">
        <v>4292.25</v>
      </c>
      <c r="V1199" s="132">
        <v>1.1E-4</v>
      </c>
      <c r="W1199" s="132">
        <f t="shared" si="18"/>
        <v>8.7685810876985456E-3</v>
      </c>
      <c r="X1199" s="132">
        <v>1.4174506778168116E-3</v>
      </c>
    </row>
    <row r="1200" spans="1:24">
      <c r="A1200" t="s">
        <v>1213</v>
      </c>
      <c r="B1200" s="4">
        <v>9719</v>
      </c>
      <c r="C1200" t="s">
        <v>2328</v>
      </c>
      <c r="D1200" t="s">
        <v>2329</v>
      </c>
      <c r="E1200" t="s">
        <v>309</v>
      </c>
      <c r="F1200" t="s">
        <v>2328</v>
      </c>
      <c r="G1200" t="s">
        <v>3639</v>
      </c>
      <c r="H1200" t="s">
        <v>321</v>
      </c>
      <c r="I1200" t="s">
        <v>917</v>
      </c>
      <c r="J1200" t="s">
        <v>204</v>
      </c>
      <c r="K1200" t="s">
        <v>204</v>
      </c>
      <c r="L1200" t="s">
        <v>325</v>
      </c>
      <c r="M1200" t="s">
        <v>340</v>
      </c>
      <c r="N1200" t="s">
        <v>465</v>
      </c>
      <c r="O1200" t="s">
        <v>339</v>
      </c>
      <c r="P1200" t="s">
        <v>1212</v>
      </c>
      <c r="Q1200" s="131">
        <v>72517</v>
      </c>
      <c r="R1200" s="131">
        <v>1</v>
      </c>
      <c r="S1200" s="131">
        <v>5570</v>
      </c>
      <c r="U1200" s="131">
        <v>4039.1970000000001</v>
      </c>
      <c r="V1200" s="132">
        <v>9.7999999999999997E-4</v>
      </c>
      <c r="W1200" s="132">
        <f t="shared" si="18"/>
        <v>8.2516224413043751E-3</v>
      </c>
      <c r="X1200" s="132">
        <v>1.3338837498947246E-3</v>
      </c>
    </row>
    <row r="1201" spans="1:24">
      <c r="A1201" t="s">
        <v>1213</v>
      </c>
      <c r="B1201" s="4">
        <v>9719</v>
      </c>
      <c r="C1201" t="s">
        <v>2136</v>
      </c>
      <c r="D1201" t="s">
        <v>2137</v>
      </c>
      <c r="E1201" t="s">
        <v>309</v>
      </c>
      <c r="F1201" t="s">
        <v>2136</v>
      </c>
      <c r="G1201" t="s">
        <v>3616</v>
      </c>
      <c r="H1201" t="s">
        <v>321</v>
      </c>
      <c r="I1201" t="s">
        <v>917</v>
      </c>
      <c r="J1201" t="s">
        <v>204</v>
      </c>
      <c r="K1201" t="s">
        <v>204</v>
      </c>
      <c r="L1201" t="s">
        <v>325</v>
      </c>
      <c r="M1201" t="s">
        <v>340</v>
      </c>
      <c r="N1201" t="s">
        <v>440</v>
      </c>
      <c r="O1201" t="s">
        <v>339</v>
      </c>
      <c r="P1201" t="s">
        <v>1212</v>
      </c>
      <c r="Q1201" s="131">
        <v>9697</v>
      </c>
      <c r="R1201" s="131">
        <v>1</v>
      </c>
      <c r="S1201" s="131">
        <v>39190</v>
      </c>
      <c r="T1201" s="131">
        <v>213.387</v>
      </c>
      <c r="U1201" s="131">
        <v>4013.6419999999998</v>
      </c>
      <c r="V1201" s="132">
        <v>6.9999999999999999E-4</v>
      </c>
      <c r="W1201" s="132">
        <f t="shared" si="18"/>
        <v>8.1994164678181759E-3</v>
      </c>
      <c r="X1201" s="132">
        <v>1.3254445974521575E-3</v>
      </c>
    </row>
    <row r="1202" spans="1:24">
      <c r="A1202" t="s">
        <v>1213</v>
      </c>
      <c r="B1202" s="4">
        <v>9719</v>
      </c>
      <c r="C1202" t="s">
        <v>3486</v>
      </c>
      <c r="D1202" t="s">
        <v>3487</v>
      </c>
      <c r="E1202" t="s">
        <v>309</v>
      </c>
      <c r="F1202" t="s">
        <v>3486</v>
      </c>
      <c r="G1202" t="s">
        <v>3488</v>
      </c>
      <c r="H1202" t="s">
        <v>321</v>
      </c>
      <c r="I1202" t="s">
        <v>917</v>
      </c>
      <c r="J1202" t="s">
        <v>204</v>
      </c>
      <c r="K1202" t="s">
        <v>204</v>
      </c>
      <c r="L1202" t="s">
        <v>325</v>
      </c>
      <c r="M1202" t="s">
        <v>340</v>
      </c>
      <c r="N1202" t="s">
        <v>475</v>
      </c>
      <c r="O1202" t="s">
        <v>339</v>
      </c>
      <c r="P1202" t="s">
        <v>1212</v>
      </c>
      <c r="Q1202" s="131">
        <v>49500</v>
      </c>
      <c r="R1202" s="131">
        <v>1</v>
      </c>
      <c r="S1202" s="131">
        <v>6601</v>
      </c>
      <c r="U1202" s="131">
        <v>3267.4949999999999</v>
      </c>
      <c r="V1202" s="132">
        <v>1.0200000000000001E-3</v>
      </c>
      <c r="W1202" s="132">
        <f t="shared" si="18"/>
        <v>6.6751225723454041E-3</v>
      </c>
      <c r="X1202" s="132">
        <v>1.0790408299873125E-3</v>
      </c>
    </row>
    <row r="1203" spans="1:24">
      <c r="A1203" t="s">
        <v>1213</v>
      </c>
      <c r="B1203" s="4">
        <v>9719</v>
      </c>
      <c r="C1203" t="s">
        <v>1807</v>
      </c>
      <c r="D1203" t="s">
        <v>1808</v>
      </c>
      <c r="E1203" t="s">
        <v>309</v>
      </c>
      <c r="F1203" t="s">
        <v>1807</v>
      </c>
      <c r="G1203" t="s">
        <v>3409</v>
      </c>
      <c r="H1203" t="s">
        <v>321</v>
      </c>
      <c r="I1203" t="s">
        <v>917</v>
      </c>
      <c r="J1203" t="s">
        <v>204</v>
      </c>
      <c r="K1203" t="s">
        <v>204</v>
      </c>
      <c r="L1203" t="s">
        <v>325</v>
      </c>
      <c r="M1203" t="s">
        <v>340</v>
      </c>
      <c r="N1203" t="s">
        <v>464</v>
      </c>
      <c r="O1203" t="s">
        <v>339</v>
      </c>
      <c r="P1203" t="s">
        <v>1212</v>
      </c>
      <c r="Q1203" s="131">
        <v>12413</v>
      </c>
      <c r="R1203" s="131">
        <v>1</v>
      </c>
      <c r="S1203" s="131">
        <v>25940</v>
      </c>
      <c r="U1203" s="131">
        <v>3219.9319999999998</v>
      </c>
      <c r="V1203" s="132">
        <v>1E-4</v>
      </c>
      <c r="W1203" s="132">
        <f t="shared" si="18"/>
        <v>6.5779567450347382E-3</v>
      </c>
      <c r="X1203" s="132">
        <v>1.0633338682332206E-3</v>
      </c>
    </row>
    <row r="1204" spans="1:24">
      <c r="A1204" t="s">
        <v>1213</v>
      </c>
      <c r="B1204" s="4">
        <v>9719</v>
      </c>
      <c r="C1204" t="s">
        <v>3469</v>
      </c>
      <c r="D1204" t="s">
        <v>3470</v>
      </c>
      <c r="E1204" t="s">
        <v>309</v>
      </c>
      <c r="F1204" t="s">
        <v>3471</v>
      </c>
      <c r="G1204" t="s">
        <v>3472</v>
      </c>
      <c r="H1204" t="s">
        <v>321</v>
      </c>
      <c r="I1204" t="s">
        <v>917</v>
      </c>
      <c r="J1204" t="s">
        <v>204</v>
      </c>
      <c r="K1204" t="s">
        <v>204</v>
      </c>
      <c r="L1204" t="s">
        <v>325</v>
      </c>
      <c r="M1204" t="s">
        <v>340</v>
      </c>
      <c r="N1204" t="s">
        <v>454</v>
      </c>
      <c r="O1204" t="s">
        <v>339</v>
      </c>
      <c r="P1204" t="s">
        <v>1212</v>
      </c>
      <c r="Q1204" s="131">
        <v>295000</v>
      </c>
      <c r="R1204" s="131">
        <v>1</v>
      </c>
      <c r="S1204" s="131">
        <v>1025</v>
      </c>
      <c r="U1204" s="131">
        <v>3023.75</v>
      </c>
      <c r="V1204" s="132">
        <v>2.5000000000000001E-4</v>
      </c>
      <c r="W1204" s="132">
        <f t="shared" si="18"/>
        <v>6.1771791167635811E-3</v>
      </c>
      <c r="X1204" s="132">
        <v>9.9854772835892224E-4</v>
      </c>
    </row>
    <row r="1205" spans="1:24">
      <c r="A1205" t="s">
        <v>1213</v>
      </c>
      <c r="B1205" s="4">
        <v>9719</v>
      </c>
      <c r="C1205" t="s">
        <v>3423</v>
      </c>
      <c r="D1205" t="s">
        <v>3424</v>
      </c>
      <c r="E1205" t="s">
        <v>309</v>
      </c>
      <c r="F1205" t="s">
        <v>3423</v>
      </c>
      <c r="G1205" t="s">
        <v>3425</v>
      </c>
      <c r="H1205" t="s">
        <v>321</v>
      </c>
      <c r="I1205" t="s">
        <v>917</v>
      </c>
      <c r="J1205" t="s">
        <v>204</v>
      </c>
      <c r="K1205" t="s">
        <v>204</v>
      </c>
      <c r="L1205" t="s">
        <v>325</v>
      </c>
      <c r="M1205" t="s">
        <v>340</v>
      </c>
      <c r="N1205" t="s">
        <v>458</v>
      </c>
      <c r="O1205" t="s">
        <v>339</v>
      </c>
      <c r="P1205" t="s">
        <v>1212</v>
      </c>
      <c r="Q1205" s="131">
        <v>18044</v>
      </c>
      <c r="R1205" s="131">
        <v>1</v>
      </c>
      <c r="S1205" s="131">
        <v>16470</v>
      </c>
      <c r="U1205" s="131">
        <v>2971.8470000000002</v>
      </c>
      <c r="V1205" s="132">
        <v>1.6000000000000001E-4</v>
      </c>
      <c r="W1205" s="132">
        <f t="shared" si="18"/>
        <v>6.0711471605180648E-3</v>
      </c>
      <c r="X1205" s="132">
        <v>9.8140754721133625E-4</v>
      </c>
    </row>
    <row r="1206" spans="1:24">
      <c r="A1206" t="s">
        <v>1213</v>
      </c>
      <c r="B1206" s="4">
        <v>9719</v>
      </c>
      <c r="C1206" t="s">
        <v>2348</v>
      </c>
      <c r="D1206" t="s">
        <v>2349</v>
      </c>
      <c r="E1206" t="s">
        <v>309</v>
      </c>
      <c r="F1206" t="s">
        <v>2348</v>
      </c>
      <c r="G1206" t="s">
        <v>3446</v>
      </c>
      <c r="H1206" t="s">
        <v>321</v>
      </c>
      <c r="I1206" t="s">
        <v>917</v>
      </c>
      <c r="J1206" t="s">
        <v>204</v>
      </c>
      <c r="K1206" t="s">
        <v>204</v>
      </c>
      <c r="L1206" t="s">
        <v>325</v>
      </c>
      <c r="M1206" t="s">
        <v>340</v>
      </c>
      <c r="N1206" t="s">
        <v>456</v>
      </c>
      <c r="O1206" t="s">
        <v>339</v>
      </c>
      <c r="P1206" t="s">
        <v>1212</v>
      </c>
      <c r="Q1206" s="131">
        <v>178437</v>
      </c>
      <c r="R1206" s="131">
        <v>1</v>
      </c>
      <c r="S1206" s="131">
        <v>1588</v>
      </c>
      <c r="U1206" s="131">
        <v>2833.58</v>
      </c>
      <c r="V1206" s="132">
        <v>1.3999999999999999E-4</v>
      </c>
      <c r="W1206" s="132">
        <f t="shared" si="18"/>
        <v>5.7886833242427275E-3</v>
      </c>
      <c r="X1206" s="132">
        <v>9.3574696060298463E-4</v>
      </c>
    </row>
    <row r="1207" spans="1:24">
      <c r="A1207" t="s">
        <v>1213</v>
      </c>
      <c r="B1207" s="4">
        <v>9719</v>
      </c>
      <c r="C1207" t="s">
        <v>2373</v>
      </c>
      <c r="D1207" t="s">
        <v>2374</v>
      </c>
      <c r="E1207" t="s">
        <v>309</v>
      </c>
      <c r="F1207" t="s">
        <v>2373</v>
      </c>
      <c r="G1207" t="s">
        <v>4029</v>
      </c>
      <c r="H1207" t="s">
        <v>321</v>
      </c>
      <c r="I1207" t="s">
        <v>917</v>
      </c>
      <c r="J1207" t="s">
        <v>204</v>
      </c>
      <c r="K1207" t="s">
        <v>204</v>
      </c>
      <c r="L1207" t="s">
        <v>325</v>
      </c>
      <c r="M1207" t="s">
        <v>340</v>
      </c>
      <c r="N1207" t="s">
        <v>454</v>
      </c>
      <c r="O1207" t="s">
        <v>339</v>
      </c>
      <c r="P1207" t="s">
        <v>1212</v>
      </c>
      <c r="Q1207" s="131">
        <v>118521</v>
      </c>
      <c r="R1207" s="131">
        <v>1</v>
      </c>
      <c r="S1207" s="131">
        <v>1978</v>
      </c>
      <c r="U1207" s="131">
        <v>2344.3449999999998</v>
      </c>
      <c r="V1207" s="132">
        <v>1.34E-3</v>
      </c>
      <c r="W1207" s="132">
        <f t="shared" si="18"/>
        <v>4.7892315755234775E-3</v>
      </c>
      <c r="X1207" s="132">
        <v>7.7418449747485647E-4</v>
      </c>
    </row>
    <row r="1208" spans="1:24">
      <c r="A1208" t="s">
        <v>1213</v>
      </c>
      <c r="B1208" s="4">
        <v>9719</v>
      </c>
      <c r="C1208" t="s">
        <v>1986</v>
      </c>
      <c r="D1208" t="s">
        <v>1987</v>
      </c>
      <c r="E1208" t="s">
        <v>309</v>
      </c>
      <c r="F1208" t="s">
        <v>1986</v>
      </c>
      <c r="G1208" t="s">
        <v>3445</v>
      </c>
      <c r="H1208" t="s">
        <v>321</v>
      </c>
      <c r="I1208" t="s">
        <v>917</v>
      </c>
      <c r="J1208" t="s">
        <v>204</v>
      </c>
      <c r="K1208" t="s">
        <v>204</v>
      </c>
      <c r="L1208" t="s">
        <v>325</v>
      </c>
      <c r="M1208" t="s">
        <v>340</v>
      </c>
      <c r="N1208" t="s">
        <v>484</v>
      </c>
      <c r="O1208" t="s">
        <v>339</v>
      </c>
      <c r="P1208" t="s">
        <v>1212</v>
      </c>
      <c r="Q1208" s="131">
        <v>450549</v>
      </c>
      <c r="R1208" s="131">
        <v>1</v>
      </c>
      <c r="S1208" s="131">
        <v>428.6</v>
      </c>
      <c r="T1208" s="131">
        <v>66.248000000000005</v>
      </c>
      <c r="U1208" s="131">
        <v>1997.3009999999999</v>
      </c>
      <c r="V1208" s="132">
        <v>1.6000000000000001E-4</v>
      </c>
      <c r="W1208" s="132">
        <f t="shared" si="18"/>
        <v>4.0802599510842549E-3</v>
      </c>
      <c r="X1208" s="132">
        <v>6.59578462637124E-4</v>
      </c>
    </row>
    <row r="1209" spans="1:24">
      <c r="A1209" t="s">
        <v>1213</v>
      </c>
      <c r="B1209" s="4">
        <v>9719</v>
      </c>
      <c r="C1209" t="s">
        <v>2576</v>
      </c>
      <c r="D1209" t="s">
        <v>2577</v>
      </c>
      <c r="E1209" t="s">
        <v>309</v>
      </c>
      <c r="F1209" t="s">
        <v>2576</v>
      </c>
      <c r="G1209" t="s">
        <v>3621</v>
      </c>
      <c r="H1209" t="s">
        <v>321</v>
      </c>
      <c r="I1209" t="s">
        <v>917</v>
      </c>
      <c r="J1209" t="s">
        <v>204</v>
      </c>
      <c r="K1209" t="s">
        <v>204</v>
      </c>
      <c r="L1209" t="s">
        <v>325</v>
      </c>
      <c r="M1209" t="s">
        <v>340</v>
      </c>
      <c r="N1209" t="s">
        <v>451</v>
      </c>
      <c r="O1209" t="s">
        <v>339</v>
      </c>
      <c r="P1209" t="s">
        <v>1212</v>
      </c>
      <c r="Q1209" s="131">
        <v>2018</v>
      </c>
      <c r="R1209" s="131">
        <v>1</v>
      </c>
      <c r="S1209" s="131">
        <v>81100</v>
      </c>
      <c r="U1209" s="131">
        <v>1636.598</v>
      </c>
      <c r="V1209" s="132">
        <v>2.5999999999999998E-4</v>
      </c>
      <c r="W1209" s="132">
        <f t="shared" si="18"/>
        <v>3.3433845351424694E-3</v>
      </c>
      <c r="X1209" s="132">
        <v>5.4046174952848464E-4</v>
      </c>
    </row>
    <row r="1210" spans="1:24">
      <c r="A1210" t="s">
        <v>1213</v>
      </c>
      <c r="B1210" s="4">
        <v>9719</v>
      </c>
      <c r="C1210" t="s">
        <v>2155</v>
      </c>
      <c r="D1210" t="s">
        <v>2156</v>
      </c>
      <c r="E1210" t="s">
        <v>309</v>
      </c>
      <c r="F1210" t="s">
        <v>2155</v>
      </c>
      <c r="G1210" t="s">
        <v>3473</v>
      </c>
      <c r="H1210" t="s">
        <v>321</v>
      </c>
      <c r="I1210" t="s">
        <v>917</v>
      </c>
      <c r="J1210" t="s">
        <v>204</v>
      </c>
      <c r="K1210" t="s">
        <v>204</v>
      </c>
      <c r="L1210" t="s">
        <v>325</v>
      </c>
      <c r="M1210" t="s">
        <v>340</v>
      </c>
      <c r="N1210" t="s">
        <v>451</v>
      </c>
      <c r="O1210" t="s">
        <v>339</v>
      </c>
      <c r="P1210" t="s">
        <v>1212</v>
      </c>
      <c r="Q1210" s="131">
        <v>1067</v>
      </c>
      <c r="R1210" s="131">
        <v>1</v>
      </c>
      <c r="S1210" s="131">
        <v>148500</v>
      </c>
      <c r="T1210" s="131">
        <v>35.478000000000002</v>
      </c>
      <c r="U1210" s="131">
        <v>1619.973</v>
      </c>
      <c r="V1210" s="132">
        <v>2.5999999999999998E-4</v>
      </c>
      <c r="W1210" s="132">
        <f t="shared" si="18"/>
        <v>3.3094215412388089E-3</v>
      </c>
      <c r="X1210" s="132">
        <v>5.3497159459372904E-4</v>
      </c>
    </row>
    <row r="1211" spans="1:24">
      <c r="A1211" t="s">
        <v>1213</v>
      </c>
      <c r="B1211" s="4">
        <v>9719</v>
      </c>
      <c r="C1211" t="s">
        <v>3461</v>
      </c>
      <c r="D1211" t="s">
        <v>3462</v>
      </c>
      <c r="E1211" t="s">
        <v>309</v>
      </c>
      <c r="F1211" t="s">
        <v>3461</v>
      </c>
      <c r="G1211" t="s">
        <v>3463</v>
      </c>
      <c r="H1211" t="s">
        <v>321</v>
      </c>
      <c r="I1211" t="s">
        <v>917</v>
      </c>
      <c r="J1211" t="s">
        <v>204</v>
      </c>
      <c r="K1211" t="s">
        <v>204</v>
      </c>
      <c r="L1211" t="s">
        <v>325</v>
      </c>
      <c r="M1211" t="s">
        <v>340</v>
      </c>
      <c r="N1211" t="s">
        <v>475</v>
      </c>
      <c r="O1211" t="s">
        <v>339</v>
      </c>
      <c r="P1211" t="s">
        <v>1212</v>
      </c>
      <c r="Q1211" s="131">
        <v>5600</v>
      </c>
      <c r="R1211" s="131">
        <v>1</v>
      </c>
      <c r="S1211" s="131">
        <v>28150</v>
      </c>
      <c r="U1211" s="131">
        <v>1576.4</v>
      </c>
      <c r="V1211" s="132">
        <v>4.0999999999999999E-4</v>
      </c>
      <c r="W1211" s="132">
        <f t="shared" si="18"/>
        <v>3.2204068324650217E-3</v>
      </c>
      <c r="X1211" s="132">
        <v>5.2058227002397856E-4</v>
      </c>
    </row>
    <row r="1212" spans="1:24">
      <c r="A1212" t="s">
        <v>1213</v>
      </c>
      <c r="B1212" s="4">
        <v>9719</v>
      </c>
      <c r="C1212" t="s">
        <v>2228</v>
      </c>
      <c r="D1212" t="s">
        <v>2229</v>
      </c>
      <c r="E1212" t="s">
        <v>309</v>
      </c>
      <c r="F1212" t="s">
        <v>2228</v>
      </c>
      <c r="G1212" t="s">
        <v>3439</v>
      </c>
      <c r="H1212" t="s">
        <v>321</v>
      </c>
      <c r="I1212" t="s">
        <v>917</v>
      </c>
      <c r="J1212" t="s">
        <v>204</v>
      </c>
      <c r="K1212" t="s">
        <v>204</v>
      </c>
      <c r="L1212" t="s">
        <v>325</v>
      </c>
      <c r="M1212" t="s">
        <v>340</v>
      </c>
      <c r="N1212" t="s">
        <v>441</v>
      </c>
      <c r="O1212" t="s">
        <v>339</v>
      </c>
      <c r="P1212" t="s">
        <v>1212</v>
      </c>
      <c r="Q1212" s="131">
        <v>19156.8</v>
      </c>
      <c r="R1212" s="131">
        <v>1</v>
      </c>
      <c r="S1212" s="131">
        <v>6254</v>
      </c>
      <c r="U1212" s="131">
        <v>1198.066</v>
      </c>
      <c r="V1212" s="132">
        <v>1.6000000000000001E-4</v>
      </c>
      <c r="W1212" s="132">
        <f t="shared" si="18"/>
        <v>2.4475132784471192E-3</v>
      </c>
      <c r="X1212" s="132">
        <v>3.9564318568799026E-4</v>
      </c>
    </row>
    <row r="1213" spans="1:24">
      <c r="A1213" t="s">
        <v>1213</v>
      </c>
      <c r="B1213" s="4">
        <v>9719</v>
      </c>
      <c r="C1213" t="s">
        <v>3490</v>
      </c>
      <c r="D1213" t="s">
        <v>3491</v>
      </c>
      <c r="E1213" t="s">
        <v>309</v>
      </c>
      <c r="F1213" t="s">
        <v>3490</v>
      </c>
      <c r="G1213" t="s">
        <v>3492</v>
      </c>
      <c r="H1213" t="s">
        <v>321</v>
      </c>
      <c r="I1213" t="s">
        <v>917</v>
      </c>
      <c r="J1213" t="s">
        <v>204</v>
      </c>
      <c r="K1213" t="s">
        <v>204</v>
      </c>
      <c r="L1213" t="s">
        <v>325</v>
      </c>
      <c r="M1213" t="s">
        <v>340</v>
      </c>
      <c r="N1213" t="s">
        <v>476</v>
      </c>
      <c r="O1213" t="s">
        <v>339</v>
      </c>
      <c r="P1213" t="s">
        <v>1212</v>
      </c>
      <c r="Q1213" s="131">
        <v>4916</v>
      </c>
      <c r="R1213" s="131">
        <v>1</v>
      </c>
      <c r="S1213" s="131">
        <v>19560</v>
      </c>
      <c r="U1213" s="131">
        <v>961.57</v>
      </c>
      <c r="V1213" s="132">
        <v>2.1000000000000001E-4</v>
      </c>
      <c r="W1213" s="132">
        <f t="shared" si="18"/>
        <v>1.9643787096507172E-3</v>
      </c>
      <c r="X1213" s="132">
        <v>3.1754395672859489E-4</v>
      </c>
    </row>
    <row r="1214" spans="1:24">
      <c r="A1214" t="s">
        <v>1213</v>
      </c>
      <c r="B1214" s="4">
        <v>9719</v>
      </c>
      <c r="C1214" t="s">
        <v>2145</v>
      </c>
      <c r="D1214" t="s">
        <v>2146</v>
      </c>
      <c r="E1214" t="s">
        <v>309</v>
      </c>
      <c r="F1214" t="s">
        <v>3612</v>
      </c>
      <c r="G1214" t="s">
        <v>3613</v>
      </c>
      <c r="H1214" t="s">
        <v>321</v>
      </c>
      <c r="I1214" t="s">
        <v>917</v>
      </c>
      <c r="J1214" t="s">
        <v>204</v>
      </c>
      <c r="K1214" t="s">
        <v>204</v>
      </c>
      <c r="L1214" t="s">
        <v>325</v>
      </c>
      <c r="M1214" t="s">
        <v>340</v>
      </c>
      <c r="N1214" t="s">
        <v>445</v>
      </c>
      <c r="O1214" t="s">
        <v>339</v>
      </c>
      <c r="P1214" t="s">
        <v>1212</v>
      </c>
      <c r="Q1214" s="131">
        <v>13620</v>
      </c>
      <c r="R1214" s="131">
        <v>1</v>
      </c>
      <c r="S1214" s="131">
        <v>6329</v>
      </c>
      <c r="U1214" s="131">
        <v>862.01</v>
      </c>
      <c r="V1214" s="132">
        <v>1.7000000000000001E-4</v>
      </c>
      <c r="W1214" s="132">
        <f t="shared" si="18"/>
        <v>1.7609888947305082E-3</v>
      </c>
      <c r="X1214" s="132">
        <v>2.8466577174788741E-4</v>
      </c>
    </row>
    <row r="1215" spans="1:24">
      <c r="A1215" t="s">
        <v>1213</v>
      </c>
      <c r="B1215" s="4">
        <v>9719</v>
      </c>
      <c r="C1215" t="s">
        <v>2454</v>
      </c>
      <c r="D1215" t="s">
        <v>2455</v>
      </c>
      <c r="E1215" t="s">
        <v>309</v>
      </c>
      <c r="F1215" t="s">
        <v>2454</v>
      </c>
      <c r="G1215" t="s">
        <v>3618</v>
      </c>
      <c r="H1215" t="s">
        <v>321</v>
      </c>
      <c r="I1215" t="s">
        <v>917</v>
      </c>
      <c r="J1215" t="s">
        <v>204</v>
      </c>
      <c r="K1215" t="s">
        <v>204</v>
      </c>
      <c r="L1215" t="s">
        <v>325</v>
      </c>
      <c r="M1215" t="s">
        <v>340</v>
      </c>
      <c r="N1215" t="s">
        <v>478</v>
      </c>
      <c r="O1215" t="s">
        <v>339</v>
      </c>
      <c r="P1215" t="s">
        <v>1212</v>
      </c>
      <c r="Q1215" s="131">
        <v>58161</v>
      </c>
      <c r="R1215" s="131">
        <v>1</v>
      </c>
      <c r="S1215" s="131">
        <v>1373</v>
      </c>
      <c r="U1215" s="131">
        <v>798.55100000000004</v>
      </c>
      <c r="V1215" s="132">
        <v>2.9E-4</v>
      </c>
      <c r="W1215" s="132">
        <f t="shared" si="18"/>
        <v>1.6313493380308141E-3</v>
      </c>
      <c r="X1215" s="132">
        <v>2.6370939628896095E-4</v>
      </c>
    </row>
    <row r="1216" spans="1:24">
      <c r="A1216" t="s">
        <v>1213</v>
      </c>
      <c r="B1216" s="4">
        <v>9719</v>
      </c>
      <c r="C1216" t="s">
        <v>2789</v>
      </c>
      <c r="D1216" t="s">
        <v>2790</v>
      </c>
      <c r="E1216" t="s">
        <v>309</v>
      </c>
      <c r="F1216" t="s">
        <v>2789</v>
      </c>
      <c r="G1216" t="s">
        <v>3480</v>
      </c>
      <c r="H1216" t="s">
        <v>321</v>
      </c>
      <c r="I1216" t="s">
        <v>917</v>
      </c>
      <c r="J1216" t="s">
        <v>204</v>
      </c>
      <c r="K1216" t="s">
        <v>204</v>
      </c>
      <c r="L1216" t="s">
        <v>325</v>
      </c>
      <c r="M1216" t="s">
        <v>340</v>
      </c>
      <c r="N1216" t="s">
        <v>441</v>
      </c>
      <c r="O1216" t="s">
        <v>339</v>
      </c>
      <c r="P1216" t="s">
        <v>1212</v>
      </c>
      <c r="Q1216" s="131">
        <v>34955</v>
      </c>
      <c r="R1216" s="131">
        <v>1</v>
      </c>
      <c r="S1216" s="131">
        <v>1348</v>
      </c>
      <c r="U1216" s="131">
        <v>471.19299999999998</v>
      </c>
      <c r="V1216" s="132">
        <v>6.0000000000000002E-5</v>
      </c>
      <c r="W1216" s="132">
        <f t="shared" si="18"/>
        <v>9.6259398414722842E-4</v>
      </c>
      <c r="X1216" s="132">
        <v>1.5560436536374555E-4</v>
      </c>
    </row>
    <row r="1217" spans="1:24">
      <c r="A1217" t="s">
        <v>1213</v>
      </c>
      <c r="B1217" s="4">
        <v>9719</v>
      </c>
      <c r="C1217" t="s">
        <v>1610</v>
      </c>
      <c r="D1217" t="s">
        <v>1611</v>
      </c>
      <c r="E1217" t="s">
        <v>309</v>
      </c>
      <c r="F1217" t="s">
        <v>1610</v>
      </c>
      <c r="G1217" t="s">
        <v>4030</v>
      </c>
      <c r="H1217" t="s">
        <v>321</v>
      </c>
      <c r="I1217" t="s">
        <v>917</v>
      </c>
      <c r="J1217" t="s">
        <v>204</v>
      </c>
      <c r="K1217" t="s">
        <v>204</v>
      </c>
      <c r="L1217" t="s">
        <v>325</v>
      </c>
      <c r="M1217" t="s">
        <v>340</v>
      </c>
      <c r="N1217" t="s">
        <v>447</v>
      </c>
      <c r="O1217" t="s">
        <v>339</v>
      </c>
      <c r="P1217" t="s">
        <v>1212</v>
      </c>
      <c r="Q1217" s="131">
        <v>9577</v>
      </c>
      <c r="R1217" s="131">
        <v>1</v>
      </c>
      <c r="S1217" s="131">
        <v>3452</v>
      </c>
      <c r="U1217" s="131">
        <v>330.59800000000001</v>
      </c>
      <c r="V1217" s="132">
        <v>2.7E-4</v>
      </c>
      <c r="W1217" s="132">
        <f t="shared" si="18"/>
        <v>6.7537430728195332E-4</v>
      </c>
      <c r="X1217" s="132">
        <v>1.0917499194708656E-4</v>
      </c>
    </row>
    <row r="1218" spans="1:24">
      <c r="A1218" t="s">
        <v>1213</v>
      </c>
      <c r="B1218" s="4">
        <v>9719</v>
      </c>
      <c r="C1218" t="s">
        <v>3927</v>
      </c>
      <c r="D1218" t="s">
        <v>3928</v>
      </c>
      <c r="E1218" t="s">
        <v>309</v>
      </c>
      <c r="F1218" t="s">
        <v>3927</v>
      </c>
      <c r="G1218" t="s">
        <v>3929</v>
      </c>
      <c r="H1218" t="s">
        <v>321</v>
      </c>
      <c r="I1218" t="s">
        <v>917</v>
      </c>
      <c r="J1218" t="s">
        <v>204</v>
      </c>
      <c r="K1218" t="s">
        <v>204</v>
      </c>
      <c r="L1218" t="s">
        <v>325</v>
      </c>
      <c r="M1218" t="s">
        <v>340</v>
      </c>
      <c r="N1218" t="s">
        <v>471</v>
      </c>
      <c r="O1218" t="s">
        <v>339</v>
      </c>
      <c r="P1218" t="s">
        <v>1212</v>
      </c>
      <c r="Q1218" s="131">
        <v>34303</v>
      </c>
      <c r="R1218" s="131">
        <v>1</v>
      </c>
      <c r="S1218" s="131">
        <v>280.8</v>
      </c>
      <c r="U1218" s="131">
        <v>96.322999999999993</v>
      </c>
      <c r="V1218" s="132">
        <v>3.8999999999999999E-4</v>
      </c>
      <c r="W1218" s="132">
        <f t="shared" si="18"/>
        <v>1.9677699018239548E-4</v>
      </c>
      <c r="X1218" s="132">
        <v>3.1809214663486219E-5</v>
      </c>
    </row>
    <row r="1219" spans="1:24">
      <c r="A1219" t="s">
        <v>1213</v>
      </c>
      <c r="B1219" s="4">
        <v>9719</v>
      </c>
      <c r="C1219" t="s">
        <v>3455</v>
      </c>
      <c r="D1219" t="s">
        <v>3456</v>
      </c>
      <c r="E1219" t="s">
        <v>309</v>
      </c>
      <c r="F1219" t="s">
        <v>3457</v>
      </c>
      <c r="G1219" t="s">
        <v>3458</v>
      </c>
      <c r="H1219" t="s">
        <v>321</v>
      </c>
      <c r="I1219" t="s">
        <v>917</v>
      </c>
      <c r="J1219" t="s">
        <v>204</v>
      </c>
      <c r="K1219" t="s">
        <v>204</v>
      </c>
      <c r="L1219" t="s">
        <v>327</v>
      </c>
      <c r="M1219" t="s">
        <v>340</v>
      </c>
      <c r="N1219" t="s">
        <v>455</v>
      </c>
      <c r="O1219" t="s">
        <v>339</v>
      </c>
      <c r="P1219" t="s">
        <v>1212</v>
      </c>
      <c r="Q1219" s="131">
        <v>113169</v>
      </c>
      <c r="R1219" s="131">
        <v>1</v>
      </c>
      <c r="S1219" s="131">
        <f>U1219*1000/Q1219*100</f>
        <v>6800</v>
      </c>
      <c r="U1219" s="131">
        <f>7695492/1000</f>
        <v>7695.4920000000002</v>
      </c>
      <c r="W1219" s="132">
        <f t="shared" ref="W1219:W1282" si="19">U1219/SUMIF(B:B,B1219,U:U)</f>
        <v>1.5721019421453892E-2</v>
      </c>
      <c r="X1219" s="132">
        <v>2.5413199025065758E-3</v>
      </c>
    </row>
    <row r="1220" spans="1:24">
      <c r="A1220" t="s">
        <v>1213</v>
      </c>
      <c r="B1220" s="4">
        <v>9719</v>
      </c>
      <c r="C1220" t="s">
        <v>4031</v>
      </c>
      <c r="D1220" t="s">
        <v>4032</v>
      </c>
      <c r="E1220" t="s">
        <v>80</v>
      </c>
      <c r="F1220" t="s">
        <v>4031</v>
      </c>
      <c r="G1220" t="s">
        <v>4033</v>
      </c>
      <c r="H1220" t="s">
        <v>321</v>
      </c>
      <c r="I1220" t="s">
        <v>917</v>
      </c>
      <c r="J1220" t="s">
        <v>205</v>
      </c>
      <c r="K1220" t="s">
        <v>224</v>
      </c>
      <c r="L1220" t="s">
        <v>325</v>
      </c>
      <c r="M1220" t="s">
        <v>346</v>
      </c>
      <c r="N1220" t="s">
        <v>545</v>
      </c>
      <c r="O1220" t="s">
        <v>339</v>
      </c>
      <c r="P1220" t="s">
        <v>1216</v>
      </c>
      <c r="Q1220" s="131">
        <v>6342</v>
      </c>
      <c r="R1220" s="131">
        <v>3.71</v>
      </c>
      <c r="S1220" s="131">
        <v>70927</v>
      </c>
      <c r="U1220" s="131">
        <v>16688.286</v>
      </c>
      <c r="V1220" s="132">
        <v>1.0000000000000001E-5</v>
      </c>
      <c r="W1220" s="132">
        <f t="shared" si="19"/>
        <v>3.4092280040935272E-2</v>
      </c>
      <c r="X1220" s="132">
        <v>5.5110541795796624E-3</v>
      </c>
    </row>
    <row r="1221" spans="1:24">
      <c r="A1221" t="s">
        <v>1213</v>
      </c>
      <c r="B1221" s="4">
        <v>9719</v>
      </c>
      <c r="C1221" t="s">
        <v>3119</v>
      </c>
      <c r="D1221" t="s">
        <v>3120</v>
      </c>
      <c r="E1221" t="s">
        <v>80</v>
      </c>
      <c r="F1221" t="s">
        <v>3718</v>
      </c>
      <c r="G1221" t="s">
        <v>3719</v>
      </c>
      <c r="H1221" t="s">
        <v>321</v>
      </c>
      <c r="I1221" t="s">
        <v>917</v>
      </c>
      <c r="J1221" t="s">
        <v>205</v>
      </c>
      <c r="K1221" t="s">
        <v>224</v>
      </c>
      <c r="L1221" t="s">
        <v>325</v>
      </c>
      <c r="M1221" t="s">
        <v>344</v>
      </c>
      <c r="N1221" t="s">
        <v>544</v>
      </c>
      <c r="O1221" t="s">
        <v>339</v>
      </c>
      <c r="P1221" t="s">
        <v>1216</v>
      </c>
      <c r="Q1221" s="131">
        <v>23670</v>
      </c>
      <c r="R1221" s="131">
        <v>3.71</v>
      </c>
      <c r="S1221" s="131">
        <v>18633</v>
      </c>
      <c r="U1221" s="131">
        <v>16362.699000000001</v>
      </c>
      <c r="V1221" s="132">
        <v>0</v>
      </c>
      <c r="W1221" s="132">
        <f t="shared" si="19"/>
        <v>3.3427142639665425E-2</v>
      </c>
      <c r="X1221" s="132">
        <v>5.4035339946327601E-3</v>
      </c>
    </row>
    <row r="1222" spans="1:24">
      <c r="A1222" t="s">
        <v>1213</v>
      </c>
      <c r="B1222" s="4">
        <v>9719</v>
      </c>
      <c r="C1222" t="s">
        <v>3209</v>
      </c>
      <c r="D1222" t="s">
        <v>3210</v>
      </c>
      <c r="E1222" t="s">
        <v>80</v>
      </c>
      <c r="F1222" t="s">
        <v>3209</v>
      </c>
      <c r="G1222" t="s">
        <v>3562</v>
      </c>
      <c r="H1222" t="s">
        <v>321</v>
      </c>
      <c r="I1222" t="s">
        <v>917</v>
      </c>
      <c r="J1222" t="s">
        <v>205</v>
      </c>
      <c r="K1222" t="s">
        <v>224</v>
      </c>
      <c r="L1222" t="s">
        <v>325</v>
      </c>
      <c r="M1222" t="s">
        <v>340</v>
      </c>
      <c r="N1222" t="s">
        <v>545</v>
      </c>
      <c r="O1222" t="s">
        <v>339</v>
      </c>
      <c r="P1222" t="s">
        <v>1216</v>
      </c>
      <c r="Q1222" s="131">
        <v>7343</v>
      </c>
      <c r="R1222" s="131">
        <v>3.71</v>
      </c>
      <c r="S1222" s="131">
        <v>57244</v>
      </c>
      <c r="U1222" s="131">
        <v>15594.714</v>
      </c>
      <c r="V1222" s="132">
        <v>0</v>
      </c>
      <c r="W1222" s="132">
        <f t="shared" si="19"/>
        <v>3.1858236181132912E-2</v>
      </c>
      <c r="X1222" s="132">
        <v>5.1499185577865503E-3</v>
      </c>
    </row>
    <row r="1223" spans="1:24">
      <c r="A1223" t="s">
        <v>1213</v>
      </c>
      <c r="B1223" s="4">
        <v>9719</v>
      </c>
      <c r="C1223" t="s">
        <v>3293</v>
      </c>
      <c r="D1223" t="s">
        <v>3294</v>
      </c>
      <c r="E1223" t="s">
        <v>80</v>
      </c>
      <c r="F1223" t="s">
        <v>4034</v>
      </c>
      <c r="G1223" t="s">
        <v>4035</v>
      </c>
      <c r="H1223" t="s">
        <v>321</v>
      </c>
      <c r="I1223" t="s">
        <v>917</v>
      </c>
      <c r="J1223" t="s">
        <v>205</v>
      </c>
      <c r="K1223" t="s">
        <v>224</v>
      </c>
      <c r="L1223" t="s">
        <v>325</v>
      </c>
      <c r="M1223" t="s">
        <v>346</v>
      </c>
      <c r="N1223" t="s">
        <v>544</v>
      </c>
      <c r="O1223" t="s">
        <v>339</v>
      </c>
      <c r="P1223" t="s">
        <v>1216</v>
      </c>
      <c r="Q1223" s="131">
        <v>555</v>
      </c>
      <c r="R1223" s="131">
        <v>3.71</v>
      </c>
      <c r="S1223" s="131">
        <v>421212</v>
      </c>
      <c r="U1223" s="131">
        <v>8672.9660000000003</v>
      </c>
      <c r="V1223" s="132">
        <v>2.0000000000000002E-5</v>
      </c>
      <c r="W1223" s="132">
        <f t="shared" si="19"/>
        <v>1.7717888203588446E-2</v>
      </c>
      <c r="X1223" s="132">
        <v>2.8641159148190716E-3</v>
      </c>
    </row>
    <row r="1224" spans="1:24">
      <c r="A1224" t="s">
        <v>1213</v>
      </c>
      <c r="B1224" s="4">
        <v>9719</v>
      </c>
      <c r="C1224" t="s">
        <v>4036</v>
      </c>
      <c r="D1224" s="4">
        <v>5437</v>
      </c>
      <c r="E1224" s="4" t="s">
        <v>80</v>
      </c>
      <c r="F1224" t="s">
        <v>4037</v>
      </c>
      <c r="G1224" t="s">
        <v>4038</v>
      </c>
      <c r="H1224" t="s">
        <v>321</v>
      </c>
      <c r="I1224" t="s">
        <v>917</v>
      </c>
      <c r="J1224" t="s">
        <v>205</v>
      </c>
      <c r="K1224" t="s">
        <v>224</v>
      </c>
      <c r="L1224" t="s">
        <v>325</v>
      </c>
      <c r="M1224" t="s">
        <v>344</v>
      </c>
      <c r="N1224" t="s">
        <v>542</v>
      </c>
      <c r="O1224" t="s">
        <v>339</v>
      </c>
      <c r="P1224" t="s">
        <v>1216</v>
      </c>
      <c r="Q1224" s="131">
        <v>8062</v>
      </c>
      <c r="R1224" s="131">
        <v>3.71</v>
      </c>
      <c r="S1224" s="131">
        <v>25376</v>
      </c>
      <c r="U1224" s="131">
        <v>7589.9669999999996</v>
      </c>
      <c r="V1224" s="132">
        <v>1.0000000000000001E-5</v>
      </c>
      <c r="W1224" s="132">
        <f t="shared" si="19"/>
        <v>1.550544378646539E-2</v>
      </c>
      <c r="X1224" s="132">
        <v>2.5064718664470223E-3</v>
      </c>
    </row>
    <row r="1225" spans="1:24">
      <c r="A1225" t="s">
        <v>1213</v>
      </c>
      <c r="B1225" s="4">
        <v>9719</v>
      </c>
      <c r="C1225" t="s">
        <v>3805</v>
      </c>
      <c r="D1225" t="s">
        <v>3806</v>
      </c>
      <c r="E1225" t="s">
        <v>311</v>
      </c>
      <c r="F1225" t="s">
        <v>3807</v>
      </c>
      <c r="G1225" t="s">
        <v>3808</v>
      </c>
      <c r="H1225" t="s">
        <v>321</v>
      </c>
      <c r="I1225" t="s">
        <v>917</v>
      </c>
      <c r="J1225" t="s">
        <v>205</v>
      </c>
      <c r="K1225" t="s">
        <v>204</v>
      </c>
      <c r="L1225" t="s">
        <v>325</v>
      </c>
      <c r="M1225" t="s">
        <v>346</v>
      </c>
      <c r="N1225" t="s">
        <v>544</v>
      </c>
      <c r="O1225" t="s">
        <v>339</v>
      </c>
      <c r="P1225" t="s">
        <v>1216</v>
      </c>
      <c r="Q1225" s="131">
        <v>10037</v>
      </c>
      <c r="R1225" s="131">
        <v>3.71</v>
      </c>
      <c r="S1225" s="131">
        <v>16717</v>
      </c>
      <c r="U1225" s="131">
        <v>6224.9539999999997</v>
      </c>
      <c r="V1225" s="132">
        <v>1.8000000000000001E-4</v>
      </c>
      <c r="W1225" s="132">
        <f t="shared" si="19"/>
        <v>1.2716876676846272E-2</v>
      </c>
      <c r="X1225" s="132">
        <v>2.0556969576978209E-3</v>
      </c>
    </row>
    <row r="1226" spans="1:24">
      <c r="A1226" t="s">
        <v>1213</v>
      </c>
      <c r="B1226" s="4">
        <v>9719</v>
      </c>
      <c r="C1226" t="s">
        <v>4039</v>
      </c>
      <c r="D1226" t="s">
        <v>4040</v>
      </c>
      <c r="E1226" t="s">
        <v>312</v>
      </c>
      <c r="F1226" t="s">
        <v>4039</v>
      </c>
      <c r="G1226" t="s">
        <v>4041</v>
      </c>
      <c r="H1226" t="s">
        <v>321</v>
      </c>
      <c r="I1226" t="s">
        <v>917</v>
      </c>
      <c r="J1226" t="s">
        <v>205</v>
      </c>
      <c r="K1226" t="s">
        <v>220</v>
      </c>
      <c r="L1226" t="s">
        <v>325</v>
      </c>
      <c r="M1226" t="s">
        <v>344</v>
      </c>
      <c r="N1226" t="s">
        <v>496</v>
      </c>
      <c r="O1226" t="s">
        <v>339</v>
      </c>
      <c r="P1226" t="s">
        <v>1216</v>
      </c>
      <c r="Q1226" s="131">
        <v>4883</v>
      </c>
      <c r="R1226" s="131">
        <v>3.71</v>
      </c>
      <c r="S1226" s="131">
        <v>33144</v>
      </c>
      <c r="U1226" s="131">
        <v>6004.3440000000001</v>
      </c>
      <c r="V1226" s="132">
        <v>1.0000000000000001E-5</v>
      </c>
      <c r="W1226" s="132">
        <f t="shared" si="19"/>
        <v>1.2266195408570386E-2</v>
      </c>
      <c r="X1226" s="132">
        <v>1.9828438400944274E-3</v>
      </c>
    </row>
    <row r="1227" spans="1:24">
      <c r="A1227" t="s">
        <v>1213</v>
      </c>
      <c r="B1227" s="4">
        <v>9719</v>
      </c>
      <c r="C1227" t="s">
        <v>4042</v>
      </c>
      <c r="D1227" t="s">
        <v>4043</v>
      </c>
      <c r="E1227" t="s">
        <v>312</v>
      </c>
      <c r="F1227" t="s">
        <v>4044</v>
      </c>
      <c r="G1227" t="s">
        <v>4045</v>
      </c>
      <c r="H1227" t="s">
        <v>321</v>
      </c>
      <c r="I1227" t="s">
        <v>917</v>
      </c>
      <c r="J1227" t="s">
        <v>205</v>
      </c>
      <c r="K1227" t="s">
        <v>224</v>
      </c>
      <c r="L1227" t="s">
        <v>325</v>
      </c>
      <c r="M1227" t="s">
        <v>344</v>
      </c>
      <c r="N1227" t="s">
        <v>495</v>
      </c>
      <c r="O1227" t="s">
        <v>339</v>
      </c>
      <c r="P1227" t="s">
        <v>1216</v>
      </c>
      <c r="Q1227" s="131">
        <v>10933</v>
      </c>
      <c r="R1227" s="131">
        <v>3.71</v>
      </c>
      <c r="S1227" s="131">
        <v>14353</v>
      </c>
      <c r="T1227" s="131">
        <v>1.4810000000000001</v>
      </c>
      <c r="U1227" s="131">
        <v>5827.277</v>
      </c>
      <c r="V1227" s="132">
        <v>5.0000000000000002E-5</v>
      </c>
      <c r="W1227" s="132">
        <f t="shared" si="19"/>
        <v>1.1904467562462747E-2</v>
      </c>
      <c r="X1227" s="132">
        <v>1.9243701400142852E-3</v>
      </c>
    </row>
    <row r="1228" spans="1:24">
      <c r="A1228" t="s">
        <v>1213</v>
      </c>
      <c r="B1228" s="4">
        <v>9719</v>
      </c>
      <c r="C1228" t="s">
        <v>4046</v>
      </c>
      <c r="D1228" t="s">
        <v>4047</v>
      </c>
      <c r="E1228" t="s">
        <v>312</v>
      </c>
      <c r="F1228" t="s">
        <v>4046</v>
      </c>
      <c r="G1228" t="s">
        <v>4048</v>
      </c>
      <c r="H1228" t="s">
        <v>321</v>
      </c>
      <c r="I1228" t="s">
        <v>917</v>
      </c>
      <c r="J1228" t="s">
        <v>205</v>
      </c>
      <c r="K1228" t="s">
        <v>224</v>
      </c>
      <c r="L1228" t="s">
        <v>325</v>
      </c>
      <c r="M1228" t="s">
        <v>346</v>
      </c>
      <c r="N1228" t="s">
        <v>569</v>
      </c>
      <c r="O1228" t="s">
        <v>339</v>
      </c>
      <c r="P1228" t="s">
        <v>1216</v>
      </c>
      <c r="Q1228" s="131">
        <v>600</v>
      </c>
      <c r="R1228" s="131">
        <v>3.71</v>
      </c>
      <c r="S1228" s="131">
        <v>205196</v>
      </c>
      <c r="U1228" s="131">
        <v>4567.6629999999996</v>
      </c>
      <c r="V1228" s="132">
        <v>1.0000000000000001E-5</v>
      </c>
      <c r="W1228" s="132">
        <f t="shared" si="19"/>
        <v>9.331218684088859E-3</v>
      </c>
      <c r="X1228" s="132">
        <v>1.5084016577293425E-3</v>
      </c>
    </row>
    <row r="1229" spans="1:24">
      <c r="A1229" t="s">
        <v>1213</v>
      </c>
      <c r="B1229" s="4">
        <v>9719</v>
      </c>
      <c r="C1229" t="s">
        <v>4049</v>
      </c>
      <c r="E1229" t="s">
        <v>312</v>
      </c>
      <c r="F1229" t="s">
        <v>4049</v>
      </c>
      <c r="G1229" t="s">
        <v>4050</v>
      </c>
      <c r="H1229" t="s">
        <v>321</v>
      </c>
      <c r="I1229" t="s">
        <v>917</v>
      </c>
      <c r="J1229" t="s">
        <v>205</v>
      </c>
      <c r="K1229" t="s">
        <v>224</v>
      </c>
      <c r="L1229" t="s">
        <v>325</v>
      </c>
      <c r="M1229" t="s">
        <v>344</v>
      </c>
      <c r="N1229" t="s">
        <v>531</v>
      </c>
      <c r="O1229" t="s">
        <v>339</v>
      </c>
      <c r="P1229" t="s">
        <v>1216</v>
      </c>
      <c r="Q1229" s="131">
        <v>2870</v>
      </c>
      <c r="R1229" s="131">
        <v>3.71</v>
      </c>
      <c r="S1229" s="131">
        <v>40643</v>
      </c>
      <c r="U1229" s="131">
        <v>4327.5450000000001</v>
      </c>
      <c r="V1229" s="132">
        <v>1.0000000000000001E-5</v>
      </c>
      <c r="W1229" s="132">
        <f t="shared" si="19"/>
        <v>8.8406847791168749E-3</v>
      </c>
      <c r="X1229" s="132">
        <v>1.429106318022658E-3</v>
      </c>
    </row>
    <row r="1230" spans="1:24">
      <c r="A1230" t="s">
        <v>1213</v>
      </c>
      <c r="B1230" s="4">
        <v>9719</v>
      </c>
      <c r="C1230" t="s">
        <v>4051</v>
      </c>
      <c r="D1230" t="s">
        <v>4052</v>
      </c>
      <c r="E1230" t="s">
        <v>80</v>
      </c>
      <c r="F1230" t="s">
        <v>4053</v>
      </c>
      <c r="G1230" t="s">
        <v>4054</v>
      </c>
      <c r="H1230" t="s">
        <v>321</v>
      </c>
      <c r="I1230" t="s">
        <v>917</v>
      </c>
      <c r="J1230" t="s">
        <v>205</v>
      </c>
      <c r="K1230" t="s">
        <v>233</v>
      </c>
      <c r="L1230" t="s">
        <v>325</v>
      </c>
      <c r="M1230" t="s">
        <v>344</v>
      </c>
      <c r="N1230" t="s">
        <v>486</v>
      </c>
      <c r="O1230" t="s">
        <v>339</v>
      </c>
      <c r="P1230" t="s">
        <v>1216</v>
      </c>
      <c r="Q1230" s="131">
        <v>15757</v>
      </c>
      <c r="R1230" s="131">
        <v>3.71</v>
      </c>
      <c r="S1230" s="131">
        <v>6595</v>
      </c>
      <c r="U1230" s="131">
        <v>3855.3359999999998</v>
      </c>
      <c r="V1230" s="132">
        <v>1.0000000000000001E-5</v>
      </c>
      <c r="W1230" s="132">
        <f t="shared" si="19"/>
        <v>7.8760152219286769E-3</v>
      </c>
      <c r="X1230" s="132">
        <v>1.2731664340174861E-3</v>
      </c>
    </row>
    <row r="1231" spans="1:24">
      <c r="A1231" t="s">
        <v>1213</v>
      </c>
      <c r="B1231" s="4">
        <v>9719</v>
      </c>
      <c r="C1231" t="s">
        <v>4055</v>
      </c>
      <c r="D1231" t="s">
        <v>4056</v>
      </c>
      <c r="E1231" t="s">
        <v>80</v>
      </c>
      <c r="F1231" t="s">
        <v>4057</v>
      </c>
      <c r="G1231" t="s">
        <v>4058</v>
      </c>
      <c r="H1231" t="s">
        <v>321</v>
      </c>
      <c r="I1231" t="s">
        <v>917</v>
      </c>
      <c r="J1231" t="s">
        <v>205</v>
      </c>
      <c r="K1231" t="s">
        <v>281</v>
      </c>
      <c r="L1231" t="s">
        <v>325</v>
      </c>
      <c r="M1231" t="s">
        <v>346</v>
      </c>
      <c r="N1231" t="s">
        <v>534</v>
      </c>
      <c r="O1231" t="s">
        <v>339</v>
      </c>
      <c r="P1231" t="s">
        <v>1216</v>
      </c>
      <c r="Q1231" s="131">
        <v>17500</v>
      </c>
      <c r="R1231" s="131">
        <v>3.71</v>
      </c>
      <c r="S1231" s="131">
        <v>5763</v>
      </c>
      <c r="U1231" s="131">
        <v>3741.6280000000002</v>
      </c>
      <c r="V1231" s="132">
        <v>1.0000000000000001E-5</v>
      </c>
      <c r="W1231" s="132">
        <f t="shared" si="19"/>
        <v>7.6437226438355963E-3</v>
      </c>
      <c r="X1231" s="132">
        <v>1.2356160859079413E-3</v>
      </c>
    </row>
    <row r="1232" spans="1:24">
      <c r="A1232" t="s">
        <v>1213</v>
      </c>
      <c r="B1232" s="4">
        <v>9719</v>
      </c>
      <c r="C1232" t="s">
        <v>4059</v>
      </c>
      <c r="D1232" t="s">
        <v>4060</v>
      </c>
      <c r="E1232" t="s">
        <v>80</v>
      </c>
      <c r="F1232" t="s">
        <v>4061</v>
      </c>
      <c r="G1232" t="s">
        <v>4062</v>
      </c>
      <c r="H1232" t="s">
        <v>321</v>
      </c>
      <c r="I1232" t="s">
        <v>917</v>
      </c>
      <c r="J1232" t="s">
        <v>205</v>
      </c>
      <c r="K1232" t="s">
        <v>224</v>
      </c>
      <c r="L1232" t="s">
        <v>325</v>
      </c>
      <c r="M1232" t="s">
        <v>344</v>
      </c>
      <c r="N1232" t="s">
        <v>526</v>
      </c>
      <c r="O1232" t="s">
        <v>339</v>
      </c>
      <c r="P1232" t="s">
        <v>1216</v>
      </c>
      <c r="Q1232" s="131">
        <v>8223</v>
      </c>
      <c r="R1232" s="131">
        <v>3.71</v>
      </c>
      <c r="S1232" s="131">
        <v>12140</v>
      </c>
      <c r="T1232" s="131">
        <f>8.353+532.850000099999/1000/R1232</f>
        <v>8.4966253369541782</v>
      </c>
      <c r="U1232" s="131">
        <f>3734.578+532.850000099999/1000</f>
        <v>3735.1108500001001</v>
      </c>
      <c r="V1232" s="132">
        <v>1.0000000000000001E-5</v>
      </c>
      <c r="W1232" s="132">
        <f t="shared" si="19"/>
        <v>7.6304088437925376E-3</v>
      </c>
      <c r="X1232" s="132">
        <v>1.2334638956383176E-3</v>
      </c>
    </row>
    <row r="1233" spans="1:24">
      <c r="A1233" t="s">
        <v>1213</v>
      </c>
      <c r="B1233" s="4">
        <v>9719</v>
      </c>
      <c r="C1233" t="s">
        <v>4063</v>
      </c>
      <c r="D1233" t="s">
        <v>4064</v>
      </c>
      <c r="E1233" t="s">
        <v>80</v>
      </c>
      <c r="F1233" t="s">
        <v>4063</v>
      </c>
      <c r="G1233" t="s">
        <v>4065</v>
      </c>
      <c r="H1233" t="s">
        <v>321</v>
      </c>
      <c r="I1233" t="s">
        <v>917</v>
      </c>
      <c r="J1233" t="s">
        <v>205</v>
      </c>
      <c r="K1233" t="s">
        <v>224</v>
      </c>
      <c r="L1233" t="s">
        <v>325</v>
      </c>
      <c r="M1233" t="s">
        <v>344</v>
      </c>
      <c r="N1233" t="s">
        <v>502</v>
      </c>
      <c r="O1233" t="s">
        <v>339</v>
      </c>
      <c r="P1233" t="s">
        <v>1216</v>
      </c>
      <c r="Q1233" s="131">
        <v>9977</v>
      </c>
      <c r="R1233" s="131">
        <v>3.71</v>
      </c>
      <c r="S1233" s="131">
        <v>10025</v>
      </c>
      <c r="U1233" s="131">
        <v>3710.721</v>
      </c>
      <c r="V1233" s="132">
        <v>2.0000000000000002E-5</v>
      </c>
      <c r="W1233" s="132">
        <f t="shared" si="19"/>
        <v>7.5805831399209829E-3</v>
      </c>
      <c r="X1233" s="132">
        <v>1.2254095163699869E-3</v>
      </c>
    </row>
    <row r="1234" spans="1:24">
      <c r="A1234" t="s">
        <v>1213</v>
      </c>
      <c r="B1234" s="4">
        <v>9719</v>
      </c>
      <c r="C1234" t="s">
        <v>4066</v>
      </c>
      <c r="D1234" s="4">
        <v>5443</v>
      </c>
      <c r="E1234" s="4" t="s">
        <v>80</v>
      </c>
      <c r="F1234" t="s">
        <v>4067</v>
      </c>
      <c r="G1234" t="s">
        <v>4068</v>
      </c>
      <c r="H1234" t="s">
        <v>321</v>
      </c>
      <c r="I1234" t="s">
        <v>917</v>
      </c>
      <c r="J1234" t="s">
        <v>205</v>
      </c>
      <c r="K1234" t="s">
        <v>224</v>
      </c>
      <c r="L1234" t="s">
        <v>325</v>
      </c>
      <c r="M1234" t="s">
        <v>344</v>
      </c>
      <c r="N1234" t="s">
        <v>537</v>
      </c>
      <c r="O1234" t="s">
        <v>339</v>
      </c>
      <c r="P1234" t="s">
        <v>1216</v>
      </c>
      <c r="Q1234" s="131">
        <v>13844</v>
      </c>
      <c r="R1234" s="131">
        <v>3.71</v>
      </c>
      <c r="S1234" s="131">
        <v>7186</v>
      </c>
      <c r="U1234" s="131">
        <v>3690.819</v>
      </c>
      <c r="V1234" s="132">
        <v>2.0000000000000002E-5</v>
      </c>
      <c r="W1234" s="132">
        <f t="shared" si="19"/>
        <v>7.5399256058054538E-3</v>
      </c>
      <c r="X1234" s="132">
        <v>1.2188371817226783E-3</v>
      </c>
    </row>
    <row r="1235" spans="1:24">
      <c r="A1235" t="s">
        <v>1213</v>
      </c>
      <c r="B1235" s="4">
        <v>9719</v>
      </c>
      <c r="C1235" t="s">
        <v>4069</v>
      </c>
      <c r="D1235" t="s">
        <v>4070</v>
      </c>
      <c r="E1235" t="s">
        <v>80</v>
      </c>
      <c r="F1235" t="s">
        <v>4071</v>
      </c>
      <c r="G1235" t="s">
        <v>4072</v>
      </c>
      <c r="H1235" t="s">
        <v>321</v>
      </c>
      <c r="I1235" t="s">
        <v>917</v>
      </c>
      <c r="J1235" t="s">
        <v>205</v>
      </c>
      <c r="K1235" t="s">
        <v>224</v>
      </c>
      <c r="L1235" t="s">
        <v>325</v>
      </c>
      <c r="M1235" t="s">
        <v>344</v>
      </c>
      <c r="N1235" t="s">
        <v>534</v>
      </c>
      <c r="O1235" t="s">
        <v>339</v>
      </c>
      <c r="P1235" t="s">
        <v>1216</v>
      </c>
      <c r="Q1235" s="131">
        <v>12660</v>
      </c>
      <c r="R1235" s="131">
        <v>3.71</v>
      </c>
      <c r="S1235" s="131">
        <v>7791</v>
      </c>
      <c r="U1235" s="131">
        <v>3659.3240000000001</v>
      </c>
      <c r="V1235" s="132">
        <v>0</v>
      </c>
      <c r="W1235" s="132">
        <f t="shared" si="19"/>
        <v>7.4755848844222485E-3</v>
      </c>
      <c r="X1235" s="132">
        <v>1.2084364340733476E-3</v>
      </c>
    </row>
    <row r="1236" spans="1:24">
      <c r="A1236" t="s">
        <v>1213</v>
      </c>
      <c r="B1236" s="4">
        <v>9719</v>
      </c>
      <c r="C1236" t="s">
        <v>4073</v>
      </c>
      <c r="D1236" t="s">
        <v>4074</v>
      </c>
      <c r="E1236" t="s">
        <v>80</v>
      </c>
      <c r="F1236" t="s">
        <v>4075</v>
      </c>
      <c r="G1236" t="s">
        <v>4076</v>
      </c>
      <c r="H1236" t="s">
        <v>321</v>
      </c>
      <c r="I1236" t="s">
        <v>917</v>
      </c>
      <c r="J1236" t="s">
        <v>205</v>
      </c>
      <c r="K1236" t="s">
        <v>224</v>
      </c>
      <c r="L1236" t="s">
        <v>325</v>
      </c>
      <c r="M1236" t="s">
        <v>344</v>
      </c>
      <c r="N1236" t="s">
        <v>458</v>
      </c>
      <c r="O1236" t="s">
        <v>339</v>
      </c>
      <c r="P1236" t="s">
        <v>1216</v>
      </c>
      <c r="Q1236" s="131">
        <v>4623</v>
      </c>
      <c r="R1236" s="131">
        <v>3.71</v>
      </c>
      <c r="S1236" s="131">
        <v>17250</v>
      </c>
      <c r="U1236" s="131">
        <v>2958.6039999999998</v>
      </c>
      <c r="V1236" s="132">
        <v>0</v>
      </c>
      <c r="W1236" s="132">
        <f t="shared" si="19"/>
        <v>6.0440932099456619E-3</v>
      </c>
      <c r="X1236" s="132">
        <v>9.7703424665187937E-4</v>
      </c>
    </row>
    <row r="1237" spans="1:24">
      <c r="A1237" t="s">
        <v>1213</v>
      </c>
      <c r="B1237" s="4">
        <v>9719</v>
      </c>
      <c r="C1237" t="s">
        <v>4077</v>
      </c>
      <c r="D1237" t="s">
        <v>4078</v>
      </c>
      <c r="E1237" t="s">
        <v>80</v>
      </c>
      <c r="F1237" t="s">
        <v>4077</v>
      </c>
      <c r="G1237" t="s">
        <v>4079</v>
      </c>
      <c r="H1237" t="s">
        <v>321</v>
      </c>
      <c r="I1237" t="s">
        <v>917</v>
      </c>
      <c r="J1237" t="s">
        <v>205</v>
      </c>
      <c r="K1237" t="s">
        <v>224</v>
      </c>
      <c r="L1237" t="s">
        <v>325</v>
      </c>
      <c r="M1237" t="s">
        <v>344</v>
      </c>
      <c r="N1237" t="s">
        <v>516</v>
      </c>
      <c r="O1237" t="s">
        <v>339</v>
      </c>
      <c r="P1237" t="s">
        <v>1216</v>
      </c>
      <c r="Q1237" s="131">
        <v>2950</v>
      </c>
      <c r="R1237" s="131">
        <v>3.71</v>
      </c>
      <c r="S1237" s="131">
        <v>23050</v>
      </c>
      <c r="U1237" s="131">
        <v>2522.7069999999999</v>
      </c>
      <c r="V1237" s="132">
        <v>1.0000000000000001E-5</v>
      </c>
      <c r="W1237" s="132">
        <f t="shared" si="19"/>
        <v>5.1536049601036138E-3</v>
      </c>
      <c r="X1237" s="132">
        <v>8.3308585172886366E-4</v>
      </c>
    </row>
    <row r="1238" spans="1:24">
      <c r="A1238" t="s">
        <v>1213</v>
      </c>
      <c r="B1238" s="4">
        <v>9719</v>
      </c>
      <c r="C1238" t="s">
        <v>3813</v>
      </c>
      <c r="D1238" t="s">
        <v>3814</v>
      </c>
      <c r="E1238" t="s">
        <v>311</v>
      </c>
      <c r="F1238" t="s">
        <v>3815</v>
      </c>
      <c r="G1238" t="s">
        <v>3816</v>
      </c>
      <c r="H1238" t="s">
        <v>321</v>
      </c>
      <c r="I1238" t="s">
        <v>917</v>
      </c>
      <c r="J1238" t="s">
        <v>205</v>
      </c>
      <c r="K1238" t="s">
        <v>224</v>
      </c>
      <c r="L1238" t="s">
        <v>325</v>
      </c>
      <c r="M1238" t="s">
        <v>346</v>
      </c>
      <c r="N1238" t="s">
        <v>486</v>
      </c>
      <c r="O1238" t="s">
        <v>339</v>
      </c>
      <c r="P1238" t="s">
        <v>1216</v>
      </c>
      <c r="Q1238" s="131">
        <v>40459.879999999997</v>
      </c>
      <c r="R1238" s="131">
        <v>3.71</v>
      </c>
      <c r="S1238" s="131">
        <v>702</v>
      </c>
      <c r="U1238" s="131">
        <v>1053.7449999999999</v>
      </c>
      <c r="V1238" s="132">
        <v>3.5E-4</v>
      </c>
      <c r="W1238" s="132">
        <f t="shared" si="19"/>
        <v>2.1526818051737211E-3</v>
      </c>
      <c r="X1238" s="132">
        <v>3.4798335709617935E-4</v>
      </c>
    </row>
    <row r="1239" spans="1:24">
      <c r="A1239" t="s">
        <v>1213</v>
      </c>
      <c r="B1239" s="4">
        <v>9719</v>
      </c>
      <c r="C1239" t="s">
        <v>4003</v>
      </c>
      <c r="D1239" t="s">
        <v>4004</v>
      </c>
      <c r="E1239" t="s">
        <v>80</v>
      </c>
      <c r="F1239" t="s">
        <v>4005</v>
      </c>
      <c r="G1239" t="s">
        <v>4006</v>
      </c>
      <c r="H1239" t="s">
        <v>321</v>
      </c>
      <c r="I1239" t="s">
        <v>917</v>
      </c>
      <c r="J1239" t="s">
        <v>205</v>
      </c>
      <c r="K1239" t="s">
        <v>224</v>
      </c>
      <c r="L1239" t="s">
        <v>325</v>
      </c>
      <c r="M1239" t="s">
        <v>346</v>
      </c>
      <c r="N1239" t="s">
        <v>530</v>
      </c>
      <c r="O1239" t="s">
        <v>339</v>
      </c>
      <c r="P1239" t="s">
        <v>1216</v>
      </c>
      <c r="Q1239" s="131">
        <v>15917</v>
      </c>
      <c r="R1239" s="131">
        <v>3.71</v>
      </c>
      <c r="S1239" s="131">
        <v>1695</v>
      </c>
      <c r="U1239" s="131">
        <v>1000.933</v>
      </c>
      <c r="V1239" s="132">
        <v>1.9000000000000001E-4</v>
      </c>
      <c r="W1239" s="132">
        <f t="shared" si="19"/>
        <v>2.0447928647803295E-3</v>
      </c>
      <c r="X1239" s="132">
        <v>3.3054299243967956E-4</v>
      </c>
    </row>
    <row r="1240" spans="1:24">
      <c r="A1240" t="s">
        <v>1213</v>
      </c>
      <c r="B1240" s="4">
        <v>9719</v>
      </c>
      <c r="C1240" t="s">
        <v>3433</v>
      </c>
      <c r="D1240" t="s">
        <v>3434</v>
      </c>
      <c r="E1240" t="s">
        <v>309</v>
      </c>
      <c r="F1240" t="s">
        <v>4080</v>
      </c>
      <c r="G1240" t="s">
        <v>3435</v>
      </c>
      <c r="H1240" t="s">
        <v>321</v>
      </c>
      <c r="I1240" t="s">
        <v>917</v>
      </c>
      <c r="J1240" t="s">
        <v>205</v>
      </c>
      <c r="K1240" t="s">
        <v>204</v>
      </c>
      <c r="L1240" t="s">
        <v>325</v>
      </c>
      <c r="M1240" t="s">
        <v>346</v>
      </c>
      <c r="N1240" t="s">
        <v>546</v>
      </c>
      <c r="O1240" t="s">
        <v>339</v>
      </c>
      <c r="P1240" t="s">
        <v>1216</v>
      </c>
      <c r="Q1240" s="131">
        <v>10</v>
      </c>
      <c r="R1240" s="131">
        <v>3.71</v>
      </c>
      <c r="S1240" s="131">
        <v>7985</v>
      </c>
      <c r="U1240" s="131">
        <v>2.9620000000000002</v>
      </c>
      <c r="V1240" s="132">
        <v>0</v>
      </c>
      <c r="W1240" s="132">
        <f t="shared" si="19"/>
        <v>6.0510308536928409E-6</v>
      </c>
      <c r="X1240" s="132">
        <v>9.7815572431554446E-7</v>
      </c>
    </row>
    <row r="1241" spans="1:24">
      <c r="A1241" t="s">
        <v>1213</v>
      </c>
      <c r="B1241" s="4">
        <v>9719</v>
      </c>
      <c r="C1241" t="s">
        <v>3902</v>
      </c>
      <c r="D1241" t="s">
        <v>3903</v>
      </c>
      <c r="E1241" t="s">
        <v>309</v>
      </c>
      <c r="F1241" t="s">
        <v>4081</v>
      </c>
      <c r="G1241" t="s">
        <v>3904</v>
      </c>
      <c r="H1241" t="s">
        <v>321</v>
      </c>
      <c r="I1241" t="s">
        <v>917</v>
      </c>
      <c r="J1241" t="s">
        <v>205</v>
      </c>
      <c r="K1241" t="s">
        <v>204</v>
      </c>
      <c r="L1241" t="s">
        <v>325</v>
      </c>
      <c r="M1241" t="s">
        <v>346</v>
      </c>
      <c r="N1241" t="s">
        <v>546</v>
      </c>
      <c r="O1241" t="s">
        <v>339</v>
      </c>
      <c r="P1241" t="s">
        <v>1216</v>
      </c>
      <c r="Q1241" s="131">
        <v>98</v>
      </c>
      <c r="R1241" s="131">
        <v>3.71</v>
      </c>
      <c r="S1241" s="131">
        <v>527</v>
      </c>
      <c r="U1241" s="131">
        <v>1.9159999999999999</v>
      </c>
      <c r="V1241" s="132">
        <v>0</v>
      </c>
      <c r="W1241" s="132">
        <f t="shared" si="19"/>
        <v>3.9141712071828092E-6</v>
      </c>
      <c r="X1241" s="132">
        <v>6.3273003639047372E-7</v>
      </c>
    </row>
    <row r="1242" spans="1:24">
      <c r="A1242" t="s">
        <v>1213</v>
      </c>
      <c r="B1242" s="4">
        <v>9720</v>
      </c>
      <c r="C1242" t="s">
        <v>1881</v>
      </c>
      <c r="D1242" t="s">
        <v>1882</v>
      </c>
      <c r="E1242" t="s">
        <v>309</v>
      </c>
      <c r="F1242" t="s">
        <v>3407</v>
      </c>
      <c r="G1242" t="s">
        <v>3408</v>
      </c>
      <c r="H1242" t="s">
        <v>321</v>
      </c>
      <c r="I1242" t="s">
        <v>917</v>
      </c>
      <c r="J1242" t="s">
        <v>204</v>
      </c>
      <c r="K1242" t="s">
        <v>204</v>
      </c>
      <c r="L1242" t="s">
        <v>325</v>
      </c>
      <c r="M1242" t="s">
        <v>340</v>
      </c>
      <c r="N1242" t="s">
        <v>448</v>
      </c>
      <c r="O1242" t="s">
        <v>339</v>
      </c>
      <c r="P1242" t="s">
        <v>1212</v>
      </c>
      <c r="Q1242" s="131">
        <v>189994</v>
      </c>
      <c r="R1242" s="131">
        <v>1</v>
      </c>
      <c r="S1242" s="131">
        <v>14550</v>
      </c>
      <c r="U1242" s="131">
        <v>27644.127</v>
      </c>
      <c r="V1242" s="132">
        <v>7.3999999999999999E-4</v>
      </c>
      <c r="W1242" s="132">
        <f t="shared" si="19"/>
        <v>0.10497231381707635</v>
      </c>
      <c r="X1242" s="132">
        <v>2.790251841315481E-2</v>
      </c>
    </row>
    <row r="1243" spans="1:24">
      <c r="A1243" t="s">
        <v>1213</v>
      </c>
      <c r="B1243" s="4">
        <v>9720</v>
      </c>
      <c r="C1243" t="s">
        <v>1573</v>
      </c>
      <c r="D1243" t="s">
        <v>1574</v>
      </c>
      <c r="E1243" t="s">
        <v>309</v>
      </c>
      <c r="F1243" t="s">
        <v>1573</v>
      </c>
      <c r="G1243" t="s">
        <v>3404</v>
      </c>
      <c r="H1243" t="s">
        <v>321</v>
      </c>
      <c r="I1243" t="s">
        <v>917</v>
      </c>
      <c r="J1243" t="s">
        <v>204</v>
      </c>
      <c r="K1243" t="s">
        <v>204</v>
      </c>
      <c r="L1243" t="s">
        <v>325</v>
      </c>
      <c r="M1243" t="s">
        <v>340</v>
      </c>
      <c r="N1243" t="s">
        <v>448</v>
      </c>
      <c r="O1243" t="s">
        <v>339</v>
      </c>
      <c r="P1243" t="s">
        <v>1212</v>
      </c>
      <c r="Q1243" s="131">
        <v>678716</v>
      </c>
      <c r="R1243" s="131">
        <v>1</v>
      </c>
      <c r="S1243" s="131">
        <v>3644</v>
      </c>
      <c r="U1243" s="131">
        <v>24732.411</v>
      </c>
      <c r="V1243" s="132">
        <v>4.2000000000000002E-4</v>
      </c>
      <c r="W1243" s="132">
        <f t="shared" si="19"/>
        <v>9.3915731502207001E-2</v>
      </c>
      <c r="X1243" s="132">
        <v>2.4963586418526168E-2</v>
      </c>
    </row>
    <row r="1244" spans="1:24">
      <c r="A1244" t="s">
        <v>1213</v>
      </c>
      <c r="B1244" s="4">
        <v>9720</v>
      </c>
      <c r="C1244" t="s">
        <v>1861</v>
      </c>
      <c r="D1244" t="s">
        <v>1862</v>
      </c>
      <c r="E1244" t="s">
        <v>309</v>
      </c>
      <c r="F1244" t="s">
        <v>1861</v>
      </c>
      <c r="G1244" t="s">
        <v>3460</v>
      </c>
      <c r="H1244" t="s">
        <v>321</v>
      </c>
      <c r="I1244" t="s">
        <v>917</v>
      </c>
      <c r="J1244" t="s">
        <v>204</v>
      </c>
      <c r="K1244" t="s">
        <v>204</v>
      </c>
      <c r="L1244" t="s">
        <v>325</v>
      </c>
      <c r="M1244" t="s">
        <v>340</v>
      </c>
      <c r="N1244" t="s">
        <v>464</v>
      </c>
      <c r="O1244" t="s">
        <v>339</v>
      </c>
      <c r="P1244" t="s">
        <v>1212</v>
      </c>
      <c r="Q1244" s="131">
        <v>60875</v>
      </c>
      <c r="R1244" s="131">
        <v>1</v>
      </c>
      <c r="S1244" s="131">
        <v>28210</v>
      </c>
      <c r="U1244" s="131">
        <v>17172.838</v>
      </c>
      <c r="V1244" s="132">
        <v>1.2800000000000001E-3</v>
      </c>
      <c r="W1244" s="132">
        <f t="shared" si="19"/>
        <v>6.5209964476932614E-2</v>
      </c>
      <c r="X1244" s="132">
        <v>1.7333353608928386E-2</v>
      </c>
    </row>
    <row r="1245" spans="1:24">
      <c r="A1245" t="s">
        <v>1213</v>
      </c>
      <c r="B1245" s="4">
        <v>9720</v>
      </c>
      <c r="C1245" t="s">
        <v>2089</v>
      </c>
      <c r="D1245" t="s">
        <v>2090</v>
      </c>
      <c r="E1245" t="s">
        <v>309</v>
      </c>
      <c r="F1245" t="s">
        <v>2089</v>
      </c>
      <c r="G1245" t="s">
        <v>3405</v>
      </c>
      <c r="H1245" t="s">
        <v>321</v>
      </c>
      <c r="I1245" t="s">
        <v>917</v>
      </c>
      <c r="J1245" t="s">
        <v>204</v>
      </c>
      <c r="K1245" t="s">
        <v>204</v>
      </c>
      <c r="L1245" t="s">
        <v>325</v>
      </c>
      <c r="M1245" t="s">
        <v>340</v>
      </c>
      <c r="N1245" t="s">
        <v>467</v>
      </c>
      <c r="O1245" t="s">
        <v>339</v>
      </c>
      <c r="P1245" t="s">
        <v>1212</v>
      </c>
      <c r="Q1245" s="131">
        <v>226438</v>
      </c>
      <c r="R1245" s="131">
        <v>1</v>
      </c>
      <c r="S1245" s="131">
        <v>6629</v>
      </c>
      <c r="U1245" s="131">
        <v>15010.575000000001</v>
      </c>
      <c r="V1245" s="132">
        <v>1.8000000000000001E-4</v>
      </c>
      <c r="W1245" s="132">
        <f t="shared" si="19"/>
        <v>5.6999260257875418E-2</v>
      </c>
      <c r="X1245" s="132">
        <v>1.5150879799153768E-2</v>
      </c>
    </row>
    <row r="1246" spans="1:24">
      <c r="A1246" t="s">
        <v>1213</v>
      </c>
      <c r="B1246" s="4">
        <v>9720</v>
      </c>
      <c r="C1246" t="s">
        <v>2228</v>
      </c>
      <c r="D1246" t="s">
        <v>2229</v>
      </c>
      <c r="E1246" t="s">
        <v>309</v>
      </c>
      <c r="F1246" t="s">
        <v>2228</v>
      </c>
      <c r="G1246" t="s">
        <v>3439</v>
      </c>
      <c r="H1246" t="s">
        <v>321</v>
      </c>
      <c r="I1246" t="s">
        <v>917</v>
      </c>
      <c r="J1246" t="s">
        <v>204</v>
      </c>
      <c r="K1246" t="s">
        <v>204</v>
      </c>
      <c r="L1246" t="s">
        <v>325</v>
      </c>
      <c r="M1246" t="s">
        <v>340</v>
      </c>
      <c r="N1246" t="s">
        <v>441</v>
      </c>
      <c r="O1246" t="s">
        <v>339</v>
      </c>
      <c r="P1246" t="s">
        <v>1212</v>
      </c>
      <c r="Q1246" s="131">
        <v>199284.4</v>
      </c>
      <c r="R1246" s="131">
        <v>1</v>
      </c>
      <c r="S1246" s="131">
        <v>6254</v>
      </c>
      <c r="U1246" s="131">
        <v>12463.245999999999</v>
      </c>
      <c r="V1246" s="132">
        <v>1.6800000000000001E-3</v>
      </c>
      <c r="W1246" s="132">
        <f t="shared" si="19"/>
        <v>4.7326355080463255E-2</v>
      </c>
      <c r="X1246" s="132">
        <v>1.2579740752988077E-2</v>
      </c>
    </row>
    <row r="1247" spans="1:24">
      <c r="A1247" t="s">
        <v>1213</v>
      </c>
      <c r="B1247" s="4">
        <v>9720</v>
      </c>
      <c r="C1247" t="s">
        <v>2348</v>
      </c>
      <c r="D1247" t="s">
        <v>2349</v>
      </c>
      <c r="E1247" t="s">
        <v>309</v>
      </c>
      <c r="F1247" t="s">
        <v>2348</v>
      </c>
      <c r="G1247" t="s">
        <v>3446</v>
      </c>
      <c r="H1247" t="s">
        <v>321</v>
      </c>
      <c r="I1247" t="s">
        <v>917</v>
      </c>
      <c r="J1247" t="s">
        <v>204</v>
      </c>
      <c r="K1247" t="s">
        <v>204</v>
      </c>
      <c r="L1247" t="s">
        <v>325</v>
      </c>
      <c r="M1247" t="s">
        <v>340</v>
      </c>
      <c r="N1247" t="s">
        <v>456</v>
      </c>
      <c r="O1247" t="s">
        <v>339</v>
      </c>
      <c r="P1247" t="s">
        <v>1212</v>
      </c>
      <c r="Q1247" s="131">
        <v>649500</v>
      </c>
      <c r="R1247" s="131">
        <v>1</v>
      </c>
      <c r="S1247" s="131">
        <v>1588</v>
      </c>
      <c r="U1247" s="131">
        <v>10314.06</v>
      </c>
      <c r="V1247" s="132">
        <v>4.8999999999999998E-4</v>
      </c>
      <c r="W1247" s="132">
        <f t="shared" si="19"/>
        <v>3.9165307808351278E-2</v>
      </c>
      <c r="X1247" s="132">
        <v>1.0410466174764118E-2</v>
      </c>
    </row>
    <row r="1248" spans="1:24">
      <c r="A1248" t="s">
        <v>1213</v>
      </c>
      <c r="B1248" s="4">
        <v>9720</v>
      </c>
      <c r="C1248" t="s">
        <v>2361</v>
      </c>
      <c r="D1248" t="s">
        <v>2362</v>
      </c>
      <c r="E1248" t="s">
        <v>309</v>
      </c>
      <c r="F1248" t="s">
        <v>2361</v>
      </c>
      <c r="G1248" t="s">
        <v>3440</v>
      </c>
      <c r="H1248" t="s">
        <v>321</v>
      </c>
      <c r="I1248" t="s">
        <v>917</v>
      </c>
      <c r="J1248" t="s">
        <v>204</v>
      </c>
      <c r="K1248" t="s">
        <v>204</v>
      </c>
      <c r="L1248" t="s">
        <v>325</v>
      </c>
      <c r="M1248" t="s">
        <v>340</v>
      </c>
      <c r="N1248" t="s">
        <v>446</v>
      </c>
      <c r="O1248" t="s">
        <v>339</v>
      </c>
      <c r="P1248" t="s">
        <v>1212</v>
      </c>
      <c r="Q1248" s="131">
        <v>13904</v>
      </c>
      <c r="R1248" s="131">
        <v>1</v>
      </c>
      <c r="S1248" s="131">
        <v>74080</v>
      </c>
      <c r="U1248" s="131">
        <v>10300.083000000001</v>
      </c>
      <c r="V1248" s="132">
        <v>3.1E-4</v>
      </c>
      <c r="W1248" s="132">
        <f t="shared" si="19"/>
        <v>3.9112233315160692E-2</v>
      </c>
      <c r="X1248" s="132">
        <v>1.0396358530856223E-2</v>
      </c>
    </row>
    <row r="1249" spans="1:24">
      <c r="A1249" t="s">
        <v>1213</v>
      </c>
      <c r="B1249" s="4">
        <v>9720</v>
      </c>
      <c r="C1249" t="s">
        <v>3451</v>
      </c>
      <c r="D1249" t="s">
        <v>3452</v>
      </c>
      <c r="E1249" t="s">
        <v>309</v>
      </c>
      <c r="F1249" t="s">
        <v>3453</v>
      </c>
      <c r="G1249" t="s">
        <v>3454</v>
      </c>
      <c r="H1249" t="s">
        <v>321</v>
      </c>
      <c r="I1249" t="s">
        <v>917</v>
      </c>
      <c r="J1249" t="s">
        <v>204</v>
      </c>
      <c r="K1249" t="s">
        <v>204</v>
      </c>
      <c r="L1249" t="s">
        <v>325</v>
      </c>
      <c r="M1249" t="s">
        <v>340</v>
      </c>
      <c r="N1249" t="s">
        <v>448</v>
      </c>
      <c r="O1249" t="s">
        <v>339</v>
      </c>
      <c r="P1249" t="s">
        <v>1212</v>
      </c>
      <c r="Q1249" s="131">
        <v>64312</v>
      </c>
      <c r="R1249" s="131">
        <v>1</v>
      </c>
      <c r="S1249" s="131">
        <v>15410</v>
      </c>
      <c r="U1249" s="131">
        <v>9910.4789999999994</v>
      </c>
      <c r="V1249" s="132">
        <v>6.4000000000000005E-4</v>
      </c>
      <c r="W1249" s="132">
        <f t="shared" si="19"/>
        <v>3.7632800329181849E-2</v>
      </c>
      <c r="X1249" s="132">
        <v>1.0003112877490544E-2</v>
      </c>
    </row>
    <row r="1250" spans="1:24">
      <c r="A1250" t="s">
        <v>1213</v>
      </c>
      <c r="B1250" s="4">
        <v>9720</v>
      </c>
      <c r="C1250" t="s">
        <v>3427</v>
      </c>
      <c r="D1250" t="s">
        <v>3428</v>
      </c>
      <c r="E1250" t="s">
        <v>309</v>
      </c>
      <c r="F1250" t="s">
        <v>3427</v>
      </c>
      <c r="G1250" t="s">
        <v>3429</v>
      </c>
      <c r="H1250" t="s">
        <v>321</v>
      </c>
      <c r="I1250" t="s">
        <v>917</v>
      </c>
      <c r="J1250" t="s">
        <v>204</v>
      </c>
      <c r="K1250" t="s">
        <v>204</v>
      </c>
      <c r="L1250" t="s">
        <v>325</v>
      </c>
      <c r="M1250" t="s">
        <v>340</v>
      </c>
      <c r="N1250" t="s">
        <v>439</v>
      </c>
      <c r="O1250" t="s">
        <v>339</v>
      </c>
      <c r="P1250" t="s">
        <v>1212</v>
      </c>
      <c r="Q1250" s="131">
        <v>244117</v>
      </c>
      <c r="R1250" s="131">
        <v>1</v>
      </c>
      <c r="S1250" s="131">
        <v>3950</v>
      </c>
      <c r="U1250" s="131">
        <v>9642.6219999999994</v>
      </c>
      <c r="V1250" s="132">
        <v>3.0500000000000002E-3</v>
      </c>
      <c r="W1250" s="132">
        <f t="shared" si="19"/>
        <v>3.6615674012908571E-2</v>
      </c>
      <c r="X1250" s="132">
        <v>9.7327522010766214E-3</v>
      </c>
    </row>
    <row r="1251" spans="1:24">
      <c r="A1251" t="s">
        <v>1213</v>
      </c>
      <c r="B1251" s="4">
        <v>9720</v>
      </c>
      <c r="C1251" t="s">
        <v>1807</v>
      </c>
      <c r="D1251" t="s">
        <v>1808</v>
      </c>
      <c r="E1251" t="s">
        <v>309</v>
      </c>
      <c r="F1251" t="s">
        <v>1807</v>
      </c>
      <c r="G1251" t="s">
        <v>3409</v>
      </c>
      <c r="H1251" t="s">
        <v>321</v>
      </c>
      <c r="I1251" t="s">
        <v>917</v>
      </c>
      <c r="J1251" t="s">
        <v>204</v>
      </c>
      <c r="K1251" t="s">
        <v>204</v>
      </c>
      <c r="L1251" t="s">
        <v>325</v>
      </c>
      <c r="M1251" t="s">
        <v>340</v>
      </c>
      <c r="N1251" t="s">
        <v>464</v>
      </c>
      <c r="O1251" t="s">
        <v>339</v>
      </c>
      <c r="P1251" t="s">
        <v>1212</v>
      </c>
      <c r="Q1251" s="131">
        <v>35267</v>
      </c>
      <c r="R1251" s="131">
        <v>1</v>
      </c>
      <c r="S1251" s="131">
        <v>25940</v>
      </c>
      <c r="U1251" s="131">
        <v>9148.26</v>
      </c>
      <c r="V1251" s="132">
        <v>2.9E-4</v>
      </c>
      <c r="W1251" s="132">
        <f t="shared" si="19"/>
        <v>3.4738446238515935E-2</v>
      </c>
      <c r="X1251" s="132">
        <v>9.2337693680226412E-3</v>
      </c>
    </row>
    <row r="1252" spans="1:24">
      <c r="A1252" t="s">
        <v>1213</v>
      </c>
      <c r="B1252" s="4">
        <v>9720</v>
      </c>
      <c r="C1252" t="s">
        <v>1973</v>
      </c>
      <c r="D1252" t="s">
        <v>1974</v>
      </c>
      <c r="E1252" t="s">
        <v>309</v>
      </c>
      <c r="F1252" t="s">
        <v>3512</v>
      </c>
      <c r="G1252" t="s">
        <v>3513</v>
      </c>
      <c r="H1252" t="s">
        <v>321</v>
      </c>
      <c r="I1252" t="s">
        <v>917</v>
      </c>
      <c r="J1252" t="s">
        <v>204</v>
      </c>
      <c r="K1252" t="s">
        <v>204</v>
      </c>
      <c r="L1252" t="s">
        <v>325</v>
      </c>
      <c r="M1252" t="s">
        <v>340</v>
      </c>
      <c r="N1252" t="s">
        <v>464</v>
      </c>
      <c r="O1252" t="s">
        <v>339</v>
      </c>
      <c r="P1252" t="s">
        <v>1212</v>
      </c>
      <c r="Q1252" s="131">
        <v>937571</v>
      </c>
      <c r="R1252" s="131">
        <v>1</v>
      </c>
      <c r="S1252" s="131">
        <v>954</v>
      </c>
      <c r="U1252" s="131">
        <v>8944.4269999999997</v>
      </c>
      <c r="V1252" s="132">
        <v>1.2600000000000001E-3</v>
      </c>
      <c r="W1252" s="132">
        <f t="shared" si="19"/>
        <v>3.3964436567591037E-2</v>
      </c>
      <c r="X1252" s="132">
        <v>9.0280311280084569E-3</v>
      </c>
    </row>
    <row r="1253" spans="1:24">
      <c r="A1253" t="s">
        <v>1213</v>
      </c>
      <c r="B1253" s="4">
        <v>9720</v>
      </c>
      <c r="C1253" t="s">
        <v>1986</v>
      </c>
      <c r="D1253" t="s">
        <v>1987</v>
      </c>
      <c r="E1253" t="s">
        <v>309</v>
      </c>
      <c r="F1253" t="s">
        <v>1986</v>
      </c>
      <c r="G1253" t="s">
        <v>3445</v>
      </c>
      <c r="H1253" t="s">
        <v>321</v>
      </c>
      <c r="I1253" t="s">
        <v>917</v>
      </c>
      <c r="J1253" t="s">
        <v>204</v>
      </c>
      <c r="K1253" t="s">
        <v>204</v>
      </c>
      <c r="L1253" t="s">
        <v>325</v>
      </c>
      <c r="M1253" t="s">
        <v>340</v>
      </c>
      <c r="N1253" t="s">
        <v>484</v>
      </c>
      <c r="O1253" t="s">
        <v>339</v>
      </c>
      <c r="P1253" t="s">
        <v>1212</v>
      </c>
      <c r="Q1253" s="131">
        <v>2017078</v>
      </c>
      <c r="R1253" s="131">
        <v>1</v>
      </c>
      <c r="S1253" s="131">
        <v>428.6</v>
      </c>
      <c r="T1253" s="131">
        <v>296.58800000000002</v>
      </c>
      <c r="U1253" s="131">
        <v>8941.7849999999999</v>
      </c>
      <c r="V1253" s="132">
        <v>7.2999999999999996E-4</v>
      </c>
      <c r="W1253" s="132">
        <f t="shared" si="19"/>
        <v>3.3954404170724074E-2</v>
      </c>
      <c r="X1253" s="132">
        <v>9.0253644330664327E-3</v>
      </c>
    </row>
    <row r="1254" spans="1:24">
      <c r="A1254" t="s">
        <v>1213</v>
      </c>
      <c r="B1254" s="4">
        <v>9720</v>
      </c>
      <c r="C1254" t="s">
        <v>3455</v>
      </c>
      <c r="D1254" t="s">
        <v>3456</v>
      </c>
      <c r="E1254" t="s">
        <v>309</v>
      </c>
      <c r="F1254" t="s">
        <v>3457</v>
      </c>
      <c r="G1254" t="s">
        <v>3458</v>
      </c>
      <c r="H1254" t="s">
        <v>321</v>
      </c>
      <c r="I1254" t="s">
        <v>917</v>
      </c>
      <c r="J1254" t="s">
        <v>204</v>
      </c>
      <c r="K1254" t="s">
        <v>204</v>
      </c>
      <c r="L1254" t="s">
        <v>327</v>
      </c>
      <c r="M1254" t="s">
        <v>340</v>
      </c>
      <c r="N1254" t="s">
        <v>455</v>
      </c>
      <c r="O1254" t="s">
        <v>339</v>
      </c>
      <c r="P1254" t="s">
        <v>1212</v>
      </c>
      <c r="Q1254" s="131">
        <v>28377</v>
      </c>
      <c r="R1254" s="131">
        <v>1</v>
      </c>
      <c r="S1254" s="131">
        <f>U1254*1000/Q1254*100</f>
        <v>5649.1701025478378</v>
      </c>
      <c r="U1254" s="131">
        <f>1603065/1000</f>
        <v>1603.0650000000001</v>
      </c>
      <c r="V1254" s="132">
        <v>1.222E-2</v>
      </c>
      <c r="W1254" s="132">
        <f t="shared" si="19"/>
        <v>6.0872764131481346E-3</v>
      </c>
      <c r="X1254" s="132">
        <v>1.6180489505052563E-3</v>
      </c>
    </row>
    <row r="1255" spans="1:24">
      <c r="A1255" t="s">
        <v>1213</v>
      </c>
      <c r="B1255" s="4">
        <v>9720</v>
      </c>
      <c r="C1255" t="s">
        <v>1634</v>
      </c>
      <c r="D1255" t="s">
        <v>1635</v>
      </c>
      <c r="E1255" t="s">
        <v>309</v>
      </c>
      <c r="F1255" t="s">
        <v>3437</v>
      </c>
      <c r="G1255" t="s">
        <v>3438</v>
      </c>
      <c r="H1255" t="s">
        <v>321</v>
      </c>
      <c r="I1255" t="s">
        <v>917</v>
      </c>
      <c r="J1255" t="s">
        <v>204</v>
      </c>
      <c r="K1255" t="s">
        <v>204</v>
      </c>
      <c r="L1255" t="s">
        <v>325</v>
      </c>
      <c r="M1255" t="s">
        <v>340</v>
      </c>
      <c r="N1255" t="s">
        <v>454</v>
      </c>
      <c r="O1255" t="s">
        <v>339</v>
      </c>
      <c r="P1255" t="s">
        <v>1212</v>
      </c>
      <c r="Q1255" s="131">
        <v>161998</v>
      </c>
      <c r="R1255" s="131">
        <v>1</v>
      </c>
      <c r="S1255" s="131">
        <v>5205</v>
      </c>
      <c r="U1255" s="131">
        <v>8431.9959999999992</v>
      </c>
      <c r="V1255" s="132">
        <v>1.6100000000000001E-3</v>
      </c>
      <c r="W1255" s="132">
        <f t="shared" si="19"/>
        <v>3.2018595856412188E-2</v>
      </c>
      <c r="X1255" s="132">
        <v>8.5108104028623396E-3</v>
      </c>
    </row>
    <row r="1256" spans="1:24">
      <c r="A1256" t="s">
        <v>1213</v>
      </c>
      <c r="B1256" s="4">
        <v>9720</v>
      </c>
      <c r="C1256" t="s">
        <v>2566</v>
      </c>
      <c r="D1256" t="s">
        <v>2567</v>
      </c>
      <c r="E1256" t="s">
        <v>309</v>
      </c>
      <c r="F1256" t="s">
        <v>2566</v>
      </c>
      <c r="G1256" t="s">
        <v>3511</v>
      </c>
      <c r="H1256" t="s">
        <v>321</v>
      </c>
      <c r="I1256" t="s">
        <v>917</v>
      </c>
      <c r="J1256" t="s">
        <v>204</v>
      </c>
      <c r="K1256" t="s">
        <v>204</v>
      </c>
      <c r="L1256" t="s">
        <v>325</v>
      </c>
      <c r="M1256" t="s">
        <v>340</v>
      </c>
      <c r="N1256" t="s">
        <v>476</v>
      </c>
      <c r="O1256" t="s">
        <v>339</v>
      </c>
      <c r="P1256" t="s">
        <v>1212</v>
      </c>
      <c r="Q1256" s="131">
        <v>112224</v>
      </c>
      <c r="R1256" s="131">
        <v>1</v>
      </c>
      <c r="S1256" s="131">
        <v>7125</v>
      </c>
      <c r="T1256" s="131">
        <v>92.024000000000001</v>
      </c>
      <c r="U1256" s="131">
        <v>8087.9840000000004</v>
      </c>
      <c r="V1256" s="132">
        <v>1.75E-3</v>
      </c>
      <c r="W1256" s="132">
        <f t="shared" si="19"/>
        <v>3.0712288168676567E-2</v>
      </c>
      <c r="X1256" s="132">
        <v>8.1635829008201814E-3</v>
      </c>
    </row>
    <row r="1257" spans="1:24">
      <c r="A1257" t="s">
        <v>1213</v>
      </c>
      <c r="B1257" s="4">
        <v>9720</v>
      </c>
      <c r="C1257" t="s">
        <v>3831</v>
      </c>
      <c r="D1257" t="s">
        <v>3832</v>
      </c>
      <c r="E1257" t="s">
        <v>309</v>
      </c>
      <c r="F1257" t="s">
        <v>3831</v>
      </c>
      <c r="G1257" t="s">
        <v>3833</v>
      </c>
      <c r="H1257" t="s">
        <v>321</v>
      </c>
      <c r="I1257" t="s">
        <v>917</v>
      </c>
      <c r="J1257" t="s">
        <v>204</v>
      </c>
      <c r="K1257" t="s">
        <v>204</v>
      </c>
      <c r="L1257" t="s">
        <v>325</v>
      </c>
      <c r="M1257" t="s">
        <v>340</v>
      </c>
      <c r="N1257" t="s">
        <v>478</v>
      </c>
      <c r="O1257" t="s">
        <v>339</v>
      </c>
      <c r="P1257" t="s">
        <v>1212</v>
      </c>
      <c r="Q1257" s="131">
        <v>229000</v>
      </c>
      <c r="R1257" s="131">
        <v>1</v>
      </c>
      <c r="S1257" s="131">
        <v>3520</v>
      </c>
      <c r="U1257" s="131">
        <v>8060.8</v>
      </c>
      <c r="V1257" s="132">
        <v>2.2300000000000002E-3</v>
      </c>
      <c r="W1257" s="132">
        <f t="shared" si="19"/>
        <v>3.0609063082971982E-2</v>
      </c>
      <c r="X1257" s="132">
        <v>8.1361448102433582E-3</v>
      </c>
    </row>
    <row r="1258" spans="1:24">
      <c r="A1258" t="s">
        <v>1213</v>
      </c>
      <c r="B1258" s="4">
        <v>9720</v>
      </c>
      <c r="C1258" t="s">
        <v>3516</v>
      </c>
      <c r="D1258" t="s">
        <v>3517</v>
      </c>
      <c r="E1258" t="s">
        <v>309</v>
      </c>
      <c r="F1258" t="s">
        <v>3516</v>
      </c>
      <c r="G1258" t="s">
        <v>3518</v>
      </c>
      <c r="H1258" t="s">
        <v>321</v>
      </c>
      <c r="I1258" t="s">
        <v>917</v>
      </c>
      <c r="J1258" t="s">
        <v>204</v>
      </c>
      <c r="K1258" t="s">
        <v>204</v>
      </c>
      <c r="L1258" t="s">
        <v>325</v>
      </c>
      <c r="M1258" t="s">
        <v>340</v>
      </c>
      <c r="N1258" t="s">
        <v>475</v>
      </c>
      <c r="O1258" t="s">
        <v>339</v>
      </c>
      <c r="P1258" t="s">
        <v>1212</v>
      </c>
      <c r="Q1258" s="131">
        <v>751692</v>
      </c>
      <c r="R1258" s="131">
        <v>1</v>
      </c>
      <c r="S1258" s="131">
        <v>1049</v>
      </c>
      <c r="U1258" s="131">
        <v>7885.2489999999998</v>
      </c>
      <c r="V1258" s="132">
        <v>5.2500000000000003E-3</v>
      </c>
      <c r="W1258" s="132">
        <f t="shared" si="19"/>
        <v>2.9942447904171016E-2</v>
      </c>
      <c r="X1258" s="132">
        <v>7.958952923881827E-3</v>
      </c>
    </row>
    <row r="1259" spans="1:24">
      <c r="A1259" t="s">
        <v>1213</v>
      </c>
      <c r="B1259" s="4">
        <v>9720</v>
      </c>
      <c r="C1259" t="s">
        <v>2436</v>
      </c>
      <c r="D1259" t="s">
        <v>2437</v>
      </c>
      <c r="E1259" t="s">
        <v>309</v>
      </c>
      <c r="F1259" t="s">
        <v>2436</v>
      </c>
      <c r="G1259" t="s">
        <v>3426</v>
      </c>
      <c r="H1259" t="s">
        <v>321</v>
      </c>
      <c r="I1259" t="s">
        <v>917</v>
      </c>
      <c r="J1259" t="s">
        <v>204</v>
      </c>
      <c r="K1259" t="s">
        <v>204</v>
      </c>
      <c r="L1259" t="s">
        <v>325</v>
      </c>
      <c r="M1259" t="s">
        <v>340</v>
      </c>
      <c r="N1259" t="s">
        <v>475</v>
      </c>
      <c r="O1259" t="s">
        <v>339</v>
      </c>
      <c r="P1259" t="s">
        <v>1212</v>
      </c>
      <c r="Q1259" s="131">
        <v>232911</v>
      </c>
      <c r="R1259" s="131">
        <v>1</v>
      </c>
      <c r="S1259" s="131">
        <v>3310</v>
      </c>
      <c r="U1259" s="131">
        <v>7709.3540000000003</v>
      </c>
      <c r="V1259" s="132">
        <v>8.4999999999999995E-4</v>
      </c>
      <c r="W1259" s="132">
        <f t="shared" si="19"/>
        <v>2.9274526463249601E-2</v>
      </c>
      <c r="X1259" s="132">
        <v>7.7814138221304185E-3</v>
      </c>
    </row>
    <row r="1260" spans="1:24">
      <c r="A1260" t="s">
        <v>1213</v>
      </c>
      <c r="B1260" s="4">
        <v>9720</v>
      </c>
      <c r="C1260" t="s">
        <v>3410</v>
      </c>
      <c r="D1260" t="s">
        <v>3411</v>
      </c>
      <c r="E1260" t="s">
        <v>309</v>
      </c>
      <c r="F1260" t="s">
        <v>3410</v>
      </c>
      <c r="G1260" t="s">
        <v>3412</v>
      </c>
      <c r="H1260" t="s">
        <v>321</v>
      </c>
      <c r="I1260" t="s">
        <v>917</v>
      </c>
      <c r="J1260" t="s">
        <v>204</v>
      </c>
      <c r="K1260" t="s">
        <v>204</v>
      </c>
      <c r="L1260" t="s">
        <v>325</v>
      </c>
      <c r="M1260" t="s">
        <v>340</v>
      </c>
      <c r="N1260" t="s">
        <v>480</v>
      </c>
      <c r="O1260" t="s">
        <v>339</v>
      </c>
      <c r="P1260" t="s">
        <v>1212</v>
      </c>
      <c r="Q1260" s="131">
        <v>11870</v>
      </c>
      <c r="R1260" s="131">
        <v>1</v>
      </c>
      <c r="S1260" s="131">
        <v>64880</v>
      </c>
      <c r="U1260" s="131">
        <v>7701.2560000000003</v>
      </c>
      <c r="V1260" s="132">
        <v>1.6000000000000001E-4</v>
      </c>
      <c r="W1260" s="132">
        <f t="shared" si="19"/>
        <v>2.9243776141588487E-2</v>
      </c>
      <c r="X1260" s="132">
        <v>7.773240129609409E-3</v>
      </c>
    </row>
    <row r="1261" spans="1:24">
      <c r="A1261" t="s">
        <v>1213</v>
      </c>
      <c r="B1261" s="4">
        <v>9720</v>
      </c>
      <c r="C1261" t="s">
        <v>3415</v>
      </c>
      <c r="D1261" t="s">
        <v>3416</v>
      </c>
      <c r="E1261" t="s">
        <v>309</v>
      </c>
      <c r="F1261" t="s">
        <v>3415</v>
      </c>
      <c r="G1261" t="s">
        <v>3417</v>
      </c>
      <c r="H1261" t="s">
        <v>321</v>
      </c>
      <c r="I1261" t="s">
        <v>917</v>
      </c>
      <c r="J1261" t="s">
        <v>204</v>
      </c>
      <c r="K1261" t="s">
        <v>204</v>
      </c>
      <c r="L1261" t="s">
        <v>325</v>
      </c>
      <c r="M1261" t="s">
        <v>340</v>
      </c>
      <c r="N1261" t="s">
        <v>458</v>
      </c>
      <c r="O1261" t="s">
        <v>339</v>
      </c>
      <c r="P1261" t="s">
        <v>1212</v>
      </c>
      <c r="Q1261" s="131">
        <v>4823</v>
      </c>
      <c r="R1261" s="131">
        <v>1</v>
      </c>
      <c r="S1261" s="131">
        <v>77890</v>
      </c>
      <c r="U1261" s="131">
        <f>3756634.7/1000</f>
        <v>3756.6347000000001</v>
      </c>
      <c r="V1261" s="132">
        <v>1.7000000000000001E-4</v>
      </c>
      <c r="W1261" s="132">
        <f t="shared" si="19"/>
        <v>1.4264969793566585E-2</v>
      </c>
      <c r="X1261" s="132">
        <v>3.7917482034519048E-3</v>
      </c>
    </row>
    <row r="1262" spans="1:24">
      <c r="A1262" t="s">
        <v>1213</v>
      </c>
      <c r="B1262" s="4">
        <v>9720</v>
      </c>
      <c r="C1262" t="s">
        <v>3415</v>
      </c>
      <c r="D1262" t="s">
        <v>3416</v>
      </c>
      <c r="E1262" t="s">
        <v>309</v>
      </c>
      <c r="F1262" t="s">
        <v>4082</v>
      </c>
      <c r="G1262" t="s">
        <v>3417</v>
      </c>
      <c r="H1262" t="s">
        <v>321</v>
      </c>
      <c r="I1262" t="s">
        <v>917</v>
      </c>
      <c r="J1262" t="s">
        <v>205</v>
      </c>
      <c r="K1262" t="s">
        <v>204</v>
      </c>
      <c r="L1262" t="s">
        <v>325</v>
      </c>
      <c r="M1262" t="s">
        <v>346</v>
      </c>
      <c r="N1262" t="s">
        <v>548</v>
      </c>
      <c r="O1262" t="s">
        <v>339</v>
      </c>
      <c r="P1262" t="s">
        <v>1216</v>
      </c>
      <c r="Q1262" s="131">
        <v>3634</v>
      </c>
      <c r="R1262" s="131">
        <v>3.71</v>
      </c>
      <c r="S1262" s="131">
        <f>U1262*1000/Q1262/R1262*100</f>
        <v>20834.000017801329</v>
      </c>
      <c r="U1262" s="131">
        <f>2808869.05/1000</f>
        <v>2808.8690499999998</v>
      </c>
      <c r="V1262" s="132">
        <v>2.9E-4</v>
      </c>
      <c r="W1262" s="132">
        <f t="shared" si="19"/>
        <v>1.0666044306180227E-2</v>
      </c>
      <c r="X1262" s="132">
        <v>2.8351237276462251E-3</v>
      </c>
    </row>
    <row r="1263" spans="1:24">
      <c r="A1263" t="s">
        <v>1213</v>
      </c>
      <c r="B1263" s="4">
        <v>9720</v>
      </c>
      <c r="C1263" t="s">
        <v>3837</v>
      </c>
      <c r="D1263" t="s">
        <v>3838</v>
      </c>
      <c r="E1263" t="s">
        <v>309</v>
      </c>
      <c r="F1263" t="s">
        <v>3837</v>
      </c>
      <c r="G1263" t="s">
        <v>3839</v>
      </c>
      <c r="H1263" t="s">
        <v>321</v>
      </c>
      <c r="I1263" t="s">
        <v>917</v>
      </c>
      <c r="J1263" t="s">
        <v>204</v>
      </c>
      <c r="K1263" t="s">
        <v>204</v>
      </c>
      <c r="L1263" t="s">
        <v>325</v>
      </c>
      <c r="M1263" t="s">
        <v>340</v>
      </c>
      <c r="N1263" t="s">
        <v>445</v>
      </c>
      <c r="O1263" t="s">
        <v>339</v>
      </c>
      <c r="P1263" t="s">
        <v>1212</v>
      </c>
      <c r="Q1263" s="131">
        <v>45570</v>
      </c>
      <c r="R1263" s="131">
        <v>1</v>
      </c>
      <c r="S1263" s="131">
        <v>12010</v>
      </c>
      <c r="U1263" s="131">
        <v>5472.9570000000003</v>
      </c>
      <c r="V1263" s="132">
        <v>3.0999999999999999E-3</v>
      </c>
      <c r="W1263" s="132">
        <f t="shared" si="19"/>
        <v>2.078231516268771E-2</v>
      </c>
      <c r="X1263" s="132">
        <v>5.5241130771430955E-3</v>
      </c>
    </row>
    <row r="1264" spans="1:24">
      <c r="A1264" t="s">
        <v>1213</v>
      </c>
      <c r="B1264" s="4">
        <v>9720</v>
      </c>
      <c r="C1264" t="s">
        <v>1600</v>
      </c>
      <c r="D1264" t="s">
        <v>1601</v>
      </c>
      <c r="E1264" t="s">
        <v>309</v>
      </c>
      <c r="F1264" t="s">
        <v>1600</v>
      </c>
      <c r="G1264" t="s">
        <v>3406</v>
      </c>
      <c r="H1264" t="s">
        <v>321</v>
      </c>
      <c r="I1264" t="s">
        <v>917</v>
      </c>
      <c r="J1264" t="s">
        <v>204</v>
      </c>
      <c r="K1264" t="s">
        <v>204</v>
      </c>
      <c r="L1264" t="s">
        <v>325</v>
      </c>
      <c r="M1264" t="s">
        <v>340</v>
      </c>
      <c r="N1264" t="s">
        <v>448</v>
      </c>
      <c r="O1264" t="s">
        <v>339</v>
      </c>
      <c r="P1264" t="s">
        <v>1212</v>
      </c>
      <c r="Q1264" s="131">
        <v>136000</v>
      </c>
      <c r="R1264" s="131">
        <v>1</v>
      </c>
      <c r="S1264" s="131">
        <v>3729</v>
      </c>
      <c r="U1264" s="131">
        <v>5071.4399999999996</v>
      </c>
      <c r="V1264" s="132">
        <v>1E-4</v>
      </c>
      <c r="W1264" s="132">
        <f t="shared" si="19"/>
        <v>1.9257645256240994E-2</v>
      </c>
      <c r="X1264" s="132">
        <v>5.1188430722087846E-3</v>
      </c>
    </row>
    <row r="1265" spans="1:24">
      <c r="A1265" t="s">
        <v>1213</v>
      </c>
      <c r="B1265" s="4">
        <v>9720</v>
      </c>
      <c r="C1265" t="s">
        <v>3447</v>
      </c>
      <c r="D1265" t="s">
        <v>3448</v>
      </c>
      <c r="E1265" t="s">
        <v>309</v>
      </c>
      <c r="F1265" t="s">
        <v>3449</v>
      </c>
      <c r="G1265" t="s">
        <v>3450</v>
      </c>
      <c r="H1265" t="s">
        <v>321</v>
      </c>
      <c r="I1265" t="s">
        <v>917</v>
      </c>
      <c r="J1265" t="s">
        <v>204</v>
      </c>
      <c r="K1265" t="s">
        <v>204</v>
      </c>
      <c r="L1265" t="s">
        <v>325</v>
      </c>
      <c r="M1265" t="s">
        <v>340</v>
      </c>
      <c r="N1265" t="s">
        <v>445</v>
      </c>
      <c r="O1265" t="s">
        <v>339</v>
      </c>
      <c r="P1265" t="s">
        <v>1212</v>
      </c>
      <c r="Q1265" s="131">
        <v>31155</v>
      </c>
      <c r="R1265" s="131">
        <v>1</v>
      </c>
      <c r="S1265" s="131">
        <v>10880</v>
      </c>
      <c r="U1265" s="131">
        <v>3389.6640000000002</v>
      </c>
      <c r="V1265" s="132">
        <v>4.8999999999999998E-4</v>
      </c>
      <c r="W1265" s="132">
        <f t="shared" si="19"/>
        <v>1.2871481640293661E-2</v>
      </c>
      <c r="X1265" s="132">
        <v>3.4213474049807394E-3</v>
      </c>
    </row>
    <row r="1266" spans="1:24">
      <c r="A1266" t="s">
        <v>1213</v>
      </c>
      <c r="B1266" s="4">
        <v>9720</v>
      </c>
      <c r="C1266" t="s">
        <v>3430</v>
      </c>
      <c r="D1266" t="s">
        <v>3431</v>
      </c>
      <c r="E1266" t="s">
        <v>309</v>
      </c>
      <c r="F1266" t="s">
        <v>3430</v>
      </c>
      <c r="G1266" t="s">
        <v>3432</v>
      </c>
      <c r="H1266" t="s">
        <v>321</v>
      </c>
      <c r="I1266" t="s">
        <v>917</v>
      </c>
      <c r="J1266" t="s">
        <v>204</v>
      </c>
      <c r="K1266" t="s">
        <v>204</v>
      </c>
      <c r="L1266" t="s">
        <v>325</v>
      </c>
      <c r="M1266" t="s">
        <v>340</v>
      </c>
      <c r="N1266" t="s">
        <v>463</v>
      </c>
      <c r="O1266" t="s">
        <v>339</v>
      </c>
      <c r="P1266" t="s">
        <v>1212</v>
      </c>
      <c r="Q1266" s="131">
        <v>10765</v>
      </c>
      <c r="R1266" s="131">
        <v>1</v>
      </c>
      <c r="S1266" s="131">
        <v>24950</v>
      </c>
      <c r="U1266" s="131">
        <v>2685.8679999999999</v>
      </c>
      <c r="V1266" s="132">
        <v>1.1900000000000001E-3</v>
      </c>
      <c r="W1266" s="132">
        <f t="shared" si="19"/>
        <v>1.0198975665509103E-2</v>
      </c>
      <c r="X1266" s="132">
        <v>2.7109729790093674E-3</v>
      </c>
    </row>
    <row r="1267" spans="1:24">
      <c r="A1267" t="s">
        <v>1213</v>
      </c>
      <c r="B1267" s="4">
        <v>9720</v>
      </c>
      <c r="C1267" t="s">
        <v>3506</v>
      </c>
      <c r="D1267" t="s">
        <v>3507</v>
      </c>
      <c r="E1267" t="s">
        <v>309</v>
      </c>
      <c r="F1267" t="s">
        <v>3506</v>
      </c>
      <c r="G1267" t="s">
        <v>3508</v>
      </c>
      <c r="H1267" t="s">
        <v>321</v>
      </c>
      <c r="I1267" t="s">
        <v>917</v>
      </c>
      <c r="J1267" t="s">
        <v>204</v>
      </c>
      <c r="K1267" t="s">
        <v>204</v>
      </c>
      <c r="L1267" t="s">
        <v>325</v>
      </c>
      <c r="M1267" t="s">
        <v>340</v>
      </c>
      <c r="N1267" t="s">
        <v>478</v>
      </c>
      <c r="O1267" t="s">
        <v>339</v>
      </c>
      <c r="P1267" t="s">
        <v>1212</v>
      </c>
      <c r="Q1267" s="131">
        <v>37266</v>
      </c>
      <c r="R1267" s="131">
        <v>1</v>
      </c>
      <c r="S1267" s="131">
        <v>5660</v>
      </c>
      <c r="U1267" s="131">
        <v>2109.2559999999999</v>
      </c>
      <c r="V1267" s="132">
        <v>2.5100000000000001E-3</v>
      </c>
      <c r="W1267" s="132">
        <f t="shared" si="19"/>
        <v>8.0094221370257471E-3</v>
      </c>
      <c r="X1267" s="132">
        <v>2.1289713499745267E-3</v>
      </c>
    </row>
    <row r="1268" spans="1:24">
      <c r="A1268" t="s">
        <v>1213</v>
      </c>
      <c r="B1268" s="4">
        <v>9720</v>
      </c>
      <c r="C1268" t="s">
        <v>3490</v>
      </c>
      <c r="D1268" t="s">
        <v>3491</v>
      </c>
      <c r="E1268" t="s">
        <v>309</v>
      </c>
      <c r="F1268" t="s">
        <v>3490</v>
      </c>
      <c r="G1268" t="s">
        <v>3492</v>
      </c>
      <c r="H1268" t="s">
        <v>321</v>
      </c>
      <c r="I1268" t="s">
        <v>917</v>
      </c>
      <c r="J1268" t="s">
        <v>204</v>
      </c>
      <c r="K1268" t="s">
        <v>204</v>
      </c>
      <c r="L1268" t="s">
        <v>325</v>
      </c>
      <c r="M1268" t="s">
        <v>340</v>
      </c>
      <c r="N1268" t="s">
        <v>476</v>
      </c>
      <c r="O1268" t="s">
        <v>339</v>
      </c>
      <c r="P1268" t="s">
        <v>1212</v>
      </c>
      <c r="Q1268" s="131">
        <v>9615</v>
      </c>
      <c r="R1268" s="131">
        <v>1</v>
      </c>
      <c r="S1268" s="131">
        <v>19560</v>
      </c>
      <c r="U1268" s="131">
        <v>1880.694</v>
      </c>
      <c r="V1268" s="132">
        <v>4.2000000000000002E-4</v>
      </c>
      <c r="W1268" s="132">
        <f t="shared" si="19"/>
        <v>7.1415096870989115E-3</v>
      </c>
      <c r="X1268" s="132">
        <v>1.8982729664246505E-3</v>
      </c>
    </row>
    <row r="1269" spans="1:24">
      <c r="A1269" t="s">
        <v>1213</v>
      </c>
      <c r="B1269" s="4">
        <v>9720</v>
      </c>
      <c r="C1269" t="s">
        <v>2238</v>
      </c>
      <c r="D1269" t="s">
        <v>2239</v>
      </c>
      <c r="E1269" t="s">
        <v>309</v>
      </c>
      <c r="F1269" t="s">
        <v>2238</v>
      </c>
      <c r="G1269" t="s">
        <v>3785</v>
      </c>
      <c r="H1269" t="s">
        <v>321</v>
      </c>
      <c r="I1269" t="s">
        <v>917</v>
      </c>
      <c r="J1269" t="s">
        <v>204</v>
      </c>
      <c r="K1269" t="s">
        <v>204</v>
      </c>
      <c r="L1269" t="s">
        <v>325</v>
      </c>
      <c r="M1269" t="s">
        <v>340</v>
      </c>
      <c r="N1269" t="s">
        <v>447</v>
      </c>
      <c r="O1269" t="s">
        <v>339</v>
      </c>
      <c r="P1269" t="s">
        <v>1212</v>
      </c>
      <c r="Q1269" s="131">
        <v>4577</v>
      </c>
      <c r="R1269" s="131">
        <v>1</v>
      </c>
      <c r="S1269" s="131">
        <v>33200</v>
      </c>
      <c r="U1269" s="131">
        <v>1519.5640000000001</v>
      </c>
      <c r="V1269" s="132">
        <v>2.3000000000000001E-4</v>
      </c>
      <c r="W1269" s="132">
        <f t="shared" si="19"/>
        <v>5.7702002697763545E-3</v>
      </c>
      <c r="X1269" s="132">
        <v>1.5337674613478364E-3</v>
      </c>
    </row>
    <row r="1270" spans="1:24">
      <c r="A1270" t="s">
        <v>1213</v>
      </c>
      <c r="B1270" s="4">
        <v>9720</v>
      </c>
      <c r="C1270" t="s">
        <v>2391</v>
      </c>
      <c r="D1270" t="s">
        <v>2392</v>
      </c>
      <c r="E1270" t="s">
        <v>309</v>
      </c>
      <c r="F1270" t="s">
        <v>4083</v>
      </c>
      <c r="G1270" t="s">
        <v>4084</v>
      </c>
      <c r="H1270" t="s">
        <v>321</v>
      </c>
      <c r="I1270" t="s">
        <v>917</v>
      </c>
      <c r="J1270" t="s">
        <v>204</v>
      </c>
      <c r="K1270" t="s">
        <v>204</v>
      </c>
      <c r="L1270" t="s">
        <v>325</v>
      </c>
      <c r="M1270" t="s">
        <v>340</v>
      </c>
      <c r="N1270" t="s">
        <v>464</v>
      </c>
      <c r="O1270" t="s">
        <v>339</v>
      </c>
      <c r="P1270" t="s">
        <v>1212</v>
      </c>
      <c r="Q1270" s="131">
        <v>3573</v>
      </c>
      <c r="R1270" s="131">
        <v>1</v>
      </c>
      <c r="S1270" s="131">
        <v>29130</v>
      </c>
      <c r="U1270" s="131">
        <v>1040.8150000000001</v>
      </c>
      <c r="V1270" s="132">
        <v>2.7E-4</v>
      </c>
      <c r="W1270" s="132">
        <f t="shared" si="19"/>
        <v>3.9522593281936637E-3</v>
      </c>
      <c r="X1270" s="132">
        <v>1.050543563997797E-3</v>
      </c>
    </row>
    <row r="1271" spans="1:24">
      <c r="A1271" t="s">
        <v>1213</v>
      </c>
      <c r="B1271" s="4">
        <v>9720</v>
      </c>
      <c r="C1271" t="s">
        <v>3927</v>
      </c>
      <c r="D1271" t="s">
        <v>3928</v>
      </c>
      <c r="E1271" t="s">
        <v>309</v>
      </c>
      <c r="F1271" t="s">
        <v>3927</v>
      </c>
      <c r="G1271" t="s">
        <v>3929</v>
      </c>
      <c r="H1271" t="s">
        <v>321</v>
      </c>
      <c r="I1271" t="s">
        <v>917</v>
      </c>
      <c r="J1271" t="s">
        <v>204</v>
      </c>
      <c r="K1271" t="s">
        <v>204</v>
      </c>
      <c r="L1271" t="s">
        <v>325</v>
      </c>
      <c r="M1271" t="s">
        <v>340</v>
      </c>
      <c r="N1271" t="s">
        <v>471</v>
      </c>
      <c r="O1271" t="s">
        <v>339</v>
      </c>
      <c r="P1271" t="s">
        <v>1212</v>
      </c>
      <c r="Q1271" s="131">
        <v>277841</v>
      </c>
      <c r="R1271" s="131">
        <v>1</v>
      </c>
      <c r="S1271" s="131">
        <v>280.8</v>
      </c>
      <c r="U1271" s="131">
        <v>780.178</v>
      </c>
      <c r="V1271" s="132">
        <v>3.1800000000000001E-3</v>
      </c>
      <c r="W1271" s="132">
        <f t="shared" si="19"/>
        <v>2.9625493273554627E-3</v>
      </c>
      <c r="X1271" s="132">
        <v>7.8747037338304418E-4</v>
      </c>
    </row>
    <row r="1272" spans="1:24">
      <c r="A1272" t="s">
        <v>1213</v>
      </c>
      <c r="B1272" s="4">
        <v>9720</v>
      </c>
      <c r="C1272" t="s">
        <v>3970</v>
      </c>
      <c r="D1272" t="s">
        <v>3971</v>
      </c>
      <c r="E1272" t="s">
        <v>309</v>
      </c>
      <c r="F1272" t="s">
        <v>3970</v>
      </c>
      <c r="G1272" t="s">
        <v>3972</v>
      </c>
      <c r="H1272" t="s">
        <v>321</v>
      </c>
      <c r="I1272" t="s">
        <v>917</v>
      </c>
      <c r="J1272" t="s">
        <v>204</v>
      </c>
      <c r="K1272" t="s">
        <v>204</v>
      </c>
      <c r="L1272" t="s">
        <v>325</v>
      </c>
      <c r="M1272" t="s">
        <v>340</v>
      </c>
      <c r="N1272" t="s">
        <v>471</v>
      </c>
      <c r="O1272" t="s">
        <v>339</v>
      </c>
      <c r="P1272" t="s">
        <v>1212</v>
      </c>
      <c r="Q1272" s="131">
        <v>765289</v>
      </c>
      <c r="R1272" s="131">
        <v>1</v>
      </c>
      <c r="S1272" s="131">
        <v>53.2</v>
      </c>
      <c r="U1272" s="131">
        <v>407.13400000000001</v>
      </c>
      <c r="V1272" s="132">
        <v>6.9499999999999996E-3</v>
      </c>
      <c r="W1272" s="132">
        <f t="shared" si="19"/>
        <v>1.5459991922914245E-3</v>
      </c>
      <c r="X1272" s="132">
        <v>4.1093950739053435E-4</v>
      </c>
    </row>
    <row r="1273" spans="1:24">
      <c r="A1273" t="s">
        <v>1213</v>
      </c>
      <c r="B1273" s="4">
        <v>9720</v>
      </c>
      <c r="C1273" t="s">
        <v>3845</v>
      </c>
      <c r="D1273" t="s">
        <v>3846</v>
      </c>
      <c r="E1273" t="s">
        <v>309</v>
      </c>
      <c r="F1273" t="s">
        <v>3845</v>
      </c>
      <c r="G1273" t="s">
        <v>3847</v>
      </c>
      <c r="H1273" t="s">
        <v>321</v>
      </c>
      <c r="I1273" t="s">
        <v>917</v>
      </c>
      <c r="J1273" t="s">
        <v>204</v>
      </c>
      <c r="K1273" t="s">
        <v>204</v>
      </c>
      <c r="L1273" t="s">
        <v>325</v>
      </c>
      <c r="M1273" t="s">
        <v>340</v>
      </c>
      <c r="N1273" t="s">
        <v>473</v>
      </c>
      <c r="O1273" t="s">
        <v>339</v>
      </c>
      <c r="P1273" t="s">
        <v>1212</v>
      </c>
      <c r="Q1273" s="131">
        <v>0</v>
      </c>
      <c r="R1273" s="131">
        <v>1</v>
      </c>
      <c r="S1273" s="131"/>
      <c r="T1273" s="131">
        <v>27.986000000000001</v>
      </c>
      <c r="U1273" s="131">
        <v>27.986000000000001</v>
      </c>
      <c r="V1273" t="s">
        <v>1871</v>
      </c>
      <c r="W1273" s="132">
        <f t="shared" si="19"/>
        <v>1.0627049913656881E-4</v>
      </c>
      <c r="X1273" s="132">
        <v>2.8247586921827937E-5</v>
      </c>
    </row>
    <row r="1274" spans="1:24">
      <c r="A1274" t="s">
        <v>1213</v>
      </c>
      <c r="B1274" s="4">
        <v>9720</v>
      </c>
      <c r="C1274" t="s">
        <v>3455</v>
      </c>
      <c r="D1274" t="s">
        <v>3456</v>
      </c>
      <c r="E1274" t="s">
        <v>309</v>
      </c>
      <c r="F1274" t="s">
        <v>3457</v>
      </c>
      <c r="G1274" t="s">
        <v>3458</v>
      </c>
      <c r="H1274" t="s">
        <v>321</v>
      </c>
      <c r="I1274" t="s">
        <v>917</v>
      </c>
      <c r="J1274" t="s">
        <v>204</v>
      </c>
      <c r="K1274" t="s">
        <v>204</v>
      </c>
      <c r="L1274" t="s">
        <v>327</v>
      </c>
      <c r="M1274" t="s">
        <v>340</v>
      </c>
      <c r="N1274" t="s">
        <v>455</v>
      </c>
      <c r="O1274" t="s">
        <v>339</v>
      </c>
      <c r="P1274" t="s">
        <v>1212</v>
      </c>
      <c r="Q1274" s="131">
        <v>99024</v>
      </c>
      <c r="R1274" s="131">
        <v>1</v>
      </c>
      <c r="S1274" s="131">
        <f>U1274*1000/Q1274*100</f>
        <v>6800</v>
      </c>
      <c r="U1274" s="131">
        <f>6733632/1000</f>
        <v>6733.6319999999996</v>
      </c>
      <c r="W1274" s="132">
        <f t="shared" si="19"/>
        <v>2.556944306588909E-2</v>
      </c>
      <c r="X1274" s="132">
        <v>6.796571686543346E-3</v>
      </c>
    </row>
    <row r="1275" spans="1:24">
      <c r="A1275" t="s">
        <v>1213</v>
      </c>
      <c r="B1275" s="4">
        <v>9720</v>
      </c>
      <c r="C1275" t="s">
        <v>3119</v>
      </c>
      <c r="D1275" t="s">
        <v>3120</v>
      </c>
      <c r="E1275" t="s">
        <v>80</v>
      </c>
      <c r="F1275" t="s">
        <v>3718</v>
      </c>
      <c r="G1275" t="s">
        <v>3719</v>
      </c>
      <c r="H1275" t="s">
        <v>321</v>
      </c>
      <c r="I1275" t="s">
        <v>917</v>
      </c>
      <c r="J1275" t="s">
        <v>205</v>
      </c>
      <c r="K1275" t="s">
        <v>224</v>
      </c>
      <c r="L1275" t="s">
        <v>325</v>
      </c>
      <c r="M1275" t="s">
        <v>344</v>
      </c>
      <c r="N1275" t="s">
        <v>544</v>
      </c>
      <c r="O1275" t="s">
        <v>339</v>
      </c>
      <c r="P1275" t="s">
        <v>1216</v>
      </c>
      <c r="Q1275" s="131">
        <v>6870</v>
      </c>
      <c r="R1275" s="131">
        <v>3.71</v>
      </c>
      <c r="S1275" s="131">
        <v>18633</v>
      </c>
      <c r="U1275" s="131">
        <v>4749.1229999999996</v>
      </c>
      <c r="V1275" s="132">
        <v>0</v>
      </c>
      <c r="W1275" s="132">
        <f t="shared" si="19"/>
        <v>1.8033719419386803E-2</v>
      </c>
      <c r="X1275" s="132">
        <v>4.7935133547113646E-3</v>
      </c>
    </row>
    <row r="1276" spans="1:24">
      <c r="A1276" t="s">
        <v>1213</v>
      </c>
      <c r="B1276" s="4">
        <v>9720</v>
      </c>
      <c r="C1276" t="s">
        <v>4085</v>
      </c>
      <c r="D1276" s="4">
        <v>5444</v>
      </c>
      <c r="E1276" s="4" t="s">
        <v>80</v>
      </c>
      <c r="F1276" t="s">
        <v>4085</v>
      </c>
      <c r="G1276" t="s">
        <v>4086</v>
      </c>
      <c r="H1276" t="s">
        <v>321</v>
      </c>
      <c r="I1276" t="s">
        <v>917</v>
      </c>
      <c r="J1276" t="s">
        <v>205</v>
      </c>
      <c r="K1276" t="s">
        <v>224</v>
      </c>
      <c r="L1276" t="s">
        <v>325</v>
      </c>
      <c r="M1276" t="s">
        <v>344</v>
      </c>
      <c r="N1276" t="s">
        <v>528</v>
      </c>
      <c r="O1276" t="s">
        <v>339</v>
      </c>
      <c r="P1276" t="s">
        <v>1216</v>
      </c>
      <c r="Q1276" s="131">
        <v>11300</v>
      </c>
      <c r="R1276" s="131">
        <v>3.71</v>
      </c>
      <c r="S1276" s="131">
        <v>9969</v>
      </c>
      <c r="U1276" s="131">
        <v>4179.3040000000001</v>
      </c>
      <c r="V1276" s="132">
        <v>5.0000000000000002E-5</v>
      </c>
      <c r="W1276" s="132">
        <f t="shared" si="19"/>
        <v>1.5869960770508774E-2</v>
      </c>
      <c r="X1276" s="132">
        <v>4.2183682202795387E-3</v>
      </c>
    </row>
    <row r="1277" spans="1:24">
      <c r="A1277" t="s">
        <v>1213</v>
      </c>
      <c r="B1277" s="4">
        <v>9720</v>
      </c>
      <c r="C1277" t="s">
        <v>3797</v>
      </c>
      <c r="D1277" t="s">
        <v>3798</v>
      </c>
      <c r="E1277" t="s">
        <v>80</v>
      </c>
      <c r="F1277" t="s">
        <v>3799</v>
      </c>
      <c r="G1277" t="s">
        <v>3800</v>
      </c>
      <c r="H1277" t="s">
        <v>321</v>
      </c>
      <c r="I1277" t="s">
        <v>917</v>
      </c>
      <c r="J1277" t="s">
        <v>205</v>
      </c>
      <c r="K1277" t="s">
        <v>224</v>
      </c>
      <c r="L1277" t="s">
        <v>325</v>
      </c>
      <c r="M1277" t="s">
        <v>344</v>
      </c>
      <c r="N1277" t="s">
        <v>548</v>
      </c>
      <c r="O1277" t="s">
        <v>339</v>
      </c>
      <c r="P1277" t="s">
        <v>1216</v>
      </c>
      <c r="Q1277" s="131">
        <v>15770</v>
      </c>
      <c r="R1277" s="131">
        <v>3.71</v>
      </c>
      <c r="S1277" s="131">
        <v>2291</v>
      </c>
      <c r="U1277" s="131">
        <v>1340.3879999999999</v>
      </c>
      <c r="V1277" s="132">
        <v>2.7999999999999998E-4</v>
      </c>
      <c r="W1277" s="132">
        <f t="shared" si="19"/>
        <v>5.0898199741537618E-3</v>
      </c>
      <c r="X1277" s="132">
        <v>1.3529166918807654E-3</v>
      </c>
    </row>
    <row r="1278" spans="1:24">
      <c r="A1278" t="s">
        <v>1213</v>
      </c>
      <c r="B1278" s="4">
        <v>9720</v>
      </c>
      <c r="C1278" t="s">
        <v>3991</v>
      </c>
      <c r="D1278" t="s">
        <v>3992</v>
      </c>
      <c r="E1278" t="s">
        <v>311</v>
      </c>
      <c r="F1278" t="s">
        <v>3993</v>
      </c>
      <c r="G1278" t="s">
        <v>3994</v>
      </c>
      <c r="H1278" t="s">
        <v>321</v>
      </c>
      <c r="I1278" t="s">
        <v>917</v>
      </c>
      <c r="J1278" t="s">
        <v>205</v>
      </c>
      <c r="K1278" t="s">
        <v>204</v>
      </c>
      <c r="L1278" t="s">
        <v>325</v>
      </c>
      <c r="M1278" t="s">
        <v>344</v>
      </c>
      <c r="N1278" t="s">
        <v>540</v>
      </c>
      <c r="O1278" t="s">
        <v>339</v>
      </c>
      <c r="P1278" t="s">
        <v>1216</v>
      </c>
      <c r="Q1278" s="131">
        <v>12981</v>
      </c>
      <c r="R1278" s="131">
        <v>3.71</v>
      </c>
      <c r="S1278" s="131">
        <v>2583.5</v>
      </c>
      <c r="U1278" s="131">
        <v>1244.201</v>
      </c>
      <c r="V1278" s="132">
        <v>2.7E-4</v>
      </c>
      <c r="W1278" s="132">
        <f t="shared" si="19"/>
        <v>4.7245716178166957E-3</v>
      </c>
      <c r="X1278" s="132">
        <v>1.255830625874553E-3</v>
      </c>
    </row>
    <row r="1279" spans="1:24">
      <c r="A1279" t="s">
        <v>1213</v>
      </c>
      <c r="B1279" s="4">
        <v>9720</v>
      </c>
      <c r="C1279" t="s">
        <v>2089</v>
      </c>
      <c r="D1279" t="s">
        <v>2090</v>
      </c>
      <c r="E1279" t="s">
        <v>309</v>
      </c>
      <c r="F1279" t="s">
        <v>4087</v>
      </c>
      <c r="G1279" t="s">
        <v>4088</v>
      </c>
      <c r="H1279" t="s">
        <v>321</v>
      </c>
      <c r="I1279" t="s">
        <v>917</v>
      </c>
      <c r="J1279" t="s">
        <v>205</v>
      </c>
      <c r="K1279" t="s">
        <v>204</v>
      </c>
      <c r="L1279" t="s">
        <v>325</v>
      </c>
      <c r="M1279" t="s">
        <v>344</v>
      </c>
      <c r="N1279" t="s">
        <v>534</v>
      </c>
      <c r="O1279" t="s">
        <v>339</v>
      </c>
      <c r="P1279" t="s">
        <v>1216</v>
      </c>
      <c r="Q1279" s="131">
        <v>6649</v>
      </c>
      <c r="R1279" s="131">
        <v>3.71</v>
      </c>
      <c r="S1279" s="131">
        <v>1802</v>
      </c>
      <c r="U1279" s="131">
        <v>444.51400000000001</v>
      </c>
      <c r="V1279" s="132">
        <v>1.0000000000000001E-5</v>
      </c>
      <c r="W1279" s="132">
        <f t="shared" si="19"/>
        <v>1.6879412796824394E-3</v>
      </c>
      <c r="X1279" s="132">
        <v>4.4866890062779331E-4</v>
      </c>
    </row>
    <row r="1280" spans="1:24">
      <c r="A1280" t="s">
        <v>1213</v>
      </c>
      <c r="B1280" s="4">
        <v>9721</v>
      </c>
      <c r="C1280" t="s">
        <v>1573</v>
      </c>
      <c r="D1280" t="s">
        <v>1574</v>
      </c>
      <c r="E1280" t="s">
        <v>309</v>
      </c>
      <c r="F1280" t="s">
        <v>1573</v>
      </c>
      <c r="G1280" t="s">
        <v>3404</v>
      </c>
      <c r="H1280" t="s">
        <v>321</v>
      </c>
      <c r="I1280" t="s">
        <v>917</v>
      </c>
      <c r="J1280" t="s">
        <v>204</v>
      </c>
      <c r="K1280" t="s">
        <v>204</v>
      </c>
      <c r="L1280" t="s">
        <v>325</v>
      </c>
      <c r="M1280" t="s">
        <v>340</v>
      </c>
      <c r="N1280" t="s">
        <v>448</v>
      </c>
      <c r="O1280" t="s">
        <v>339</v>
      </c>
      <c r="P1280" t="s">
        <v>1212</v>
      </c>
      <c r="Q1280" s="131">
        <v>20746</v>
      </c>
      <c r="R1280" s="131">
        <v>1</v>
      </c>
      <c r="S1280" s="131">
        <v>3644</v>
      </c>
      <c r="U1280" s="131">
        <v>755.98400000000004</v>
      </c>
      <c r="V1280" s="132">
        <v>1.0000000000000001E-5</v>
      </c>
      <c r="W1280" s="132">
        <f t="shared" si="19"/>
        <v>0.32763456704515903</v>
      </c>
      <c r="X1280" s="132">
        <v>3.896231148672962E-3</v>
      </c>
    </row>
    <row r="1281" spans="1:24">
      <c r="A1281" t="s">
        <v>1213</v>
      </c>
      <c r="B1281" s="4">
        <v>9721</v>
      </c>
      <c r="C1281" t="s">
        <v>3544</v>
      </c>
      <c r="D1281" t="s">
        <v>3545</v>
      </c>
      <c r="E1281" t="s">
        <v>80</v>
      </c>
      <c r="F1281" t="s">
        <v>3546</v>
      </c>
      <c r="G1281" t="s">
        <v>3547</v>
      </c>
      <c r="H1281" t="s">
        <v>321</v>
      </c>
      <c r="I1281" t="s">
        <v>917</v>
      </c>
      <c r="J1281" t="s">
        <v>205</v>
      </c>
      <c r="K1281" t="s">
        <v>224</v>
      </c>
      <c r="L1281" t="s">
        <v>325</v>
      </c>
      <c r="M1281" t="s">
        <v>344</v>
      </c>
      <c r="N1281" t="s">
        <v>545</v>
      </c>
      <c r="O1281" t="s">
        <v>339</v>
      </c>
      <c r="P1281" t="s">
        <v>1216</v>
      </c>
      <c r="Q1281" s="131">
        <v>1350</v>
      </c>
      <c r="R1281" s="131">
        <v>3.71</v>
      </c>
      <c r="S1281" s="131">
        <v>16719</v>
      </c>
      <c r="U1281" s="131">
        <v>837.37099999999998</v>
      </c>
      <c r="V1281" s="132">
        <v>0</v>
      </c>
      <c r="W1281" s="132">
        <f t="shared" si="19"/>
        <v>0.36290673485308139</v>
      </c>
      <c r="X1281" s="132">
        <v>4.3156878627000394E-3</v>
      </c>
    </row>
    <row r="1282" spans="1:24">
      <c r="A1282" t="s">
        <v>1213</v>
      </c>
      <c r="B1282" s="4">
        <v>9721</v>
      </c>
      <c r="C1282" t="s">
        <v>2608</v>
      </c>
      <c r="D1282" t="s">
        <v>2609</v>
      </c>
      <c r="E1282" t="s">
        <v>80</v>
      </c>
      <c r="F1282" t="s">
        <v>4089</v>
      </c>
      <c r="G1282" t="s">
        <v>4090</v>
      </c>
      <c r="H1282" t="s">
        <v>321</v>
      </c>
      <c r="I1282" t="s">
        <v>917</v>
      </c>
      <c r="J1282" t="s">
        <v>205</v>
      </c>
      <c r="K1282" t="s">
        <v>224</v>
      </c>
      <c r="L1282" t="s">
        <v>325</v>
      </c>
      <c r="M1282" t="s">
        <v>344</v>
      </c>
      <c r="N1282" t="s">
        <v>539</v>
      </c>
      <c r="O1282" t="s">
        <v>339</v>
      </c>
      <c r="P1282" t="s">
        <v>1216</v>
      </c>
      <c r="Q1282" s="131">
        <v>700</v>
      </c>
      <c r="R1282" s="131">
        <v>3.71</v>
      </c>
      <c r="S1282" s="131">
        <v>27495</v>
      </c>
      <c r="U1282" s="131">
        <v>714.04499999999996</v>
      </c>
      <c r="V1282" s="132">
        <v>0</v>
      </c>
      <c r="W1282" s="132">
        <f t="shared" si="19"/>
        <v>0.30945869810175952</v>
      </c>
      <c r="X1282" s="132">
        <v>3.6800836665249331E-3</v>
      </c>
    </row>
    <row r="1283" spans="1:24">
      <c r="A1283" t="s">
        <v>1213</v>
      </c>
      <c r="B1283" s="4">
        <v>9888</v>
      </c>
      <c r="C1283" t="s">
        <v>1600</v>
      </c>
      <c r="D1283" t="s">
        <v>1601</v>
      </c>
      <c r="E1283" t="s">
        <v>309</v>
      </c>
      <c r="F1283" t="s">
        <v>1600</v>
      </c>
      <c r="G1283" t="s">
        <v>3406</v>
      </c>
      <c r="H1283" t="s">
        <v>321</v>
      </c>
      <c r="I1283" t="s">
        <v>917</v>
      </c>
      <c r="J1283" t="s">
        <v>204</v>
      </c>
      <c r="K1283" t="s">
        <v>204</v>
      </c>
      <c r="L1283" t="s">
        <v>325</v>
      </c>
      <c r="M1283" t="s">
        <v>340</v>
      </c>
      <c r="N1283" t="s">
        <v>448</v>
      </c>
      <c r="O1283" t="s">
        <v>339</v>
      </c>
      <c r="P1283" t="s">
        <v>1212</v>
      </c>
      <c r="Q1283" s="131">
        <v>17759</v>
      </c>
      <c r="R1283" s="131">
        <v>1</v>
      </c>
      <c r="S1283" s="131">
        <v>3729</v>
      </c>
      <c r="U1283" s="131">
        <v>662.23299999999995</v>
      </c>
      <c r="V1283" s="132">
        <v>1.0000000000000001E-5</v>
      </c>
      <c r="W1283" s="132">
        <f t="shared" ref="W1283:W1346" si="20">U1283/SUMIF(B:B,B1283,U:U)</f>
        <v>5.2945677280584677E-2</v>
      </c>
      <c r="X1283" s="132">
        <v>2.4312003493048885E-3</v>
      </c>
    </row>
    <row r="1284" spans="1:24">
      <c r="A1284" t="s">
        <v>1213</v>
      </c>
      <c r="B1284" s="4">
        <v>9888</v>
      </c>
      <c r="C1284" t="s">
        <v>1573</v>
      </c>
      <c r="D1284" t="s">
        <v>1574</v>
      </c>
      <c r="E1284" t="s">
        <v>309</v>
      </c>
      <c r="F1284" t="s">
        <v>1573</v>
      </c>
      <c r="G1284" t="s">
        <v>3404</v>
      </c>
      <c r="H1284" t="s">
        <v>321</v>
      </c>
      <c r="I1284" t="s">
        <v>917</v>
      </c>
      <c r="J1284" t="s">
        <v>204</v>
      </c>
      <c r="K1284" t="s">
        <v>204</v>
      </c>
      <c r="L1284" t="s">
        <v>325</v>
      </c>
      <c r="M1284" t="s">
        <v>340</v>
      </c>
      <c r="N1284" t="s">
        <v>448</v>
      </c>
      <c r="O1284" t="s">
        <v>339</v>
      </c>
      <c r="P1284" t="s">
        <v>1212</v>
      </c>
      <c r="Q1284" s="131">
        <v>18098</v>
      </c>
      <c r="R1284" s="131">
        <v>1</v>
      </c>
      <c r="S1284" s="131">
        <v>3644</v>
      </c>
      <c r="U1284" s="131">
        <v>659.49099999999999</v>
      </c>
      <c r="V1284" s="132">
        <v>1.0000000000000001E-5</v>
      </c>
      <c r="W1284" s="132">
        <f t="shared" si="20"/>
        <v>5.2726453763932139E-2</v>
      </c>
      <c r="X1284" s="132">
        <v>2.4211338751820434E-3</v>
      </c>
    </row>
    <row r="1285" spans="1:24">
      <c r="A1285" t="s">
        <v>1213</v>
      </c>
      <c r="B1285" s="4">
        <v>9888</v>
      </c>
      <c r="C1285" t="s">
        <v>2089</v>
      </c>
      <c r="D1285" t="s">
        <v>2090</v>
      </c>
      <c r="E1285" t="s">
        <v>309</v>
      </c>
      <c r="F1285" t="s">
        <v>2089</v>
      </c>
      <c r="G1285" t="s">
        <v>3405</v>
      </c>
      <c r="H1285" t="s">
        <v>321</v>
      </c>
      <c r="I1285" t="s">
        <v>917</v>
      </c>
      <c r="J1285" t="s">
        <v>204</v>
      </c>
      <c r="K1285" t="s">
        <v>204</v>
      </c>
      <c r="L1285" t="s">
        <v>325</v>
      </c>
      <c r="M1285" t="s">
        <v>340</v>
      </c>
      <c r="N1285" t="s">
        <v>467</v>
      </c>
      <c r="O1285" t="s">
        <v>339</v>
      </c>
      <c r="P1285" t="s">
        <v>1212</v>
      </c>
      <c r="Q1285" s="131">
        <v>7155</v>
      </c>
      <c r="R1285" s="131">
        <v>1</v>
      </c>
      <c r="S1285" s="131">
        <v>6629</v>
      </c>
      <c r="U1285" s="131">
        <v>474.30500000000001</v>
      </c>
      <c r="V1285" s="132">
        <v>1.0000000000000001E-5</v>
      </c>
      <c r="W1285" s="132">
        <f t="shared" si="20"/>
        <v>3.7920791417171473E-2</v>
      </c>
      <c r="X1285" s="132">
        <v>1.7412760790795011E-3</v>
      </c>
    </row>
    <row r="1286" spans="1:24">
      <c r="A1286" t="s">
        <v>1213</v>
      </c>
      <c r="B1286" s="4">
        <v>9888</v>
      </c>
      <c r="C1286" t="s">
        <v>2228</v>
      </c>
      <c r="D1286" t="s">
        <v>2229</v>
      </c>
      <c r="E1286" t="s">
        <v>309</v>
      </c>
      <c r="F1286" t="s">
        <v>2228</v>
      </c>
      <c r="G1286" t="s">
        <v>3439</v>
      </c>
      <c r="H1286" t="s">
        <v>321</v>
      </c>
      <c r="I1286" t="s">
        <v>917</v>
      </c>
      <c r="J1286" t="s">
        <v>204</v>
      </c>
      <c r="K1286" t="s">
        <v>204</v>
      </c>
      <c r="L1286" t="s">
        <v>325</v>
      </c>
      <c r="M1286" t="s">
        <v>340</v>
      </c>
      <c r="N1286" t="s">
        <v>441</v>
      </c>
      <c r="O1286" t="s">
        <v>339</v>
      </c>
      <c r="P1286" t="s">
        <v>1212</v>
      </c>
      <c r="Q1286" s="131">
        <v>7479.2</v>
      </c>
      <c r="R1286" s="131">
        <v>1</v>
      </c>
      <c r="S1286" s="131">
        <v>6254</v>
      </c>
      <c r="U1286" s="131">
        <v>467.74900000000002</v>
      </c>
      <c r="V1286" s="132">
        <v>6.0000000000000002E-5</v>
      </c>
      <c r="W1286" s="132">
        <f t="shared" si="20"/>
        <v>3.7396637742782686E-2</v>
      </c>
      <c r="X1286" s="132">
        <v>1.7172075873401241E-3</v>
      </c>
    </row>
    <row r="1287" spans="1:24">
      <c r="A1287" t="s">
        <v>1213</v>
      </c>
      <c r="B1287" s="4">
        <v>9888</v>
      </c>
      <c r="C1287" t="s">
        <v>2361</v>
      </c>
      <c r="D1287" t="s">
        <v>2362</v>
      </c>
      <c r="E1287" t="s">
        <v>309</v>
      </c>
      <c r="F1287" t="s">
        <v>2361</v>
      </c>
      <c r="G1287" t="s">
        <v>3440</v>
      </c>
      <c r="H1287" t="s">
        <v>321</v>
      </c>
      <c r="I1287" t="s">
        <v>917</v>
      </c>
      <c r="J1287" t="s">
        <v>204</v>
      </c>
      <c r="K1287" t="s">
        <v>204</v>
      </c>
      <c r="L1287" t="s">
        <v>325</v>
      </c>
      <c r="M1287" t="s">
        <v>340</v>
      </c>
      <c r="N1287" t="s">
        <v>446</v>
      </c>
      <c r="O1287" t="s">
        <v>339</v>
      </c>
      <c r="P1287" t="s">
        <v>1212</v>
      </c>
      <c r="Q1287" s="131">
        <v>569</v>
      </c>
      <c r="R1287" s="131">
        <v>1</v>
      </c>
      <c r="S1287" s="131">
        <v>74080</v>
      </c>
      <c r="U1287" s="131">
        <v>421.51499999999999</v>
      </c>
      <c r="V1287" s="132">
        <v>1.0000000000000001E-5</v>
      </c>
      <c r="W1287" s="132">
        <f t="shared" si="20"/>
        <v>3.3700219045148236E-2</v>
      </c>
      <c r="X1287" s="132">
        <v>1.5474725893110885E-3</v>
      </c>
    </row>
    <row r="1288" spans="1:24">
      <c r="A1288" t="s">
        <v>1213</v>
      </c>
      <c r="B1288" s="4">
        <v>9888</v>
      </c>
      <c r="C1288" t="s">
        <v>3410</v>
      </c>
      <c r="D1288" t="s">
        <v>3411</v>
      </c>
      <c r="E1288" t="s">
        <v>309</v>
      </c>
      <c r="F1288" t="s">
        <v>3410</v>
      </c>
      <c r="G1288" t="s">
        <v>3412</v>
      </c>
      <c r="H1288" t="s">
        <v>321</v>
      </c>
      <c r="I1288" t="s">
        <v>917</v>
      </c>
      <c r="J1288" t="s">
        <v>204</v>
      </c>
      <c r="K1288" t="s">
        <v>204</v>
      </c>
      <c r="L1288" t="s">
        <v>325</v>
      </c>
      <c r="M1288" t="s">
        <v>340</v>
      </c>
      <c r="N1288" t="s">
        <v>480</v>
      </c>
      <c r="O1288" t="s">
        <v>339</v>
      </c>
      <c r="P1288" t="s">
        <v>1212</v>
      </c>
      <c r="Q1288" s="131">
        <v>599</v>
      </c>
      <c r="R1288" s="131">
        <v>1</v>
      </c>
      <c r="S1288" s="131">
        <v>64880</v>
      </c>
      <c r="U1288" s="131">
        <v>388.63099999999997</v>
      </c>
      <c r="V1288" s="132">
        <v>1.0000000000000001E-5</v>
      </c>
      <c r="W1288" s="132">
        <f t="shared" si="20"/>
        <v>3.1071135849815554E-2</v>
      </c>
      <c r="X1288" s="132">
        <v>1.4267483241558606E-3</v>
      </c>
    </row>
    <row r="1289" spans="1:24">
      <c r="A1289" t="s">
        <v>1213</v>
      </c>
      <c r="B1289" s="4">
        <v>9888</v>
      </c>
      <c r="C1289" t="s">
        <v>1674</v>
      </c>
      <c r="D1289" t="s">
        <v>1675</v>
      </c>
      <c r="E1289" t="s">
        <v>309</v>
      </c>
      <c r="F1289" t="s">
        <v>1674</v>
      </c>
      <c r="G1289" t="s">
        <v>3464</v>
      </c>
      <c r="H1289" t="s">
        <v>321</v>
      </c>
      <c r="I1289" t="s">
        <v>917</v>
      </c>
      <c r="J1289" t="s">
        <v>204</v>
      </c>
      <c r="K1289" t="s">
        <v>204</v>
      </c>
      <c r="L1289" t="s">
        <v>325</v>
      </c>
      <c r="M1289" t="s">
        <v>340</v>
      </c>
      <c r="N1289" t="s">
        <v>464</v>
      </c>
      <c r="O1289" t="s">
        <v>339</v>
      </c>
      <c r="P1289" t="s">
        <v>1212</v>
      </c>
      <c r="Q1289" s="131">
        <v>800</v>
      </c>
      <c r="R1289" s="131">
        <v>1</v>
      </c>
      <c r="S1289" s="131">
        <v>41490</v>
      </c>
      <c r="U1289" s="131">
        <v>331.92</v>
      </c>
      <c r="V1289" s="132">
        <v>3.0000000000000001E-5</v>
      </c>
      <c r="W1289" s="132">
        <f t="shared" si="20"/>
        <v>2.6537078645992675E-2</v>
      </c>
      <c r="X1289" s="132">
        <v>1.2185499966647368E-3</v>
      </c>
    </row>
    <row r="1290" spans="1:24">
      <c r="A1290" t="s">
        <v>1213</v>
      </c>
      <c r="B1290" s="4">
        <v>9888</v>
      </c>
      <c r="C1290" t="s">
        <v>3683</v>
      </c>
      <c r="D1290" t="s">
        <v>3684</v>
      </c>
      <c r="E1290" t="s">
        <v>309</v>
      </c>
      <c r="F1290" t="s">
        <v>3683</v>
      </c>
      <c r="G1290" t="s">
        <v>3685</v>
      </c>
      <c r="H1290" t="s">
        <v>321</v>
      </c>
      <c r="I1290" t="s">
        <v>917</v>
      </c>
      <c r="J1290" t="s">
        <v>204</v>
      </c>
      <c r="K1290" t="s">
        <v>204</v>
      </c>
      <c r="L1290" t="s">
        <v>325</v>
      </c>
      <c r="M1290" t="s">
        <v>340</v>
      </c>
      <c r="N1290" t="s">
        <v>451</v>
      </c>
      <c r="O1290" t="s">
        <v>339</v>
      </c>
      <c r="P1290" t="s">
        <v>1212</v>
      </c>
      <c r="Q1290" s="131">
        <v>62373</v>
      </c>
      <c r="R1290" s="131">
        <v>1</v>
      </c>
      <c r="S1290" s="131">
        <v>512</v>
      </c>
      <c r="U1290" s="131">
        <v>319.35000000000002</v>
      </c>
      <c r="V1290" s="132">
        <v>3.3E-4</v>
      </c>
      <c r="W1290" s="132">
        <f t="shared" si="20"/>
        <v>2.5532104319106293E-2</v>
      </c>
      <c r="X1290" s="132">
        <v>1.1724028122285001E-3</v>
      </c>
    </row>
    <row r="1291" spans="1:24">
      <c r="A1291" t="s">
        <v>1213</v>
      </c>
      <c r="B1291" s="4">
        <v>9888</v>
      </c>
      <c r="C1291" t="s">
        <v>3113</v>
      </c>
      <c r="D1291" t="s">
        <v>3114</v>
      </c>
      <c r="E1291" t="s">
        <v>309</v>
      </c>
      <c r="F1291" t="s">
        <v>3113</v>
      </c>
      <c r="G1291" t="s">
        <v>3413</v>
      </c>
      <c r="H1291" t="s">
        <v>321</v>
      </c>
      <c r="I1291" t="s">
        <v>917</v>
      </c>
      <c r="J1291" t="s">
        <v>204</v>
      </c>
      <c r="K1291" t="s">
        <v>204</v>
      </c>
      <c r="L1291" t="s">
        <v>325</v>
      </c>
      <c r="M1291" t="s">
        <v>340</v>
      </c>
      <c r="N1291" t="s">
        <v>448</v>
      </c>
      <c r="O1291" t="s">
        <v>339</v>
      </c>
      <c r="P1291" t="s">
        <v>1212</v>
      </c>
      <c r="Q1291" s="131">
        <v>14025</v>
      </c>
      <c r="R1291" s="131">
        <v>1</v>
      </c>
      <c r="S1291" s="131">
        <v>2085</v>
      </c>
      <c r="U1291" s="131">
        <v>292.42099999999999</v>
      </c>
      <c r="V1291" s="132">
        <v>1.0000000000000001E-5</v>
      </c>
      <c r="W1291" s="132">
        <f t="shared" si="20"/>
        <v>2.3379124713002603E-2</v>
      </c>
      <c r="X1291" s="132">
        <v>1.0735406380293414E-3</v>
      </c>
    </row>
    <row r="1292" spans="1:24">
      <c r="A1292" t="s">
        <v>1213</v>
      </c>
      <c r="B1292" s="4">
        <v>9888</v>
      </c>
      <c r="C1292" t="s">
        <v>2436</v>
      </c>
      <c r="D1292" t="s">
        <v>2437</v>
      </c>
      <c r="E1292" t="s">
        <v>309</v>
      </c>
      <c r="F1292" t="s">
        <v>2436</v>
      </c>
      <c r="G1292" t="s">
        <v>3426</v>
      </c>
      <c r="H1292" t="s">
        <v>321</v>
      </c>
      <c r="I1292" t="s">
        <v>917</v>
      </c>
      <c r="J1292" t="s">
        <v>204</v>
      </c>
      <c r="K1292" t="s">
        <v>204</v>
      </c>
      <c r="L1292" t="s">
        <v>325</v>
      </c>
      <c r="M1292" t="s">
        <v>340</v>
      </c>
      <c r="N1292" t="s">
        <v>475</v>
      </c>
      <c r="O1292" t="s">
        <v>339</v>
      </c>
      <c r="P1292" t="s">
        <v>1212</v>
      </c>
      <c r="Q1292" s="131">
        <v>8127</v>
      </c>
      <c r="R1292" s="131">
        <v>1</v>
      </c>
      <c r="S1292" s="131">
        <v>3310</v>
      </c>
      <c r="U1292" s="131">
        <v>269.00400000000002</v>
      </c>
      <c r="V1292" s="132">
        <v>3.0000000000000001E-5</v>
      </c>
      <c r="W1292" s="132">
        <f t="shared" si="20"/>
        <v>2.1506930296717925E-2</v>
      </c>
      <c r="X1292" s="132">
        <v>9.8757177423114276E-4</v>
      </c>
    </row>
    <row r="1293" spans="1:24">
      <c r="A1293" t="s">
        <v>1213</v>
      </c>
      <c r="B1293" s="4">
        <v>9888</v>
      </c>
      <c r="C1293" t="s">
        <v>3415</v>
      </c>
      <c r="D1293" t="s">
        <v>3416</v>
      </c>
      <c r="E1293" t="s">
        <v>309</v>
      </c>
      <c r="F1293" t="s">
        <v>3415</v>
      </c>
      <c r="G1293" t="s">
        <v>3417</v>
      </c>
      <c r="H1293" t="s">
        <v>321</v>
      </c>
      <c r="I1293" t="s">
        <v>917</v>
      </c>
      <c r="J1293" t="s">
        <v>204</v>
      </c>
      <c r="K1293" t="s">
        <v>204</v>
      </c>
      <c r="L1293" t="s">
        <v>325</v>
      </c>
      <c r="M1293" t="s">
        <v>340</v>
      </c>
      <c r="N1293" t="s">
        <v>458</v>
      </c>
      <c r="O1293" t="s">
        <v>339</v>
      </c>
      <c r="P1293" t="s">
        <v>1212</v>
      </c>
      <c r="Q1293" s="131">
        <v>343</v>
      </c>
      <c r="R1293" s="131">
        <v>1</v>
      </c>
      <c r="S1293" s="131">
        <v>77890</v>
      </c>
      <c r="U1293" s="131">
        <v>267.16300000000001</v>
      </c>
      <c r="V1293" s="132">
        <v>1.0000000000000001E-5</v>
      </c>
      <c r="W1293" s="132">
        <f t="shared" si="20"/>
        <v>2.135974193269264E-2</v>
      </c>
      <c r="X1293" s="132">
        <v>9.8081306567528647E-4</v>
      </c>
    </row>
    <row r="1294" spans="1:24">
      <c r="A1294" t="s">
        <v>1213</v>
      </c>
      <c r="B1294" s="4">
        <v>9888</v>
      </c>
      <c r="C1294" t="s">
        <v>1861</v>
      </c>
      <c r="D1294" t="s">
        <v>1862</v>
      </c>
      <c r="E1294" t="s">
        <v>309</v>
      </c>
      <c r="F1294" t="s">
        <v>1861</v>
      </c>
      <c r="G1294" t="s">
        <v>3460</v>
      </c>
      <c r="H1294" t="s">
        <v>321</v>
      </c>
      <c r="I1294" t="s">
        <v>917</v>
      </c>
      <c r="J1294" t="s">
        <v>204</v>
      </c>
      <c r="K1294" t="s">
        <v>204</v>
      </c>
      <c r="L1294" t="s">
        <v>325</v>
      </c>
      <c r="M1294" t="s">
        <v>340</v>
      </c>
      <c r="N1294" t="s">
        <v>464</v>
      </c>
      <c r="O1294" t="s">
        <v>339</v>
      </c>
      <c r="P1294" t="s">
        <v>1212</v>
      </c>
      <c r="Q1294" s="131">
        <v>922</v>
      </c>
      <c r="R1294" s="131">
        <v>1</v>
      </c>
      <c r="S1294" s="131">
        <v>28210</v>
      </c>
      <c r="U1294" s="131">
        <v>260.096</v>
      </c>
      <c r="V1294" s="132">
        <v>2.0000000000000002E-5</v>
      </c>
      <c r="W1294" s="132">
        <f t="shared" si="20"/>
        <v>2.0794733693384283E-2</v>
      </c>
      <c r="X1294" s="132">
        <v>9.5486858258770604E-4</v>
      </c>
    </row>
    <row r="1295" spans="1:24">
      <c r="A1295" t="s">
        <v>1213</v>
      </c>
      <c r="B1295" s="4">
        <v>9888</v>
      </c>
      <c r="C1295" t="s">
        <v>1807</v>
      </c>
      <c r="D1295" t="s">
        <v>1808</v>
      </c>
      <c r="E1295" t="s">
        <v>309</v>
      </c>
      <c r="F1295" t="s">
        <v>1807</v>
      </c>
      <c r="G1295" t="s">
        <v>3409</v>
      </c>
      <c r="H1295" t="s">
        <v>321</v>
      </c>
      <c r="I1295" t="s">
        <v>917</v>
      </c>
      <c r="J1295" t="s">
        <v>204</v>
      </c>
      <c r="K1295" t="s">
        <v>204</v>
      </c>
      <c r="L1295" t="s">
        <v>325</v>
      </c>
      <c r="M1295" t="s">
        <v>340</v>
      </c>
      <c r="N1295" t="s">
        <v>464</v>
      </c>
      <c r="O1295" t="s">
        <v>339</v>
      </c>
      <c r="P1295" t="s">
        <v>1212</v>
      </c>
      <c r="Q1295" s="131">
        <v>994</v>
      </c>
      <c r="R1295" s="131">
        <v>1</v>
      </c>
      <c r="S1295" s="131">
        <v>25940</v>
      </c>
      <c r="U1295" s="131">
        <v>257.84399999999999</v>
      </c>
      <c r="V1295" s="132">
        <v>1.0000000000000001E-5</v>
      </c>
      <c r="W1295" s="132">
        <f t="shared" si="20"/>
        <v>2.0614685786928582E-2</v>
      </c>
      <c r="X1295" s="132">
        <v>9.4660100427820673E-4</v>
      </c>
    </row>
    <row r="1296" spans="1:24">
      <c r="A1296" t="s">
        <v>1213</v>
      </c>
      <c r="B1296" s="4">
        <v>9888</v>
      </c>
      <c r="C1296" t="s">
        <v>2348</v>
      </c>
      <c r="D1296" t="s">
        <v>2349</v>
      </c>
      <c r="E1296" t="s">
        <v>309</v>
      </c>
      <c r="F1296" t="s">
        <v>2348</v>
      </c>
      <c r="G1296" t="s">
        <v>3446</v>
      </c>
      <c r="H1296" t="s">
        <v>321</v>
      </c>
      <c r="I1296" t="s">
        <v>917</v>
      </c>
      <c r="J1296" t="s">
        <v>204</v>
      </c>
      <c r="K1296" t="s">
        <v>204</v>
      </c>
      <c r="L1296" t="s">
        <v>325</v>
      </c>
      <c r="M1296" t="s">
        <v>340</v>
      </c>
      <c r="N1296" t="s">
        <v>456</v>
      </c>
      <c r="O1296" t="s">
        <v>339</v>
      </c>
      <c r="P1296" t="s">
        <v>1212</v>
      </c>
      <c r="Q1296" s="131">
        <v>13819</v>
      </c>
      <c r="R1296" s="131">
        <v>1</v>
      </c>
      <c r="S1296" s="131">
        <v>1588</v>
      </c>
      <c r="U1296" s="131">
        <v>219.446</v>
      </c>
      <c r="V1296" s="132">
        <v>1.0000000000000001E-5</v>
      </c>
      <c r="W1296" s="132">
        <f t="shared" si="20"/>
        <v>1.7544757051544072E-2</v>
      </c>
      <c r="X1296" s="132">
        <v>8.0563365439892095E-4</v>
      </c>
    </row>
    <row r="1297" spans="1:24">
      <c r="A1297" t="s">
        <v>1213</v>
      </c>
      <c r="B1297" s="4">
        <v>9888</v>
      </c>
      <c r="C1297" t="s">
        <v>1881</v>
      </c>
      <c r="D1297" t="s">
        <v>1882</v>
      </c>
      <c r="E1297" t="s">
        <v>309</v>
      </c>
      <c r="F1297" t="s">
        <v>3407</v>
      </c>
      <c r="G1297" t="s">
        <v>3408</v>
      </c>
      <c r="H1297" t="s">
        <v>321</v>
      </c>
      <c r="I1297" t="s">
        <v>917</v>
      </c>
      <c r="J1297" t="s">
        <v>204</v>
      </c>
      <c r="K1297" t="s">
        <v>204</v>
      </c>
      <c r="L1297" t="s">
        <v>325</v>
      </c>
      <c r="M1297" t="s">
        <v>340</v>
      </c>
      <c r="N1297" t="s">
        <v>448</v>
      </c>
      <c r="O1297" t="s">
        <v>339</v>
      </c>
      <c r="P1297" t="s">
        <v>1212</v>
      </c>
      <c r="Q1297" s="131">
        <v>1420</v>
      </c>
      <c r="R1297" s="131">
        <v>1</v>
      </c>
      <c r="S1297" s="131">
        <v>14550</v>
      </c>
      <c r="U1297" s="131">
        <v>206.61</v>
      </c>
      <c r="V1297" s="132">
        <v>1.0000000000000001E-5</v>
      </c>
      <c r="W1297" s="132">
        <f t="shared" si="20"/>
        <v>1.6518515964836548E-2</v>
      </c>
      <c r="X1297" s="132">
        <v>7.5850992652115351E-4</v>
      </c>
    </row>
    <row r="1298" spans="1:24">
      <c r="A1298" t="s">
        <v>1213</v>
      </c>
      <c r="B1298" s="4">
        <v>9888</v>
      </c>
      <c r="C1298" t="s">
        <v>1986</v>
      </c>
      <c r="D1298" t="s">
        <v>1987</v>
      </c>
      <c r="E1298" t="s">
        <v>309</v>
      </c>
      <c r="F1298" t="s">
        <v>1986</v>
      </c>
      <c r="G1298" t="s">
        <v>3445</v>
      </c>
      <c r="H1298" t="s">
        <v>321</v>
      </c>
      <c r="I1298" t="s">
        <v>917</v>
      </c>
      <c r="J1298" t="s">
        <v>204</v>
      </c>
      <c r="K1298" t="s">
        <v>204</v>
      </c>
      <c r="L1298" t="s">
        <v>325</v>
      </c>
      <c r="M1298" t="s">
        <v>340</v>
      </c>
      <c r="N1298" t="s">
        <v>484</v>
      </c>
      <c r="O1298" t="s">
        <v>339</v>
      </c>
      <c r="P1298" t="s">
        <v>1212</v>
      </c>
      <c r="Q1298" s="131">
        <v>44639</v>
      </c>
      <c r="R1298" s="131">
        <v>1</v>
      </c>
      <c r="S1298" s="131">
        <v>428.6</v>
      </c>
      <c r="T1298" s="131">
        <v>6.5640000000000001</v>
      </c>
      <c r="U1298" s="131">
        <v>197.886</v>
      </c>
      <c r="V1298" s="132">
        <v>2.0000000000000002E-5</v>
      </c>
      <c r="W1298" s="132">
        <f t="shared" si="20"/>
        <v>1.5821030202882943E-2</v>
      </c>
      <c r="X1298" s="132">
        <v>7.2648223861170795E-4</v>
      </c>
    </row>
    <row r="1299" spans="1:24">
      <c r="A1299" t="s">
        <v>1213</v>
      </c>
      <c r="B1299" s="4">
        <v>9888</v>
      </c>
      <c r="C1299" t="s">
        <v>2195</v>
      </c>
      <c r="D1299" t="s">
        <v>2196</v>
      </c>
      <c r="E1299" t="s">
        <v>309</v>
      </c>
      <c r="F1299" t="s">
        <v>3610</v>
      </c>
      <c r="G1299" t="s">
        <v>3611</v>
      </c>
      <c r="H1299" t="s">
        <v>321</v>
      </c>
      <c r="I1299" t="s">
        <v>917</v>
      </c>
      <c r="J1299" t="s">
        <v>204</v>
      </c>
      <c r="K1299" t="s">
        <v>204</v>
      </c>
      <c r="L1299" t="s">
        <v>325</v>
      </c>
      <c r="M1299" t="s">
        <v>340</v>
      </c>
      <c r="N1299" t="s">
        <v>445</v>
      </c>
      <c r="O1299" t="s">
        <v>339</v>
      </c>
      <c r="P1299" t="s">
        <v>1212</v>
      </c>
      <c r="Q1299" s="131">
        <v>5102</v>
      </c>
      <c r="R1299" s="131">
        <v>1</v>
      </c>
      <c r="S1299" s="131">
        <v>3619</v>
      </c>
      <c r="U1299" s="131">
        <v>184.64099999999999</v>
      </c>
      <c r="V1299" s="132">
        <v>2.0000000000000002E-5</v>
      </c>
      <c r="W1299" s="132">
        <f t="shared" si="20"/>
        <v>1.4762089474194785E-2</v>
      </c>
      <c r="X1299" s="132">
        <v>6.7785698341218861E-4</v>
      </c>
    </row>
    <row r="1300" spans="1:24">
      <c r="A1300" t="s">
        <v>1213</v>
      </c>
      <c r="B1300" s="4">
        <v>9888</v>
      </c>
      <c r="C1300" t="s">
        <v>2128</v>
      </c>
      <c r="D1300" t="s">
        <v>2129</v>
      </c>
      <c r="E1300" t="s">
        <v>309</v>
      </c>
      <c r="F1300" t="s">
        <v>3419</v>
      </c>
      <c r="G1300" t="s">
        <v>3420</v>
      </c>
      <c r="H1300" t="s">
        <v>321</v>
      </c>
      <c r="I1300" t="s">
        <v>917</v>
      </c>
      <c r="J1300" t="s">
        <v>204</v>
      </c>
      <c r="K1300" t="s">
        <v>204</v>
      </c>
      <c r="L1300" t="s">
        <v>325</v>
      </c>
      <c r="M1300" t="s">
        <v>340</v>
      </c>
      <c r="N1300" t="s">
        <v>445</v>
      </c>
      <c r="O1300" t="s">
        <v>339</v>
      </c>
      <c r="P1300" t="s">
        <v>1212</v>
      </c>
      <c r="Q1300" s="131">
        <v>3876</v>
      </c>
      <c r="R1300" s="131">
        <v>1</v>
      </c>
      <c r="S1300" s="131">
        <v>4200</v>
      </c>
      <c r="U1300" s="131">
        <v>162.792</v>
      </c>
      <c r="V1300" s="132">
        <v>1.0000000000000001E-5</v>
      </c>
      <c r="W1300" s="132">
        <f t="shared" si="20"/>
        <v>1.3015257010540009E-2</v>
      </c>
      <c r="X1300" s="132">
        <v>5.9764458621669632E-4</v>
      </c>
    </row>
    <row r="1301" spans="1:24">
      <c r="A1301" t="s">
        <v>1213</v>
      </c>
      <c r="B1301" s="4">
        <v>9888</v>
      </c>
      <c r="C1301" t="s">
        <v>3423</v>
      </c>
      <c r="D1301" t="s">
        <v>3424</v>
      </c>
      <c r="E1301" t="s">
        <v>309</v>
      </c>
      <c r="F1301" t="s">
        <v>3423</v>
      </c>
      <c r="G1301" t="s">
        <v>3425</v>
      </c>
      <c r="H1301" t="s">
        <v>321</v>
      </c>
      <c r="I1301" t="s">
        <v>917</v>
      </c>
      <c r="J1301" t="s">
        <v>204</v>
      </c>
      <c r="K1301" t="s">
        <v>204</v>
      </c>
      <c r="L1301" t="s">
        <v>325</v>
      </c>
      <c r="M1301" t="s">
        <v>340</v>
      </c>
      <c r="N1301" t="s">
        <v>458</v>
      </c>
      <c r="O1301" t="s">
        <v>339</v>
      </c>
      <c r="P1301" t="s">
        <v>1212</v>
      </c>
      <c r="Q1301" s="131">
        <v>971</v>
      </c>
      <c r="R1301" s="131">
        <v>1</v>
      </c>
      <c r="S1301" s="131">
        <v>16470</v>
      </c>
      <c r="U1301" s="131">
        <v>159.92400000000001</v>
      </c>
      <c r="V1301" s="132">
        <v>1.0000000000000001E-5</v>
      </c>
      <c r="W1301" s="132">
        <f t="shared" si="20"/>
        <v>1.2785959765551134E-2</v>
      </c>
      <c r="X1301" s="132">
        <v>5.8711553888470523E-4</v>
      </c>
    </row>
    <row r="1302" spans="1:24">
      <c r="A1302" t="s">
        <v>1213</v>
      </c>
      <c r="B1302" s="4">
        <v>9888</v>
      </c>
      <c r="C1302" t="s">
        <v>1973</v>
      </c>
      <c r="D1302" t="s">
        <v>1974</v>
      </c>
      <c r="E1302" t="s">
        <v>309</v>
      </c>
      <c r="F1302" t="s">
        <v>3512</v>
      </c>
      <c r="G1302" t="s">
        <v>3513</v>
      </c>
      <c r="H1302" t="s">
        <v>321</v>
      </c>
      <c r="I1302" t="s">
        <v>917</v>
      </c>
      <c r="J1302" t="s">
        <v>204</v>
      </c>
      <c r="K1302" t="s">
        <v>204</v>
      </c>
      <c r="L1302" t="s">
        <v>325</v>
      </c>
      <c r="M1302" t="s">
        <v>340</v>
      </c>
      <c r="N1302" t="s">
        <v>464</v>
      </c>
      <c r="O1302" t="s">
        <v>339</v>
      </c>
      <c r="P1302" t="s">
        <v>1212</v>
      </c>
      <c r="Q1302" s="131">
        <v>16199</v>
      </c>
      <c r="R1302" s="131">
        <v>1</v>
      </c>
      <c r="S1302" s="131">
        <v>954</v>
      </c>
      <c r="U1302" s="131">
        <v>154.53800000000001</v>
      </c>
      <c r="V1302" s="132">
        <v>2.0000000000000002E-5</v>
      </c>
      <c r="W1302" s="132">
        <f t="shared" si="20"/>
        <v>1.2355347854285419E-2</v>
      </c>
      <c r="X1302" s="132">
        <v>5.6734236980168448E-4</v>
      </c>
    </row>
    <row r="1303" spans="1:24">
      <c r="A1303" t="s">
        <v>1213</v>
      </c>
      <c r="B1303" s="4">
        <v>9888</v>
      </c>
      <c r="C1303" t="s">
        <v>3451</v>
      </c>
      <c r="D1303" t="s">
        <v>3452</v>
      </c>
      <c r="E1303" t="s">
        <v>309</v>
      </c>
      <c r="F1303" t="s">
        <v>3453</v>
      </c>
      <c r="G1303" t="s">
        <v>3454</v>
      </c>
      <c r="H1303" t="s">
        <v>321</v>
      </c>
      <c r="I1303" t="s">
        <v>917</v>
      </c>
      <c r="J1303" t="s">
        <v>204</v>
      </c>
      <c r="K1303" t="s">
        <v>204</v>
      </c>
      <c r="L1303" t="s">
        <v>325</v>
      </c>
      <c r="M1303" t="s">
        <v>340</v>
      </c>
      <c r="N1303" t="s">
        <v>448</v>
      </c>
      <c r="O1303" t="s">
        <v>339</v>
      </c>
      <c r="P1303" t="s">
        <v>1212</v>
      </c>
      <c r="Q1303" s="131">
        <v>995</v>
      </c>
      <c r="R1303" s="131">
        <v>1</v>
      </c>
      <c r="S1303" s="131">
        <v>15410</v>
      </c>
      <c r="U1303" s="131">
        <v>153.33000000000001</v>
      </c>
      <c r="V1303" s="132">
        <v>1.0000000000000001E-5</v>
      </c>
      <c r="W1303" s="132">
        <f t="shared" si="20"/>
        <v>1.2258767982616466E-2</v>
      </c>
      <c r="X1303" s="132">
        <v>5.6290754093939535E-4</v>
      </c>
    </row>
    <row r="1304" spans="1:24">
      <c r="A1304" t="s">
        <v>1213</v>
      </c>
      <c r="B1304" s="4">
        <v>9888</v>
      </c>
      <c r="C1304" t="s">
        <v>3786</v>
      </c>
      <c r="D1304" t="s">
        <v>3787</v>
      </c>
      <c r="E1304" t="s">
        <v>309</v>
      </c>
      <c r="F1304" t="s">
        <v>3786</v>
      </c>
      <c r="G1304" t="s">
        <v>3788</v>
      </c>
      <c r="H1304" t="s">
        <v>321</v>
      </c>
      <c r="I1304" t="s">
        <v>917</v>
      </c>
      <c r="J1304" t="s">
        <v>204</v>
      </c>
      <c r="K1304" t="s">
        <v>204</v>
      </c>
      <c r="L1304" t="s">
        <v>325</v>
      </c>
      <c r="M1304" t="s">
        <v>340</v>
      </c>
      <c r="N1304" t="s">
        <v>446</v>
      </c>
      <c r="O1304" t="s">
        <v>339</v>
      </c>
      <c r="P1304" t="s">
        <v>1212</v>
      </c>
      <c r="Q1304" s="131">
        <v>1000</v>
      </c>
      <c r="R1304" s="131">
        <v>1</v>
      </c>
      <c r="S1304" s="131">
        <v>14100</v>
      </c>
      <c r="U1304" s="131">
        <v>141</v>
      </c>
      <c r="V1304" s="132">
        <v>4.2000000000000002E-4</v>
      </c>
      <c r="W1304" s="132">
        <f t="shared" si="20"/>
        <v>1.1272981709704047E-2</v>
      </c>
      <c r="X1304" s="132">
        <v>5.1764144833010329E-4</v>
      </c>
    </row>
    <row r="1305" spans="1:24">
      <c r="A1305" t="s">
        <v>1213</v>
      </c>
      <c r="B1305" s="4">
        <v>9888</v>
      </c>
      <c r="C1305" t="s">
        <v>2404</v>
      </c>
      <c r="D1305" t="s">
        <v>2405</v>
      </c>
      <c r="E1305" t="s">
        <v>309</v>
      </c>
      <c r="F1305" t="s">
        <v>2404</v>
      </c>
      <c r="G1305" t="s">
        <v>3418</v>
      </c>
      <c r="H1305" t="s">
        <v>321</v>
      </c>
      <c r="I1305" t="s">
        <v>917</v>
      </c>
      <c r="J1305" t="s">
        <v>204</v>
      </c>
      <c r="K1305" t="s">
        <v>204</v>
      </c>
      <c r="L1305" t="s">
        <v>325</v>
      </c>
      <c r="M1305" t="s">
        <v>340</v>
      </c>
      <c r="N1305" t="s">
        <v>440</v>
      </c>
      <c r="O1305" t="s">
        <v>339</v>
      </c>
      <c r="P1305" t="s">
        <v>1212</v>
      </c>
      <c r="Q1305" s="131">
        <v>4574</v>
      </c>
      <c r="R1305" s="131">
        <v>1</v>
      </c>
      <c r="S1305" s="131">
        <v>3016</v>
      </c>
      <c r="U1305" s="131">
        <v>137.952</v>
      </c>
      <c r="V1305" s="132">
        <v>2.0000000000000002E-5</v>
      </c>
      <c r="W1305" s="132">
        <f t="shared" si="20"/>
        <v>1.1029293424234698E-2</v>
      </c>
      <c r="X1305" s="132">
        <v>5.064515821279036E-4</v>
      </c>
    </row>
    <row r="1306" spans="1:24">
      <c r="A1306" t="s">
        <v>1213</v>
      </c>
      <c r="B1306" s="4">
        <v>9888</v>
      </c>
      <c r="C1306" t="s">
        <v>1893</v>
      </c>
      <c r="D1306" t="s">
        <v>1894</v>
      </c>
      <c r="E1306" t="s">
        <v>309</v>
      </c>
      <c r="F1306" t="s">
        <v>1893</v>
      </c>
      <c r="G1306" t="s">
        <v>3599</v>
      </c>
      <c r="H1306" t="s">
        <v>321</v>
      </c>
      <c r="I1306" t="s">
        <v>917</v>
      </c>
      <c r="J1306" t="s">
        <v>204</v>
      </c>
      <c r="K1306" t="s">
        <v>204</v>
      </c>
      <c r="L1306" t="s">
        <v>325</v>
      </c>
      <c r="M1306" t="s">
        <v>340</v>
      </c>
      <c r="N1306" t="s">
        <v>464</v>
      </c>
      <c r="O1306" t="s">
        <v>339</v>
      </c>
      <c r="P1306" t="s">
        <v>1212</v>
      </c>
      <c r="Q1306" s="131">
        <v>1437</v>
      </c>
      <c r="R1306" s="131">
        <v>1</v>
      </c>
      <c r="S1306" s="131">
        <v>9550</v>
      </c>
      <c r="U1306" s="131">
        <v>137.23400000000001</v>
      </c>
      <c r="V1306" s="132">
        <v>4.0000000000000003E-5</v>
      </c>
      <c r="W1306" s="132">
        <f t="shared" si="20"/>
        <v>1.097188916276259E-2</v>
      </c>
      <c r="X1306" s="132">
        <v>5.038156490789603E-4</v>
      </c>
    </row>
    <row r="1307" spans="1:24">
      <c r="A1307" t="s">
        <v>1213</v>
      </c>
      <c r="B1307" s="4">
        <v>9888</v>
      </c>
      <c r="C1307" t="s">
        <v>1691</v>
      </c>
      <c r="D1307" t="s">
        <v>1692</v>
      </c>
      <c r="E1307" t="s">
        <v>309</v>
      </c>
      <c r="F1307" t="s">
        <v>3478</v>
      </c>
      <c r="G1307" t="s">
        <v>3479</v>
      </c>
      <c r="H1307" t="s">
        <v>321</v>
      </c>
      <c r="I1307" t="s">
        <v>917</v>
      </c>
      <c r="J1307" t="s">
        <v>204</v>
      </c>
      <c r="K1307" t="s">
        <v>204</v>
      </c>
      <c r="L1307" t="s">
        <v>325</v>
      </c>
      <c r="M1307" t="s">
        <v>340</v>
      </c>
      <c r="N1307" t="s">
        <v>464</v>
      </c>
      <c r="O1307" t="s">
        <v>339</v>
      </c>
      <c r="P1307" t="s">
        <v>1212</v>
      </c>
      <c r="Q1307" s="131">
        <v>8452</v>
      </c>
      <c r="R1307" s="131">
        <v>1</v>
      </c>
      <c r="S1307" s="131">
        <v>1513</v>
      </c>
      <c r="U1307" s="131">
        <v>127.879</v>
      </c>
      <c r="V1307" s="132">
        <v>4.0000000000000003E-5</v>
      </c>
      <c r="W1307" s="132">
        <f t="shared" si="20"/>
        <v>1.0223954808902438E-2</v>
      </c>
      <c r="X1307" s="132">
        <v>4.694714239078389E-4</v>
      </c>
    </row>
    <row r="1308" spans="1:24">
      <c r="A1308" t="s">
        <v>1213</v>
      </c>
      <c r="B1308" s="4">
        <v>9888</v>
      </c>
      <c r="C1308" t="s">
        <v>1624</v>
      </c>
      <c r="D1308" t="s">
        <v>1625</v>
      </c>
      <c r="E1308" t="s">
        <v>309</v>
      </c>
      <c r="F1308" t="s">
        <v>1624</v>
      </c>
      <c r="G1308" t="s">
        <v>3505</v>
      </c>
      <c r="H1308" t="s">
        <v>321</v>
      </c>
      <c r="I1308" t="s">
        <v>917</v>
      </c>
      <c r="J1308" t="s">
        <v>204</v>
      </c>
      <c r="K1308" t="s">
        <v>204</v>
      </c>
      <c r="L1308" t="s">
        <v>325</v>
      </c>
      <c r="M1308" t="s">
        <v>340</v>
      </c>
      <c r="N1308" t="s">
        <v>447</v>
      </c>
      <c r="O1308" t="s">
        <v>339</v>
      </c>
      <c r="P1308" t="s">
        <v>1212</v>
      </c>
      <c r="Q1308" s="131">
        <v>6958</v>
      </c>
      <c r="R1308" s="131">
        <v>1</v>
      </c>
      <c r="S1308" s="131">
        <v>1740</v>
      </c>
      <c r="U1308" s="131">
        <v>121.069</v>
      </c>
      <c r="V1308" s="132">
        <v>2.0000000000000002E-5</v>
      </c>
      <c r="W1308" s="132">
        <f t="shared" si="20"/>
        <v>9.6794937773912008E-3</v>
      </c>
      <c r="X1308" s="132">
        <v>4.4447044331827855E-4</v>
      </c>
    </row>
    <row r="1309" spans="1:24">
      <c r="A1309" t="s">
        <v>1213</v>
      </c>
      <c r="B1309" s="4">
        <v>9888</v>
      </c>
      <c r="C1309" t="s">
        <v>2178</v>
      </c>
      <c r="D1309" t="s">
        <v>2179</v>
      </c>
      <c r="E1309" t="s">
        <v>309</v>
      </c>
      <c r="F1309" t="s">
        <v>2178</v>
      </c>
      <c r="G1309" t="s">
        <v>3609</v>
      </c>
      <c r="H1309" t="s">
        <v>321</v>
      </c>
      <c r="I1309" t="s">
        <v>917</v>
      </c>
      <c r="J1309" t="s">
        <v>204</v>
      </c>
      <c r="K1309" t="s">
        <v>204</v>
      </c>
      <c r="L1309" t="s">
        <v>325</v>
      </c>
      <c r="M1309" t="s">
        <v>340</v>
      </c>
      <c r="N1309" t="s">
        <v>464</v>
      </c>
      <c r="O1309" t="s">
        <v>339</v>
      </c>
      <c r="P1309" t="s">
        <v>1212</v>
      </c>
      <c r="Q1309" s="131">
        <v>4220</v>
      </c>
      <c r="R1309" s="131">
        <v>1</v>
      </c>
      <c r="S1309" s="131">
        <v>2855</v>
      </c>
      <c r="U1309" s="131">
        <v>120.48099999999999</v>
      </c>
      <c r="V1309" s="132">
        <v>2.0000000000000002E-5</v>
      </c>
      <c r="W1309" s="132">
        <f t="shared" si="20"/>
        <v>9.6324830451549864E-3</v>
      </c>
      <c r="X1309" s="132">
        <v>4.4231176834226365E-4</v>
      </c>
    </row>
    <row r="1310" spans="1:24">
      <c r="A1310" t="s">
        <v>1213</v>
      </c>
      <c r="B1310" s="4">
        <v>9888</v>
      </c>
      <c r="C1310" t="s">
        <v>3125</v>
      </c>
      <c r="D1310" t="s">
        <v>3126</v>
      </c>
      <c r="E1310" t="s">
        <v>309</v>
      </c>
      <c r="F1310" t="s">
        <v>3125</v>
      </c>
      <c r="G1310" t="s">
        <v>3489</v>
      </c>
      <c r="H1310" t="s">
        <v>321</v>
      </c>
      <c r="I1310" t="s">
        <v>917</v>
      </c>
      <c r="J1310" t="s">
        <v>204</v>
      </c>
      <c r="K1310" t="s">
        <v>204</v>
      </c>
      <c r="L1310" t="s">
        <v>325</v>
      </c>
      <c r="M1310" t="s">
        <v>340</v>
      </c>
      <c r="N1310" t="s">
        <v>441</v>
      </c>
      <c r="O1310" t="s">
        <v>339</v>
      </c>
      <c r="P1310" t="s">
        <v>1212</v>
      </c>
      <c r="Q1310" s="131">
        <v>418</v>
      </c>
      <c r="R1310" s="131">
        <v>1</v>
      </c>
      <c r="S1310" s="131">
        <v>28560</v>
      </c>
      <c r="U1310" s="131">
        <v>119.381</v>
      </c>
      <c r="V1310" s="132">
        <v>1.0000000000000001E-5</v>
      </c>
      <c r="W1310" s="132">
        <f t="shared" si="20"/>
        <v>9.5445377977743176E-3</v>
      </c>
      <c r="X1310" s="132">
        <v>4.3827343080209971E-4</v>
      </c>
    </row>
    <row r="1311" spans="1:24">
      <c r="A1311" t="s">
        <v>1213</v>
      </c>
      <c r="B1311" s="4">
        <v>9888</v>
      </c>
      <c r="C1311" t="s">
        <v>2576</v>
      </c>
      <c r="D1311" t="s">
        <v>2577</v>
      </c>
      <c r="E1311" t="s">
        <v>309</v>
      </c>
      <c r="F1311" t="s">
        <v>2576</v>
      </c>
      <c r="G1311" t="s">
        <v>3621</v>
      </c>
      <c r="H1311" t="s">
        <v>321</v>
      </c>
      <c r="I1311" t="s">
        <v>917</v>
      </c>
      <c r="J1311" t="s">
        <v>204</v>
      </c>
      <c r="K1311" t="s">
        <v>204</v>
      </c>
      <c r="L1311" t="s">
        <v>325</v>
      </c>
      <c r="M1311" t="s">
        <v>340</v>
      </c>
      <c r="N1311" t="s">
        <v>451</v>
      </c>
      <c r="O1311" t="s">
        <v>339</v>
      </c>
      <c r="P1311" t="s">
        <v>1212</v>
      </c>
      <c r="Q1311" s="131">
        <v>138</v>
      </c>
      <c r="R1311" s="131">
        <v>1</v>
      </c>
      <c r="S1311" s="131">
        <v>81100</v>
      </c>
      <c r="U1311" s="131">
        <v>111.91800000000001</v>
      </c>
      <c r="V1311" s="132">
        <v>2.0000000000000002E-5</v>
      </c>
      <c r="W1311" s="132">
        <f t="shared" si="20"/>
        <v>8.9478692694089194E-3</v>
      </c>
      <c r="X1311" s="132">
        <v>4.108751462000603E-4</v>
      </c>
    </row>
    <row r="1312" spans="1:24">
      <c r="A1312" t="s">
        <v>1213</v>
      </c>
      <c r="B1312" s="4">
        <v>9888</v>
      </c>
      <c r="C1312" t="s">
        <v>2145</v>
      </c>
      <c r="D1312" t="s">
        <v>2146</v>
      </c>
      <c r="E1312" t="s">
        <v>309</v>
      </c>
      <c r="F1312" t="s">
        <v>3612</v>
      </c>
      <c r="G1312" t="s">
        <v>3613</v>
      </c>
      <c r="H1312" t="s">
        <v>321</v>
      </c>
      <c r="I1312" t="s">
        <v>917</v>
      </c>
      <c r="J1312" t="s">
        <v>204</v>
      </c>
      <c r="K1312" t="s">
        <v>204</v>
      </c>
      <c r="L1312" t="s">
        <v>325</v>
      </c>
      <c r="M1312" t="s">
        <v>340</v>
      </c>
      <c r="N1312" t="s">
        <v>445</v>
      </c>
      <c r="O1312" t="s">
        <v>339</v>
      </c>
      <c r="P1312" t="s">
        <v>1212</v>
      </c>
      <c r="Q1312" s="131">
        <v>1460</v>
      </c>
      <c r="R1312" s="131">
        <v>1</v>
      </c>
      <c r="S1312" s="131">
        <v>6329</v>
      </c>
      <c r="U1312" s="131">
        <v>92.403000000000006</v>
      </c>
      <c r="V1312" s="132">
        <v>2.0000000000000002E-5</v>
      </c>
      <c r="W1312" s="132">
        <f t="shared" si="20"/>
        <v>7.3876406306509438E-3</v>
      </c>
      <c r="X1312" s="132">
        <v>3.3923136702160663E-4</v>
      </c>
    </row>
    <row r="1313" spans="1:24">
      <c r="A1313" t="s">
        <v>1213</v>
      </c>
      <c r="B1313" s="4">
        <v>9888</v>
      </c>
      <c r="C1313" t="s">
        <v>2866</v>
      </c>
      <c r="D1313" t="s">
        <v>2867</v>
      </c>
      <c r="E1313" t="s">
        <v>309</v>
      </c>
      <c r="F1313" t="s">
        <v>2866</v>
      </c>
      <c r="G1313" t="s">
        <v>3663</v>
      </c>
      <c r="H1313" t="s">
        <v>321</v>
      </c>
      <c r="I1313" t="s">
        <v>917</v>
      </c>
      <c r="J1313" t="s">
        <v>204</v>
      </c>
      <c r="K1313" t="s">
        <v>204</v>
      </c>
      <c r="L1313" t="s">
        <v>325</v>
      </c>
      <c r="M1313" t="s">
        <v>340</v>
      </c>
      <c r="N1313" t="s">
        <v>464</v>
      </c>
      <c r="O1313" t="s">
        <v>339</v>
      </c>
      <c r="P1313" t="s">
        <v>1212</v>
      </c>
      <c r="Q1313" s="131">
        <v>22689.9</v>
      </c>
      <c r="R1313" s="131">
        <v>1</v>
      </c>
      <c r="S1313" s="131">
        <v>399.6</v>
      </c>
      <c r="U1313" s="131">
        <v>90.668999999999997</v>
      </c>
      <c r="V1313" s="132">
        <v>1.6000000000000001E-4</v>
      </c>
      <c r="W1313" s="132">
        <f t="shared" si="20"/>
        <v>7.2490069406890506E-3</v>
      </c>
      <c r="X1313" s="132">
        <v>3.3286547857193003E-4</v>
      </c>
    </row>
    <row r="1314" spans="1:24">
      <c r="A1314" t="s">
        <v>1213</v>
      </c>
      <c r="B1314" s="4">
        <v>9888</v>
      </c>
      <c r="C1314" t="s">
        <v>1634</v>
      </c>
      <c r="D1314" t="s">
        <v>1635</v>
      </c>
      <c r="E1314" t="s">
        <v>309</v>
      </c>
      <c r="F1314" t="s">
        <v>3437</v>
      </c>
      <c r="G1314" t="s">
        <v>3438</v>
      </c>
      <c r="H1314" t="s">
        <v>321</v>
      </c>
      <c r="I1314" t="s">
        <v>917</v>
      </c>
      <c r="J1314" t="s">
        <v>204</v>
      </c>
      <c r="K1314" t="s">
        <v>204</v>
      </c>
      <c r="L1314" t="s">
        <v>325</v>
      </c>
      <c r="M1314" t="s">
        <v>340</v>
      </c>
      <c r="N1314" t="s">
        <v>454</v>
      </c>
      <c r="O1314" t="s">
        <v>339</v>
      </c>
      <c r="P1314" t="s">
        <v>1212</v>
      </c>
      <c r="Q1314" s="131">
        <v>1741</v>
      </c>
      <c r="R1314" s="131">
        <v>1</v>
      </c>
      <c r="S1314" s="131">
        <v>5205</v>
      </c>
      <c r="U1314" s="131">
        <v>90.619</v>
      </c>
      <c r="V1314" s="132">
        <v>2.0000000000000002E-5</v>
      </c>
      <c r="W1314" s="132">
        <f t="shared" si="20"/>
        <v>7.2450094294444749E-3</v>
      </c>
      <c r="X1314" s="132">
        <v>3.3268191777464988E-4</v>
      </c>
    </row>
    <row r="1315" spans="1:24">
      <c r="A1315" t="s">
        <v>1213</v>
      </c>
      <c r="B1315" s="4">
        <v>9888</v>
      </c>
      <c r="C1315" t="s">
        <v>2396</v>
      </c>
      <c r="D1315" t="s">
        <v>2397</v>
      </c>
      <c r="E1315" t="s">
        <v>309</v>
      </c>
      <c r="F1315" t="s">
        <v>2396</v>
      </c>
      <c r="G1315" t="s">
        <v>3659</v>
      </c>
      <c r="H1315" t="s">
        <v>321</v>
      </c>
      <c r="I1315" t="s">
        <v>917</v>
      </c>
      <c r="J1315" t="s">
        <v>204</v>
      </c>
      <c r="K1315" t="s">
        <v>204</v>
      </c>
      <c r="L1315" t="s">
        <v>325</v>
      </c>
      <c r="M1315" t="s">
        <v>340</v>
      </c>
      <c r="N1315" t="s">
        <v>451</v>
      </c>
      <c r="O1315" t="s">
        <v>339</v>
      </c>
      <c r="P1315" t="s">
        <v>1212</v>
      </c>
      <c r="Q1315" s="131">
        <v>139435</v>
      </c>
      <c r="R1315" s="131">
        <v>1</v>
      </c>
      <c r="S1315" s="131">
        <v>64.8</v>
      </c>
      <c r="U1315" s="131">
        <v>90.353999999999999</v>
      </c>
      <c r="V1315" s="132">
        <v>1.1E-4</v>
      </c>
      <c r="W1315" s="132">
        <f t="shared" si="20"/>
        <v>7.2238226198482226E-3</v>
      </c>
      <c r="X1315" s="132">
        <v>3.3170904554906492E-4</v>
      </c>
    </row>
    <row r="1316" spans="1:24">
      <c r="A1316" t="s">
        <v>1213</v>
      </c>
      <c r="B1316" s="4">
        <v>9888</v>
      </c>
      <c r="C1316" t="s">
        <v>2203</v>
      </c>
      <c r="D1316" t="s">
        <v>2204</v>
      </c>
      <c r="E1316" t="s">
        <v>309</v>
      </c>
      <c r="F1316" t="s">
        <v>3606</v>
      </c>
      <c r="G1316" t="s">
        <v>3607</v>
      </c>
      <c r="H1316" t="s">
        <v>321</v>
      </c>
      <c r="I1316" t="s">
        <v>917</v>
      </c>
      <c r="J1316" t="s">
        <v>204</v>
      </c>
      <c r="K1316" t="s">
        <v>204</v>
      </c>
      <c r="L1316" t="s">
        <v>325</v>
      </c>
      <c r="M1316" t="s">
        <v>340</v>
      </c>
      <c r="N1316" t="s">
        <v>459</v>
      </c>
      <c r="O1316" t="s">
        <v>339</v>
      </c>
      <c r="P1316" t="s">
        <v>1212</v>
      </c>
      <c r="Q1316" s="131">
        <v>1370</v>
      </c>
      <c r="R1316" s="131">
        <v>1</v>
      </c>
      <c r="S1316" s="131">
        <v>5930</v>
      </c>
      <c r="U1316" s="131">
        <v>81.241</v>
      </c>
      <c r="V1316" s="132">
        <v>1.0000000000000001E-5</v>
      </c>
      <c r="W1316" s="132">
        <f t="shared" si="20"/>
        <v>6.4952362204118187E-3</v>
      </c>
      <c r="X1316" s="132">
        <v>2.982532546367796E-4</v>
      </c>
    </row>
    <row r="1317" spans="1:24">
      <c r="A1317" t="s">
        <v>1213</v>
      </c>
      <c r="B1317" s="4">
        <v>9888</v>
      </c>
      <c r="C1317" t="s">
        <v>2356</v>
      </c>
      <c r="D1317" t="s">
        <v>2357</v>
      </c>
      <c r="E1317" t="s">
        <v>309</v>
      </c>
      <c r="F1317" t="s">
        <v>2356</v>
      </c>
      <c r="G1317" t="s">
        <v>3645</v>
      </c>
      <c r="H1317" t="s">
        <v>321</v>
      </c>
      <c r="I1317" t="s">
        <v>917</v>
      </c>
      <c r="J1317" t="s">
        <v>204</v>
      </c>
      <c r="K1317" t="s">
        <v>204</v>
      </c>
      <c r="L1317" t="s">
        <v>325</v>
      </c>
      <c r="M1317" t="s">
        <v>340</v>
      </c>
      <c r="N1317" t="s">
        <v>447</v>
      </c>
      <c r="O1317" t="s">
        <v>339</v>
      </c>
      <c r="P1317" t="s">
        <v>1212</v>
      </c>
      <c r="Q1317" s="131">
        <v>8578</v>
      </c>
      <c r="R1317" s="131">
        <v>1</v>
      </c>
      <c r="S1317" s="131">
        <v>898.1</v>
      </c>
      <c r="U1317" s="131">
        <v>77.039000000000001</v>
      </c>
      <c r="V1317" s="132">
        <v>2.0000000000000002E-5</v>
      </c>
      <c r="W1317" s="132">
        <f t="shared" si="20"/>
        <v>6.1592853754176601E-3</v>
      </c>
      <c r="X1317" s="132">
        <v>2.8282680523335338E-4</v>
      </c>
    </row>
    <row r="1318" spans="1:24">
      <c r="A1318" t="s">
        <v>1213</v>
      </c>
      <c r="B1318" s="4">
        <v>9888</v>
      </c>
      <c r="C1318" t="s">
        <v>1820</v>
      </c>
      <c r="D1318" t="s">
        <v>1821</v>
      </c>
      <c r="E1318" t="s">
        <v>309</v>
      </c>
      <c r="F1318" t="s">
        <v>3632</v>
      </c>
      <c r="G1318" t="s">
        <v>3633</v>
      </c>
      <c r="H1318" t="s">
        <v>321</v>
      </c>
      <c r="I1318" t="s">
        <v>917</v>
      </c>
      <c r="J1318" t="s">
        <v>204</v>
      </c>
      <c r="K1318" t="s">
        <v>204</v>
      </c>
      <c r="L1318" t="s">
        <v>325</v>
      </c>
      <c r="M1318" t="s">
        <v>340</v>
      </c>
      <c r="N1318" t="s">
        <v>464</v>
      </c>
      <c r="O1318" t="s">
        <v>339</v>
      </c>
      <c r="P1318" t="s">
        <v>1212</v>
      </c>
      <c r="Q1318" s="131">
        <v>1353</v>
      </c>
      <c r="R1318" s="131">
        <v>1</v>
      </c>
      <c r="S1318" s="131">
        <v>5594</v>
      </c>
      <c r="U1318" s="131">
        <v>75.686999999999998</v>
      </c>
      <c r="V1318" s="132">
        <v>1.0000000000000001E-5</v>
      </c>
      <c r="W1318" s="132">
        <f t="shared" si="20"/>
        <v>6.0511926713643274E-3</v>
      </c>
      <c r="X1318" s="132">
        <v>2.7786332127489736E-4</v>
      </c>
    </row>
    <row r="1319" spans="1:24">
      <c r="A1319" t="s">
        <v>1213</v>
      </c>
      <c r="B1319" s="4">
        <v>9888</v>
      </c>
      <c r="C1319" t="s">
        <v>3469</v>
      </c>
      <c r="D1319" t="s">
        <v>3470</v>
      </c>
      <c r="E1319" t="s">
        <v>309</v>
      </c>
      <c r="F1319" t="s">
        <v>3471</v>
      </c>
      <c r="G1319" t="s">
        <v>3472</v>
      </c>
      <c r="H1319" t="s">
        <v>321</v>
      </c>
      <c r="I1319" t="s">
        <v>917</v>
      </c>
      <c r="J1319" t="s">
        <v>204</v>
      </c>
      <c r="K1319" t="s">
        <v>204</v>
      </c>
      <c r="L1319" t="s">
        <v>325</v>
      </c>
      <c r="M1319" t="s">
        <v>340</v>
      </c>
      <c r="N1319" t="s">
        <v>454</v>
      </c>
      <c r="O1319" t="s">
        <v>339</v>
      </c>
      <c r="P1319" t="s">
        <v>1212</v>
      </c>
      <c r="Q1319" s="131">
        <v>6859</v>
      </c>
      <c r="R1319" s="131">
        <v>1</v>
      </c>
      <c r="S1319" s="131">
        <v>1025</v>
      </c>
      <c r="U1319" s="131">
        <v>70.305000000000007</v>
      </c>
      <c r="V1319" s="132">
        <v>1.0000000000000001E-5</v>
      </c>
      <c r="W1319" s="132">
        <f t="shared" si="20"/>
        <v>5.6209005609981775E-3</v>
      </c>
      <c r="X1319" s="132">
        <v>2.5810483705565899E-4</v>
      </c>
    </row>
    <row r="1320" spans="1:24">
      <c r="A1320" t="s">
        <v>1213</v>
      </c>
      <c r="B1320" s="4">
        <v>9888</v>
      </c>
      <c r="C1320" t="s">
        <v>1534</v>
      </c>
      <c r="D1320" t="s">
        <v>1535</v>
      </c>
      <c r="E1320" t="s">
        <v>309</v>
      </c>
      <c r="F1320" t="s">
        <v>1534</v>
      </c>
      <c r="G1320" t="s">
        <v>3509</v>
      </c>
      <c r="H1320" t="s">
        <v>321</v>
      </c>
      <c r="I1320" t="s">
        <v>917</v>
      </c>
      <c r="J1320" t="s">
        <v>204</v>
      </c>
      <c r="K1320" t="s">
        <v>204</v>
      </c>
      <c r="L1320" t="s">
        <v>325</v>
      </c>
      <c r="M1320" t="s">
        <v>340</v>
      </c>
      <c r="N1320" t="s">
        <v>464</v>
      </c>
      <c r="O1320" t="s">
        <v>339</v>
      </c>
      <c r="P1320" t="s">
        <v>1212</v>
      </c>
      <c r="Q1320" s="131">
        <v>4315</v>
      </c>
      <c r="R1320" s="131">
        <v>1</v>
      </c>
      <c r="S1320" s="131">
        <v>1609</v>
      </c>
      <c r="U1320" s="131">
        <v>69.427999999999997</v>
      </c>
      <c r="V1320" s="132">
        <v>1.0000000000000001E-5</v>
      </c>
      <c r="W1320" s="132">
        <f t="shared" si="20"/>
        <v>5.550784213768316E-3</v>
      </c>
      <c r="X1320" s="132">
        <v>2.5488518067136464E-4</v>
      </c>
    </row>
    <row r="1321" spans="1:24">
      <c r="A1321" t="s">
        <v>1213</v>
      </c>
      <c r="B1321" s="4">
        <v>9888</v>
      </c>
      <c r="C1321" t="s">
        <v>3433</v>
      </c>
      <c r="D1321" t="s">
        <v>3434</v>
      </c>
      <c r="E1321" t="s">
        <v>309</v>
      </c>
      <c r="F1321" t="s">
        <v>3433</v>
      </c>
      <c r="G1321" t="s">
        <v>3435</v>
      </c>
      <c r="H1321" t="s">
        <v>321</v>
      </c>
      <c r="I1321" t="s">
        <v>917</v>
      </c>
      <c r="J1321" t="s">
        <v>204</v>
      </c>
      <c r="K1321" t="s">
        <v>204</v>
      </c>
      <c r="L1321" t="s">
        <v>325</v>
      </c>
      <c r="M1321" t="s">
        <v>340</v>
      </c>
      <c r="N1321" t="s">
        <v>458</v>
      </c>
      <c r="O1321" t="s">
        <v>339</v>
      </c>
      <c r="P1321" t="s">
        <v>1212</v>
      </c>
      <c r="Q1321" s="131">
        <v>203</v>
      </c>
      <c r="R1321" s="131">
        <v>1</v>
      </c>
      <c r="S1321" s="131">
        <v>29980</v>
      </c>
      <c r="U1321" s="131">
        <v>60.859000000000002</v>
      </c>
      <c r="V1321" s="132">
        <v>0</v>
      </c>
      <c r="W1321" s="132">
        <f t="shared" si="20"/>
        <v>4.8656907366728978E-3</v>
      </c>
      <c r="X1321" s="132">
        <v>2.2342653123348763E-4</v>
      </c>
    </row>
    <row r="1322" spans="1:24">
      <c r="A1322" t="s">
        <v>1213</v>
      </c>
      <c r="B1322" s="4">
        <v>9888</v>
      </c>
      <c r="C1322" t="s">
        <v>3461</v>
      </c>
      <c r="D1322" t="s">
        <v>3462</v>
      </c>
      <c r="E1322" t="s">
        <v>309</v>
      </c>
      <c r="F1322" t="s">
        <v>3461</v>
      </c>
      <c r="G1322" t="s">
        <v>3463</v>
      </c>
      <c r="H1322" t="s">
        <v>321</v>
      </c>
      <c r="I1322" t="s">
        <v>917</v>
      </c>
      <c r="J1322" t="s">
        <v>204</v>
      </c>
      <c r="K1322" t="s">
        <v>204</v>
      </c>
      <c r="L1322" t="s">
        <v>325</v>
      </c>
      <c r="M1322" t="s">
        <v>340</v>
      </c>
      <c r="N1322" t="s">
        <v>475</v>
      </c>
      <c r="O1322" t="s">
        <v>339</v>
      </c>
      <c r="P1322" t="s">
        <v>1212</v>
      </c>
      <c r="Q1322" s="131">
        <v>196</v>
      </c>
      <c r="R1322" s="131">
        <v>1</v>
      </c>
      <c r="S1322" s="131">
        <v>28150</v>
      </c>
      <c r="U1322" s="131">
        <v>55.173999999999999</v>
      </c>
      <c r="V1322" s="132">
        <v>1.0000000000000001E-5</v>
      </c>
      <c r="W1322" s="132">
        <f t="shared" si="20"/>
        <v>4.4111737081646172E-3</v>
      </c>
      <c r="X1322" s="132">
        <v>2.0255566858273135E-4</v>
      </c>
    </row>
    <row r="1323" spans="1:24">
      <c r="A1323" t="s">
        <v>1213</v>
      </c>
      <c r="B1323" s="4">
        <v>9888</v>
      </c>
      <c r="C1323" t="s">
        <v>3694</v>
      </c>
      <c r="D1323" t="s">
        <v>3695</v>
      </c>
      <c r="E1323" t="s">
        <v>309</v>
      </c>
      <c r="F1323" t="s">
        <v>3694</v>
      </c>
      <c r="G1323" t="s">
        <v>3696</v>
      </c>
      <c r="H1323" t="s">
        <v>321</v>
      </c>
      <c r="I1323" t="s">
        <v>917</v>
      </c>
      <c r="J1323" t="s">
        <v>204</v>
      </c>
      <c r="K1323" t="s">
        <v>204</v>
      </c>
      <c r="L1323" t="s">
        <v>325</v>
      </c>
      <c r="M1323" t="s">
        <v>340</v>
      </c>
      <c r="N1323" t="s">
        <v>451</v>
      </c>
      <c r="O1323" t="s">
        <v>339</v>
      </c>
      <c r="P1323" t="s">
        <v>1212</v>
      </c>
      <c r="Q1323" s="131">
        <v>463</v>
      </c>
      <c r="R1323" s="131">
        <v>1</v>
      </c>
      <c r="S1323" s="131">
        <v>11080</v>
      </c>
      <c r="U1323" s="131">
        <v>51.3</v>
      </c>
      <c r="V1323" s="132">
        <v>1.0000000000000001E-5</v>
      </c>
      <c r="W1323" s="132">
        <f t="shared" si="20"/>
        <v>4.1014465369348767E-3</v>
      </c>
      <c r="X1323" s="132">
        <v>1.8833337800946311E-4</v>
      </c>
    </row>
    <row r="1324" spans="1:24">
      <c r="A1324" t="s">
        <v>1213</v>
      </c>
      <c r="B1324" s="4">
        <v>9888</v>
      </c>
      <c r="C1324" t="s">
        <v>2211</v>
      </c>
      <c r="D1324" t="s">
        <v>2212</v>
      </c>
      <c r="E1324" t="s">
        <v>309</v>
      </c>
      <c r="F1324" t="s">
        <v>2211</v>
      </c>
      <c r="G1324" t="s">
        <v>3617</v>
      </c>
      <c r="H1324" t="s">
        <v>321</v>
      </c>
      <c r="I1324" t="s">
        <v>917</v>
      </c>
      <c r="J1324" t="s">
        <v>204</v>
      </c>
      <c r="K1324" t="s">
        <v>204</v>
      </c>
      <c r="L1324" t="s">
        <v>325</v>
      </c>
      <c r="M1324" t="s">
        <v>340</v>
      </c>
      <c r="N1324" t="s">
        <v>454</v>
      </c>
      <c r="O1324" t="s">
        <v>339</v>
      </c>
      <c r="P1324" t="s">
        <v>1212</v>
      </c>
      <c r="Q1324" s="131">
        <v>104</v>
      </c>
      <c r="R1324" s="131">
        <v>1</v>
      </c>
      <c r="S1324" s="131">
        <v>43600</v>
      </c>
      <c r="U1324" s="131">
        <v>45.344000000000001</v>
      </c>
      <c r="V1324" s="132">
        <v>1.0000000000000001E-5</v>
      </c>
      <c r="W1324" s="132">
        <f t="shared" si="20"/>
        <v>3.6252629974809951E-3</v>
      </c>
      <c r="X1324" s="132">
        <v>1.6646761583744826E-4</v>
      </c>
    </row>
    <row r="1325" spans="1:24">
      <c r="A1325" t="s">
        <v>1213</v>
      </c>
      <c r="B1325" s="4">
        <v>9888</v>
      </c>
      <c r="C1325" t="s">
        <v>3284</v>
      </c>
      <c r="D1325" t="s">
        <v>3285</v>
      </c>
      <c r="E1325" t="s">
        <v>311</v>
      </c>
      <c r="F1325" t="s">
        <v>3284</v>
      </c>
      <c r="G1325" t="s">
        <v>3510</v>
      </c>
      <c r="H1325" t="s">
        <v>321</v>
      </c>
      <c r="I1325" t="s">
        <v>917</v>
      </c>
      <c r="J1325" t="s">
        <v>204</v>
      </c>
      <c r="K1325" t="s">
        <v>233</v>
      </c>
      <c r="L1325" t="s">
        <v>325</v>
      </c>
      <c r="M1325" t="s">
        <v>340</v>
      </c>
      <c r="N1325" t="s">
        <v>454</v>
      </c>
      <c r="O1325" t="s">
        <v>339</v>
      </c>
      <c r="P1325" t="s">
        <v>1212</v>
      </c>
      <c r="Q1325" s="131">
        <v>695</v>
      </c>
      <c r="R1325" s="131">
        <v>1</v>
      </c>
      <c r="S1325" s="131">
        <v>4556</v>
      </c>
      <c r="T1325" s="131">
        <f>0.776-2.495/1000/R1325</f>
        <v>0.773505</v>
      </c>
      <c r="U1325" s="131">
        <f>32.44-2.495/1000</f>
        <v>32.437504999999994</v>
      </c>
      <c r="V1325" s="132">
        <v>0</v>
      </c>
      <c r="W1325" s="132">
        <f t="shared" si="20"/>
        <v>2.5933858196697411E-3</v>
      </c>
      <c r="X1325" s="132">
        <v>1.1908508559159549E-4</v>
      </c>
    </row>
    <row r="1326" spans="1:24">
      <c r="A1326" t="s">
        <v>1213</v>
      </c>
      <c r="B1326" s="4">
        <v>9888</v>
      </c>
      <c r="C1326" t="s">
        <v>2343</v>
      </c>
      <c r="D1326" t="s">
        <v>2344</v>
      </c>
      <c r="E1326" t="s">
        <v>309</v>
      </c>
      <c r="F1326" t="s">
        <v>3619</v>
      </c>
      <c r="G1326" t="s">
        <v>3620</v>
      </c>
      <c r="H1326" t="s">
        <v>321</v>
      </c>
      <c r="I1326" t="s">
        <v>917</v>
      </c>
      <c r="J1326" t="s">
        <v>204</v>
      </c>
      <c r="K1326" t="s">
        <v>204</v>
      </c>
      <c r="L1326" t="s">
        <v>325</v>
      </c>
      <c r="M1326" t="s">
        <v>340</v>
      </c>
      <c r="N1326" t="s">
        <v>476</v>
      </c>
      <c r="O1326" t="s">
        <v>339</v>
      </c>
      <c r="P1326" t="s">
        <v>1212</v>
      </c>
      <c r="Q1326" s="131">
        <v>76</v>
      </c>
      <c r="R1326" s="131">
        <v>1</v>
      </c>
      <c r="S1326" s="131">
        <v>29830</v>
      </c>
      <c r="U1326" s="131">
        <v>22.670999999999999</v>
      </c>
      <c r="V1326" s="132">
        <v>0</v>
      </c>
      <c r="W1326" s="132">
        <f t="shared" si="20"/>
        <v>1.8125515485156059E-3</v>
      </c>
      <c r="X1326" s="132">
        <v>8.323013670277852E-5</v>
      </c>
    </row>
    <row r="1327" spans="1:24">
      <c r="A1327" t="s">
        <v>1213</v>
      </c>
      <c r="B1327" s="4">
        <v>9888</v>
      </c>
      <c r="C1327" t="s">
        <v>2428</v>
      </c>
      <c r="D1327" t="s">
        <v>2429</v>
      </c>
      <c r="E1327" t="s">
        <v>309</v>
      </c>
      <c r="F1327" t="s">
        <v>2428</v>
      </c>
      <c r="G1327" t="s">
        <v>3459</v>
      </c>
      <c r="H1327" t="s">
        <v>321</v>
      </c>
      <c r="I1327" t="s">
        <v>917</v>
      </c>
      <c r="J1327" t="s">
        <v>204</v>
      </c>
      <c r="K1327" t="s">
        <v>204</v>
      </c>
      <c r="L1327" t="s">
        <v>325</v>
      </c>
      <c r="M1327" t="s">
        <v>340</v>
      </c>
      <c r="N1327" t="s">
        <v>454</v>
      </c>
      <c r="O1327" t="s">
        <v>339</v>
      </c>
      <c r="P1327" t="s">
        <v>1212</v>
      </c>
      <c r="Q1327" s="131">
        <v>13996</v>
      </c>
      <c r="R1327" s="131">
        <v>1</v>
      </c>
      <c r="S1327" s="131">
        <v>161.9</v>
      </c>
      <c r="U1327" s="131">
        <v>22.66</v>
      </c>
      <c r="V1327" s="132">
        <v>1.0000000000000001E-5</v>
      </c>
      <c r="W1327" s="132">
        <f t="shared" si="20"/>
        <v>1.8116720960417994E-3</v>
      </c>
      <c r="X1327" s="132">
        <v>8.3189753327376885E-5</v>
      </c>
    </row>
    <row r="1328" spans="1:24">
      <c r="A1328" t="s">
        <v>1213</v>
      </c>
      <c r="B1328" s="4">
        <v>9888</v>
      </c>
      <c r="C1328" t="s">
        <v>2789</v>
      </c>
      <c r="D1328" t="s">
        <v>2790</v>
      </c>
      <c r="E1328" t="s">
        <v>309</v>
      </c>
      <c r="F1328" t="s">
        <v>2789</v>
      </c>
      <c r="G1328" t="s">
        <v>3480</v>
      </c>
      <c r="H1328" t="s">
        <v>321</v>
      </c>
      <c r="I1328" t="s">
        <v>917</v>
      </c>
      <c r="J1328" t="s">
        <v>204</v>
      </c>
      <c r="K1328" t="s">
        <v>204</v>
      </c>
      <c r="L1328" t="s">
        <v>325</v>
      </c>
      <c r="M1328" t="s">
        <v>340</v>
      </c>
      <c r="N1328" t="s">
        <v>441</v>
      </c>
      <c r="O1328" t="s">
        <v>339</v>
      </c>
      <c r="P1328" t="s">
        <v>1212</v>
      </c>
      <c r="Q1328" s="131">
        <v>1488</v>
      </c>
      <c r="R1328" s="131">
        <v>1</v>
      </c>
      <c r="S1328" s="131">
        <v>1348</v>
      </c>
      <c r="U1328" s="131">
        <v>20.058</v>
      </c>
      <c r="V1328" s="132">
        <v>0</v>
      </c>
      <c r="W1328" s="132">
        <f t="shared" si="20"/>
        <v>1.6036416108740693E-3</v>
      </c>
      <c r="X1328" s="132">
        <v>7.3637249436916394E-5</v>
      </c>
    </row>
    <row r="1329" spans="1:24">
      <c r="A1329" t="s">
        <v>1213</v>
      </c>
      <c r="B1329" s="4">
        <v>9888</v>
      </c>
      <c r="C1329" t="s">
        <v>2238</v>
      </c>
      <c r="D1329" t="s">
        <v>2239</v>
      </c>
      <c r="E1329" t="s">
        <v>309</v>
      </c>
      <c r="F1329" t="s">
        <v>2238</v>
      </c>
      <c r="G1329" t="s">
        <v>3785</v>
      </c>
      <c r="H1329" t="s">
        <v>321</v>
      </c>
      <c r="I1329" t="s">
        <v>917</v>
      </c>
      <c r="J1329" t="s">
        <v>204</v>
      </c>
      <c r="K1329" t="s">
        <v>204</v>
      </c>
      <c r="L1329" t="s">
        <v>325</v>
      </c>
      <c r="M1329" t="s">
        <v>340</v>
      </c>
      <c r="N1329" t="s">
        <v>447</v>
      </c>
      <c r="O1329" t="s">
        <v>339</v>
      </c>
      <c r="P1329" t="s">
        <v>1212</v>
      </c>
      <c r="Q1329" s="131">
        <v>46</v>
      </c>
      <c r="R1329" s="131">
        <v>1</v>
      </c>
      <c r="S1329" s="131">
        <v>33200</v>
      </c>
      <c r="U1329" s="131">
        <v>15.272</v>
      </c>
      <c r="V1329" s="132">
        <v>0</v>
      </c>
      <c r="W1329" s="132">
        <f t="shared" si="20"/>
        <v>1.2209998345432639E-3</v>
      </c>
      <c r="X1329" s="132">
        <v>5.6066809921257714E-5</v>
      </c>
    </row>
    <row r="1330" spans="1:24">
      <c r="A1330" t="s">
        <v>1213</v>
      </c>
      <c r="B1330" s="4">
        <v>9888</v>
      </c>
      <c r="C1330" t="s">
        <v>3852</v>
      </c>
      <c r="D1330" t="s">
        <v>3853</v>
      </c>
      <c r="E1330" t="s">
        <v>309</v>
      </c>
      <c r="F1330" t="s">
        <v>3854</v>
      </c>
      <c r="G1330" t="s">
        <v>3855</v>
      </c>
      <c r="H1330" t="s">
        <v>321</v>
      </c>
      <c r="I1330" t="s">
        <v>917</v>
      </c>
      <c r="J1330" t="s">
        <v>204</v>
      </c>
      <c r="K1330" t="s">
        <v>204</v>
      </c>
      <c r="L1330" t="s">
        <v>325</v>
      </c>
      <c r="M1330" t="s">
        <v>340</v>
      </c>
      <c r="N1330" t="s">
        <v>450</v>
      </c>
      <c r="O1330" t="s">
        <v>339</v>
      </c>
      <c r="P1330" t="s">
        <v>1212</v>
      </c>
      <c r="Q1330" s="131">
        <v>5688</v>
      </c>
      <c r="R1330" s="131">
        <v>1</v>
      </c>
      <c r="S1330" s="131">
        <v>161</v>
      </c>
      <c r="U1330" s="131">
        <v>9.1579999999999995</v>
      </c>
      <c r="V1330" s="132">
        <v>4.6000000000000001E-4</v>
      </c>
      <c r="W1330" s="132">
        <f t="shared" si="20"/>
        <v>7.3218415955652238E-4</v>
      </c>
      <c r="X1330" s="132">
        <v>3.3620995629837486E-5</v>
      </c>
    </row>
    <row r="1331" spans="1:24">
      <c r="A1331" t="s">
        <v>1213</v>
      </c>
      <c r="B1331" s="4">
        <v>9888</v>
      </c>
      <c r="C1331" t="s">
        <v>2812</v>
      </c>
      <c r="D1331" t="s">
        <v>2813</v>
      </c>
      <c r="E1331" t="s">
        <v>309</v>
      </c>
      <c r="F1331" t="s">
        <v>2812</v>
      </c>
      <c r="G1331" t="s">
        <v>3637</v>
      </c>
      <c r="H1331" t="s">
        <v>321</v>
      </c>
      <c r="I1331" t="s">
        <v>917</v>
      </c>
      <c r="J1331" t="s">
        <v>204</v>
      </c>
      <c r="K1331" t="s">
        <v>204</v>
      </c>
      <c r="L1331" t="s">
        <v>325</v>
      </c>
      <c r="M1331" t="s">
        <v>340</v>
      </c>
      <c r="N1331" t="s">
        <v>447</v>
      </c>
      <c r="O1331" t="s">
        <v>339</v>
      </c>
      <c r="P1331" t="s">
        <v>1212</v>
      </c>
      <c r="Q1331" s="131">
        <v>36</v>
      </c>
      <c r="R1331" s="131">
        <v>1</v>
      </c>
      <c r="S1331" s="131">
        <v>24250</v>
      </c>
      <c r="U1331" s="131">
        <v>8.73</v>
      </c>
      <c r="V1331" s="132">
        <v>0</v>
      </c>
      <c r="W1331" s="132">
        <f t="shared" si="20"/>
        <v>6.9796546330295269E-4</v>
      </c>
      <c r="X1331" s="132">
        <v>3.2049715205119166E-5</v>
      </c>
    </row>
    <row r="1332" spans="1:24">
      <c r="A1332" t="s">
        <v>1213</v>
      </c>
      <c r="B1332" s="4">
        <v>9888</v>
      </c>
      <c r="C1332" t="s">
        <v>3498</v>
      </c>
      <c r="D1332" t="s">
        <v>3499</v>
      </c>
      <c r="E1332" t="s">
        <v>309</v>
      </c>
      <c r="F1332" t="s">
        <v>3500</v>
      </c>
      <c r="G1332" t="s">
        <v>3501</v>
      </c>
      <c r="H1332" t="s">
        <v>321</v>
      </c>
      <c r="I1332" t="s">
        <v>917</v>
      </c>
      <c r="J1332" t="s">
        <v>204</v>
      </c>
      <c r="K1332" t="s">
        <v>204</v>
      </c>
      <c r="L1332" t="s">
        <v>325</v>
      </c>
      <c r="M1332" t="s">
        <v>340</v>
      </c>
      <c r="N1332" t="s">
        <v>476</v>
      </c>
      <c r="O1332" t="s">
        <v>339</v>
      </c>
      <c r="P1332" t="s">
        <v>1212</v>
      </c>
      <c r="Q1332" s="131">
        <v>172</v>
      </c>
      <c r="R1332" s="131">
        <v>1</v>
      </c>
      <c r="S1332" s="131">
        <v>5029</v>
      </c>
      <c r="U1332" s="131">
        <v>8.65</v>
      </c>
      <c r="V1332" s="132">
        <v>0</v>
      </c>
      <c r="W1332" s="132">
        <f t="shared" si="20"/>
        <v>6.9156944531163127E-4</v>
      </c>
      <c r="X1332" s="132">
        <v>3.1756017929470875E-5</v>
      </c>
    </row>
    <row r="1333" spans="1:24">
      <c r="A1333" t="s">
        <v>1213</v>
      </c>
      <c r="B1333" s="4">
        <v>9888</v>
      </c>
      <c r="C1333" t="s">
        <v>1737</v>
      </c>
      <c r="D1333" t="s">
        <v>1738</v>
      </c>
      <c r="E1333" t="s">
        <v>309</v>
      </c>
      <c r="F1333" t="s">
        <v>3530</v>
      </c>
      <c r="G1333" t="s">
        <v>3531</v>
      </c>
      <c r="H1333" t="s">
        <v>321</v>
      </c>
      <c r="I1333" t="s">
        <v>917</v>
      </c>
      <c r="J1333" t="s">
        <v>204</v>
      </c>
      <c r="K1333" t="s">
        <v>204</v>
      </c>
      <c r="L1333" t="s">
        <v>325</v>
      </c>
      <c r="M1333" t="s">
        <v>340</v>
      </c>
      <c r="N1333" t="s">
        <v>447</v>
      </c>
      <c r="O1333" t="s">
        <v>339</v>
      </c>
      <c r="P1333" t="s">
        <v>1212</v>
      </c>
      <c r="Q1333" s="131">
        <v>343</v>
      </c>
      <c r="R1333" s="131">
        <v>1</v>
      </c>
      <c r="S1333" s="131">
        <v>1628</v>
      </c>
      <c r="U1333" s="131">
        <v>5.5839999999999996</v>
      </c>
      <c r="V1333" s="132">
        <v>1.0000000000000001E-5</v>
      </c>
      <c r="W1333" s="132">
        <f t="shared" si="20"/>
        <v>4.4644205579423682E-4</v>
      </c>
      <c r="X1333" s="132">
        <v>2.050006984025033E-5</v>
      </c>
    </row>
    <row r="1334" spans="1:24">
      <c r="A1334" t="s">
        <v>1213</v>
      </c>
      <c r="B1334" s="4">
        <v>9888</v>
      </c>
      <c r="C1334" t="s">
        <v>2454</v>
      </c>
      <c r="D1334" t="s">
        <v>2455</v>
      </c>
      <c r="E1334" t="s">
        <v>309</v>
      </c>
      <c r="F1334" t="s">
        <v>2454</v>
      </c>
      <c r="G1334" t="s">
        <v>3618</v>
      </c>
      <c r="H1334" t="s">
        <v>321</v>
      </c>
      <c r="I1334" t="s">
        <v>917</v>
      </c>
      <c r="J1334" t="s">
        <v>204</v>
      </c>
      <c r="K1334" t="s">
        <v>204</v>
      </c>
      <c r="L1334" t="s">
        <v>325</v>
      </c>
      <c r="M1334" t="s">
        <v>340</v>
      </c>
      <c r="N1334" t="s">
        <v>478</v>
      </c>
      <c r="O1334" t="s">
        <v>339</v>
      </c>
      <c r="P1334" t="s">
        <v>1212</v>
      </c>
      <c r="Q1334" s="131">
        <v>377.77</v>
      </c>
      <c r="R1334" s="131">
        <v>1</v>
      </c>
      <c r="S1334" s="131">
        <v>1373</v>
      </c>
      <c r="U1334" s="131">
        <v>5.1870000000000003</v>
      </c>
      <c r="V1334" s="132">
        <v>0</v>
      </c>
      <c r="W1334" s="132">
        <f t="shared" si="20"/>
        <v>4.1470181651230418E-4</v>
      </c>
      <c r="X1334" s="132">
        <v>1.9042597109845718E-5</v>
      </c>
    </row>
    <row r="1335" spans="1:24">
      <c r="A1335" t="s">
        <v>1213</v>
      </c>
      <c r="B1335" s="4">
        <v>9888</v>
      </c>
      <c r="C1335" t="s">
        <v>3789</v>
      </c>
      <c r="D1335" t="s">
        <v>3790</v>
      </c>
      <c r="E1335" t="s">
        <v>309</v>
      </c>
      <c r="F1335" t="s">
        <v>3791</v>
      </c>
      <c r="G1335" t="s">
        <v>3792</v>
      </c>
      <c r="H1335" t="s">
        <v>321</v>
      </c>
      <c r="I1335" t="s">
        <v>917</v>
      </c>
      <c r="J1335" t="s">
        <v>204</v>
      </c>
      <c r="K1335" t="s">
        <v>204</v>
      </c>
      <c r="L1335" t="s">
        <v>325</v>
      </c>
      <c r="M1335" t="s">
        <v>340</v>
      </c>
      <c r="N1335" t="s">
        <v>450</v>
      </c>
      <c r="O1335" t="s">
        <v>339</v>
      </c>
      <c r="P1335" t="s">
        <v>1212</v>
      </c>
      <c r="Q1335" s="131">
        <v>3700</v>
      </c>
      <c r="R1335" s="131">
        <v>1</v>
      </c>
      <c r="S1335" s="131">
        <v>108.6</v>
      </c>
      <c r="U1335" s="131">
        <v>4.0179999999999998</v>
      </c>
      <c r="V1335" s="132">
        <v>9.2000000000000003E-4</v>
      </c>
      <c r="W1335" s="132">
        <f t="shared" si="20"/>
        <v>3.2124000361411956E-4</v>
      </c>
      <c r="X1335" s="132">
        <v>1.4750945669435142E-5</v>
      </c>
    </row>
    <row r="1336" spans="1:24">
      <c r="A1336" t="s">
        <v>1213</v>
      </c>
      <c r="B1336" s="4">
        <v>9888</v>
      </c>
      <c r="C1336" t="s">
        <v>3119</v>
      </c>
      <c r="D1336" t="s">
        <v>3120</v>
      </c>
      <c r="E1336" t="s">
        <v>80</v>
      </c>
      <c r="F1336" t="s">
        <v>3718</v>
      </c>
      <c r="G1336" t="s">
        <v>3719</v>
      </c>
      <c r="H1336" t="s">
        <v>321</v>
      </c>
      <c r="I1336" t="s">
        <v>917</v>
      </c>
      <c r="J1336" t="s">
        <v>205</v>
      </c>
      <c r="K1336" t="s">
        <v>224</v>
      </c>
      <c r="L1336" t="s">
        <v>325</v>
      </c>
      <c r="M1336" t="s">
        <v>344</v>
      </c>
      <c r="N1336" t="s">
        <v>544</v>
      </c>
      <c r="O1336" t="s">
        <v>339</v>
      </c>
      <c r="P1336" t="s">
        <v>1216</v>
      </c>
      <c r="Q1336" s="131">
        <v>1220</v>
      </c>
      <c r="R1336" s="131">
        <v>3.71</v>
      </c>
      <c r="S1336" s="131">
        <v>18633</v>
      </c>
      <c r="U1336" s="131">
        <v>843.36699999999996</v>
      </c>
      <c r="V1336" s="132">
        <v>0</v>
      </c>
      <c r="W1336" s="132">
        <f t="shared" si="20"/>
        <v>6.7427381316084903E-2</v>
      </c>
      <c r="X1336" s="132">
        <v>3.0961823783958453E-3</v>
      </c>
    </row>
    <row r="1337" spans="1:24">
      <c r="A1337" t="s">
        <v>1213</v>
      </c>
      <c r="B1337" s="4">
        <v>9888</v>
      </c>
      <c r="C1337" t="s">
        <v>3563</v>
      </c>
      <c r="D1337" t="s">
        <v>3564</v>
      </c>
      <c r="E1337" t="s">
        <v>80</v>
      </c>
      <c r="F1337" t="s">
        <v>3565</v>
      </c>
      <c r="G1337" t="s">
        <v>3566</v>
      </c>
      <c r="H1337" t="s">
        <v>321</v>
      </c>
      <c r="I1337" t="s">
        <v>917</v>
      </c>
      <c r="J1337" t="s">
        <v>205</v>
      </c>
      <c r="K1337" t="s">
        <v>224</v>
      </c>
      <c r="L1337" t="s">
        <v>325</v>
      </c>
      <c r="M1337" t="s">
        <v>344</v>
      </c>
      <c r="N1337" t="s">
        <v>546</v>
      </c>
      <c r="O1337" t="s">
        <v>339</v>
      </c>
      <c r="P1337" t="s">
        <v>1216</v>
      </c>
      <c r="Q1337" s="131">
        <v>617</v>
      </c>
      <c r="R1337" s="131">
        <v>3.71</v>
      </c>
      <c r="S1337" s="131">
        <v>23300</v>
      </c>
      <c r="U1337" s="131">
        <v>533.35299999999995</v>
      </c>
      <c r="V1337" s="132">
        <v>0</v>
      </c>
      <c r="W1337" s="132">
        <f t="shared" si="20"/>
        <v>4.2641692296565829E-2</v>
      </c>
      <c r="X1337" s="132">
        <v>1.9580540382355006E-3</v>
      </c>
    </row>
    <row r="1338" spans="1:24">
      <c r="A1338" t="s">
        <v>1213</v>
      </c>
      <c r="B1338" s="4">
        <v>9888</v>
      </c>
      <c r="C1338" t="s">
        <v>3550</v>
      </c>
      <c r="D1338" t="s">
        <v>3551</v>
      </c>
      <c r="E1338" t="s">
        <v>80</v>
      </c>
      <c r="F1338" t="s">
        <v>3552</v>
      </c>
      <c r="G1338" t="s">
        <v>3553</v>
      </c>
      <c r="H1338" t="s">
        <v>321</v>
      </c>
      <c r="I1338" t="s">
        <v>917</v>
      </c>
      <c r="J1338" t="s">
        <v>205</v>
      </c>
      <c r="K1338" t="s">
        <v>224</v>
      </c>
      <c r="L1338" t="s">
        <v>325</v>
      </c>
      <c r="M1338" t="s">
        <v>344</v>
      </c>
      <c r="N1338" t="s">
        <v>544</v>
      </c>
      <c r="O1338" t="s">
        <v>339</v>
      </c>
      <c r="P1338" t="s">
        <v>1216</v>
      </c>
      <c r="Q1338" s="131">
        <v>316</v>
      </c>
      <c r="R1338" s="131">
        <v>3.71</v>
      </c>
      <c r="S1338" s="131">
        <v>43030</v>
      </c>
      <c r="U1338" s="131">
        <v>504.46699999999998</v>
      </c>
      <c r="V1338" s="132">
        <v>0</v>
      </c>
      <c r="W1338" s="132">
        <f t="shared" si="20"/>
        <v>4.0332250100349437E-2</v>
      </c>
      <c r="X1338" s="132">
        <v>1.8520072944307958E-3</v>
      </c>
    </row>
    <row r="1339" spans="1:24">
      <c r="A1339" t="s">
        <v>1213</v>
      </c>
      <c r="B1339" s="4">
        <v>9888</v>
      </c>
      <c r="C1339" t="s">
        <v>3544</v>
      </c>
      <c r="D1339" t="s">
        <v>3545</v>
      </c>
      <c r="E1339" t="s">
        <v>80</v>
      </c>
      <c r="F1339" t="s">
        <v>3546</v>
      </c>
      <c r="G1339" t="s">
        <v>3547</v>
      </c>
      <c r="H1339" t="s">
        <v>321</v>
      </c>
      <c r="I1339" t="s">
        <v>917</v>
      </c>
      <c r="J1339" t="s">
        <v>205</v>
      </c>
      <c r="K1339" t="s">
        <v>224</v>
      </c>
      <c r="L1339" t="s">
        <v>325</v>
      </c>
      <c r="M1339" t="s">
        <v>344</v>
      </c>
      <c r="N1339" t="s">
        <v>545</v>
      </c>
      <c r="O1339" t="s">
        <v>339</v>
      </c>
      <c r="P1339" t="s">
        <v>1216</v>
      </c>
      <c r="Q1339" s="131">
        <v>760</v>
      </c>
      <c r="R1339" s="131">
        <v>3.71</v>
      </c>
      <c r="S1339" s="131">
        <v>16719</v>
      </c>
      <c r="U1339" s="131">
        <v>471.40899999999999</v>
      </c>
      <c r="V1339" s="132">
        <v>0</v>
      </c>
      <c r="W1339" s="132">
        <f t="shared" si="20"/>
        <v>3.7689255565885635E-2</v>
      </c>
      <c r="X1339" s="132">
        <v>1.7306442377010331E-3</v>
      </c>
    </row>
    <row r="1340" spans="1:24">
      <c r="A1340" t="s">
        <v>1213</v>
      </c>
      <c r="B1340" s="4">
        <v>9888</v>
      </c>
      <c r="C1340" t="s">
        <v>3209</v>
      </c>
      <c r="D1340" t="s">
        <v>3210</v>
      </c>
      <c r="E1340" t="s">
        <v>80</v>
      </c>
      <c r="F1340" t="s">
        <v>3209</v>
      </c>
      <c r="G1340" t="s">
        <v>3562</v>
      </c>
      <c r="H1340" t="s">
        <v>321</v>
      </c>
      <c r="I1340" t="s">
        <v>917</v>
      </c>
      <c r="J1340" t="s">
        <v>205</v>
      </c>
      <c r="K1340" t="s">
        <v>224</v>
      </c>
      <c r="L1340" t="s">
        <v>325</v>
      </c>
      <c r="M1340" t="s">
        <v>340</v>
      </c>
      <c r="N1340" t="s">
        <v>545</v>
      </c>
      <c r="O1340" t="s">
        <v>339</v>
      </c>
      <c r="P1340" t="s">
        <v>1216</v>
      </c>
      <c r="Q1340" s="131">
        <v>202</v>
      </c>
      <c r="R1340" s="131">
        <v>3.71</v>
      </c>
      <c r="S1340" s="131">
        <v>57244</v>
      </c>
      <c r="U1340" s="131">
        <v>428.99799999999999</v>
      </c>
      <c r="V1340" s="132">
        <v>0</v>
      </c>
      <c r="W1340" s="132">
        <f t="shared" si="20"/>
        <v>3.4298486578011461E-2</v>
      </c>
      <c r="X1340" s="132">
        <v>1.57494429823204E-3</v>
      </c>
    </row>
    <row r="1341" spans="1:24">
      <c r="A1341" t="s">
        <v>1213</v>
      </c>
      <c r="B1341" s="4">
        <v>9888</v>
      </c>
      <c r="C1341" t="s">
        <v>3227</v>
      </c>
      <c r="D1341" t="s">
        <v>3228</v>
      </c>
      <c r="E1341" t="s">
        <v>80</v>
      </c>
      <c r="F1341" t="s">
        <v>3548</v>
      </c>
      <c r="G1341" t="s">
        <v>3549</v>
      </c>
      <c r="H1341" t="s">
        <v>321</v>
      </c>
      <c r="I1341" t="s">
        <v>917</v>
      </c>
      <c r="J1341" t="s">
        <v>205</v>
      </c>
      <c r="K1341" t="s">
        <v>301</v>
      </c>
      <c r="L1341" t="s">
        <v>325</v>
      </c>
      <c r="M1341" t="s">
        <v>344</v>
      </c>
      <c r="N1341" t="s">
        <v>548</v>
      </c>
      <c r="O1341" t="s">
        <v>339</v>
      </c>
      <c r="P1341" t="s">
        <v>1216</v>
      </c>
      <c r="Q1341" s="131">
        <v>584</v>
      </c>
      <c r="R1341" s="131">
        <v>3.71</v>
      </c>
      <c r="S1341" s="131">
        <v>17367</v>
      </c>
      <c r="T1341" s="131">
        <f>0.229+244.2200001/1000/R1341</f>
        <v>0.29482749328840974</v>
      </c>
      <c r="U1341" s="131">
        <f>377.13+244.2200001/1000</f>
        <v>377.37422000009997</v>
      </c>
      <c r="V1341" s="132">
        <v>0</v>
      </c>
      <c r="W1341" s="132">
        <f t="shared" si="20"/>
        <v>3.0171153757269205E-2</v>
      </c>
      <c r="X1341" s="132">
        <v>1.3854222539240765E-3</v>
      </c>
    </row>
    <row r="1342" spans="1:24">
      <c r="A1342" t="s">
        <v>1213</v>
      </c>
      <c r="B1342" s="4">
        <v>9888</v>
      </c>
      <c r="C1342" t="s">
        <v>3797</v>
      </c>
      <c r="D1342" t="s">
        <v>3798</v>
      </c>
      <c r="E1342" t="s">
        <v>80</v>
      </c>
      <c r="F1342" t="s">
        <v>3799</v>
      </c>
      <c r="G1342" t="s">
        <v>3800</v>
      </c>
      <c r="H1342" t="s">
        <v>321</v>
      </c>
      <c r="I1342" t="s">
        <v>917</v>
      </c>
      <c r="J1342" t="s">
        <v>205</v>
      </c>
      <c r="K1342" t="s">
        <v>224</v>
      </c>
      <c r="L1342" t="s">
        <v>325</v>
      </c>
      <c r="M1342" t="s">
        <v>344</v>
      </c>
      <c r="N1342" t="s">
        <v>548</v>
      </c>
      <c r="O1342" t="s">
        <v>339</v>
      </c>
      <c r="P1342" t="s">
        <v>1216</v>
      </c>
      <c r="Q1342" s="131">
        <v>3564</v>
      </c>
      <c r="R1342" s="131">
        <v>3.71</v>
      </c>
      <c r="S1342" s="131">
        <v>2291</v>
      </c>
      <c r="U1342" s="131">
        <v>302.92599999999999</v>
      </c>
      <c r="V1342" s="132">
        <v>6.0000000000000002E-5</v>
      </c>
      <c r="W1342" s="132">
        <f t="shared" si="20"/>
        <v>2.4219001825487998E-2</v>
      </c>
      <c r="X1342" s="132">
        <v>1.1121067615379068E-3</v>
      </c>
    </row>
    <row r="1343" spans="1:24">
      <c r="A1343" t="s">
        <v>1213</v>
      </c>
      <c r="B1343" s="4">
        <v>9888</v>
      </c>
      <c r="C1343" t="s">
        <v>3801</v>
      </c>
      <c r="D1343" t="s">
        <v>3802</v>
      </c>
      <c r="E1343" t="s">
        <v>80</v>
      </c>
      <c r="F1343" t="s">
        <v>3803</v>
      </c>
      <c r="G1343" t="s">
        <v>3804</v>
      </c>
      <c r="H1343" t="s">
        <v>321</v>
      </c>
      <c r="I1343" t="s">
        <v>917</v>
      </c>
      <c r="J1343" t="s">
        <v>205</v>
      </c>
      <c r="K1343" t="s">
        <v>224</v>
      </c>
      <c r="L1343" t="s">
        <v>325</v>
      </c>
      <c r="M1343" t="s">
        <v>344</v>
      </c>
      <c r="N1343" t="s">
        <v>548</v>
      </c>
      <c r="O1343" t="s">
        <v>339</v>
      </c>
      <c r="P1343" t="s">
        <v>1216</v>
      </c>
      <c r="Q1343" s="131">
        <v>487</v>
      </c>
      <c r="R1343" s="131">
        <v>3.71</v>
      </c>
      <c r="S1343" s="131">
        <v>12144</v>
      </c>
      <c r="T1343" s="131">
        <f>0.004+4.4777/1000/R1343</f>
        <v>5.2069272237196765E-3</v>
      </c>
      <c r="U1343" s="131">
        <f>219.428+4.4777/1000</f>
        <v>219.43247769999999</v>
      </c>
      <c r="V1343" s="132">
        <v>0</v>
      </c>
      <c r="W1343" s="132">
        <f t="shared" si="20"/>
        <v>1.7543675940618023E-2</v>
      </c>
      <c r="X1343" s="132">
        <v>8.0558401111553962E-4</v>
      </c>
    </row>
    <row r="1344" spans="1:24">
      <c r="A1344" t="s">
        <v>1213</v>
      </c>
      <c r="B1344" s="4">
        <v>9888</v>
      </c>
      <c r="C1344" t="s">
        <v>3805</v>
      </c>
      <c r="D1344" t="s">
        <v>3806</v>
      </c>
      <c r="E1344" t="s">
        <v>311</v>
      </c>
      <c r="F1344" t="s">
        <v>3807</v>
      </c>
      <c r="G1344" t="s">
        <v>3808</v>
      </c>
      <c r="H1344" t="s">
        <v>321</v>
      </c>
      <c r="I1344" t="s">
        <v>917</v>
      </c>
      <c r="J1344" t="s">
        <v>205</v>
      </c>
      <c r="K1344" t="s">
        <v>204</v>
      </c>
      <c r="L1344" t="s">
        <v>325</v>
      </c>
      <c r="M1344" t="s">
        <v>346</v>
      </c>
      <c r="N1344" t="s">
        <v>544</v>
      </c>
      <c r="O1344" t="s">
        <v>339</v>
      </c>
      <c r="P1344" t="s">
        <v>1216</v>
      </c>
      <c r="Q1344" s="131">
        <v>133</v>
      </c>
      <c r="R1344" s="131">
        <v>3.71</v>
      </c>
      <c r="S1344" s="131">
        <v>16717</v>
      </c>
      <c r="U1344" s="131">
        <v>82.486999999999995</v>
      </c>
      <c r="V1344" s="132">
        <v>0</v>
      </c>
      <c r="W1344" s="132">
        <f t="shared" si="20"/>
        <v>6.5948542006266497E-3</v>
      </c>
      <c r="X1344" s="132">
        <v>3.0282758970500161E-4</v>
      </c>
    </row>
    <row r="1345" spans="1:24">
      <c r="A1345" t="s">
        <v>1213</v>
      </c>
      <c r="B1345" s="4">
        <v>9888</v>
      </c>
      <c r="C1345" t="s">
        <v>3793</v>
      </c>
      <c r="D1345" t="s">
        <v>3794</v>
      </c>
      <c r="E1345" t="s">
        <v>309</v>
      </c>
      <c r="F1345" t="s">
        <v>3795</v>
      </c>
      <c r="G1345" t="s">
        <v>3796</v>
      </c>
      <c r="H1345" t="s">
        <v>321</v>
      </c>
      <c r="I1345" t="s">
        <v>917</v>
      </c>
      <c r="J1345" t="s">
        <v>205</v>
      </c>
      <c r="K1345" t="s">
        <v>204</v>
      </c>
      <c r="L1345" t="s">
        <v>325</v>
      </c>
      <c r="M1345" t="s">
        <v>346</v>
      </c>
      <c r="N1345" t="s">
        <v>544</v>
      </c>
      <c r="O1345" t="s">
        <v>339</v>
      </c>
      <c r="P1345" t="s">
        <v>1216</v>
      </c>
      <c r="Q1345" s="131">
        <v>1530.2</v>
      </c>
      <c r="R1345" s="131">
        <v>3.71</v>
      </c>
      <c r="S1345" s="131">
        <v>706</v>
      </c>
      <c r="U1345" s="131">
        <v>40.08</v>
      </c>
      <c r="V1345" s="132">
        <v>1.3999999999999999E-4</v>
      </c>
      <c r="W1345" s="132">
        <f t="shared" si="20"/>
        <v>3.2044050136520439E-3</v>
      </c>
      <c r="X1345" s="132">
        <v>1.4714233509979105E-4</v>
      </c>
    </row>
    <row r="1346" spans="1:24">
      <c r="A1346" t="s">
        <v>1213</v>
      </c>
      <c r="B1346" s="4">
        <v>9888</v>
      </c>
      <c r="C1346" t="s">
        <v>3809</v>
      </c>
      <c r="D1346" t="s">
        <v>3810</v>
      </c>
      <c r="E1346" t="s">
        <v>309</v>
      </c>
      <c r="F1346" t="s">
        <v>3811</v>
      </c>
      <c r="G1346" t="s">
        <v>3812</v>
      </c>
      <c r="H1346" t="s">
        <v>321</v>
      </c>
      <c r="I1346" t="s">
        <v>917</v>
      </c>
      <c r="J1346" t="s">
        <v>205</v>
      </c>
      <c r="K1346" t="s">
        <v>204</v>
      </c>
      <c r="L1346" t="s">
        <v>325</v>
      </c>
      <c r="M1346" t="s">
        <v>346</v>
      </c>
      <c r="N1346" t="s">
        <v>546</v>
      </c>
      <c r="O1346" t="s">
        <v>339</v>
      </c>
      <c r="P1346" t="s">
        <v>1216</v>
      </c>
      <c r="Q1346" s="131">
        <v>3948</v>
      </c>
      <c r="R1346" s="131">
        <v>3.71</v>
      </c>
      <c r="S1346" s="131">
        <v>191</v>
      </c>
      <c r="U1346" s="131">
        <v>27.975999999999999</v>
      </c>
      <c r="V1346" s="132">
        <v>5.0000000000000002E-5</v>
      </c>
      <c r="W1346" s="132">
        <f t="shared" si="20"/>
        <v>2.2366874915651092E-3</v>
      </c>
      <c r="X1346" s="132">
        <v>1.0270593729420545E-4</v>
      </c>
    </row>
    <row r="1347" spans="1:24">
      <c r="A1347" t="s">
        <v>1213</v>
      </c>
      <c r="B1347" s="4">
        <v>9888</v>
      </c>
      <c r="C1347" t="s">
        <v>3825</v>
      </c>
      <c r="D1347" t="s">
        <v>3826</v>
      </c>
      <c r="E1347" t="s">
        <v>80</v>
      </c>
      <c r="F1347" t="s">
        <v>3827</v>
      </c>
      <c r="G1347" t="s">
        <v>3828</v>
      </c>
      <c r="H1347" t="s">
        <v>321</v>
      </c>
      <c r="I1347" t="s">
        <v>917</v>
      </c>
      <c r="J1347" t="s">
        <v>205</v>
      </c>
      <c r="K1347" t="s">
        <v>272</v>
      </c>
      <c r="L1347" t="s">
        <v>325</v>
      </c>
      <c r="M1347" t="s">
        <v>314</v>
      </c>
      <c r="N1347" t="s">
        <v>568</v>
      </c>
      <c r="O1347" t="s">
        <v>339</v>
      </c>
      <c r="P1347" t="s">
        <v>1218</v>
      </c>
      <c r="Q1347" s="131">
        <v>5237</v>
      </c>
      <c r="R1347" s="131">
        <v>4.1524000000000001</v>
      </c>
      <c r="S1347" s="131">
        <v>102</v>
      </c>
      <c r="U1347" s="131">
        <v>22.181000000000001</v>
      </c>
      <c r="V1347" s="132">
        <v>9.0000000000000006E-5</v>
      </c>
      <c r="W1347" s="132">
        <f t="shared" ref="W1347:W1350" si="21">U1347/SUMIF(B:B,B1347,U:U)</f>
        <v>1.7733759383187621E-3</v>
      </c>
      <c r="X1347" s="132">
        <v>8.1431240889432777E-5</v>
      </c>
    </row>
    <row r="1348" spans="1:24">
      <c r="A1348" t="s">
        <v>1213</v>
      </c>
      <c r="B1348" s="4">
        <v>9888</v>
      </c>
      <c r="C1348" t="s">
        <v>3813</v>
      </c>
      <c r="D1348" t="s">
        <v>3814</v>
      </c>
      <c r="E1348" t="s">
        <v>311</v>
      </c>
      <c r="F1348" t="s">
        <v>3815</v>
      </c>
      <c r="G1348" t="s">
        <v>3816</v>
      </c>
      <c r="H1348" t="s">
        <v>321</v>
      </c>
      <c r="I1348" t="s">
        <v>917</v>
      </c>
      <c r="J1348" t="s">
        <v>205</v>
      </c>
      <c r="K1348" t="s">
        <v>224</v>
      </c>
      <c r="L1348" t="s">
        <v>325</v>
      </c>
      <c r="M1348" t="s">
        <v>346</v>
      </c>
      <c r="N1348" t="s">
        <v>486</v>
      </c>
      <c r="O1348" t="s">
        <v>339</v>
      </c>
      <c r="P1348" t="s">
        <v>1216</v>
      </c>
      <c r="Q1348" s="131">
        <v>731</v>
      </c>
      <c r="R1348" s="131">
        <v>3.71</v>
      </c>
      <c r="S1348" s="131">
        <v>702</v>
      </c>
      <c r="U1348" s="131">
        <v>19.038</v>
      </c>
      <c r="V1348" s="132">
        <v>1.0000000000000001E-5</v>
      </c>
      <c r="W1348" s="132">
        <f t="shared" si="21"/>
        <v>1.5220923814847208E-3</v>
      </c>
      <c r="X1348" s="132">
        <v>6.9892609172400756E-5</v>
      </c>
    </row>
    <row r="1349" spans="1:24">
      <c r="A1349" t="s">
        <v>1213</v>
      </c>
      <c r="B1349" s="4">
        <v>9888</v>
      </c>
      <c r="C1349" t="s">
        <v>3817</v>
      </c>
      <c r="D1349" t="s">
        <v>3818</v>
      </c>
      <c r="E1349" t="s">
        <v>80</v>
      </c>
      <c r="F1349" t="s">
        <v>3819</v>
      </c>
      <c r="G1349" t="s">
        <v>3820</v>
      </c>
      <c r="H1349" t="s">
        <v>321</v>
      </c>
      <c r="I1349" t="s">
        <v>917</v>
      </c>
      <c r="J1349" t="s">
        <v>205</v>
      </c>
      <c r="K1349" t="s">
        <v>224</v>
      </c>
      <c r="L1349" t="s">
        <v>325</v>
      </c>
      <c r="M1349" t="s">
        <v>344</v>
      </c>
      <c r="N1349" t="s">
        <v>569</v>
      </c>
      <c r="O1349" t="s">
        <v>339</v>
      </c>
      <c r="P1349" t="s">
        <v>1216</v>
      </c>
      <c r="Q1349" s="131">
        <v>0</v>
      </c>
      <c r="R1349" s="131">
        <v>3.71</v>
      </c>
      <c r="S1349" s="131">
        <v>0</v>
      </c>
      <c r="T1349" s="131">
        <v>0.55100000000000005</v>
      </c>
      <c r="U1349" s="131">
        <v>2.0430000000000001</v>
      </c>
      <c r="V1349" t="s">
        <v>1871</v>
      </c>
      <c r="W1349" s="132">
        <f t="shared" si="21"/>
        <v>1.6333830945337142E-4</v>
      </c>
      <c r="X1349" s="132">
        <v>7.5002941768680928E-6</v>
      </c>
    </row>
    <row r="1350" spans="1:24">
      <c r="A1350" t="s">
        <v>1213</v>
      </c>
      <c r="B1350" s="4">
        <v>9888</v>
      </c>
      <c r="C1350" t="s">
        <v>3825</v>
      </c>
      <c r="D1350" t="s">
        <v>3826</v>
      </c>
      <c r="E1350" t="s">
        <v>80</v>
      </c>
      <c r="F1350" t="s">
        <v>3829</v>
      </c>
      <c r="G1350" t="s">
        <v>3830</v>
      </c>
      <c r="H1350" t="s">
        <v>321</v>
      </c>
      <c r="I1350" t="s">
        <v>917</v>
      </c>
      <c r="J1350" t="s">
        <v>205</v>
      </c>
      <c r="K1350" t="s">
        <v>272</v>
      </c>
      <c r="L1350" s="134"/>
      <c r="M1350" t="s">
        <v>314</v>
      </c>
      <c r="N1350" t="s">
        <v>568</v>
      </c>
      <c r="O1350" t="s">
        <v>339</v>
      </c>
      <c r="P1350" t="s">
        <v>1218</v>
      </c>
      <c r="Q1350" s="131">
        <v>5237</v>
      </c>
      <c r="R1350" s="131">
        <v>4.1524000000000001</v>
      </c>
      <c r="S1350" s="131">
        <v>0</v>
      </c>
      <c r="U1350" s="131">
        <v>0</v>
      </c>
      <c r="W1350" s="132">
        <f t="shared" si="21"/>
        <v>0</v>
      </c>
      <c r="X1350" s="132">
        <v>0</v>
      </c>
    </row>
    <row r="1351" spans="1:24">
      <c r="A1351" t="s">
        <v>1213</v>
      </c>
      <c r="B1351" s="4">
        <v>12936</v>
      </c>
    </row>
    <row r="1352" spans="1:24">
      <c r="A1352" t="s">
        <v>1213</v>
      </c>
      <c r="B1352" s="4">
        <v>13499</v>
      </c>
    </row>
    <row r="1353" spans="1:24">
      <c r="A1353" t="s">
        <v>1213</v>
      </c>
      <c r="B1353" s="4">
        <v>141</v>
      </c>
    </row>
    <row r="1354" spans="1:24">
      <c r="A1354" t="s">
        <v>1213</v>
      </c>
      <c r="B1354" s="4">
        <v>14318</v>
      </c>
    </row>
    <row r="1355" spans="1:24">
      <c r="A1355" t="s">
        <v>1213</v>
      </c>
      <c r="B1355" s="4">
        <v>14406</v>
      </c>
    </row>
    <row r="1356" spans="1:24">
      <c r="A1356" t="s">
        <v>1213</v>
      </c>
      <c r="B1356" s="4">
        <v>14425</v>
      </c>
    </row>
    <row r="1357" spans="1:24">
      <c r="A1357" t="s">
        <v>1213</v>
      </c>
      <c r="B1357" s="4">
        <v>15373</v>
      </c>
    </row>
    <row r="1358" spans="1:24">
      <c r="A1358" t="s">
        <v>1213</v>
      </c>
      <c r="B1358" s="4">
        <v>8530</v>
      </c>
    </row>
    <row r="1359" spans="1:24">
      <c r="A1359" t="s">
        <v>1213</v>
      </c>
      <c r="B1359" s="4">
        <v>15108</v>
      </c>
    </row>
  </sheetData>
  <sheetProtection formatColumns="0"/>
  <autoFilter ref="A1:Y1359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545"/>
  <sheetViews>
    <sheetView rightToLeft="1" topLeftCell="L1" workbookViewId="0">
      <selection activeCell="W11" sqref="W11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13" width="17.625" style="2" customWidth="1"/>
    <col min="14" max="15" width="11.625" style="2" customWidth="1"/>
    <col min="16" max="16" width="11.625" style="4" customWidth="1"/>
    <col min="17" max="24" width="11.625" style="2" customWidth="1"/>
    <col min="25" max="16384" width="9" style="2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90</v>
      </c>
      <c r="N1" s="17" t="s">
        <v>56</v>
      </c>
      <c r="O1" s="17" t="s">
        <v>59</v>
      </c>
      <c r="P1" s="17" t="s">
        <v>76</v>
      </c>
      <c r="Q1" s="17" t="s">
        <v>61</v>
      </c>
      <c r="R1" s="17" t="s">
        <v>77</v>
      </c>
      <c r="S1" s="17" t="s">
        <v>75</v>
      </c>
      <c r="T1" s="17" t="s">
        <v>63</v>
      </c>
      <c r="U1" s="17" t="s">
        <v>79</v>
      </c>
      <c r="V1" s="17" t="s">
        <v>64</v>
      </c>
      <c r="W1" s="17" t="s">
        <v>65</v>
      </c>
    </row>
    <row r="2" spans="1:23">
      <c r="A2" t="s">
        <v>1213</v>
      </c>
      <c r="B2" t="s">
        <v>1217</v>
      </c>
      <c r="C2" t="s">
        <v>4091</v>
      </c>
      <c r="D2" t="s">
        <v>4092</v>
      </c>
      <c r="E2" t="s">
        <v>80</v>
      </c>
      <c r="F2" t="s">
        <v>4093</v>
      </c>
      <c r="G2" t="s">
        <v>4094</v>
      </c>
      <c r="H2" t="s">
        <v>321</v>
      </c>
      <c r="I2" t="s">
        <v>965</v>
      </c>
      <c r="J2" t="s">
        <v>205</v>
      </c>
      <c r="K2" t="s">
        <v>224</v>
      </c>
      <c r="L2" t="s">
        <v>344</v>
      </c>
      <c r="M2" t="s">
        <v>604</v>
      </c>
      <c r="N2" t="s">
        <v>339</v>
      </c>
      <c r="O2" t="s">
        <v>1216</v>
      </c>
      <c r="P2" s="131">
        <v>22000</v>
      </c>
      <c r="Q2" s="131">
        <v>3.71</v>
      </c>
      <c r="R2" s="131">
        <v>52767</v>
      </c>
      <c r="S2" s="131">
        <v>36.048999999999999</v>
      </c>
      <c r="T2" s="131">
        <v>43202.167999999998</v>
      </c>
      <c r="U2" s="132">
        <v>0</v>
      </c>
      <c r="V2" s="132">
        <v>0.82728000000000002</v>
      </c>
      <c r="W2" s="132">
        <v>0.04</v>
      </c>
    </row>
    <row r="3" spans="1:23">
      <c r="A3" t="s">
        <v>1213</v>
      </c>
      <c r="B3" t="s">
        <v>1217</v>
      </c>
      <c r="C3" t="s">
        <v>4095</v>
      </c>
      <c r="D3" t="s">
        <v>4096</v>
      </c>
      <c r="E3" t="s">
        <v>80</v>
      </c>
      <c r="F3" t="s">
        <v>4097</v>
      </c>
      <c r="G3" t="s">
        <v>4098</v>
      </c>
      <c r="H3" t="s">
        <v>321</v>
      </c>
      <c r="I3" t="s">
        <v>965</v>
      </c>
      <c r="J3" t="s">
        <v>205</v>
      </c>
      <c r="K3" t="s">
        <v>224</v>
      </c>
      <c r="L3" t="s">
        <v>346</v>
      </c>
      <c r="M3" t="s">
        <v>597</v>
      </c>
      <c r="N3" t="s">
        <v>339</v>
      </c>
      <c r="O3" t="s">
        <v>1216</v>
      </c>
      <c r="P3" s="131">
        <v>5000</v>
      </c>
      <c r="Q3" s="131">
        <v>3.71</v>
      </c>
      <c r="R3" s="131">
        <v>48807</v>
      </c>
      <c r="S3" s="131">
        <f>2.546+162.45/1000/Q3</f>
        <v>2.5897870619946088</v>
      </c>
      <c r="T3" s="131">
        <f>9063.146+162.45/1000</f>
        <v>9063.3084500000004</v>
      </c>
      <c r="U3" s="132">
        <v>0</v>
      </c>
      <c r="V3" s="132">
        <v>0.17346</v>
      </c>
      <c r="W3" s="132">
        <v>8.3899999999999999E-3</v>
      </c>
    </row>
    <row r="4" spans="1:23">
      <c r="A4" t="s">
        <v>1213</v>
      </c>
      <c r="B4" t="s">
        <v>1220</v>
      </c>
      <c r="C4" t="s">
        <v>4091</v>
      </c>
      <c r="D4" t="s">
        <v>4092</v>
      </c>
      <c r="E4" t="s">
        <v>80</v>
      </c>
      <c r="F4" t="s">
        <v>4093</v>
      </c>
      <c r="G4" t="s">
        <v>4094</v>
      </c>
      <c r="H4" t="s">
        <v>321</v>
      </c>
      <c r="I4" t="s">
        <v>965</v>
      </c>
      <c r="J4" t="s">
        <v>205</v>
      </c>
      <c r="K4" t="s">
        <v>224</v>
      </c>
      <c r="L4" t="s">
        <v>344</v>
      </c>
      <c r="M4" t="s">
        <v>604</v>
      </c>
      <c r="N4" t="s">
        <v>339</v>
      </c>
      <c r="O4" t="s">
        <v>1216</v>
      </c>
      <c r="P4" s="131">
        <v>7450</v>
      </c>
      <c r="Q4" s="131">
        <v>3.71</v>
      </c>
      <c r="R4" s="131">
        <v>52767</v>
      </c>
      <c r="S4" s="131">
        <v>12.208</v>
      </c>
      <c r="T4" s="131">
        <v>14629.825000000001</v>
      </c>
      <c r="U4" s="132">
        <v>0</v>
      </c>
      <c r="V4" s="132">
        <v>0.30703999999999998</v>
      </c>
      <c r="W4" s="132">
        <v>6.4439999999999997E-2</v>
      </c>
    </row>
    <row r="5" spans="1:23">
      <c r="A5" t="s">
        <v>1213</v>
      </c>
      <c r="B5" t="s">
        <v>1220</v>
      </c>
      <c r="C5" t="s">
        <v>4099</v>
      </c>
      <c r="D5" t="s">
        <v>4100</v>
      </c>
      <c r="E5" t="s">
        <v>80</v>
      </c>
      <c r="F5" t="s">
        <v>4101</v>
      </c>
      <c r="G5" t="s">
        <v>4102</v>
      </c>
      <c r="H5" t="s">
        <v>321</v>
      </c>
      <c r="I5" t="s">
        <v>965</v>
      </c>
      <c r="J5" t="s">
        <v>205</v>
      </c>
      <c r="K5" t="s">
        <v>224</v>
      </c>
      <c r="L5" t="s">
        <v>344</v>
      </c>
      <c r="M5" t="s">
        <v>604</v>
      </c>
      <c r="N5" t="s">
        <v>339</v>
      </c>
      <c r="O5" t="s">
        <v>1216</v>
      </c>
      <c r="P5" s="131">
        <v>6560</v>
      </c>
      <c r="Q5" s="131">
        <v>3.71</v>
      </c>
      <c r="R5" s="131">
        <v>57376</v>
      </c>
      <c r="S5" s="131">
        <f>8.616+549.64/1000/Q5</f>
        <v>8.7641509433962259</v>
      </c>
      <c r="T5" s="131">
        <f>13995.906+549.64/1000</f>
        <v>13996.45564</v>
      </c>
      <c r="U5" s="132">
        <v>0</v>
      </c>
      <c r="V5" s="132">
        <v>0.29366999999999999</v>
      </c>
      <c r="W5" s="132">
        <v>6.164E-2</v>
      </c>
    </row>
    <row r="6" spans="1:23">
      <c r="A6" t="s">
        <v>1213</v>
      </c>
      <c r="B6" t="s">
        <v>1220</v>
      </c>
      <c r="C6" t="s">
        <v>4095</v>
      </c>
      <c r="D6" t="s">
        <v>4096</v>
      </c>
      <c r="E6" t="s">
        <v>80</v>
      </c>
      <c r="F6" t="s">
        <v>4097</v>
      </c>
      <c r="G6" t="s">
        <v>4098</v>
      </c>
      <c r="H6" t="s">
        <v>321</v>
      </c>
      <c r="I6" t="s">
        <v>965</v>
      </c>
      <c r="J6" t="s">
        <v>205</v>
      </c>
      <c r="K6" t="s">
        <v>224</v>
      </c>
      <c r="L6" t="s">
        <v>346</v>
      </c>
      <c r="M6" t="s">
        <v>597</v>
      </c>
      <c r="N6" t="s">
        <v>339</v>
      </c>
      <c r="O6" t="s">
        <v>1216</v>
      </c>
      <c r="P6" s="131">
        <v>7517</v>
      </c>
      <c r="Q6" s="131">
        <v>3.71</v>
      </c>
      <c r="R6" s="131">
        <v>48807</v>
      </c>
      <c r="S6" s="131">
        <f>3.828+244.22/1000/Q6</f>
        <v>3.8938274932614552</v>
      </c>
      <c r="T6" s="131">
        <f>13625.533+244.22/1000</f>
        <v>13625.77722</v>
      </c>
      <c r="U6" s="132">
        <v>0</v>
      </c>
      <c r="V6" s="132">
        <v>0.28581000000000001</v>
      </c>
      <c r="W6" s="132">
        <v>5.9990000000000002E-2</v>
      </c>
    </row>
    <row r="7" spans="1:23">
      <c r="A7" t="s">
        <v>1213</v>
      </c>
      <c r="B7" t="s">
        <v>1220</v>
      </c>
      <c r="C7" t="s">
        <v>4103</v>
      </c>
      <c r="D7" t="s">
        <v>4104</v>
      </c>
      <c r="E7" t="s">
        <v>80</v>
      </c>
      <c r="F7" t="s">
        <v>4105</v>
      </c>
      <c r="G7" t="s">
        <v>4106</v>
      </c>
      <c r="H7" t="s">
        <v>321</v>
      </c>
      <c r="I7" t="s">
        <v>965</v>
      </c>
      <c r="J7" t="s">
        <v>205</v>
      </c>
      <c r="K7" t="s">
        <v>224</v>
      </c>
      <c r="L7" t="s">
        <v>380</v>
      </c>
      <c r="M7" t="s">
        <v>604</v>
      </c>
      <c r="N7" t="s">
        <v>339</v>
      </c>
      <c r="O7" t="s">
        <v>1216</v>
      </c>
      <c r="P7" s="131">
        <v>1300</v>
      </c>
      <c r="Q7" s="131">
        <v>3.71</v>
      </c>
      <c r="R7" s="131">
        <v>112716</v>
      </c>
      <c r="S7" s="109"/>
      <c r="T7" s="131">
        <v>5436.2929999999997</v>
      </c>
      <c r="U7" s="132">
        <v>0</v>
      </c>
      <c r="V7" s="132">
        <v>0.114</v>
      </c>
      <c r="W7" s="132">
        <v>2.393E-2</v>
      </c>
    </row>
    <row r="8" spans="1:23">
      <c r="A8" t="s">
        <v>1213</v>
      </c>
      <c r="B8" t="s">
        <v>1221</v>
      </c>
      <c r="C8" t="s">
        <v>4107</v>
      </c>
      <c r="D8" t="s">
        <v>4108</v>
      </c>
      <c r="E8" t="s">
        <v>309</v>
      </c>
      <c r="F8" t="s">
        <v>4109</v>
      </c>
      <c r="G8" t="s">
        <v>4110</v>
      </c>
      <c r="H8" t="s">
        <v>321</v>
      </c>
      <c r="I8" t="s">
        <v>964</v>
      </c>
      <c r="J8" t="s">
        <v>204</v>
      </c>
      <c r="K8" t="s">
        <v>204</v>
      </c>
      <c r="L8" t="s">
        <v>340</v>
      </c>
      <c r="M8" t="s">
        <v>572</v>
      </c>
      <c r="N8" t="s">
        <v>339</v>
      </c>
      <c r="O8" t="s">
        <v>1212</v>
      </c>
      <c r="P8" s="131">
        <v>463944</v>
      </c>
      <c r="Q8" s="131">
        <v>1</v>
      </c>
      <c r="R8" s="131">
        <v>3265</v>
      </c>
      <c r="S8" s="109"/>
      <c r="T8" s="131">
        <v>15147.772000000001</v>
      </c>
      <c r="U8" s="132">
        <v>6.6299999999999996E-3</v>
      </c>
      <c r="V8" s="132">
        <v>4.5359999999999998E-2</v>
      </c>
      <c r="W8" s="132">
        <v>1.9009999999999999E-2</v>
      </c>
    </row>
    <row r="9" spans="1:23">
      <c r="A9" t="s">
        <v>1213</v>
      </c>
      <c r="B9" t="s">
        <v>1221</v>
      </c>
      <c r="C9" t="s">
        <v>4111</v>
      </c>
      <c r="D9" t="s">
        <v>4112</v>
      </c>
      <c r="E9" t="s">
        <v>309</v>
      </c>
      <c r="F9" t="s">
        <v>4113</v>
      </c>
      <c r="G9" t="s">
        <v>4114</v>
      </c>
      <c r="H9" t="s">
        <v>321</v>
      </c>
      <c r="I9" t="s">
        <v>965</v>
      </c>
      <c r="J9" t="s">
        <v>204</v>
      </c>
      <c r="K9" t="s">
        <v>204</v>
      </c>
      <c r="L9" t="s">
        <v>340</v>
      </c>
      <c r="M9" t="s">
        <v>605</v>
      </c>
      <c r="N9" t="s">
        <v>339</v>
      </c>
      <c r="O9" t="s">
        <v>1212</v>
      </c>
      <c r="P9" s="131">
        <v>262576.23</v>
      </c>
      <c r="Q9" s="131">
        <v>1</v>
      </c>
      <c r="R9" s="131">
        <v>5505</v>
      </c>
      <c r="S9" s="109"/>
      <c r="T9" s="131">
        <v>14454.821</v>
      </c>
      <c r="U9" s="132">
        <v>3.46E-3</v>
      </c>
      <c r="V9" s="132">
        <v>4.3290000000000002E-2</v>
      </c>
      <c r="W9" s="132">
        <v>1.814E-2</v>
      </c>
    </row>
    <row r="10" spans="1:23">
      <c r="A10" t="s">
        <v>1213</v>
      </c>
      <c r="B10" t="s">
        <v>1221</v>
      </c>
      <c r="C10" t="s">
        <v>4107</v>
      </c>
      <c r="D10" t="s">
        <v>4108</v>
      </c>
      <c r="E10" t="s">
        <v>309</v>
      </c>
      <c r="F10" t="s">
        <v>4115</v>
      </c>
      <c r="G10" t="s">
        <v>4116</v>
      </c>
      <c r="H10" t="s">
        <v>321</v>
      </c>
      <c r="I10" t="s">
        <v>965</v>
      </c>
      <c r="J10" t="s">
        <v>204</v>
      </c>
      <c r="K10" t="s">
        <v>204</v>
      </c>
      <c r="L10" t="s">
        <v>340</v>
      </c>
      <c r="M10" t="s">
        <v>605</v>
      </c>
      <c r="N10" t="s">
        <v>339</v>
      </c>
      <c r="O10" t="s">
        <v>1212</v>
      </c>
      <c r="P10" s="131">
        <v>184869</v>
      </c>
      <c r="Q10" s="131">
        <v>1</v>
      </c>
      <c r="R10" s="131">
        <v>7341</v>
      </c>
      <c r="S10" s="109"/>
      <c r="T10" s="131">
        <v>13571.233</v>
      </c>
      <c r="U10" s="132">
        <v>5.96E-3</v>
      </c>
      <c r="V10" s="132">
        <v>4.0640000000000003E-2</v>
      </c>
      <c r="W10" s="132">
        <v>1.703E-2</v>
      </c>
    </row>
    <row r="11" spans="1:23">
      <c r="A11" t="s">
        <v>1213</v>
      </c>
      <c r="B11" t="s">
        <v>1221</v>
      </c>
      <c r="C11" t="s">
        <v>4117</v>
      </c>
      <c r="D11" t="s">
        <v>4118</v>
      </c>
      <c r="E11" t="s">
        <v>309</v>
      </c>
      <c r="F11" t="s">
        <v>4119</v>
      </c>
      <c r="G11" t="s">
        <v>4120</v>
      </c>
      <c r="H11" t="s">
        <v>321</v>
      </c>
      <c r="I11" t="s">
        <v>964</v>
      </c>
      <c r="J11" t="s">
        <v>204</v>
      </c>
      <c r="K11" t="s">
        <v>204</v>
      </c>
      <c r="L11" t="s">
        <v>340</v>
      </c>
      <c r="M11" t="s">
        <v>572</v>
      </c>
      <c r="N11" t="s">
        <v>339</v>
      </c>
      <c r="O11" t="s">
        <v>1212</v>
      </c>
      <c r="P11" s="131">
        <v>612219</v>
      </c>
      <c r="Q11" s="131">
        <v>1</v>
      </c>
      <c r="R11" s="131">
        <v>2073</v>
      </c>
      <c r="S11" s="109"/>
      <c r="T11" s="131">
        <v>12691.3</v>
      </c>
      <c r="U11" s="132">
        <v>1.5299999999999999E-3</v>
      </c>
      <c r="V11" s="132">
        <v>3.8010000000000002E-2</v>
      </c>
      <c r="W11" s="132">
        <v>1.593E-2</v>
      </c>
    </row>
    <row r="12" spans="1:23">
      <c r="A12" t="s">
        <v>1213</v>
      </c>
      <c r="B12" t="s">
        <v>1221</v>
      </c>
      <c r="C12" t="s">
        <v>4107</v>
      </c>
      <c r="D12" t="s">
        <v>4108</v>
      </c>
      <c r="E12" t="s">
        <v>309</v>
      </c>
      <c r="F12" t="s">
        <v>4121</v>
      </c>
      <c r="G12" t="s">
        <v>4122</v>
      </c>
      <c r="H12" t="s">
        <v>321</v>
      </c>
      <c r="I12" t="s">
        <v>965</v>
      </c>
      <c r="J12" t="s">
        <v>204</v>
      </c>
      <c r="K12" t="s">
        <v>204</v>
      </c>
      <c r="L12" t="s">
        <v>340</v>
      </c>
      <c r="M12" t="s">
        <v>604</v>
      </c>
      <c r="N12" t="s">
        <v>339</v>
      </c>
      <c r="O12" t="s">
        <v>1212</v>
      </c>
      <c r="P12" s="131">
        <v>135816</v>
      </c>
      <c r="Q12" s="131">
        <v>1</v>
      </c>
      <c r="R12" s="131">
        <v>9106</v>
      </c>
      <c r="S12" s="109"/>
      <c r="T12" s="131">
        <v>12367.405000000001</v>
      </c>
      <c r="U12" s="132">
        <v>1.56E-3</v>
      </c>
      <c r="V12" s="132">
        <v>3.7039999999999997E-2</v>
      </c>
      <c r="W12" s="132">
        <v>1.5520000000000001E-2</v>
      </c>
    </row>
    <row r="13" spans="1:23">
      <c r="A13" t="s">
        <v>1213</v>
      </c>
      <c r="B13" t="s">
        <v>1221</v>
      </c>
      <c r="C13" t="s">
        <v>4123</v>
      </c>
      <c r="D13" t="s">
        <v>4124</v>
      </c>
      <c r="E13" t="s">
        <v>309</v>
      </c>
      <c r="F13" t="s">
        <v>4125</v>
      </c>
      <c r="G13" t="s">
        <v>4126</v>
      </c>
      <c r="H13" t="s">
        <v>321</v>
      </c>
      <c r="I13" t="s">
        <v>964</v>
      </c>
      <c r="J13" t="s">
        <v>204</v>
      </c>
      <c r="K13" t="s">
        <v>204</v>
      </c>
      <c r="L13" t="s">
        <v>340</v>
      </c>
      <c r="M13" t="s">
        <v>572</v>
      </c>
      <c r="N13" t="s">
        <v>339</v>
      </c>
      <c r="O13" t="s">
        <v>1212</v>
      </c>
      <c r="P13" s="131">
        <v>571100</v>
      </c>
      <c r="Q13" s="131">
        <v>1</v>
      </c>
      <c r="R13" s="131">
        <v>2081</v>
      </c>
      <c r="S13" s="109"/>
      <c r="T13" s="131">
        <v>11884.591</v>
      </c>
      <c r="U13" s="132">
        <v>1.2999999999999999E-3</v>
      </c>
      <c r="V13" s="132">
        <v>3.5589999999999997E-2</v>
      </c>
      <c r="W13" s="132">
        <v>1.4919999999999999E-2</v>
      </c>
    </row>
    <row r="14" spans="1:23">
      <c r="A14" t="s">
        <v>1213</v>
      </c>
      <c r="B14" t="s">
        <v>1221</v>
      </c>
      <c r="C14" t="s">
        <v>4127</v>
      </c>
      <c r="D14" t="s">
        <v>4128</v>
      </c>
      <c r="E14" t="s">
        <v>309</v>
      </c>
      <c r="F14" t="s">
        <v>4129</v>
      </c>
      <c r="G14" t="s">
        <v>4130</v>
      </c>
      <c r="H14" t="s">
        <v>321</v>
      </c>
      <c r="I14" t="s">
        <v>965</v>
      </c>
      <c r="J14" t="s">
        <v>204</v>
      </c>
      <c r="K14" t="s">
        <v>204</v>
      </c>
      <c r="L14" t="s">
        <v>340</v>
      </c>
      <c r="M14" t="s">
        <v>604</v>
      </c>
      <c r="N14" t="s">
        <v>339</v>
      </c>
      <c r="O14" t="s">
        <v>1212</v>
      </c>
      <c r="P14" s="131">
        <v>471200</v>
      </c>
      <c r="Q14" s="131">
        <v>1</v>
      </c>
      <c r="R14" s="131">
        <v>2470</v>
      </c>
      <c r="S14" s="109"/>
      <c r="T14" s="131">
        <v>11638.64</v>
      </c>
      <c r="U14" s="132">
        <v>1.24E-3</v>
      </c>
      <c r="V14" s="132">
        <v>3.4849999999999999E-2</v>
      </c>
      <c r="W14" s="132">
        <v>1.461E-2</v>
      </c>
    </row>
    <row r="15" spans="1:23">
      <c r="A15" t="s">
        <v>1213</v>
      </c>
      <c r="B15" t="s">
        <v>1221</v>
      </c>
      <c r="C15" t="s">
        <v>4127</v>
      </c>
      <c r="D15" t="s">
        <v>4128</v>
      </c>
      <c r="E15" t="s">
        <v>309</v>
      </c>
      <c r="F15" t="s">
        <v>4131</v>
      </c>
      <c r="G15" t="s">
        <v>4132</v>
      </c>
      <c r="H15" t="s">
        <v>321</v>
      </c>
      <c r="I15" t="s">
        <v>965</v>
      </c>
      <c r="J15" t="s">
        <v>204</v>
      </c>
      <c r="K15" t="s">
        <v>204</v>
      </c>
      <c r="L15" t="s">
        <v>340</v>
      </c>
      <c r="M15" t="s">
        <v>605</v>
      </c>
      <c r="N15" t="s">
        <v>339</v>
      </c>
      <c r="O15" t="s">
        <v>1212</v>
      </c>
      <c r="P15" s="131">
        <v>160000</v>
      </c>
      <c r="Q15" s="131">
        <v>1</v>
      </c>
      <c r="R15" s="131">
        <v>5590</v>
      </c>
      <c r="S15" s="109"/>
      <c r="T15" s="131">
        <v>8944</v>
      </c>
      <c r="U15" s="132">
        <v>1.32E-3</v>
      </c>
      <c r="V15" s="132">
        <v>2.6780000000000002E-2</v>
      </c>
      <c r="W15" s="132">
        <v>1.123E-2</v>
      </c>
    </row>
    <row r="16" spans="1:23">
      <c r="A16" t="s">
        <v>1213</v>
      </c>
      <c r="B16" t="s">
        <v>1221</v>
      </c>
      <c r="C16" t="s">
        <v>4111</v>
      </c>
      <c r="D16" t="s">
        <v>4112</v>
      </c>
      <c r="E16" t="s">
        <v>309</v>
      </c>
      <c r="F16" t="s">
        <v>4133</v>
      </c>
      <c r="G16" t="s">
        <v>4134</v>
      </c>
      <c r="H16" t="s">
        <v>321</v>
      </c>
      <c r="I16" t="s">
        <v>964</v>
      </c>
      <c r="J16" t="s">
        <v>204</v>
      </c>
      <c r="K16" t="s">
        <v>204</v>
      </c>
      <c r="L16" t="s">
        <v>340</v>
      </c>
      <c r="M16" t="s">
        <v>572</v>
      </c>
      <c r="N16" t="s">
        <v>339</v>
      </c>
      <c r="O16" t="s">
        <v>1212</v>
      </c>
      <c r="P16" s="131">
        <v>40626</v>
      </c>
      <c r="Q16" s="131">
        <v>1</v>
      </c>
      <c r="R16" s="131">
        <v>20710</v>
      </c>
      <c r="S16" s="109"/>
      <c r="T16" s="131">
        <v>8413.6450000000004</v>
      </c>
      <c r="U16" s="132">
        <v>1.15E-3</v>
      </c>
      <c r="V16" s="132">
        <v>2.52E-2</v>
      </c>
      <c r="W16" s="132">
        <v>1.056E-2</v>
      </c>
    </row>
    <row r="17" spans="1:23">
      <c r="A17" t="s">
        <v>1213</v>
      </c>
      <c r="B17" t="s">
        <v>1221</v>
      </c>
      <c r="C17" t="s">
        <v>4123</v>
      </c>
      <c r="D17" t="s">
        <v>4124</v>
      </c>
      <c r="E17" t="s">
        <v>309</v>
      </c>
      <c r="F17" t="s">
        <v>4135</v>
      </c>
      <c r="G17" t="s">
        <v>4136</v>
      </c>
      <c r="H17" t="s">
        <v>321</v>
      </c>
      <c r="I17" t="s">
        <v>965</v>
      </c>
      <c r="J17" t="s">
        <v>204</v>
      </c>
      <c r="K17" t="s">
        <v>204</v>
      </c>
      <c r="L17" t="s">
        <v>340</v>
      </c>
      <c r="M17" t="s">
        <v>605</v>
      </c>
      <c r="N17" t="s">
        <v>339</v>
      </c>
      <c r="O17" t="s">
        <v>1212</v>
      </c>
      <c r="P17" s="131">
        <v>145000</v>
      </c>
      <c r="Q17" s="131">
        <v>1</v>
      </c>
      <c r="R17" s="131">
        <v>5069</v>
      </c>
      <c r="S17" s="109"/>
      <c r="T17" s="131">
        <v>7350.05</v>
      </c>
      <c r="U17" s="132">
        <v>1.1299999999999999E-3</v>
      </c>
      <c r="V17" s="132">
        <v>2.2009999999999998E-2</v>
      </c>
      <c r="W17" s="132">
        <v>9.2200000000000008E-3</v>
      </c>
    </row>
    <row r="18" spans="1:23">
      <c r="A18" t="s">
        <v>1213</v>
      </c>
      <c r="B18" t="s">
        <v>1221</v>
      </c>
      <c r="C18" t="s">
        <v>4123</v>
      </c>
      <c r="D18" t="s">
        <v>4124</v>
      </c>
      <c r="E18" t="s">
        <v>309</v>
      </c>
      <c r="F18" t="s">
        <v>4137</v>
      </c>
      <c r="G18" t="s">
        <v>4138</v>
      </c>
      <c r="H18" t="s">
        <v>321</v>
      </c>
      <c r="I18" t="s">
        <v>965</v>
      </c>
      <c r="J18" t="s">
        <v>204</v>
      </c>
      <c r="K18" t="s">
        <v>204</v>
      </c>
      <c r="L18" t="s">
        <v>340</v>
      </c>
      <c r="M18" t="s">
        <v>610</v>
      </c>
      <c r="N18" t="s">
        <v>339</v>
      </c>
      <c r="O18" t="s">
        <v>1212</v>
      </c>
      <c r="P18" s="131">
        <v>192903</v>
      </c>
      <c r="Q18" s="131">
        <v>1</v>
      </c>
      <c r="R18" s="131">
        <v>2795</v>
      </c>
      <c r="S18" s="109"/>
      <c r="T18" s="131">
        <v>5391.6390000000001</v>
      </c>
      <c r="U18" s="132">
        <v>3.5100000000000001E-3</v>
      </c>
      <c r="V18" s="132">
        <v>1.6150000000000001E-2</v>
      </c>
      <c r="W18" s="132">
        <v>6.77E-3</v>
      </c>
    </row>
    <row r="19" spans="1:23">
      <c r="A19" t="s">
        <v>1213</v>
      </c>
      <c r="B19" t="s">
        <v>1221</v>
      </c>
      <c r="C19" t="s">
        <v>4111</v>
      </c>
      <c r="D19" t="s">
        <v>4112</v>
      </c>
      <c r="E19" t="s">
        <v>309</v>
      </c>
      <c r="F19" t="s">
        <v>4139</v>
      </c>
      <c r="G19" t="s">
        <v>4140</v>
      </c>
      <c r="H19" t="s">
        <v>321</v>
      </c>
      <c r="I19" t="s">
        <v>966</v>
      </c>
      <c r="J19" t="s">
        <v>204</v>
      </c>
      <c r="K19" t="s">
        <v>204</v>
      </c>
      <c r="L19" t="s">
        <v>340</v>
      </c>
      <c r="M19" t="s">
        <v>576</v>
      </c>
      <c r="N19" t="s">
        <v>339</v>
      </c>
      <c r="O19" t="s">
        <v>1212</v>
      </c>
      <c r="P19" s="131">
        <v>148000</v>
      </c>
      <c r="Q19" s="131">
        <v>1</v>
      </c>
      <c r="R19" s="131">
        <v>3637.39</v>
      </c>
      <c r="S19" s="109"/>
      <c r="T19" s="131">
        <v>5383.3370000000004</v>
      </c>
      <c r="U19" s="132">
        <v>1.06E-3</v>
      </c>
      <c r="V19" s="132">
        <v>1.6119999999999999E-2</v>
      </c>
      <c r="W19" s="132">
        <v>6.7600000000000004E-3</v>
      </c>
    </row>
    <row r="20" spans="1:23">
      <c r="A20" t="s">
        <v>1213</v>
      </c>
      <c r="B20" t="s">
        <v>1221</v>
      </c>
      <c r="C20" t="s">
        <v>4127</v>
      </c>
      <c r="D20" t="s">
        <v>4128</v>
      </c>
      <c r="E20" t="s">
        <v>309</v>
      </c>
      <c r="F20" t="s">
        <v>4141</v>
      </c>
      <c r="G20" t="s">
        <v>4142</v>
      </c>
      <c r="H20" t="s">
        <v>321</v>
      </c>
      <c r="I20" t="s">
        <v>966</v>
      </c>
      <c r="J20" t="s">
        <v>204</v>
      </c>
      <c r="K20" t="s">
        <v>204</v>
      </c>
      <c r="L20" t="s">
        <v>340</v>
      </c>
      <c r="M20" t="s">
        <v>576</v>
      </c>
      <c r="N20" t="s">
        <v>339</v>
      </c>
      <c r="O20" t="s">
        <v>1212</v>
      </c>
      <c r="P20" s="131">
        <v>1460000</v>
      </c>
      <c r="Q20" s="131">
        <v>1</v>
      </c>
      <c r="R20" s="131">
        <v>364.41</v>
      </c>
      <c r="S20" s="108"/>
      <c r="T20" s="131">
        <v>5320.3860000000004</v>
      </c>
      <c r="U20" s="132">
        <v>4.7299999999999998E-3</v>
      </c>
      <c r="V20" s="132">
        <v>1.593E-2</v>
      </c>
      <c r="W20" s="132">
        <v>6.6800000000000002E-3</v>
      </c>
    </row>
    <row r="21" spans="1:23">
      <c r="A21" t="s">
        <v>1213</v>
      </c>
      <c r="B21" t="s">
        <v>1221</v>
      </c>
      <c r="C21" t="s">
        <v>4123</v>
      </c>
      <c r="D21" t="s">
        <v>4124</v>
      </c>
      <c r="E21" t="s">
        <v>309</v>
      </c>
      <c r="F21" t="s">
        <v>4143</v>
      </c>
      <c r="G21" t="s">
        <v>4144</v>
      </c>
      <c r="H21" t="s">
        <v>321</v>
      </c>
      <c r="I21" t="s">
        <v>965</v>
      </c>
      <c r="J21" t="s">
        <v>204</v>
      </c>
      <c r="K21" t="s">
        <v>204</v>
      </c>
      <c r="L21" t="s">
        <v>340</v>
      </c>
      <c r="M21" t="s">
        <v>604</v>
      </c>
      <c r="N21" t="s">
        <v>339</v>
      </c>
      <c r="O21" t="s">
        <v>1212</v>
      </c>
      <c r="P21" s="131">
        <v>20050</v>
      </c>
      <c r="Q21" s="131">
        <v>1</v>
      </c>
      <c r="R21" s="131">
        <v>24940</v>
      </c>
      <c r="S21" s="108"/>
      <c r="T21" s="131">
        <v>5000.47</v>
      </c>
      <c r="U21" s="132">
        <v>5.8E-4</v>
      </c>
      <c r="V21" s="132">
        <v>1.498E-2</v>
      </c>
      <c r="W21" s="132">
        <v>6.28E-3</v>
      </c>
    </row>
    <row r="22" spans="1:23">
      <c r="A22" t="s">
        <v>1213</v>
      </c>
      <c r="B22" t="s">
        <v>1221</v>
      </c>
      <c r="C22" t="s">
        <v>4127</v>
      </c>
      <c r="D22" t="s">
        <v>4128</v>
      </c>
      <c r="E22" t="s">
        <v>309</v>
      </c>
      <c r="F22" t="s">
        <v>4145</v>
      </c>
      <c r="G22" t="s">
        <v>4146</v>
      </c>
      <c r="H22" t="s">
        <v>321</v>
      </c>
      <c r="I22" t="s">
        <v>964</v>
      </c>
      <c r="J22" t="s">
        <v>204</v>
      </c>
      <c r="K22" t="s">
        <v>204</v>
      </c>
      <c r="L22" t="s">
        <v>340</v>
      </c>
      <c r="M22" t="s">
        <v>572</v>
      </c>
      <c r="N22" t="s">
        <v>339</v>
      </c>
      <c r="O22" t="s">
        <v>1212</v>
      </c>
      <c r="P22" s="131">
        <v>238000</v>
      </c>
      <c r="Q22" s="131">
        <v>1</v>
      </c>
      <c r="R22" s="131">
        <v>2076</v>
      </c>
      <c r="S22" s="108"/>
      <c r="T22" s="131">
        <v>4940.88</v>
      </c>
      <c r="U22" s="132">
        <v>1.15E-3</v>
      </c>
      <c r="V22" s="132">
        <v>1.4800000000000001E-2</v>
      </c>
      <c r="W22" s="132">
        <v>6.1999999999999998E-3</v>
      </c>
    </row>
    <row r="23" spans="1:23">
      <c r="A23" t="s">
        <v>1213</v>
      </c>
      <c r="B23" t="s">
        <v>1221</v>
      </c>
      <c r="C23" t="s">
        <v>4111</v>
      </c>
      <c r="D23" t="s">
        <v>4112</v>
      </c>
      <c r="E23" t="s">
        <v>309</v>
      </c>
      <c r="F23" t="s">
        <v>4147</v>
      </c>
      <c r="G23" t="s">
        <v>4148</v>
      </c>
      <c r="H23" t="s">
        <v>321</v>
      </c>
      <c r="I23" t="s">
        <v>965</v>
      </c>
      <c r="J23" t="s">
        <v>204</v>
      </c>
      <c r="K23" t="s">
        <v>204</v>
      </c>
      <c r="L23" t="s">
        <v>340</v>
      </c>
      <c r="M23" t="s">
        <v>604</v>
      </c>
      <c r="N23" t="s">
        <v>339</v>
      </c>
      <c r="O23" t="s">
        <v>1212</v>
      </c>
      <c r="P23" s="131">
        <v>19900</v>
      </c>
      <c r="Q23" s="131">
        <v>1</v>
      </c>
      <c r="R23" s="131">
        <v>23280</v>
      </c>
      <c r="S23" s="108"/>
      <c r="T23" s="131">
        <v>4632.72</v>
      </c>
      <c r="U23" s="132">
        <v>7.2000000000000005E-4</v>
      </c>
      <c r="V23" s="132">
        <v>1.387E-2</v>
      </c>
      <c r="W23" s="132">
        <v>5.8100000000000001E-3</v>
      </c>
    </row>
    <row r="24" spans="1:23">
      <c r="A24" t="s">
        <v>1213</v>
      </c>
      <c r="B24" t="s">
        <v>1221</v>
      </c>
      <c r="C24" t="s">
        <v>4117</v>
      </c>
      <c r="D24" t="s">
        <v>4118</v>
      </c>
      <c r="E24" t="s">
        <v>309</v>
      </c>
      <c r="F24" t="s">
        <v>4149</v>
      </c>
      <c r="G24" t="s">
        <v>4150</v>
      </c>
      <c r="H24" t="s">
        <v>321</v>
      </c>
      <c r="I24" t="s">
        <v>966</v>
      </c>
      <c r="J24" t="s">
        <v>204</v>
      </c>
      <c r="K24" t="s">
        <v>204</v>
      </c>
      <c r="L24" t="s">
        <v>340</v>
      </c>
      <c r="M24" t="s">
        <v>576</v>
      </c>
      <c r="N24" t="s">
        <v>339</v>
      </c>
      <c r="O24" t="s">
        <v>1212</v>
      </c>
      <c r="P24" s="131">
        <v>1154000</v>
      </c>
      <c r="Q24" s="131">
        <v>1</v>
      </c>
      <c r="R24" s="131">
        <v>365.93</v>
      </c>
      <c r="S24" s="108"/>
      <c r="T24" s="131">
        <v>4222.8320000000003</v>
      </c>
      <c r="U24" s="132">
        <v>8.4000000000000003E-4</v>
      </c>
      <c r="V24" s="132">
        <v>1.265E-2</v>
      </c>
      <c r="W24" s="132">
        <v>5.3E-3</v>
      </c>
    </row>
    <row r="25" spans="1:23">
      <c r="A25" t="s">
        <v>1213</v>
      </c>
      <c r="B25" t="s">
        <v>1221</v>
      </c>
      <c r="C25" t="s">
        <v>4117</v>
      </c>
      <c r="D25" t="s">
        <v>4118</v>
      </c>
      <c r="E25" t="s">
        <v>309</v>
      </c>
      <c r="F25" t="s">
        <v>4151</v>
      </c>
      <c r="G25" t="s">
        <v>4152</v>
      </c>
      <c r="H25" t="s">
        <v>321</v>
      </c>
      <c r="I25" t="s">
        <v>965</v>
      </c>
      <c r="J25" t="s">
        <v>204</v>
      </c>
      <c r="K25" t="s">
        <v>204</v>
      </c>
      <c r="L25" t="s">
        <v>340</v>
      </c>
      <c r="M25" t="s">
        <v>604</v>
      </c>
      <c r="N25" t="s">
        <v>339</v>
      </c>
      <c r="O25" t="s">
        <v>1212</v>
      </c>
      <c r="P25" s="131">
        <v>20000</v>
      </c>
      <c r="Q25" s="131">
        <v>1</v>
      </c>
      <c r="R25" s="131">
        <v>21020</v>
      </c>
      <c r="T25" s="131">
        <v>4204</v>
      </c>
      <c r="U25" s="132">
        <v>2.0000000000000001E-4</v>
      </c>
      <c r="V25" s="132">
        <v>1.259E-2</v>
      </c>
      <c r="W25" s="132">
        <v>5.28E-3</v>
      </c>
    </row>
    <row r="26" spans="1:23">
      <c r="A26" t="s">
        <v>1213</v>
      </c>
      <c r="B26" t="s">
        <v>1221</v>
      </c>
      <c r="C26" t="s">
        <v>4127</v>
      </c>
      <c r="D26" t="s">
        <v>4128</v>
      </c>
      <c r="E26" t="s">
        <v>309</v>
      </c>
      <c r="F26" t="s">
        <v>4153</v>
      </c>
      <c r="G26" t="s">
        <v>4154</v>
      </c>
      <c r="H26" t="s">
        <v>321</v>
      </c>
      <c r="I26" t="s">
        <v>965</v>
      </c>
      <c r="J26" t="s">
        <v>204</v>
      </c>
      <c r="K26" t="s">
        <v>204</v>
      </c>
      <c r="L26" t="s">
        <v>340</v>
      </c>
      <c r="M26" t="s">
        <v>582</v>
      </c>
      <c r="N26" t="s">
        <v>339</v>
      </c>
      <c r="O26" t="s">
        <v>1212</v>
      </c>
      <c r="P26" s="131">
        <v>23815</v>
      </c>
      <c r="Q26" s="131">
        <v>1</v>
      </c>
      <c r="R26" s="131">
        <v>16800</v>
      </c>
      <c r="S26" s="108"/>
      <c r="T26" s="131">
        <v>4000.92</v>
      </c>
      <c r="U26" s="132">
        <v>2.0899999999999998E-3</v>
      </c>
      <c r="V26" s="132">
        <v>1.1979999999999999E-2</v>
      </c>
      <c r="W26" s="132">
        <v>5.0200000000000002E-3</v>
      </c>
    </row>
    <row r="27" spans="1:23">
      <c r="A27" t="s">
        <v>1213</v>
      </c>
      <c r="B27" t="s">
        <v>1221</v>
      </c>
      <c r="C27" t="s">
        <v>4127</v>
      </c>
      <c r="D27" t="s">
        <v>4128</v>
      </c>
      <c r="E27" t="s">
        <v>309</v>
      </c>
      <c r="F27" t="s">
        <v>4155</v>
      </c>
      <c r="G27" t="s">
        <v>4156</v>
      </c>
      <c r="H27" t="s">
        <v>321</v>
      </c>
      <c r="I27" t="s">
        <v>965</v>
      </c>
      <c r="J27" t="s">
        <v>204</v>
      </c>
      <c r="K27" t="s">
        <v>204</v>
      </c>
      <c r="L27" t="s">
        <v>340</v>
      </c>
      <c r="M27" t="s">
        <v>597</v>
      </c>
      <c r="N27" t="s">
        <v>339</v>
      </c>
      <c r="O27" t="s">
        <v>1212</v>
      </c>
      <c r="P27" s="131">
        <v>49703</v>
      </c>
      <c r="Q27" s="131">
        <v>1</v>
      </c>
      <c r="R27" s="131">
        <v>7865</v>
      </c>
      <c r="T27" s="131">
        <v>3909.1410000000001</v>
      </c>
      <c r="U27" s="132">
        <v>5.0000000000000001E-4</v>
      </c>
      <c r="V27" s="132">
        <v>1.171E-2</v>
      </c>
      <c r="W27" s="132">
        <v>4.9100000000000003E-3</v>
      </c>
    </row>
    <row r="28" spans="1:23">
      <c r="A28" t="s">
        <v>1213</v>
      </c>
      <c r="B28" t="s">
        <v>1221</v>
      </c>
      <c r="C28" t="s">
        <v>4111</v>
      </c>
      <c r="D28" t="s">
        <v>4112</v>
      </c>
      <c r="E28" t="s">
        <v>309</v>
      </c>
      <c r="F28" t="s">
        <v>4157</v>
      </c>
      <c r="G28" t="s">
        <v>4158</v>
      </c>
      <c r="H28" t="s">
        <v>321</v>
      </c>
      <c r="I28" t="s">
        <v>966</v>
      </c>
      <c r="J28" t="s">
        <v>204</v>
      </c>
      <c r="K28" t="s">
        <v>204</v>
      </c>
      <c r="L28" t="s">
        <v>340</v>
      </c>
      <c r="M28" t="s">
        <v>630</v>
      </c>
      <c r="N28" t="s">
        <v>339</v>
      </c>
      <c r="O28" t="s">
        <v>1212</v>
      </c>
      <c r="P28" s="131">
        <v>99999.76</v>
      </c>
      <c r="Q28" s="131">
        <v>1</v>
      </c>
      <c r="R28" s="131">
        <v>3902.52</v>
      </c>
      <c r="T28" s="131">
        <v>3902.511</v>
      </c>
      <c r="U28" s="132">
        <v>2.5600000000000002E-3</v>
      </c>
      <c r="V28" s="132">
        <v>1.1690000000000001E-2</v>
      </c>
      <c r="W28" s="132">
        <v>4.8999999999999998E-3</v>
      </c>
    </row>
    <row r="29" spans="1:23">
      <c r="A29" t="s">
        <v>1213</v>
      </c>
      <c r="B29" t="s">
        <v>1221</v>
      </c>
      <c r="C29" t="s">
        <v>4123</v>
      </c>
      <c r="D29" t="s">
        <v>4124</v>
      </c>
      <c r="E29" t="s">
        <v>309</v>
      </c>
      <c r="F29" t="s">
        <v>4159</v>
      </c>
      <c r="G29" t="s">
        <v>4160</v>
      </c>
      <c r="H29" t="s">
        <v>321</v>
      </c>
      <c r="I29" t="s">
        <v>964</v>
      </c>
      <c r="J29" t="s">
        <v>204</v>
      </c>
      <c r="K29" t="s">
        <v>204</v>
      </c>
      <c r="L29" t="s">
        <v>340</v>
      </c>
      <c r="M29" t="s">
        <v>574</v>
      </c>
      <c r="N29" t="s">
        <v>339</v>
      </c>
      <c r="O29" t="s">
        <v>1212</v>
      </c>
      <c r="P29" s="131">
        <v>178441</v>
      </c>
      <c r="Q29" s="131">
        <v>1</v>
      </c>
      <c r="R29" s="131">
        <v>2092</v>
      </c>
      <c r="T29" s="131">
        <v>3732.9859999999999</v>
      </c>
      <c r="U29" s="132">
        <v>6.9999999999999999E-4</v>
      </c>
      <c r="V29" s="132">
        <v>1.1180000000000001E-2</v>
      </c>
      <c r="W29" s="132">
        <v>4.6899999999999997E-3</v>
      </c>
    </row>
    <row r="30" spans="1:23">
      <c r="A30" t="s">
        <v>1213</v>
      </c>
      <c r="B30" t="s">
        <v>1221</v>
      </c>
      <c r="C30" t="s">
        <v>4127</v>
      </c>
      <c r="D30" t="s">
        <v>4128</v>
      </c>
      <c r="E30" t="s">
        <v>309</v>
      </c>
      <c r="F30" t="s">
        <v>4161</v>
      </c>
      <c r="G30" t="s">
        <v>4162</v>
      </c>
      <c r="H30" t="s">
        <v>321</v>
      </c>
      <c r="I30" t="s">
        <v>965</v>
      </c>
      <c r="J30" t="s">
        <v>204</v>
      </c>
      <c r="K30" t="s">
        <v>204</v>
      </c>
      <c r="L30" t="s">
        <v>340</v>
      </c>
      <c r="M30" t="s">
        <v>581</v>
      </c>
      <c r="N30" t="s">
        <v>339</v>
      </c>
      <c r="O30" t="s">
        <v>1212</v>
      </c>
      <c r="P30" s="131">
        <v>50000</v>
      </c>
      <c r="Q30" s="131">
        <v>1</v>
      </c>
      <c r="R30" s="131">
        <v>7382</v>
      </c>
      <c r="T30" s="131">
        <v>3691</v>
      </c>
      <c r="U30" s="132">
        <v>3.3999999999999998E-3</v>
      </c>
      <c r="V30" s="132">
        <v>1.1050000000000001E-2</v>
      </c>
      <c r="W30" s="132">
        <v>4.6299999999999996E-3</v>
      </c>
    </row>
    <row r="31" spans="1:23">
      <c r="A31" t="s">
        <v>1213</v>
      </c>
      <c r="B31" t="s">
        <v>1221</v>
      </c>
      <c r="C31" t="s">
        <v>4123</v>
      </c>
      <c r="D31" t="s">
        <v>4124</v>
      </c>
      <c r="E31" t="s">
        <v>309</v>
      </c>
      <c r="F31" t="s">
        <v>4163</v>
      </c>
      <c r="G31" t="s">
        <v>4164</v>
      </c>
      <c r="H31" t="s">
        <v>321</v>
      </c>
      <c r="I31" t="s">
        <v>965</v>
      </c>
      <c r="J31" t="s">
        <v>204</v>
      </c>
      <c r="K31" t="s">
        <v>204</v>
      </c>
      <c r="L31" t="s">
        <v>340</v>
      </c>
      <c r="M31" t="s">
        <v>598</v>
      </c>
      <c r="N31" t="s">
        <v>339</v>
      </c>
      <c r="O31" t="s">
        <v>1212</v>
      </c>
      <c r="P31" s="131">
        <v>21500</v>
      </c>
      <c r="Q31" s="131">
        <v>1</v>
      </c>
      <c r="R31" s="131">
        <v>16380</v>
      </c>
      <c r="T31" s="131">
        <v>3521.7</v>
      </c>
      <c r="U31" s="132">
        <v>4.2999999999999999E-4</v>
      </c>
      <c r="V31" s="132">
        <v>1.055E-2</v>
      </c>
      <c r="W31" s="132">
        <v>4.4200000000000003E-3</v>
      </c>
    </row>
    <row r="32" spans="1:23">
      <c r="A32" t="s">
        <v>1213</v>
      </c>
      <c r="B32" t="s">
        <v>1221</v>
      </c>
      <c r="C32" t="s">
        <v>4111</v>
      </c>
      <c r="D32" t="s">
        <v>4112</v>
      </c>
      <c r="E32" t="s">
        <v>309</v>
      </c>
      <c r="F32" t="s">
        <v>4165</v>
      </c>
      <c r="G32" t="s">
        <v>4166</v>
      </c>
      <c r="H32" t="s">
        <v>321</v>
      </c>
      <c r="I32" t="s">
        <v>965</v>
      </c>
      <c r="J32" t="s">
        <v>204</v>
      </c>
      <c r="K32" t="s">
        <v>204</v>
      </c>
      <c r="L32" t="s">
        <v>340</v>
      </c>
      <c r="M32" t="s">
        <v>603</v>
      </c>
      <c r="N32" t="s">
        <v>339</v>
      </c>
      <c r="O32" t="s">
        <v>1212</v>
      </c>
      <c r="P32" s="131">
        <v>163000</v>
      </c>
      <c r="Q32" s="131">
        <v>1</v>
      </c>
      <c r="R32" s="131">
        <v>2034</v>
      </c>
      <c r="T32" s="131">
        <v>3315.42</v>
      </c>
      <c r="U32" s="132">
        <v>4.5999999999999999E-3</v>
      </c>
      <c r="V32" s="132">
        <v>9.9299999999999996E-3</v>
      </c>
      <c r="W32" s="132">
        <v>4.1599999999999996E-3</v>
      </c>
    </row>
    <row r="33" spans="1:23">
      <c r="A33" t="s">
        <v>1213</v>
      </c>
      <c r="B33" t="s">
        <v>1221</v>
      </c>
      <c r="C33" t="s">
        <v>4127</v>
      </c>
      <c r="D33" t="s">
        <v>4128</v>
      </c>
      <c r="E33" t="s">
        <v>309</v>
      </c>
      <c r="F33" t="s">
        <v>4167</v>
      </c>
      <c r="G33" t="s">
        <v>4168</v>
      </c>
      <c r="H33" t="s">
        <v>321</v>
      </c>
      <c r="I33" t="s">
        <v>966</v>
      </c>
      <c r="J33" t="s">
        <v>204</v>
      </c>
      <c r="K33" t="s">
        <v>204</v>
      </c>
      <c r="L33" t="s">
        <v>340</v>
      </c>
      <c r="M33" t="s">
        <v>630</v>
      </c>
      <c r="N33" t="s">
        <v>339</v>
      </c>
      <c r="O33" t="s">
        <v>1212</v>
      </c>
      <c r="P33" s="131">
        <v>830000</v>
      </c>
      <c r="Q33" s="131">
        <v>1</v>
      </c>
      <c r="R33" s="131">
        <v>389.18</v>
      </c>
      <c r="T33" s="131">
        <v>3230.194</v>
      </c>
      <c r="U33" s="132">
        <v>3.0400000000000002E-3</v>
      </c>
      <c r="V33" s="132">
        <v>9.6699999999999998E-3</v>
      </c>
      <c r="W33" s="132">
        <v>4.0499999999999998E-3</v>
      </c>
    </row>
    <row r="34" spans="1:23">
      <c r="A34" t="s">
        <v>1213</v>
      </c>
      <c r="B34" t="s">
        <v>1221</v>
      </c>
      <c r="C34" t="s">
        <v>4123</v>
      </c>
      <c r="D34" t="s">
        <v>4124</v>
      </c>
      <c r="E34" t="s">
        <v>309</v>
      </c>
      <c r="F34" t="s">
        <v>4169</v>
      </c>
      <c r="G34" t="s">
        <v>4170</v>
      </c>
      <c r="H34" t="s">
        <v>321</v>
      </c>
      <c r="I34" t="s">
        <v>966</v>
      </c>
      <c r="J34" t="s">
        <v>204</v>
      </c>
      <c r="K34" t="s">
        <v>204</v>
      </c>
      <c r="L34" t="s">
        <v>340</v>
      </c>
      <c r="M34" t="s">
        <v>576</v>
      </c>
      <c r="N34" t="s">
        <v>339</v>
      </c>
      <c r="O34" t="s">
        <v>1212</v>
      </c>
      <c r="P34" s="131">
        <v>881357</v>
      </c>
      <c r="Q34" s="131">
        <v>1</v>
      </c>
      <c r="R34" s="131">
        <v>365.33</v>
      </c>
      <c r="T34" s="131">
        <v>3219.8620000000001</v>
      </c>
      <c r="U34" s="132">
        <v>6.4999999999999997E-4</v>
      </c>
      <c r="V34" s="132">
        <v>9.6399999999999993E-3</v>
      </c>
      <c r="W34" s="132">
        <v>4.0400000000000002E-3</v>
      </c>
    </row>
    <row r="35" spans="1:23">
      <c r="A35" t="s">
        <v>1213</v>
      </c>
      <c r="B35" t="s">
        <v>1221</v>
      </c>
      <c r="C35" t="s">
        <v>4111</v>
      </c>
      <c r="D35" t="s">
        <v>4112</v>
      </c>
      <c r="E35" t="s">
        <v>309</v>
      </c>
      <c r="F35" t="s">
        <v>4171</v>
      </c>
      <c r="G35" t="s">
        <v>4172</v>
      </c>
      <c r="H35" t="s">
        <v>321</v>
      </c>
      <c r="I35" t="s">
        <v>964</v>
      </c>
      <c r="J35" t="s">
        <v>204</v>
      </c>
      <c r="K35" t="s">
        <v>204</v>
      </c>
      <c r="L35" t="s">
        <v>340</v>
      </c>
      <c r="M35" t="s">
        <v>577</v>
      </c>
      <c r="N35" t="s">
        <v>339</v>
      </c>
      <c r="O35" t="s">
        <v>1212</v>
      </c>
      <c r="P35" s="131">
        <v>16400</v>
      </c>
      <c r="Q35" s="131">
        <v>1</v>
      </c>
      <c r="R35" s="131">
        <v>19380</v>
      </c>
      <c r="T35" s="131">
        <v>3178.32</v>
      </c>
      <c r="U35" s="132">
        <v>4.6999999999999999E-4</v>
      </c>
      <c r="V35" s="132">
        <v>9.5200000000000007E-3</v>
      </c>
      <c r="W35" s="132">
        <v>3.9899999999999996E-3</v>
      </c>
    </row>
    <row r="36" spans="1:23">
      <c r="A36" t="s">
        <v>1213</v>
      </c>
      <c r="B36" t="s">
        <v>1221</v>
      </c>
      <c r="C36" t="s">
        <v>4123</v>
      </c>
      <c r="D36" t="s">
        <v>4124</v>
      </c>
      <c r="E36" t="s">
        <v>309</v>
      </c>
      <c r="F36" t="s">
        <v>4173</v>
      </c>
      <c r="G36" t="s">
        <v>4174</v>
      </c>
      <c r="H36" t="s">
        <v>321</v>
      </c>
      <c r="I36" t="s">
        <v>966</v>
      </c>
      <c r="J36" t="s">
        <v>204</v>
      </c>
      <c r="K36" t="s">
        <v>204</v>
      </c>
      <c r="L36" t="s">
        <v>340</v>
      </c>
      <c r="M36" t="s">
        <v>630</v>
      </c>
      <c r="N36" t="s">
        <v>339</v>
      </c>
      <c r="O36" t="s">
        <v>1212</v>
      </c>
      <c r="P36" s="131">
        <v>802000</v>
      </c>
      <c r="Q36" s="131">
        <v>1</v>
      </c>
      <c r="R36" s="131">
        <v>390.51</v>
      </c>
      <c r="T36" s="131">
        <v>3131.89</v>
      </c>
      <c r="U36" s="132">
        <v>1.09E-3</v>
      </c>
      <c r="V36" s="132">
        <v>9.3799999999999994E-3</v>
      </c>
      <c r="W36" s="132">
        <v>3.9300000000000003E-3</v>
      </c>
    </row>
    <row r="37" spans="1:23">
      <c r="A37" t="s">
        <v>1213</v>
      </c>
      <c r="B37" t="s">
        <v>1221</v>
      </c>
      <c r="C37" t="s">
        <v>4123</v>
      </c>
      <c r="D37" t="s">
        <v>4124</v>
      </c>
      <c r="E37" t="s">
        <v>309</v>
      </c>
      <c r="F37" t="s">
        <v>4175</v>
      </c>
      <c r="G37" t="s">
        <v>4176</v>
      </c>
      <c r="H37" t="s">
        <v>321</v>
      </c>
      <c r="I37" t="s">
        <v>965</v>
      </c>
      <c r="J37" t="s">
        <v>204</v>
      </c>
      <c r="K37" t="s">
        <v>204</v>
      </c>
      <c r="L37" t="s">
        <v>340</v>
      </c>
      <c r="M37" t="s">
        <v>609</v>
      </c>
      <c r="N37" t="s">
        <v>339</v>
      </c>
      <c r="O37" t="s">
        <v>1212</v>
      </c>
      <c r="P37" s="131">
        <v>441000</v>
      </c>
      <c r="Q37" s="131">
        <v>1</v>
      </c>
      <c r="R37" s="131">
        <v>642.79999999999995</v>
      </c>
      <c r="T37" s="131">
        <v>2834.748</v>
      </c>
      <c r="U37" s="132">
        <v>1.1999999999999999E-3</v>
      </c>
      <c r="V37" s="132">
        <v>8.4899999999999993E-3</v>
      </c>
      <c r="W37" s="132">
        <v>3.5599999999999998E-3</v>
      </c>
    </row>
    <row r="38" spans="1:23">
      <c r="A38" t="s">
        <v>1213</v>
      </c>
      <c r="B38" t="s">
        <v>1221</v>
      </c>
      <c r="C38" t="s">
        <v>4107</v>
      </c>
      <c r="D38" t="s">
        <v>4108</v>
      </c>
      <c r="E38" t="s">
        <v>309</v>
      </c>
      <c r="F38" t="s">
        <v>4177</v>
      </c>
      <c r="G38" t="s">
        <v>4178</v>
      </c>
      <c r="H38" t="s">
        <v>321</v>
      </c>
      <c r="I38" t="s">
        <v>965</v>
      </c>
      <c r="J38" t="s">
        <v>204</v>
      </c>
      <c r="K38" t="s">
        <v>204</v>
      </c>
      <c r="L38" t="s">
        <v>340</v>
      </c>
      <c r="M38" t="s">
        <v>598</v>
      </c>
      <c r="N38" t="s">
        <v>339</v>
      </c>
      <c r="O38" t="s">
        <v>1212</v>
      </c>
      <c r="P38" s="131">
        <v>32999.67</v>
      </c>
      <c r="Q38" s="131">
        <v>1</v>
      </c>
      <c r="R38" s="131">
        <v>7969</v>
      </c>
      <c r="T38" s="131">
        <v>2629.7440000000001</v>
      </c>
      <c r="U38" s="132">
        <v>2.47E-3</v>
      </c>
      <c r="V38" s="132">
        <v>7.8799999999999999E-3</v>
      </c>
      <c r="W38" s="132">
        <v>3.3E-3</v>
      </c>
    </row>
    <row r="39" spans="1:23">
      <c r="A39" t="s">
        <v>1213</v>
      </c>
      <c r="B39" t="s">
        <v>1221</v>
      </c>
      <c r="C39" t="s">
        <v>4111</v>
      </c>
      <c r="D39" t="s">
        <v>4112</v>
      </c>
      <c r="E39" t="s">
        <v>309</v>
      </c>
      <c r="F39" t="s">
        <v>4179</v>
      </c>
      <c r="G39" t="s">
        <v>4180</v>
      </c>
      <c r="H39" t="s">
        <v>321</v>
      </c>
      <c r="I39" t="s">
        <v>966</v>
      </c>
      <c r="J39" t="s">
        <v>204</v>
      </c>
      <c r="K39" t="s">
        <v>204</v>
      </c>
      <c r="L39" t="s">
        <v>340</v>
      </c>
      <c r="M39" t="s">
        <v>630</v>
      </c>
      <c r="N39" t="s">
        <v>339</v>
      </c>
      <c r="O39" t="s">
        <v>1212</v>
      </c>
      <c r="P39" s="131">
        <v>67000.23</v>
      </c>
      <c r="Q39" s="131">
        <v>1</v>
      </c>
      <c r="R39" s="131">
        <v>3880.51</v>
      </c>
      <c r="T39" s="131">
        <v>2599.951</v>
      </c>
      <c r="U39" s="132">
        <v>1.24E-3</v>
      </c>
      <c r="V39" s="132">
        <v>7.79E-3</v>
      </c>
      <c r="W39" s="132">
        <v>3.2599999999999999E-3</v>
      </c>
    </row>
    <row r="40" spans="1:23">
      <c r="A40" t="s">
        <v>1213</v>
      </c>
      <c r="B40" t="s">
        <v>1221</v>
      </c>
      <c r="C40" t="s">
        <v>4181</v>
      </c>
      <c r="D40" t="s">
        <v>4182</v>
      </c>
      <c r="E40" t="s">
        <v>309</v>
      </c>
      <c r="F40" t="s">
        <v>4183</v>
      </c>
      <c r="G40" t="s">
        <v>4184</v>
      </c>
      <c r="H40" t="s">
        <v>321</v>
      </c>
      <c r="I40" t="s">
        <v>965</v>
      </c>
      <c r="J40" t="s">
        <v>204</v>
      </c>
      <c r="K40" t="s">
        <v>204</v>
      </c>
      <c r="L40" t="s">
        <v>340</v>
      </c>
      <c r="M40" t="s">
        <v>605</v>
      </c>
      <c r="N40" t="s">
        <v>339</v>
      </c>
      <c r="O40" t="s">
        <v>1212</v>
      </c>
      <c r="P40" s="131">
        <v>27763</v>
      </c>
      <c r="Q40" s="131">
        <v>1</v>
      </c>
      <c r="R40" s="131">
        <v>9006</v>
      </c>
      <c r="T40" s="131">
        <v>2500.3359999999998</v>
      </c>
      <c r="U40" s="132">
        <v>1.16E-3</v>
      </c>
      <c r="V40" s="132">
        <v>7.4900000000000001E-3</v>
      </c>
      <c r="W40" s="132">
        <v>3.14E-3</v>
      </c>
    </row>
    <row r="41" spans="1:23">
      <c r="A41" t="s">
        <v>1213</v>
      </c>
      <c r="B41" t="s">
        <v>1221</v>
      </c>
      <c r="C41" t="s">
        <v>4107</v>
      </c>
      <c r="D41" t="s">
        <v>4108</v>
      </c>
      <c r="E41" t="s">
        <v>309</v>
      </c>
      <c r="F41" t="s">
        <v>4185</v>
      </c>
      <c r="G41" t="s">
        <v>4186</v>
      </c>
      <c r="H41" t="s">
        <v>321</v>
      </c>
      <c r="I41" t="s">
        <v>965</v>
      </c>
      <c r="J41" t="s">
        <v>204</v>
      </c>
      <c r="K41" t="s">
        <v>204</v>
      </c>
      <c r="L41" t="s">
        <v>340</v>
      </c>
      <c r="M41" t="s">
        <v>609</v>
      </c>
      <c r="N41" t="s">
        <v>339</v>
      </c>
      <c r="O41" t="s">
        <v>1212</v>
      </c>
      <c r="P41" s="131">
        <v>31700</v>
      </c>
      <c r="Q41" s="131">
        <v>1</v>
      </c>
      <c r="R41" s="131">
        <v>7671</v>
      </c>
      <c r="T41" s="131">
        <v>2431.7069999999999</v>
      </c>
      <c r="U41" s="132">
        <v>7.7600000000000004E-3</v>
      </c>
      <c r="V41" s="132">
        <v>7.28E-3</v>
      </c>
      <c r="W41" s="132">
        <v>3.0500000000000002E-3</v>
      </c>
    </row>
    <row r="42" spans="1:23">
      <c r="A42" t="s">
        <v>1213</v>
      </c>
      <c r="B42" t="s">
        <v>1221</v>
      </c>
      <c r="C42" t="s">
        <v>4127</v>
      </c>
      <c r="D42" t="s">
        <v>4128</v>
      </c>
      <c r="E42" t="s">
        <v>309</v>
      </c>
      <c r="F42" t="s">
        <v>4187</v>
      </c>
      <c r="G42" t="s">
        <v>4188</v>
      </c>
      <c r="H42" t="s">
        <v>321</v>
      </c>
      <c r="I42" t="s">
        <v>965</v>
      </c>
      <c r="J42" t="s">
        <v>204</v>
      </c>
      <c r="K42" t="s">
        <v>204</v>
      </c>
      <c r="L42" t="s">
        <v>340</v>
      </c>
      <c r="M42" t="s">
        <v>598</v>
      </c>
      <c r="N42" t="s">
        <v>339</v>
      </c>
      <c r="O42" t="s">
        <v>1212</v>
      </c>
      <c r="P42" s="131">
        <v>13541</v>
      </c>
      <c r="Q42" s="131">
        <v>1</v>
      </c>
      <c r="R42" s="131">
        <v>17380</v>
      </c>
      <c r="T42" s="131">
        <v>2353.4259999999999</v>
      </c>
      <c r="U42" s="132">
        <v>1.5299999999999999E-3</v>
      </c>
      <c r="V42" s="132">
        <v>7.0499999999999998E-3</v>
      </c>
      <c r="W42" s="132">
        <v>2.9499999999999999E-3</v>
      </c>
    </row>
    <row r="43" spans="1:23">
      <c r="A43" t="s">
        <v>1213</v>
      </c>
      <c r="B43" t="s">
        <v>1221</v>
      </c>
      <c r="C43" t="s">
        <v>4107</v>
      </c>
      <c r="D43" t="s">
        <v>4108</v>
      </c>
      <c r="E43" t="s">
        <v>309</v>
      </c>
      <c r="F43" t="s">
        <v>4189</v>
      </c>
      <c r="G43" t="s">
        <v>4190</v>
      </c>
      <c r="H43" t="s">
        <v>321</v>
      </c>
      <c r="I43" t="s">
        <v>966</v>
      </c>
      <c r="J43" t="s">
        <v>204</v>
      </c>
      <c r="K43" t="s">
        <v>204</v>
      </c>
      <c r="L43" t="s">
        <v>340</v>
      </c>
      <c r="M43" t="s">
        <v>576</v>
      </c>
      <c r="N43" t="s">
        <v>339</v>
      </c>
      <c r="O43" t="s">
        <v>1212</v>
      </c>
      <c r="P43" s="131">
        <v>480000</v>
      </c>
      <c r="Q43" s="131">
        <v>1</v>
      </c>
      <c r="R43" s="131">
        <v>465.93</v>
      </c>
      <c r="T43" s="131">
        <v>2236.4639999999999</v>
      </c>
      <c r="U43" s="132">
        <v>3.31E-3</v>
      </c>
      <c r="V43" s="132">
        <v>6.7000000000000002E-3</v>
      </c>
      <c r="W43" s="132">
        <v>2.81E-3</v>
      </c>
    </row>
    <row r="44" spans="1:23">
      <c r="A44" t="s">
        <v>1213</v>
      </c>
      <c r="B44" t="s">
        <v>1221</v>
      </c>
      <c r="C44" t="s">
        <v>4107</v>
      </c>
      <c r="D44" t="s">
        <v>4108</v>
      </c>
      <c r="E44" t="s">
        <v>309</v>
      </c>
      <c r="F44" t="s">
        <v>4191</v>
      </c>
      <c r="G44" t="s">
        <v>4192</v>
      </c>
      <c r="H44" t="s">
        <v>321</v>
      </c>
      <c r="I44" t="s">
        <v>965</v>
      </c>
      <c r="J44" t="s">
        <v>204</v>
      </c>
      <c r="K44" t="s">
        <v>204</v>
      </c>
      <c r="L44" t="s">
        <v>340</v>
      </c>
      <c r="M44" t="s">
        <v>600</v>
      </c>
      <c r="N44" t="s">
        <v>339</v>
      </c>
      <c r="O44" t="s">
        <v>1212</v>
      </c>
      <c r="P44" s="131">
        <v>52500</v>
      </c>
      <c r="Q44" s="131">
        <v>1</v>
      </c>
      <c r="R44" s="131">
        <v>3963</v>
      </c>
      <c r="T44" s="131">
        <v>2080.5749999999998</v>
      </c>
      <c r="U44" s="132">
        <v>6.1700000000000001E-3</v>
      </c>
      <c r="V44" s="132">
        <v>6.2300000000000003E-3</v>
      </c>
      <c r="W44" s="132">
        <v>2.6099999999999999E-3</v>
      </c>
    </row>
    <row r="45" spans="1:23">
      <c r="A45" t="s">
        <v>1213</v>
      </c>
      <c r="B45" t="s">
        <v>1221</v>
      </c>
      <c r="C45" t="s">
        <v>4127</v>
      </c>
      <c r="D45" t="s">
        <v>4128</v>
      </c>
      <c r="E45" t="s">
        <v>309</v>
      </c>
      <c r="F45" t="s">
        <v>4193</v>
      </c>
      <c r="G45" t="s">
        <v>4194</v>
      </c>
      <c r="H45" t="s">
        <v>321</v>
      </c>
      <c r="I45" t="s">
        <v>964</v>
      </c>
      <c r="J45" t="s">
        <v>204</v>
      </c>
      <c r="K45" t="s">
        <v>204</v>
      </c>
      <c r="L45" t="s">
        <v>340</v>
      </c>
      <c r="M45" t="s">
        <v>574</v>
      </c>
      <c r="N45" t="s">
        <v>339</v>
      </c>
      <c r="O45" t="s">
        <v>1212</v>
      </c>
      <c r="P45" s="131">
        <v>84000</v>
      </c>
      <c r="Q45" s="131">
        <v>1</v>
      </c>
      <c r="R45" s="131">
        <v>2094</v>
      </c>
      <c r="T45" s="131">
        <v>1758.96</v>
      </c>
      <c r="U45" s="132">
        <v>9.8999999999999999E-4</v>
      </c>
      <c r="V45" s="132">
        <v>5.2700000000000004E-3</v>
      </c>
      <c r="W45" s="132">
        <v>2.2100000000000002E-3</v>
      </c>
    </row>
    <row r="46" spans="1:23">
      <c r="A46" t="s">
        <v>1213</v>
      </c>
      <c r="B46" t="s">
        <v>1221</v>
      </c>
      <c r="C46" t="s">
        <v>4111</v>
      </c>
      <c r="D46" t="s">
        <v>4112</v>
      </c>
      <c r="E46" t="s">
        <v>309</v>
      </c>
      <c r="F46" t="s">
        <v>4195</v>
      </c>
      <c r="G46" t="s">
        <v>4196</v>
      </c>
      <c r="H46" t="s">
        <v>321</v>
      </c>
      <c r="I46" t="s">
        <v>965</v>
      </c>
      <c r="J46" t="s">
        <v>204</v>
      </c>
      <c r="K46" t="s">
        <v>204</v>
      </c>
      <c r="L46" t="s">
        <v>340</v>
      </c>
      <c r="M46" t="s">
        <v>610</v>
      </c>
      <c r="N46" t="s">
        <v>339</v>
      </c>
      <c r="O46" t="s">
        <v>1212</v>
      </c>
      <c r="P46" s="131">
        <v>3447.02</v>
      </c>
      <c r="Q46" s="131">
        <v>1</v>
      </c>
      <c r="R46" s="131">
        <v>50740</v>
      </c>
      <c r="T46" s="131">
        <v>1749.018</v>
      </c>
      <c r="U46" s="132">
        <v>1.75E-3</v>
      </c>
      <c r="V46" s="132">
        <v>5.2399999999999999E-3</v>
      </c>
      <c r="W46" s="132">
        <v>2.2000000000000001E-3</v>
      </c>
    </row>
    <row r="47" spans="1:23">
      <c r="A47" t="s">
        <v>1213</v>
      </c>
      <c r="B47" t="s">
        <v>1221</v>
      </c>
      <c r="C47" t="s">
        <v>4111</v>
      </c>
      <c r="D47" t="s">
        <v>4112</v>
      </c>
      <c r="E47" t="s">
        <v>309</v>
      </c>
      <c r="F47" t="s">
        <v>4197</v>
      </c>
      <c r="G47" t="s">
        <v>4198</v>
      </c>
      <c r="H47" t="s">
        <v>321</v>
      </c>
      <c r="I47" t="s">
        <v>965</v>
      </c>
      <c r="J47" t="s">
        <v>204</v>
      </c>
      <c r="K47" t="s">
        <v>204</v>
      </c>
      <c r="L47" t="s">
        <v>340</v>
      </c>
      <c r="M47" t="s">
        <v>598</v>
      </c>
      <c r="N47" t="s">
        <v>339</v>
      </c>
      <c r="O47" t="s">
        <v>1212</v>
      </c>
      <c r="P47" s="131">
        <v>10258.549999999999</v>
      </c>
      <c r="Q47" s="131">
        <v>1</v>
      </c>
      <c r="R47" s="131">
        <v>16780</v>
      </c>
      <c r="T47" s="131">
        <v>1721.385</v>
      </c>
      <c r="U47" s="132">
        <v>1.0399999999999999E-3</v>
      </c>
      <c r="V47" s="132">
        <v>5.1599999999999997E-3</v>
      </c>
      <c r="W47" s="132">
        <v>2.16E-3</v>
      </c>
    </row>
    <row r="48" spans="1:23">
      <c r="A48" t="s">
        <v>1213</v>
      </c>
      <c r="B48" t="s">
        <v>1221</v>
      </c>
      <c r="C48" t="s">
        <v>4111</v>
      </c>
      <c r="D48" t="s">
        <v>4112</v>
      </c>
      <c r="E48" t="s">
        <v>309</v>
      </c>
      <c r="F48" t="s">
        <v>4199</v>
      </c>
      <c r="G48" t="s">
        <v>4200</v>
      </c>
      <c r="H48" t="s">
        <v>321</v>
      </c>
      <c r="I48" t="s">
        <v>965</v>
      </c>
      <c r="J48" t="s">
        <v>204</v>
      </c>
      <c r="K48" t="s">
        <v>204</v>
      </c>
      <c r="L48" t="s">
        <v>340</v>
      </c>
      <c r="M48" t="s">
        <v>595</v>
      </c>
      <c r="N48" t="s">
        <v>339</v>
      </c>
      <c r="O48" t="s">
        <v>1212</v>
      </c>
      <c r="P48" s="131">
        <v>73335</v>
      </c>
      <c r="Q48" s="131">
        <v>1</v>
      </c>
      <c r="R48" s="131">
        <v>2330</v>
      </c>
      <c r="T48" s="131">
        <v>1708.7059999999999</v>
      </c>
      <c r="U48" s="132">
        <v>2.4299999999999999E-3</v>
      </c>
      <c r="V48" s="132">
        <v>5.1200000000000004E-3</v>
      </c>
      <c r="W48" s="132">
        <v>2.14E-3</v>
      </c>
    </row>
    <row r="49" spans="1:23">
      <c r="A49" t="s">
        <v>1213</v>
      </c>
      <c r="B49" t="s">
        <v>1221</v>
      </c>
      <c r="C49" t="s">
        <v>4123</v>
      </c>
      <c r="D49" t="s">
        <v>4124</v>
      </c>
      <c r="E49" t="s">
        <v>309</v>
      </c>
      <c r="F49" t="s">
        <v>4201</v>
      </c>
      <c r="G49" t="s">
        <v>4202</v>
      </c>
      <c r="H49" t="s">
        <v>321</v>
      </c>
      <c r="I49" t="s">
        <v>965</v>
      </c>
      <c r="J49" t="s">
        <v>204</v>
      </c>
      <c r="K49" t="s">
        <v>204</v>
      </c>
      <c r="L49" t="s">
        <v>340</v>
      </c>
      <c r="M49" t="s">
        <v>582</v>
      </c>
      <c r="N49" t="s">
        <v>339</v>
      </c>
      <c r="O49" t="s">
        <v>1212</v>
      </c>
      <c r="P49" s="131">
        <v>7548</v>
      </c>
      <c r="Q49" s="131">
        <v>1</v>
      </c>
      <c r="R49" s="131">
        <v>16810</v>
      </c>
      <c r="T49" s="131">
        <v>1268.819</v>
      </c>
      <c r="U49" s="132">
        <v>2.5999999999999998E-4</v>
      </c>
      <c r="V49" s="132">
        <v>3.8E-3</v>
      </c>
      <c r="W49" s="132">
        <v>1.5900000000000001E-3</v>
      </c>
    </row>
    <row r="50" spans="1:23">
      <c r="A50" t="s">
        <v>1213</v>
      </c>
      <c r="B50" t="s">
        <v>1221</v>
      </c>
      <c r="C50" t="s">
        <v>4107</v>
      </c>
      <c r="D50" t="s">
        <v>4108</v>
      </c>
      <c r="E50" t="s">
        <v>309</v>
      </c>
      <c r="F50" t="s">
        <v>4203</v>
      </c>
      <c r="G50" t="s">
        <v>4204</v>
      </c>
      <c r="H50" t="s">
        <v>321</v>
      </c>
      <c r="I50" t="s">
        <v>965</v>
      </c>
      <c r="J50" t="s">
        <v>204</v>
      </c>
      <c r="K50" t="s">
        <v>204</v>
      </c>
      <c r="L50" t="s">
        <v>340</v>
      </c>
      <c r="M50" t="s">
        <v>597</v>
      </c>
      <c r="N50" t="s">
        <v>339</v>
      </c>
      <c r="O50" t="s">
        <v>1212</v>
      </c>
      <c r="P50" s="131">
        <v>11800</v>
      </c>
      <c r="Q50" s="131">
        <v>1</v>
      </c>
      <c r="R50" s="131">
        <v>10350</v>
      </c>
      <c r="T50" s="131">
        <v>1221.3</v>
      </c>
      <c r="U50" s="132">
        <v>1.1800000000000001E-3</v>
      </c>
      <c r="V50" s="132">
        <v>3.6600000000000001E-3</v>
      </c>
      <c r="W50" s="132">
        <v>1.5299999999999999E-3</v>
      </c>
    </row>
    <row r="51" spans="1:23">
      <c r="A51" t="s">
        <v>1213</v>
      </c>
      <c r="B51" t="s">
        <v>1221</v>
      </c>
      <c r="C51" t="s">
        <v>4123</v>
      </c>
      <c r="D51" t="s">
        <v>4124</v>
      </c>
      <c r="E51" t="s">
        <v>309</v>
      </c>
      <c r="F51" t="s">
        <v>4205</v>
      </c>
      <c r="G51" t="s">
        <v>4206</v>
      </c>
      <c r="H51" t="s">
        <v>321</v>
      </c>
      <c r="I51" t="s">
        <v>964</v>
      </c>
      <c r="J51" t="s">
        <v>204</v>
      </c>
      <c r="K51" t="s">
        <v>204</v>
      </c>
      <c r="L51" t="s">
        <v>340</v>
      </c>
      <c r="M51" t="s">
        <v>577</v>
      </c>
      <c r="N51" t="s">
        <v>339</v>
      </c>
      <c r="O51" t="s">
        <v>1212</v>
      </c>
      <c r="P51" s="131">
        <v>60900</v>
      </c>
      <c r="Q51" s="131">
        <v>1</v>
      </c>
      <c r="R51" s="131">
        <v>2003</v>
      </c>
      <c r="T51" s="131">
        <v>1219.827</v>
      </c>
      <c r="U51" s="132">
        <v>1.4999999999999999E-4</v>
      </c>
      <c r="V51" s="132">
        <v>3.65E-3</v>
      </c>
      <c r="W51" s="132">
        <v>1.5299999999999999E-3</v>
      </c>
    </row>
    <row r="52" spans="1:23">
      <c r="A52" t="s">
        <v>1213</v>
      </c>
      <c r="B52" t="s">
        <v>1221</v>
      </c>
      <c r="C52" t="s">
        <v>4107</v>
      </c>
      <c r="D52" t="s">
        <v>4108</v>
      </c>
      <c r="E52" t="s">
        <v>309</v>
      </c>
      <c r="F52" t="s">
        <v>4207</v>
      </c>
      <c r="G52" t="s">
        <v>4208</v>
      </c>
      <c r="H52" t="s">
        <v>321</v>
      </c>
      <c r="I52" t="s">
        <v>965</v>
      </c>
      <c r="J52" t="s">
        <v>204</v>
      </c>
      <c r="K52" t="s">
        <v>204</v>
      </c>
      <c r="L52" t="s">
        <v>340</v>
      </c>
      <c r="M52" t="s">
        <v>603</v>
      </c>
      <c r="N52" t="s">
        <v>339</v>
      </c>
      <c r="O52" t="s">
        <v>1212</v>
      </c>
      <c r="P52" s="131">
        <v>31000</v>
      </c>
      <c r="Q52" s="131">
        <v>1</v>
      </c>
      <c r="R52" s="131">
        <v>3926</v>
      </c>
      <c r="T52" s="131">
        <v>1217.06</v>
      </c>
      <c r="U52" s="132">
        <v>6.6499999999999997E-3</v>
      </c>
      <c r="V52" s="132">
        <v>3.64E-3</v>
      </c>
      <c r="W52" s="132">
        <v>1.5299999999999999E-3</v>
      </c>
    </row>
    <row r="53" spans="1:23">
      <c r="A53" t="s">
        <v>1213</v>
      </c>
      <c r="B53" t="s">
        <v>1221</v>
      </c>
      <c r="C53" t="s">
        <v>4181</v>
      </c>
      <c r="D53" t="s">
        <v>4182</v>
      </c>
      <c r="E53" t="s">
        <v>309</v>
      </c>
      <c r="F53" t="s">
        <v>4209</v>
      </c>
      <c r="G53" t="s">
        <v>4210</v>
      </c>
      <c r="H53" t="s">
        <v>321</v>
      </c>
      <c r="I53" t="s">
        <v>965</v>
      </c>
      <c r="J53" t="s">
        <v>204</v>
      </c>
      <c r="K53" t="s">
        <v>204</v>
      </c>
      <c r="L53" t="s">
        <v>340</v>
      </c>
      <c r="M53" t="s">
        <v>598</v>
      </c>
      <c r="N53" t="s">
        <v>339</v>
      </c>
      <c r="O53" t="s">
        <v>1212</v>
      </c>
      <c r="P53" s="131">
        <v>12000</v>
      </c>
      <c r="Q53" s="131">
        <v>1</v>
      </c>
      <c r="R53" s="131">
        <v>9469</v>
      </c>
      <c r="T53" s="131">
        <v>1136.28</v>
      </c>
      <c r="U53" s="132">
        <v>5.8E-4</v>
      </c>
      <c r="V53" s="132">
        <v>3.3999999999999998E-3</v>
      </c>
      <c r="W53" s="132">
        <v>1.4300000000000001E-3</v>
      </c>
    </row>
    <row r="54" spans="1:23">
      <c r="A54" t="s">
        <v>1213</v>
      </c>
      <c r="B54" t="s">
        <v>1221</v>
      </c>
      <c r="C54" t="s">
        <v>4111</v>
      </c>
      <c r="D54" t="s">
        <v>4112</v>
      </c>
      <c r="E54" t="s">
        <v>309</v>
      </c>
      <c r="F54" t="s">
        <v>4211</v>
      </c>
      <c r="G54" t="s">
        <v>4212</v>
      </c>
      <c r="H54" t="s">
        <v>321</v>
      </c>
      <c r="I54" t="s">
        <v>965</v>
      </c>
      <c r="J54" t="s">
        <v>204</v>
      </c>
      <c r="K54" t="s">
        <v>204</v>
      </c>
      <c r="L54" t="s">
        <v>340</v>
      </c>
      <c r="M54" t="s">
        <v>609</v>
      </c>
      <c r="N54" t="s">
        <v>339</v>
      </c>
      <c r="O54" t="s">
        <v>1212</v>
      </c>
      <c r="P54" s="131">
        <v>9700.2900000000009</v>
      </c>
      <c r="Q54" s="131">
        <v>1</v>
      </c>
      <c r="R54" s="131">
        <v>11540</v>
      </c>
      <c r="T54" s="131">
        <v>1119.413</v>
      </c>
      <c r="U54" s="132">
        <v>1.1999999999999999E-3</v>
      </c>
      <c r="V54" s="132">
        <v>3.3500000000000001E-3</v>
      </c>
      <c r="W54" s="132">
        <v>1.4E-3</v>
      </c>
    </row>
    <row r="55" spans="1:23">
      <c r="A55" t="s">
        <v>1213</v>
      </c>
      <c r="B55" t="s">
        <v>1221</v>
      </c>
      <c r="C55" t="s">
        <v>4117</v>
      </c>
      <c r="D55" t="s">
        <v>4118</v>
      </c>
      <c r="E55" t="s">
        <v>309</v>
      </c>
      <c r="F55" t="s">
        <v>4213</v>
      </c>
      <c r="G55" t="s">
        <v>4214</v>
      </c>
      <c r="H55" t="s">
        <v>321</v>
      </c>
      <c r="I55" t="s">
        <v>965</v>
      </c>
      <c r="J55" t="s">
        <v>204</v>
      </c>
      <c r="K55" t="s">
        <v>204</v>
      </c>
      <c r="L55" t="s">
        <v>340</v>
      </c>
      <c r="M55" t="s">
        <v>582</v>
      </c>
      <c r="N55" t="s">
        <v>339</v>
      </c>
      <c r="O55" t="s">
        <v>1212</v>
      </c>
      <c r="P55" s="131">
        <v>6750</v>
      </c>
      <c r="Q55" s="131">
        <v>1</v>
      </c>
      <c r="R55" s="131">
        <v>16570</v>
      </c>
      <c r="T55" s="131">
        <v>1118.4749999999999</v>
      </c>
      <c r="U55" s="132">
        <v>2.9E-4</v>
      </c>
      <c r="V55" s="132">
        <v>3.3500000000000001E-3</v>
      </c>
      <c r="W55" s="132">
        <v>1.4E-3</v>
      </c>
    </row>
    <row r="56" spans="1:23">
      <c r="A56" t="s">
        <v>1213</v>
      </c>
      <c r="B56" t="s">
        <v>1221</v>
      </c>
      <c r="C56" t="s">
        <v>4181</v>
      </c>
      <c r="D56" t="s">
        <v>4182</v>
      </c>
      <c r="E56" t="s">
        <v>309</v>
      </c>
      <c r="F56" t="s">
        <v>4215</v>
      </c>
      <c r="G56" t="s">
        <v>4216</v>
      </c>
      <c r="H56" t="s">
        <v>321</v>
      </c>
      <c r="I56" t="s">
        <v>965</v>
      </c>
      <c r="J56" t="s">
        <v>204</v>
      </c>
      <c r="K56" t="s">
        <v>204</v>
      </c>
      <c r="L56" t="s">
        <v>340</v>
      </c>
      <c r="M56" t="s">
        <v>604</v>
      </c>
      <c r="N56" t="s">
        <v>339</v>
      </c>
      <c r="O56" t="s">
        <v>1212</v>
      </c>
      <c r="P56" s="131">
        <v>10400</v>
      </c>
      <c r="Q56" s="131">
        <v>1</v>
      </c>
      <c r="R56" s="131">
        <v>10530</v>
      </c>
      <c r="T56" s="131">
        <v>1095.1199999999999</v>
      </c>
      <c r="U56" s="132">
        <v>1.4999999999999999E-4</v>
      </c>
      <c r="V56" s="132">
        <v>3.2799999999999999E-3</v>
      </c>
      <c r="W56" s="132">
        <v>1.3699999999999999E-3</v>
      </c>
    </row>
    <row r="57" spans="1:23">
      <c r="A57" t="s">
        <v>1213</v>
      </c>
      <c r="B57" t="s">
        <v>1221</v>
      </c>
      <c r="C57" t="s">
        <v>4123</v>
      </c>
      <c r="D57" t="s">
        <v>4124</v>
      </c>
      <c r="E57" t="s">
        <v>309</v>
      </c>
      <c r="F57" t="s">
        <v>4217</v>
      </c>
      <c r="G57" t="s">
        <v>4218</v>
      </c>
      <c r="H57" t="s">
        <v>321</v>
      </c>
      <c r="I57" t="s">
        <v>966</v>
      </c>
      <c r="J57" t="s">
        <v>204</v>
      </c>
      <c r="K57" t="s">
        <v>204</v>
      </c>
      <c r="L57" t="s">
        <v>340</v>
      </c>
      <c r="M57" t="s">
        <v>630</v>
      </c>
      <c r="N57" t="s">
        <v>339</v>
      </c>
      <c r="O57" t="s">
        <v>1212</v>
      </c>
      <c r="P57" s="131">
        <v>27000</v>
      </c>
      <c r="Q57" s="131">
        <v>1</v>
      </c>
      <c r="R57" s="131">
        <v>3836.85</v>
      </c>
      <c r="T57" s="131">
        <v>1035.95</v>
      </c>
      <c r="U57" s="132">
        <v>1.6800000000000001E-3</v>
      </c>
      <c r="V57" s="132">
        <v>3.0999999999999999E-3</v>
      </c>
      <c r="W57" s="132">
        <v>1.2999999999999999E-3</v>
      </c>
    </row>
    <row r="58" spans="1:23">
      <c r="A58" t="s">
        <v>1213</v>
      </c>
      <c r="B58" t="s">
        <v>1221</v>
      </c>
      <c r="C58" t="s">
        <v>4127</v>
      </c>
      <c r="D58" t="s">
        <v>4128</v>
      </c>
      <c r="E58" t="s">
        <v>309</v>
      </c>
      <c r="F58" t="s">
        <v>4219</v>
      </c>
      <c r="G58" t="s">
        <v>4220</v>
      </c>
      <c r="H58" t="s">
        <v>321</v>
      </c>
      <c r="I58" t="s">
        <v>966</v>
      </c>
      <c r="J58" t="s">
        <v>204</v>
      </c>
      <c r="K58" t="s">
        <v>204</v>
      </c>
      <c r="L58" t="s">
        <v>340</v>
      </c>
      <c r="M58" t="s">
        <v>628</v>
      </c>
      <c r="N58" t="s">
        <v>339</v>
      </c>
      <c r="O58" t="s">
        <v>1212</v>
      </c>
      <c r="P58" s="131">
        <v>235859</v>
      </c>
      <c r="Q58" s="131">
        <v>1</v>
      </c>
      <c r="R58" s="131">
        <v>351.34</v>
      </c>
      <c r="T58" s="131">
        <v>828.66700000000003</v>
      </c>
      <c r="U58" s="132">
        <v>4.62E-3</v>
      </c>
      <c r="V58" s="132">
        <v>2.48E-3</v>
      </c>
      <c r="W58" s="132">
        <v>1.0399999999999999E-3</v>
      </c>
    </row>
    <row r="59" spans="1:23">
      <c r="A59" t="s">
        <v>1213</v>
      </c>
      <c r="B59" t="s">
        <v>1221</v>
      </c>
      <c r="C59" t="s">
        <v>4181</v>
      </c>
      <c r="D59" t="s">
        <v>4182</v>
      </c>
      <c r="E59" t="s">
        <v>309</v>
      </c>
      <c r="F59" t="s">
        <v>4221</v>
      </c>
      <c r="G59" t="s">
        <v>4222</v>
      </c>
      <c r="H59" t="s">
        <v>321</v>
      </c>
      <c r="I59" t="s">
        <v>964</v>
      </c>
      <c r="J59" t="s">
        <v>204</v>
      </c>
      <c r="K59" t="s">
        <v>204</v>
      </c>
      <c r="L59" t="s">
        <v>340</v>
      </c>
      <c r="M59" t="s">
        <v>572</v>
      </c>
      <c r="N59" t="s">
        <v>339</v>
      </c>
      <c r="O59" t="s">
        <v>1212</v>
      </c>
      <c r="P59" s="131">
        <v>13770</v>
      </c>
      <c r="Q59" s="131">
        <v>1</v>
      </c>
      <c r="R59" s="131">
        <v>5753</v>
      </c>
      <c r="T59" s="131">
        <v>792.18799999999999</v>
      </c>
      <c r="U59" s="132">
        <v>2.1900000000000001E-3</v>
      </c>
      <c r="V59" s="132">
        <v>2.3700000000000001E-3</v>
      </c>
      <c r="W59" s="132">
        <v>9.8999999999999999E-4</v>
      </c>
    </row>
    <row r="60" spans="1:23">
      <c r="A60" t="s">
        <v>1213</v>
      </c>
      <c r="B60" t="s">
        <v>1221</v>
      </c>
      <c r="C60" t="s">
        <v>4111</v>
      </c>
      <c r="D60" t="s">
        <v>4112</v>
      </c>
      <c r="E60" t="s">
        <v>309</v>
      </c>
      <c r="F60" t="s">
        <v>4223</v>
      </c>
      <c r="G60" t="s">
        <v>4224</v>
      </c>
      <c r="H60" t="s">
        <v>321</v>
      </c>
      <c r="I60" t="s">
        <v>966</v>
      </c>
      <c r="J60" t="s">
        <v>204</v>
      </c>
      <c r="K60" t="s">
        <v>204</v>
      </c>
      <c r="L60" t="s">
        <v>340</v>
      </c>
      <c r="M60" t="s">
        <v>630</v>
      </c>
      <c r="N60" t="s">
        <v>339</v>
      </c>
      <c r="O60" t="s">
        <v>1212</v>
      </c>
      <c r="P60" s="131">
        <v>18800</v>
      </c>
      <c r="Q60" s="131">
        <v>1</v>
      </c>
      <c r="R60" s="131">
        <v>4066.78</v>
      </c>
      <c r="T60" s="131">
        <v>764.55499999999995</v>
      </c>
      <c r="U60" s="132">
        <v>1.7099999999999999E-3</v>
      </c>
      <c r="V60" s="132">
        <v>2.2899999999999999E-3</v>
      </c>
      <c r="W60" s="132">
        <v>9.6000000000000002E-4</v>
      </c>
    </row>
    <row r="61" spans="1:23">
      <c r="A61" t="s">
        <v>1213</v>
      </c>
      <c r="B61" t="s">
        <v>1221</v>
      </c>
      <c r="C61" t="s">
        <v>4181</v>
      </c>
      <c r="D61" t="s">
        <v>4182</v>
      </c>
      <c r="E61" t="s">
        <v>309</v>
      </c>
      <c r="F61" t="s">
        <v>4225</v>
      </c>
      <c r="G61" t="s">
        <v>4226</v>
      </c>
      <c r="H61" t="s">
        <v>321</v>
      </c>
      <c r="I61" t="s">
        <v>965</v>
      </c>
      <c r="J61" t="s">
        <v>204</v>
      </c>
      <c r="K61" t="s">
        <v>204</v>
      </c>
      <c r="L61" t="s">
        <v>340</v>
      </c>
      <c r="M61" t="s">
        <v>597</v>
      </c>
      <c r="N61" t="s">
        <v>339</v>
      </c>
      <c r="O61" t="s">
        <v>1212</v>
      </c>
      <c r="P61" s="131">
        <v>5000</v>
      </c>
      <c r="Q61" s="131">
        <v>1</v>
      </c>
      <c r="R61" s="131">
        <v>11220</v>
      </c>
      <c r="T61" s="131">
        <v>561</v>
      </c>
      <c r="U61" s="132">
        <v>5.2999999999999998E-4</v>
      </c>
      <c r="V61" s="132">
        <v>1.6800000000000001E-3</v>
      </c>
      <c r="W61" s="132">
        <v>6.9999999999999999E-4</v>
      </c>
    </row>
    <row r="62" spans="1:23">
      <c r="A62" t="s">
        <v>1213</v>
      </c>
      <c r="B62" t="s">
        <v>1221</v>
      </c>
      <c r="C62" t="s">
        <v>4111</v>
      </c>
      <c r="D62" t="s">
        <v>4112</v>
      </c>
      <c r="E62" t="s">
        <v>309</v>
      </c>
      <c r="F62" t="s">
        <v>4227</v>
      </c>
      <c r="G62" t="s">
        <v>4228</v>
      </c>
      <c r="H62" t="s">
        <v>321</v>
      </c>
      <c r="I62" t="s">
        <v>965</v>
      </c>
      <c r="J62" t="s">
        <v>204</v>
      </c>
      <c r="K62" t="s">
        <v>204</v>
      </c>
      <c r="L62" t="s">
        <v>340</v>
      </c>
      <c r="M62" t="s">
        <v>605</v>
      </c>
      <c r="N62" t="s">
        <v>339</v>
      </c>
      <c r="O62" t="s">
        <v>1212</v>
      </c>
      <c r="P62" s="131">
        <v>20000</v>
      </c>
      <c r="Q62" s="131">
        <v>1</v>
      </c>
      <c r="R62" s="131">
        <v>2675</v>
      </c>
      <c r="T62" s="131">
        <v>535</v>
      </c>
      <c r="U62" s="132">
        <v>4.4000000000000002E-4</v>
      </c>
      <c r="V62" s="132">
        <v>1.6000000000000001E-3</v>
      </c>
      <c r="W62" s="132">
        <v>6.7000000000000002E-4</v>
      </c>
    </row>
    <row r="63" spans="1:23">
      <c r="A63" t="s">
        <v>1213</v>
      </c>
      <c r="B63" t="s">
        <v>1221</v>
      </c>
      <c r="C63" t="s">
        <v>4111</v>
      </c>
      <c r="D63" t="s">
        <v>4112</v>
      </c>
      <c r="E63" t="s">
        <v>309</v>
      </c>
      <c r="F63" t="s">
        <v>4229</v>
      </c>
      <c r="G63" t="s">
        <v>4230</v>
      </c>
      <c r="H63" t="s">
        <v>321</v>
      </c>
      <c r="I63" t="s">
        <v>966</v>
      </c>
      <c r="J63" t="s">
        <v>204</v>
      </c>
      <c r="K63" t="s">
        <v>204</v>
      </c>
      <c r="L63" t="s">
        <v>340</v>
      </c>
      <c r="M63" t="s">
        <v>630</v>
      </c>
      <c r="N63" t="s">
        <v>339</v>
      </c>
      <c r="O63" t="s">
        <v>1212</v>
      </c>
      <c r="P63" s="131">
        <v>10000</v>
      </c>
      <c r="Q63" s="131">
        <v>1</v>
      </c>
      <c r="R63" s="131">
        <v>4050.57</v>
      </c>
      <c r="T63" s="131">
        <v>405.05700000000002</v>
      </c>
      <c r="U63" s="132">
        <v>1.24E-3</v>
      </c>
      <c r="V63" s="132">
        <v>1.2099999999999999E-3</v>
      </c>
      <c r="W63" s="132">
        <v>5.1000000000000004E-4</v>
      </c>
    </row>
    <row r="64" spans="1:23">
      <c r="A64" t="s">
        <v>1213</v>
      </c>
      <c r="B64" t="s">
        <v>1221</v>
      </c>
      <c r="C64" t="s">
        <v>4107</v>
      </c>
      <c r="D64" t="s">
        <v>4108</v>
      </c>
      <c r="E64" t="s">
        <v>309</v>
      </c>
      <c r="F64" t="s">
        <v>4231</v>
      </c>
      <c r="G64" t="s">
        <v>4232</v>
      </c>
      <c r="H64" t="s">
        <v>321</v>
      </c>
      <c r="I64" t="s">
        <v>964</v>
      </c>
      <c r="J64" t="s">
        <v>204</v>
      </c>
      <c r="K64" t="s">
        <v>204</v>
      </c>
      <c r="L64" t="s">
        <v>340</v>
      </c>
      <c r="M64" t="s">
        <v>577</v>
      </c>
      <c r="N64" t="s">
        <v>339</v>
      </c>
      <c r="O64" t="s">
        <v>1212</v>
      </c>
      <c r="P64" s="131">
        <v>9000</v>
      </c>
      <c r="Q64" s="131">
        <v>1</v>
      </c>
      <c r="R64" s="131">
        <v>3034</v>
      </c>
      <c r="T64" s="131">
        <v>273.06</v>
      </c>
      <c r="U64" s="132">
        <v>1.8000000000000001E-4</v>
      </c>
      <c r="V64" s="132">
        <v>8.1999999999999998E-4</v>
      </c>
      <c r="W64" s="132">
        <v>3.4000000000000002E-4</v>
      </c>
    </row>
    <row r="65" spans="1:23">
      <c r="A65" t="s">
        <v>1213</v>
      </c>
      <c r="B65" t="s">
        <v>1221</v>
      </c>
      <c r="C65" t="s">
        <v>4127</v>
      </c>
      <c r="D65" t="s">
        <v>4128</v>
      </c>
      <c r="E65" t="s">
        <v>309</v>
      </c>
      <c r="F65" t="s">
        <v>4233</v>
      </c>
      <c r="G65" t="s">
        <v>4234</v>
      </c>
      <c r="H65" t="s">
        <v>321</v>
      </c>
      <c r="I65" t="s">
        <v>966</v>
      </c>
      <c r="J65" t="s">
        <v>204</v>
      </c>
      <c r="K65" t="s">
        <v>204</v>
      </c>
      <c r="L65" t="s">
        <v>340</v>
      </c>
      <c r="M65" t="s">
        <v>573</v>
      </c>
      <c r="N65" t="s">
        <v>339</v>
      </c>
      <c r="O65" t="s">
        <v>1212</v>
      </c>
      <c r="P65" s="131">
        <v>70000</v>
      </c>
      <c r="Q65" s="131">
        <v>1</v>
      </c>
      <c r="R65" s="131">
        <v>373.22</v>
      </c>
      <c r="T65" s="131">
        <v>261.25400000000002</v>
      </c>
      <c r="U65" s="132">
        <v>2.9E-4</v>
      </c>
      <c r="V65" s="132">
        <v>7.7999999999999999E-4</v>
      </c>
      <c r="W65" s="132">
        <v>3.3E-4</v>
      </c>
    </row>
    <row r="66" spans="1:23">
      <c r="A66" t="s">
        <v>1213</v>
      </c>
      <c r="B66" t="s">
        <v>1221</v>
      </c>
      <c r="C66" t="s">
        <v>4099</v>
      </c>
      <c r="D66" t="s">
        <v>4100</v>
      </c>
      <c r="E66" t="s">
        <v>80</v>
      </c>
      <c r="F66" t="s">
        <v>4101</v>
      </c>
      <c r="G66" t="s">
        <v>4102</v>
      </c>
      <c r="H66" t="s">
        <v>321</v>
      </c>
      <c r="I66" t="s">
        <v>965</v>
      </c>
      <c r="J66" t="s">
        <v>205</v>
      </c>
      <c r="K66" t="s">
        <v>224</v>
      </c>
      <c r="L66" t="s">
        <v>344</v>
      </c>
      <c r="M66" t="s">
        <v>604</v>
      </c>
      <c r="N66" t="s">
        <v>339</v>
      </c>
      <c r="O66" t="s">
        <v>1216</v>
      </c>
      <c r="P66" s="131">
        <v>10868</v>
      </c>
      <c r="Q66" s="131">
        <v>3.71</v>
      </c>
      <c r="R66" s="131">
        <v>57376</v>
      </c>
      <c r="S66" s="131">
        <f>14.274+910.58/1000/Q66</f>
        <v>14.519439353099729</v>
      </c>
      <c r="T66" s="131">
        <f>23187.12+910.58/1000</f>
        <v>23188.030579999999</v>
      </c>
      <c r="U66" s="132">
        <v>0</v>
      </c>
      <c r="V66" s="132">
        <v>6.948E-2</v>
      </c>
      <c r="W66" s="132">
        <v>2.912E-2</v>
      </c>
    </row>
    <row r="67" spans="1:23">
      <c r="A67" t="s">
        <v>1213</v>
      </c>
      <c r="B67" t="s">
        <v>1221</v>
      </c>
      <c r="C67" t="s">
        <v>4235</v>
      </c>
      <c r="D67" t="s">
        <v>4236</v>
      </c>
      <c r="E67" t="s">
        <v>80</v>
      </c>
      <c r="F67" t="s">
        <v>4237</v>
      </c>
      <c r="G67" t="s">
        <v>4106</v>
      </c>
      <c r="H67" t="s">
        <v>321</v>
      </c>
      <c r="I67" t="s">
        <v>965</v>
      </c>
      <c r="J67" t="s">
        <v>205</v>
      </c>
      <c r="K67" t="s">
        <v>293</v>
      </c>
      <c r="L67" t="s">
        <v>340</v>
      </c>
      <c r="M67" t="s">
        <v>604</v>
      </c>
      <c r="N67" t="s">
        <v>339</v>
      </c>
      <c r="O67" t="s">
        <v>1212</v>
      </c>
      <c r="P67" s="131">
        <v>3693</v>
      </c>
      <c r="Q67" s="131">
        <v>1</v>
      </c>
      <c r="R67" s="131">
        <v>418000</v>
      </c>
      <c r="T67" s="131">
        <v>15436.74</v>
      </c>
      <c r="U67" s="132">
        <v>9.2700000000000005E-3</v>
      </c>
      <c r="V67" s="132">
        <v>4.623E-2</v>
      </c>
      <c r="W67" s="132">
        <v>1.9369999999999998E-2</v>
      </c>
    </row>
    <row r="68" spans="1:23">
      <c r="A68" t="s">
        <v>1213</v>
      </c>
      <c r="B68" t="s">
        <v>1221</v>
      </c>
      <c r="C68" t="s">
        <v>4091</v>
      </c>
      <c r="D68" t="s">
        <v>4092</v>
      </c>
      <c r="E68" t="s">
        <v>80</v>
      </c>
      <c r="F68" t="s">
        <v>4093</v>
      </c>
      <c r="G68" t="s">
        <v>4094</v>
      </c>
      <c r="H68" t="s">
        <v>321</v>
      </c>
      <c r="I68" t="s">
        <v>965</v>
      </c>
      <c r="J68" t="s">
        <v>205</v>
      </c>
      <c r="K68" t="s">
        <v>224</v>
      </c>
      <c r="L68" t="s">
        <v>344</v>
      </c>
      <c r="M68" t="s">
        <v>604</v>
      </c>
      <c r="N68" t="s">
        <v>339</v>
      </c>
      <c r="O68" t="s">
        <v>1216</v>
      </c>
      <c r="P68" s="131">
        <v>7000</v>
      </c>
      <c r="Q68" s="131">
        <v>3.71</v>
      </c>
      <c r="R68" s="131">
        <v>52767</v>
      </c>
      <c r="S68" s="131">
        <v>11.47</v>
      </c>
      <c r="T68" s="131">
        <v>13746.144</v>
      </c>
      <c r="U68" s="132">
        <v>0</v>
      </c>
      <c r="V68" s="132">
        <v>4.1200000000000001E-2</v>
      </c>
      <c r="W68" s="132">
        <v>1.7270000000000001E-2</v>
      </c>
    </row>
    <row r="69" spans="1:23">
      <c r="A69" t="s">
        <v>1213</v>
      </c>
      <c r="B69" t="s">
        <v>1221</v>
      </c>
      <c r="C69" t="s">
        <v>4095</v>
      </c>
      <c r="D69" t="s">
        <v>4096</v>
      </c>
      <c r="E69" t="s">
        <v>80</v>
      </c>
      <c r="F69" t="s">
        <v>4097</v>
      </c>
      <c r="G69" t="s">
        <v>4098</v>
      </c>
      <c r="H69" t="s">
        <v>321</v>
      </c>
      <c r="I69" t="s">
        <v>965</v>
      </c>
      <c r="J69" t="s">
        <v>205</v>
      </c>
      <c r="K69" t="s">
        <v>224</v>
      </c>
      <c r="L69" t="s">
        <v>346</v>
      </c>
      <c r="M69" t="s">
        <v>597</v>
      </c>
      <c r="N69" t="s">
        <v>339</v>
      </c>
      <c r="O69" t="s">
        <v>1216</v>
      </c>
      <c r="P69" s="131">
        <v>5970</v>
      </c>
      <c r="Q69" s="131">
        <v>3.71</v>
      </c>
      <c r="R69" s="131">
        <v>48807</v>
      </c>
      <c r="S69" s="131">
        <f>3.04+193.96/1000/Q69</f>
        <v>3.0922803234501348</v>
      </c>
      <c r="T69" s="131">
        <f>10821.396+193.96/1000</f>
        <v>10821.589960000001</v>
      </c>
      <c r="U69" s="132">
        <v>0</v>
      </c>
      <c r="V69" s="132">
        <v>3.2419999999999997E-2</v>
      </c>
      <c r="W69" s="132">
        <v>1.359E-2</v>
      </c>
    </row>
    <row r="70" spans="1:23">
      <c r="A70" t="s">
        <v>1213</v>
      </c>
      <c r="B70" t="s">
        <v>1221</v>
      </c>
      <c r="C70" t="s">
        <v>4238</v>
      </c>
      <c r="D70" t="s">
        <v>4239</v>
      </c>
      <c r="E70" t="s">
        <v>80</v>
      </c>
      <c r="F70" t="s">
        <v>4240</v>
      </c>
      <c r="G70" t="s">
        <v>4241</v>
      </c>
      <c r="H70" t="s">
        <v>321</v>
      </c>
      <c r="I70" t="s">
        <v>965</v>
      </c>
      <c r="J70" t="s">
        <v>205</v>
      </c>
      <c r="K70" t="s">
        <v>224</v>
      </c>
      <c r="L70" t="s">
        <v>368</v>
      </c>
      <c r="M70" t="s">
        <v>735</v>
      </c>
      <c r="N70" t="s">
        <v>339</v>
      </c>
      <c r="O70" t="s">
        <v>1218</v>
      </c>
      <c r="P70" s="131">
        <v>8200</v>
      </c>
      <c r="Q70" s="131">
        <v>4.1524000000000001</v>
      </c>
      <c r="R70" s="131">
        <v>16098</v>
      </c>
      <c r="T70" s="131">
        <v>5481.317</v>
      </c>
      <c r="U70" s="132">
        <v>0</v>
      </c>
      <c r="V70" s="132">
        <v>1.6420000000000001E-2</v>
      </c>
      <c r="W70" s="132">
        <v>6.8799999999999998E-3</v>
      </c>
    </row>
    <row r="71" spans="1:23">
      <c r="A71" t="s">
        <v>1213</v>
      </c>
      <c r="B71" t="s">
        <v>1221</v>
      </c>
      <c r="C71" t="s">
        <v>4238</v>
      </c>
      <c r="D71" t="s">
        <v>4239</v>
      </c>
      <c r="E71" t="s">
        <v>80</v>
      </c>
      <c r="F71" t="s">
        <v>4242</v>
      </c>
      <c r="G71" t="s">
        <v>4243</v>
      </c>
      <c r="H71" t="s">
        <v>321</v>
      </c>
      <c r="I71" t="s">
        <v>965</v>
      </c>
      <c r="J71" t="s">
        <v>205</v>
      </c>
      <c r="K71" t="s">
        <v>224</v>
      </c>
      <c r="L71" t="s">
        <v>344</v>
      </c>
      <c r="M71" t="s">
        <v>602</v>
      </c>
      <c r="N71" t="s">
        <v>339</v>
      </c>
      <c r="O71" t="s">
        <v>1216</v>
      </c>
      <c r="P71" s="131">
        <v>6370</v>
      </c>
      <c r="Q71" s="131">
        <v>3.71</v>
      </c>
      <c r="R71" s="131">
        <v>22089</v>
      </c>
      <c r="T71" s="131">
        <v>5220.2269999999999</v>
      </c>
      <c r="U71" s="132">
        <v>0</v>
      </c>
      <c r="V71" s="132">
        <v>1.5630000000000002E-2</v>
      </c>
      <c r="W71" s="132">
        <v>6.5500000000000003E-3</v>
      </c>
    </row>
    <row r="72" spans="1:23">
      <c r="A72" t="s">
        <v>1213</v>
      </c>
      <c r="B72" t="s">
        <v>1221</v>
      </c>
      <c r="C72" t="s">
        <v>4244</v>
      </c>
      <c r="D72" t="s">
        <v>4245</v>
      </c>
      <c r="E72" t="s">
        <v>80</v>
      </c>
      <c r="F72" t="s">
        <v>4246</v>
      </c>
      <c r="G72" t="s">
        <v>4247</v>
      </c>
      <c r="H72" t="s">
        <v>321</v>
      </c>
      <c r="I72" t="s">
        <v>965</v>
      </c>
      <c r="J72" t="s">
        <v>205</v>
      </c>
      <c r="K72" t="s">
        <v>224</v>
      </c>
      <c r="L72" t="s">
        <v>344</v>
      </c>
      <c r="M72" t="s">
        <v>604</v>
      </c>
      <c r="N72" t="s">
        <v>339</v>
      </c>
      <c r="O72" t="s">
        <v>1216</v>
      </c>
      <c r="P72" s="131">
        <v>7200</v>
      </c>
      <c r="Q72" s="131">
        <v>3.71</v>
      </c>
      <c r="R72" s="131">
        <v>17916</v>
      </c>
      <c r="T72" s="131">
        <v>4785.7219999999998</v>
      </c>
      <c r="U72" s="132">
        <v>0</v>
      </c>
      <c r="V72" s="132">
        <v>1.4330000000000001E-2</v>
      </c>
      <c r="W72" s="132">
        <v>6.0099999999999997E-3</v>
      </c>
    </row>
    <row r="73" spans="1:23">
      <c r="A73" t="s">
        <v>1213</v>
      </c>
      <c r="B73" t="s">
        <v>1221</v>
      </c>
      <c r="C73" t="s">
        <v>4238</v>
      </c>
      <c r="D73" t="s">
        <v>4239</v>
      </c>
      <c r="E73" t="s">
        <v>80</v>
      </c>
      <c r="F73" t="s">
        <v>4248</v>
      </c>
      <c r="G73" t="s">
        <v>4249</v>
      </c>
      <c r="H73" t="s">
        <v>321</v>
      </c>
      <c r="I73" t="s">
        <v>965</v>
      </c>
      <c r="J73" t="s">
        <v>205</v>
      </c>
      <c r="K73" t="s">
        <v>224</v>
      </c>
      <c r="L73" t="s">
        <v>314</v>
      </c>
      <c r="M73" t="s">
        <v>596</v>
      </c>
      <c r="N73" t="s">
        <v>339</v>
      </c>
      <c r="O73" t="s">
        <v>1216</v>
      </c>
      <c r="P73" s="131">
        <v>15030</v>
      </c>
      <c r="Q73" s="131">
        <v>3.71</v>
      </c>
      <c r="R73" s="131">
        <v>6111</v>
      </c>
      <c r="T73" s="131">
        <v>3407.5729999999999</v>
      </c>
      <c r="U73" s="132">
        <v>0</v>
      </c>
      <c r="V73" s="132">
        <v>1.0200000000000001E-2</v>
      </c>
      <c r="W73" s="132">
        <v>4.28E-3</v>
      </c>
    </row>
    <row r="74" spans="1:23">
      <c r="A74" t="s">
        <v>1213</v>
      </c>
      <c r="B74" t="s">
        <v>1221</v>
      </c>
      <c r="C74" t="s">
        <v>4250</v>
      </c>
      <c r="D74" t="s">
        <v>4251</v>
      </c>
      <c r="E74" t="s">
        <v>80</v>
      </c>
      <c r="F74" t="s">
        <v>4252</v>
      </c>
      <c r="G74" t="s">
        <v>4253</v>
      </c>
      <c r="H74" t="s">
        <v>321</v>
      </c>
      <c r="I74" t="s">
        <v>965</v>
      </c>
      <c r="J74" t="s">
        <v>205</v>
      </c>
      <c r="K74" t="s">
        <v>224</v>
      </c>
      <c r="L74" t="s">
        <v>314</v>
      </c>
      <c r="M74" t="s">
        <v>597</v>
      </c>
      <c r="N74" t="s">
        <v>339</v>
      </c>
      <c r="O74" t="s">
        <v>1216</v>
      </c>
      <c r="P74" s="131">
        <v>3760</v>
      </c>
      <c r="Q74" s="131">
        <v>3.71</v>
      </c>
      <c r="R74" s="131">
        <v>20085</v>
      </c>
      <c r="T74" s="131">
        <v>2801.777</v>
      </c>
      <c r="U74" s="132">
        <v>0</v>
      </c>
      <c r="V74" s="132">
        <v>8.3899999999999999E-3</v>
      </c>
      <c r="W74" s="132">
        <v>3.5200000000000001E-3</v>
      </c>
    </row>
    <row r="75" spans="1:23">
      <c r="A75" t="s">
        <v>1213</v>
      </c>
      <c r="B75" t="s">
        <v>1221</v>
      </c>
      <c r="C75" t="s">
        <v>4111</v>
      </c>
      <c r="D75" t="s">
        <v>4112</v>
      </c>
      <c r="E75" t="s">
        <v>309</v>
      </c>
      <c r="F75" t="s">
        <v>4254</v>
      </c>
      <c r="G75" t="s">
        <v>4255</v>
      </c>
      <c r="H75" t="s">
        <v>321</v>
      </c>
      <c r="I75" t="s">
        <v>965</v>
      </c>
      <c r="J75" t="s">
        <v>205</v>
      </c>
      <c r="K75" t="s">
        <v>204</v>
      </c>
      <c r="L75" t="s">
        <v>340</v>
      </c>
      <c r="M75" t="s">
        <v>581</v>
      </c>
      <c r="N75" t="s">
        <v>339</v>
      </c>
      <c r="O75" t="s">
        <v>1212</v>
      </c>
      <c r="P75" s="131">
        <v>40031.040000000001</v>
      </c>
      <c r="Q75" s="131">
        <v>1</v>
      </c>
      <c r="R75" s="131">
        <v>6991</v>
      </c>
      <c r="T75" s="131">
        <v>2798.57</v>
      </c>
      <c r="U75" s="132">
        <v>2.8400000000000001E-3</v>
      </c>
      <c r="V75" s="132">
        <v>8.3800000000000003E-3</v>
      </c>
      <c r="W75" s="132">
        <v>3.5100000000000001E-3</v>
      </c>
    </row>
    <row r="76" spans="1:23">
      <c r="A76" t="s">
        <v>1213</v>
      </c>
      <c r="B76" t="s">
        <v>1221</v>
      </c>
      <c r="C76" t="s">
        <v>4127</v>
      </c>
      <c r="D76" t="s">
        <v>4128</v>
      </c>
      <c r="E76" t="s">
        <v>309</v>
      </c>
      <c r="F76" t="s">
        <v>4256</v>
      </c>
      <c r="G76" t="s">
        <v>4257</v>
      </c>
      <c r="H76" t="s">
        <v>321</v>
      </c>
      <c r="I76" t="s">
        <v>965</v>
      </c>
      <c r="J76" t="s">
        <v>205</v>
      </c>
      <c r="K76" t="s">
        <v>204</v>
      </c>
      <c r="L76" t="s">
        <v>340</v>
      </c>
      <c r="M76" t="s">
        <v>706</v>
      </c>
      <c r="N76" t="s">
        <v>339</v>
      </c>
      <c r="O76" t="s">
        <v>1212</v>
      </c>
      <c r="P76" s="131">
        <v>66000</v>
      </c>
      <c r="Q76" s="131">
        <v>1</v>
      </c>
      <c r="R76" s="131">
        <v>2830</v>
      </c>
      <c r="T76" s="131">
        <v>1867.8</v>
      </c>
      <c r="U76" s="132">
        <v>2.4599999999999999E-3</v>
      </c>
      <c r="V76" s="132">
        <v>5.5900000000000004E-3</v>
      </c>
      <c r="W76" s="132">
        <v>2.3400000000000001E-3</v>
      </c>
    </row>
    <row r="77" spans="1:23">
      <c r="A77" t="s">
        <v>1213</v>
      </c>
      <c r="B77" t="s">
        <v>1221</v>
      </c>
      <c r="C77" t="s">
        <v>4123</v>
      </c>
      <c r="D77" t="s">
        <v>4124</v>
      </c>
      <c r="E77" t="s">
        <v>309</v>
      </c>
      <c r="F77" t="s">
        <v>4258</v>
      </c>
      <c r="G77" t="s">
        <v>4259</v>
      </c>
      <c r="H77" t="s">
        <v>321</v>
      </c>
      <c r="I77" t="s">
        <v>965</v>
      </c>
      <c r="J77" t="s">
        <v>205</v>
      </c>
      <c r="K77" t="s">
        <v>204</v>
      </c>
      <c r="L77" t="s">
        <v>340</v>
      </c>
      <c r="M77" t="s">
        <v>600</v>
      </c>
      <c r="N77" t="s">
        <v>339</v>
      </c>
      <c r="O77" t="s">
        <v>1212</v>
      </c>
      <c r="P77" s="131">
        <v>4617</v>
      </c>
      <c r="Q77" s="131">
        <v>1</v>
      </c>
      <c r="R77" s="131">
        <v>37710</v>
      </c>
      <c r="T77" s="131">
        <v>1741.0709999999999</v>
      </c>
      <c r="U77" s="132">
        <v>1.1800000000000001E-3</v>
      </c>
      <c r="V77" s="132">
        <v>5.2100000000000002E-3</v>
      </c>
      <c r="W77" s="132">
        <v>2.1900000000000001E-3</v>
      </c>
    </row>
    <row r="78" spans="1:23">
      <c r="A78" t="s">
        <v>1213</v>
      </c>
      <c r="B78" t="s">
        <v>1221</v>
      </c>
      <c r="C78" t="s">
        <v>4260</v>
      </c>
      <c r="D78" t="s">
        <v>4261</v>
      </c>
      <c r="E78" t="s">
        <v>80</v>
      </c>
      <c r="F78" t="s">
        <v>4262</v>
      </c>
      <c r="G78" t="s">
        <v>4263</v>
      </c>
      <c r="H78" t="s">
        <v>321</v>
      </c>
      <c r="I78" t="s">
        <v>965</v>
      </c>
      <c r="J78" t="s">
        <v>205</v>
      </c>
      <c r="K78" t="s">
        <v>224</v>
      </c>
      <c r="L78" t="s">
        <v>344</v>
      </c>
      <c r="M78" t="s">
        <v>735</v>
      </c>
      <c r="N78" t="s">
        <v>339</v>
      </c>
      <c r="O78" t="s">
        <v>1216</v>
      </c>
      <c r="P78" s="131">
        <v>1830</v>
      </c>
      <c r="Q78" s="131">
        <v>3.71</v>
      </c>
      <c r="R78" s="131">
        <v>23059</v>
      </c>
      <c r="T78" s="131">
        <v>1565.5450000000001</v>
      </c>
      <c r="U78" s="132">
        <v>0</v>
      </c>
      <c r="V78" s="132">
        <v>4.6899999999999997E-3</v>
      </c>
      <c r="W78" s="132">
        <v>1.9599999999999999E-3</v>
      </c>
    </row>
    <row r="79" spans="1:23">
      <c r="A79" t="s">
        <v>1213</v>
      </c>
      <c r="B79" t="s">
        <v>1221</v>
      </c>
      <c r="C79" t="s">
        <v>4099</v>
      </c>
      <c r="D79" t="s">
        <v>4100</v>
      </c>
      <c r="E79" t="s">
        <v>80</v>
      </c>
      <c r="F79" t="s">
        <v>4264</v>
      </c>
      <c r="G79" t="s">
        <v>4265</v>
      </c>
      <c r="H79" t="s">
        <v>321</v>
      </c>
      <c r="I79" t="s">
        <v>965</v>
      </c>
      <c r="J79" t="s">
        <v>205</v>
      </c>
      <c r="K79" t="s">
        <v>224</v>
      </c>
      <c r="L79" t="s">
        <v>344</v>
      </c>
      <c r="M79" t="s">
        <v>735</v>
      </c>
      <c r="N79" t="s">
        <v>339</v>
      </c>
      <c r="O79" t="s">
        <v>1216</v>
      </c>
      <c r="P79" s="131">
        <v>2070</v>
      </c>
      <c r="Q79" s="131">
        <v>3.71</v>
      </c>
      <c r="R79" s="131">
        <v>15402</v>
      </c>
      <c r="T79" s="131">
        <v>1182.827</v>
      </c>
      <c r="U79" s="132">
        <v>0</v>
      </c>
      <c r="V79" s="132">
        <v>3.5400000000000002E-3</v>
      </c>
      <c r="W79" s="132">
        <v>1.48E-3</v>
      </c>
    </row>
    <row r="80" spans="1:23">
      <c r="A80" t="s">
        <v>1213</v>
      </c>
      <c r="B80" t="s">
        <v>1221</v>
      </c>
      <c r="C80" t="s">
        <v>4260</v>
      </c>
      <c r="D80" t="s">
        <v>4261</v>
      </c>
      <c r="E80" t="s">
        <v>80</v>
      </c>
      <c r="F80" t="s">
        <v>4266</v>
      </c>
      <c r="G80" t="s">
        <v>4267</v>
      </c>
      <c r="H80" t="s">
        <v>321</v>
      </c>
      <c r="I80" t="s">
        <v>965</v>
      </c>
      <c r="J80" t="s">
        <v>205</v>
      </c>
      <c r="K80" t="s">
        <v>224</v>
      </c>
      <c r="L80" t="s">
        <v>346</v>
      </c>
      <c r="M80" t="s">
        <v>735</v>
      </c>
      <c r="N80" t="s">
        <v>339</v>
      </c>
      <c r="O80" t="s">
        <v>1216</v>
      </c>
      <c r="P80" s="131">
        <v>4020</v>
      </c>
      <c r="Q80" s="131">
        <v>3.71</v>
      </c>
      <c r="R80" s="131">
        <v>7845</v>
      </c>
      <c r="T80" s="131">
        <v>1170.019</v>
      </c>
      <c r="U80" s="132">
        <v>0</v>
      </c>
      <c r="V80" s="132">
        <v>3.5000000000000001E-3</v>
      </c>
      <c r="W80" s="132">
        <v>1.47E-3</v>
      </c>
    </row>
    <row r="81" spans="1:23">
      <c r="A81" t="s">
        <v>1213</v>
      </c>
      <c r="B81" t="s">
        <v>1221</v>
      </c>
      <c r="C81" t="s">
        <v>4091</v>
      </c>
      <c r="D81" t="s">
        <v>4092</v>
      </c>
      <c r="E81" t="s">
        <v>80</v>
      </c>
      <c r="F81" t="s">
        <v>4268</v>
      </c>
      <c r="G81" t="s">
        <v>4269</v>
      </c>
      <c r="H81" t="s">
        <v>321</v>
      </c>
      <c r="I81" t="s">
        <v>967</v>
      </c>
      <c r="J81" t="s">
        <v>205</v>
      </c>
      <c r="K81" t="s">
        <v>224</v>
      </c>
      <c r="L81" t="s">
        <v>344</v>
      </c>
      <c r="M81" t="s">
        <v>732</v>
      </c>
      <c r="N81" t="s">
        <v>339</v>
      </c>
      <c r="O81" t="s">
        <v>1216</v>
      </c>
      <c r="P81" s="131">
        <v>3400</v>
      </c>
      <c r="Q81" s="131">
        <v>3.71</v>
      </c>
      <c r="R81" s="131">
        <v>7942</v>
      </c>
      <c r="T81" s="131">
        <v>1001.804</v>
      </c>
      <c r="U81" s="132">
        <v>0</v>
      </c>
      <c r="V81" s="132">
        <v>3.0000000000000001E-3</v>
      </c>
      <c r="W81" s="132">
        <v>1.2600000000000001E-3</v>
      </c>
    </row>
    <row r="82" spans="1:23">
      <c r="A82" t="s">
        <v>1213</v>
      </c>
      <c r="B82" t="s">
        <v>1221</v>
      </c>
      <c r="C82" t="s">
        <v>4238</v>
      </c>
      <c r="D82" t="s">
        <v>4239</v>
      </c>
      <c r="E82" t="s">
        <v>80</v>
      </c>
      <c r="F82" t="s">
        <v>4270</v>
      </c>
      <c r="G82" t="s">
        <v>4271</v>
      </c>
      <c r="H82" t="s">
        <v>321</v>
      </c>
      <c r="I82" t="s">
        <v>965</v>
      </c>
      <c r="J82" t="s">
        <v>205</v>
      </c>
      <c r="K82" t="s">
        <v>224</v>
      </c>
      <c r="L82" t="s">
        <v>346</v>
      </c>
      <c r="M82" t="s">
        <v>735</v>
      </c>
      <c r="N82" t="s">
        <v>339</v>
      </c>
      <c r="O82" t="s">
        <v>1216</v>
      </c>
      <c r="P82" s="131">
        <v>3750</v>
      </c>
      <c r="Q82" s="131">
        <v>3.71</v>
      </c>
      <c r="R82" s="131">
        <v>5091</v>
      </c>
      <c r="T82" s="131">
        <v>708.28499999999997</v>
      </c>
      <c r="U82" s="132">
        <v>0</v>
      </c>
      <c r="V82" s="132">
        <v>2.1199999999999999E-3</v>
      </c>
      <c r="W82" s="132">
        <v>8.8999999999999995E-4</v>
      </c>
    </row>
    <row r="83" spans="1:23">
      <c r="A83" t="s">
        <v>1213</v>
      </c>
      <c r="B83" t="s">
        <v>1221</v>
      </c>
      <c r="C83" t="s">
        <v>4099</v>
      </c>
      <c r="D83" t="s">
        <v>4100</v>
      </c>
      <c r="E83" t="s">
        <v>80</v>
      </c>
      <c r="F83" t="s">
        <v>4272</v>
      </c>
      <c r="G83" t="s">
        <v>4273</v>
      </c>
      <c r="H83" t="s">
        <v>321</v>
      </c>
      <c r="I83" t="s">
        <v>965</v>
      </c>
      <c r="J83" t="s">
        <v>205</v>
      </c>
      <c r="K83" t="s">
        <v>224</v>
      </c>
      <c r="L83" t="s">
        <v>344</v>
      </c>
      <c r="M83" t="s">
        <v>735</v>
      </c>
      <c r="N83" t="s">
        <v>339</v>
      </c>
      <c r="O83" t="s">
        <v>1216</v>
      </c>
      <c r="P83" s="131">
        <v>1850</v>
      </c>
      <c r="Q83" s="131">
        <v>3.71</v>
      </c>
      <c r="R83" s="131">
        <v>8300</v>
      </c>
      <c r="T83" s="131">
        <v>569.67100000000005</v>
      </c>
      <c r="U83" s="132">
        <v>0</v>
      </c>
      <c r="V83" s="132">
        <v>1.7099999999999999E-3</v>
      </c>
      <c r="W83" s="132">
        <v>7.1000000000000002E-4</v>
      </c>
    </row>
    <row r="84" spans="1:23">
      <c r="A84" t="s">
        <v>1213</v>
      </c>
      <c r="B84" t="s">
        <v>1221</v>
      </c>
      <c r="C84" t="s">
        <v>4274</v>
      </c>
      <c r="D84" t="s">
        <v>4275</v>
      </c>
      <c r="E84" t="s">
        <v>80</v>
      </c>
      <c r="F84" t="s">
        <v>4276</v>
      </c>
      <c r="G84" t="s">
        <v>4277</v>
      </c>
      <c r="H84" t="s">
        <v>321</v>
      </c>
      <c r="I84" t="s">
        <v>965</v>
      </c>
      <c r="J84" t="s">
        <v>205</v>
      </c>
      <c r="K84" t="s">
        <v>224</v>
      </c>
      <c r="L84" t="s">
        <v>344</v>
      </c>
      <c r="M84" t="s">
        <v>735</v>
      </c>
      <c r="N84" t="s">
        <v>339</v>
      </c>
      <c r="O84" t="s">
        <v>1216</v>
      </c>
      <c r="P84" s="131">
        <v>3250</v>
      </c>
      <c r="Q84" s="131">
        <v>3.71</v>
      </c>
      <c r="R84" s="131">
        <v>2859</v>
      </c>
      <c r="T84" s="131">
        <v>344.72399999999999</v>
      </c>
      <c r="U84" s="132">
        <v>0</v>
      </c>
      <c r="V84" s="132">
        <v>1.0300000000000001E-3</v>
      </c>
      <c r="W84" s="132">
        <v>4.2999999999999999E-4</v>
      </c>
    </row>
    <row r="85" spans="1:23">
      <c r="A85" t="s">
        <v>1213</v>
      </c>
      <c r="B85" t="s">
        <v>1221</v>
      </c>
      <c r="C85" t="s">
        <v>4260</v>
      </c>
      <c r="D85" t="s">
        <v>4261</v>
      </c>
      <c r="E85" t="s">
        <v>80</v>
      </c>
      <c r="F85" t="s">
        <v>4278</v>
      </c>
      <c r="G85" t="s">
        <v>4279</v>
      </c>
      <c r="H85" t="s">
        <v>321</v>
      </c>
      <c r="I85" t="s">
        <v>967</v>
      </c>
      <c r="J85" t="s">
        <v>205</v>
      </c>
      <c r="K85" t="s">
        <v>224</v>
      </c>
      <c r="L85" t="s">
        <v>344</v>
      </c>
      <c r="M85" t="s">
        <v>732</v>
      </c>
      <c r="N85" t="s">
        <v>339</v>
      </c>
      <c r="O85" t="s">
        <v>1216</v>
      </c>
      <c r="P85" s="131">
        <v>775</v>
      </c>
      <c r="Q85" s="131">
        <v>3.71</v>
      </c>
      <c r="R85" s="131">
        <v>8030</v>
      </c>
      <c r="T85" s="131">
        <v>230.88300000000001</v>
      </c>
      <c r="U85" s="132">
        <v>0</v>
      </c>
      <c r="V85" s="132">
        <v>6.8999999999999997E-4</v>
      </c>
      <c r="W85" s="132">
        <v>2.9E-4</v>
      </c>
    </row>
    <row r="86" spans="1:23">
      <c r="A86" t="s">
        <v>1213</v>
      </c>
      <c r="B86" t="s">
        <v>1222</v>
      </c>
      <c r="C86" t="s">
        <v>4111</v>
      </c>
      <c r="D86" t="s">
        <v>4112</v>
      </c>
      <c r="E86" t="s">
        <v>309</v>
      </c>
      <c r="F86" t="s">
        <v>4280</v>
      </c>
      <c r="G86" t="s">
        <v>4281</v>
      </c>
      <c r="H86" t="s">
        <v>321</v>
      </c>
      <c r="I86" t="s">
        <v>966</v>
      </c>
      <c r="J86" t="s">
        <v>204</v>
      </c>
      <c r="K86" t="s">
        <v>204</v>
      </c>
      <c r="L86" t="s">
        <v>340</v>
      </c>
      <c r="M86" t="s">
        <v>627</v>
      </c>
      <c r="N86" t="s">
        <v>339</v>
      </c>
      <c r="O86" t="s">
        <v>1212</v>
      </c>
      <c r="P86" s="131">
        <v>5355</v>
      </c>
      <c r="Q86" s="131">
        <v>1</v>
      </c>
      <c r="R86" s="131">
        <v>3884.83</v>
      </c>
      <c r="T86" s="131">
        <v>208.03299999999999</v>
      </c>
      <c r="U86" s="132">
        <v>6.4000000000000005E-4</v>
      </c>
      <c r="V86" s="132">
        <v>0.26913999999999999</v>
      </c>
      <c r="W86" s="132">
        <v>6.6E-3</v>
      </c>
    </row>
    <row r="87" spans="1:23">
      <c r="A87" t="s">
        <v>1213</v>
      </c>
      <c r="B87" t="s">
        <v>1222</v>
      </c>
      <c r="C87" t="s">
        <v>4127</v>
      </c>
      <c r="D87" t="s">
        <v>4128</v>
      </c>
      <c r="E87" t="s">
        <v>309</v>
      </c>
      <c r="F87" t="s">
        <v>4129</v>
      </c>
      <c r="G87" t="s">
        <v>4130</v>
      </c>
      <c r="H87" t="s">
        <v>321</v>
      </c>
      <c r="I87" t="s">
        <v>965</v>
      </c>
      <c r="J87" t="s">
        <v>204</v>
      </c>
      <c r="K87" t="s">
        <v>204</v>
      </c>
      <c r="L87" t="s">
        <v>340</v>
      </c>
      <c r="M87" t="s">
        <v>604</v>
      </c>
      <c r="N87" t="s">
        <v>339</v>
      </c>
      <c r="O87" t="s">
        <v>1212</v>
      </c>
      <c r="P87" s="131">
        <v>6000</v>
      </c>
      <c r="Q87" s="131">
        <v>1</v>
      </c>
      <c r="R87" s="131">
        <v>2470</v>
      </c>
      <c r="T87" s="131">
        <v>148.19999999999999</v>
      </c>
      <c r="U87" s="132">
        <v>2.0000000000000002E-5</v>
      </c>
      <c r="V87" s="132">
        <v>0.19173000000000001</v>
      </c>
      <c r="W87" s="132">
        <v>4.7000000000000002E-3</v>
      </c>
    </row>
    <row r="88" spans="1:23">
      <c r="A88" t="s">
        <v>1213</v>
      </c>
      <c r="B88" t="s">
        <v>1222</v>
      </c>
      <c r="C88" t="s">
        <v>4127</v>
      </c>
      <c r="D88" t="s">
        <v>4128</v>
      </c>
      <c r="E88" t="s">
        <v>309</v>
      </c>
      <c r="F88" t="s">
        <v>4167</v>
      </c>
      <c r="G88" t="s">
        <v>4168</v>
      </c>
      <c r="H88" t="s">
        <v>321</v>
      </c>
      <c r="I88" t="s">
        <v>966</v>
      </c>
      <c r="J88" t="s">
        <v>204</v>
      </c>
      <c r="K88" t="s">
        <v>204</v>
      </c>
      <c r="L88" t="s">
        <v>340</v>
      </c>
      <c r="M88" t="s">
        <v>630</v>
      </c>
      <c r="N88" t="s">
        <v>339</v>
      </c>
      <c r="O88" t="s">
        <v>1212</v>
      </c>
      <c r="P88" s="131">
        <v>33000</v>
      </c>
      <c r="Q88" s="131">
        <v>1</v>
      </c>
      <c r="R88" s="131">
        <v>389.18</v>
      </c>
      <c r="T88" s="131">
        <v>128.429</v>
      </c>
      <c r="U88" s="132">
        <v>1.2E-4</v>
      </c>
      <c r="V88" s="132">
        <v>0.16614999999999999</v>
      </c>
      <c r="W88" s="132">
        <v>4.0699999999999998E-3</v>
      </c>
    </row>
    <row r="89" spans="1:23">
      <c r="A89" t="s">
        <v>1213</v>
      </c>
      <c r="B89" t="s">
        <v>1222</v>
      </c>
      <c r="C89" t="s">
        <v>4127</v>
      </c>
      <c r="D89" t="s">
        <v>4128</v>
      </c>
      <c r="E89" t="s">
        <v>309</v>
      </c>
      <c r="F89" t="s">
        <v>4145</v>
      </c>
      <c r="G89" t="s">
        <v>4146</v>
      </c>
      <c r="H89" t="s">
        <v>321</v>
      </c>
      <c r="I89" t="s">
        <v>964</v>
      </c>
      <c r="J89" t="s">
        <v>204</v>
      </c>
      <c r="K89" t="s">
        <v>204</v>
      </c>
      <c r="L89" t="s">
        <v>340</v>
      </c>
      <c r="M89" t="s">
        <v>572</v>
      </c>
      <c r="N89" t="s">
        <v>339</v>
      </c>
      <c r="O89" t="s">
        <v>1212</v>
      </c>
      <c r="P89" s="131">
        <v>5000</v>
      </c>
      <c r="Q89" s="131">
        <v>1</v>
      </c>
      <c r="R89" s="131">
        <v>2076</v>
      </c>
      <c r="T89" s="131">
        <v>103.8</v>
      </c>
      <c r="U89" s="132">
        <v>2.0000000000000002E-5</v>
      </c>
      <c r="V89" s="132">
        <v>0.13428999999999999</v>
      </c>
      <c r="W89" s="132">
        <v>3.29E-3</v>
      </c>
    </row>
    <row r="90" spans="1:23">
      <c r="A90" t="s">
        <v>1213</v>
      </c>
      <c r="B90" t="s">
        <v>1222</v>
      </c>
      <c r="C90" t="s">
        <v>4117</v>
      </c>
      <c r="D90" t="s">
        <v>4118</v>
      </c>
      <c r="E90" t="s">
        <v>309</v>
      </c>
      <c r="F90" t="s">
        <v>4149</v>
      </c>
      <c r="G90" t="s">
        <v>4150</v>
      </c>
      <c r="H90" t="s">
        <v>321</v>
      </c>
      <c r="I90" t="s">
        <v>966</v>
      </c>
      <c r="J90" t="s">
        <v>204</v>
      </c>
      <c r="K90" t="s">
        <v>204</v>
      </c>
      <c r="L90" t="s">
        <v>340</v>
      </c>
      <c r="M90" t="s">
        <v>576</v>
      </c>
      <c r="N90" t="s">
        <v>339</v>
      </c>
      <c r="O90" t="s">
        <v>1212</v>
      </c>
      <c r="P90" s="131">
        <v>20000</v>
      </c>
      <c r="Q90" s="131">
        <v>1</v>
      </c>
      <c r="R90" s="131">
        <v>365.93</v>
      </c>
      <c r="T90" s="131">
        <v>73.186000000000007</v>
      </c>
      <c r="U90" s="132">
        <v>1.0000000000000001E-5</v>
      </c>
      <c r="V90" s="132">
        <v>9.468E-2</v>
      </c>
      <c r="W90" s="132">
        <v>2.32E-3</v>
      </c>
    </row>
    <row r="91" spans="1:23">
      <c r="A91" t="s">
        <v>1213</v>
      </c>
      <c r="B91" t="s">
        <v>1222</v>
      </c>
      <c r="C91" t="s">
        <v>4111</v>
      </c>
      <c r="D91" t="s">
        <v>4112</v>
      </c>
      <c r="E91" t="s">
        <v>309</v>
      </c>
      <c r="F91" t="s">
        <v>4229</v>
      </c>
      <c r="G91" t="s">
        <v>4230</v>
      </c>
      <c r="H91" t="s">
        <v>321</v>
      </c>
      <c r="I91" t="s">
        <v>966</v>
      </c>
      <c r="J91" t="s">
        <v>204</v>
      </c>
      <c r="K91" t="s">
        <v>204</v>
      </c>
      <c r="L91" t="s">
        <v>340</v>
      </c>
      <c r="M91" t="s">
        <v>630</v>
      </c>
      <c r="N91" t="s">
        <v>339</v>
      </c>
      <c r="O91" t="s">
        <v>1212</v>
      </c>
      <c r="P91" s="131">
        <v>1500</v>
      </c>
      <c r="Q91" s="131">
        <v>1</v>
      </c>
      <c r="R91" s="131">
        <v>4050.57</v>
      </c>
      <c r="T91" s="131">
        <v>60.759</v>
      </c>
      <c r="U91" s="132">
        <v>1.9000000000000001E-4</v>
      </c>
      <c r="V91" s="132">
        <v>7.8600000000000003E-2</v>
      </c>
      <c r="W91" s="132">
        <v>1.9300000000000001E-3</v>
      </c>
    </row>
    <row r="92" spans="1:23">
      <c r="A92" t="s">
        <v>1213</v>
      </c>
      <c r="B92" t="s">
        <v>1222</v>
      </c>
      <c r="C92" t="s">
        <v>4111</v>
      </c>
      <c r="D92" t="s">
        <v>4112</v>
      </c>
      <c r="E92" t="s">
        <v>309</v>
      </c>
      <c r="F92" t="s">
        <v>4282</v>
      </c>
      <c r="G92" t="s">
        <v>4283</v>
      </c>
      <c r="H92" t="s">
        <v>321</v>
      </c>
      <c r="I92" t="s">
        <v>967</v>
      </c>
      <c r="J92" t="s">
        <v>205</v>
      </c>
      <c r="K92" t="s">
        <v>224</v>
      </c>
      <c r="L92" t="s">
        <v>340</v>
      </c>
      <c r="M92" t="s">
        <v>732</v>
      </c>
      <c r="N92" t="s">
        <v>339</v>
      </c>
      <c r="O92" t="s">
        <v>1212</v>
      </c>
      <c r="P92" s="131">
        <v>380</v>
      </c>
      <c r="Q92" s="131">
        <v>1</v>
      </c>
      <c r="R92" s="131">
        <v>13304</v>
      </c>
      <c r="T92" s="131">
        <v>50.555</v>
      </c>
      <c r="U92" s="132">
        <v>6.9999999999999994E-5</v>
      </c>
      <c r="V92" s="132">
        <v>6.54E-2</v>
      </c>
      <c r="W92" s="132">
        <v>1.6000000000000001E-3</v>
      </c>
    </row>
    <row r="93" spans="1:23">
      <c r="A93" t="s">
        <v>1213</v>
      </c>
      <c r="B93" t="s">
        <v>1223</v>
      </c>
      <c r="C93" t="s">
        <v>4127</v>
      </c>
      <c r="D93" t="s">
        <v>4128</v>
      </c>
      <c r="E93" t="s">
        <v>309</v>
      </c>
      <c r="F93" t="s">
        <v>4131</v>
      </c>
      <c r="G93" t="s">
        <v>4132</v>
      </c>
      <c r="H93" t="s">
        <v>321</v>
      </c>
      <c r="I93" t="s">
        <v>965</v>
      </c>
      <c r="J93" t="s">
        <v>204</v>
      </c>
      <c r="K93" t="s">
        <v>204</v>
      </c>
      <c r="L93" t="s">
        <v>340</v>
      </c>
      <c r="M93" t="s">
        <v>605</v>
      </c>
      <c r="N93" t="s">
        <v>339</v>
      </c>
      <c r="O93" t="s">
        <v>1212</v>
      </c>
      <c r="P93" s="131">
        <v>210000</v>
      </c>
      <c r="Q93" s="131">
        <v>1</v>
      </c>
      <c r="R93" s="131">
        <v>5590</v>
      </c>
      <c r="T93" s="131">
        <v>11739</v>
      </c>
      <c r="U93" s="132">
        <v>1.73E-3</v>
      </c>
      <c r="V93" s="132">
        <v>5.4899999999999997E-2</v>
      </c>
      <c r="W93" s="132">
        <v>3.9480000000000001E-2</v>
      </c>
    </row>
    <row r="94" spans="1:23">
      <c r="A94" t="s">
        <v>1213</v>
      </c>
      <c r="B94" t="s">
        <v>1223</v>
      </c>
      <c r="C94" t="s">
        <v>4181</v>
      </c>
      <c r="D94" t="s">
        <v>4182</v>
      </c>
      <c r="E94" t="s">
        <v>309</v>
      </c>
      <c r="F94" t="s">
        <v>4183</v>
      </c>
      <c r="G94" t="s">
        <v>4184</v>
      </c>
      <c r="H94" t="s">
        <v>321</v>
      </c>
      <c r="I94" t="s">
        <v>965</v>
      </c>
      <c r="J94" t="s">
        <v>204</v>
      </c>
      <c r="K94" t="s">
        <v>204</v>
      </c>
      <c r="L94" t="s">
        <v>340</v>
      </c>
      <c r="M94" t="s">
        <v>605</v>
      </c>
      <c r="N94" t="s">
        <v>339</v>
      </c>
      <c r="O94" t="s">
        <v>1212</v>
      </c>
      <c r="P94" s="131">
        <v>104000</v>
      </c>
      <c r="Q94" s="131">
        <v>1</v>
      </c>
      <c r="R94" s="131">
        <v>9006</v>
      </c>
      <c r="T94" s="131">
        <v>9366.24</v>
      </c>
      <c r="U94" s="132">
        <v>4.3299999999999996E-3</v>
      </c>
      <c r="V94" s="132">
        <v>4.3799999999999999E-2</v>
      </c>
      <c r="W94" s="132">
        <v>3.15E-2</v>
      </c>
    </row>
    <row r="95" spans="1:23">
      <c r="A95" t="s">
        <v>1213</v>
      </c>
      <c r="B95" t="s">
        <v>1223</v>
      </c>
      <c r="C95" t="s">
        <v>4117</v>
      </c>
      <c r="D95" t="s">
        <v>4118</v>
      </c>
      <c r="E95" t="s">
        <v>309</v>
      </c>
      <c r="F95" t="s">
        <v>4119</v>
      </c>
      <c r="G95" t="s">
        <v>4120</v>
      </c>
      <c r="H95" t="s">
        <v>321</v>
      </c>
      <c r="I95" t="s">
        <v>964</v>
      </c>
      <c r="J95" t="s">
        <v>204</v>
      </c>
      <c r="K95" t="s">
        <v>204</v>
      </c>
      <c r="L95" t="s">
        <v>340</v>
      </c>
      <c r="M95" t="s">
        <v>572</v>
      </c>
      <c r="N95" t="s">
        <v>339</v>
      </c>
      <c r="O95" t="s">
        <v>1212</v>
      </c>
      <c r="P95" s="131">
        <v>426963</v>
      </c>
      <c r="Q95" s="131">
        <v>1</v>
      </c>
      <c r="R95" s="131">
        <v>2073</v>
      </c>
      <c r="T95" s="131">
        <v>8850.9429999999993</v>
      </c>
      <c r="U95" s="132">
        <v>1.06E-3</v>
      </c>
      <c r="V95" s="132">
        <v>4.1390000000000003E-2</v>
      </c>
      <c r="W95" s="132">
        <v>2.9770000000000001E-2</v>
      </c>
    </row>
    <row r="96" spans="1:23">
      <c r="A96" t="s">
        <v>1213</v>
      </c>
      <c r="B96" t="s">
        <v>1223</v>
      </c>
      <c r="C96" t="s">
        <v>4107</v>
      </c>
      <c r="D96" t="s">
        <v>4108</v>
      </c>
      <c r="E96" t="s">
        <v>309</v>
      </c>
      <c r="F96" t="s">
        <v>4115</v>
      </c>
      <c r="G96" t="s">
        <v>4116</v>
      </c>
      <c r="H96" t="s">
        <v>321</v>
      </c>
      <c r="I96" t="s">
        <v>965</v>
      </c>
      <c r="J96" t="s">
        <v>204</v>
      </c>
      <c r="K96" t="s">
        <v>204</v>
      </c>
      <c r="L96" t="s">
        <v>340</v>
      </c>
      <c r="M96" t="s">
        <v>605</v>
      </c>
      <c r="N96" t="s">
        <v>339</v>
      </c>
      <c r="O96" t="s">
        <v>1212</v>
      </c>
      <c r="P96" s="131">
        <v>112869</v>
      </c>
      <c r="Q96" s="131">
        <v>1</v>
      </c>
      <c r="R96" s="131">
        <v>7341</v>
      </c>
      <c r="T96" s="131">
        <v>8285.7129999999997</v>
      </c>
      <c r="U96" s="132">
        <v>3.64E-3</v>
      </c>
      <c r="V96" s="132">
        <v>3.875E-2</v>
      </c>
      <c r="W96" s="132">
        <v>2.7869999999999999E-2</v>
      </c>
    </row>
    <row r="97" spans="1:23">
      <c r="A97" t="s">
        <v>1213</v>
      </c>
      <c r="B97" t="s">
        <v>1223</v>
      </c>
      <c r="C97" t="s">
        <v>4123</v>
      </c>
      <c r="D97" t="s">
        <v>4124</v>
      </c>
      <c r="E97" t="s">
        <v>309</v>
      </c>
      <c r="F97" t="s">
        <v>4125</v>
      </c>
      <c r="G97" t="s">
        <v>4126</v>
      </c>
      <c r="H97" t="s">
        <v>321</v>
      </c>
      <c r="I97" t="s">
        <v>964</v>
      </c>
      <c r="J97" t="s">
        <v>204</v>
      </c>
      <c r="K97" t="s">
        <v>204</v>
      </c>
      <c r="L97" t="s">
        <v>340</v>
      </c>
      <c r="M97" t="s">
        <v>572</v>
      </c>
      <c r="N97" t="s">
        <v>339</v>
      </c>
      <c r="O97" t="s">
        <v>1212</v>
      </c>
      <c r="P97" s="131">
        <v>376880</v>
      </c>
      <c r="Q97" s="131">
        <v>1</v>
      </c>
      <c r="R97" s="131">
        <v>2081</v>
      </c>
      <c r="T97" s="131">
        <v>7842.8729999999996</v>
      </c>
      <c r="U97" s="132">
        <v>8.5999999999999998E-4</v>
      </c>
      <c r="V97" s="132">
        <v>3.6679999999999997E-2</v>
      </c>
      <c r="W97" s="132">
        <v>2.6380000000000001E-2</v>
      </c>
    </row>
    <row r="98" spans="1:23">
      <c r="A98" t="s">
        <v>1213</v>
      </c>
      <c r="B98" t="s">
        <v>1223</v>
      </c>
      <c r="C98" t="s">
        <v>4107</v>
      </c>
      <c r="D98" t="s">
        <v>4108</v>
      </c>
      <c r="E98" t="s">
        <v>309</v>
      </c>
      <c r="F98" t="s">
        <v>4109</v>
      </c>
      <c r="G98" t="s">
        <v>4110</v>
      </c>
      <c r="H98" t="s">
        <v>321</v>
      </c>
      <c r="I98" t="s">
        <v>964</v>
      </c>
      <c r="J98" t="s">
        <v>204</v>
      </c>
      <c r="K98" t="s">
        <v>204</v>
      </c>
      <c r="L98" t="s">
        <v>340</v>
      </c>
      <c r="M98" t="s">
        <v>572</v>
      </c>
      <c r="N98" t="s">
        <v>339</v>
      </c>
      <c r="O98" t="s">
        <v>1212</v>
      </c>
      <c r="P98" s="131">
        <v>224405</v>
      </c>
      <c r="Q98" s="131">
        <v>1</v>
      </c>
      <c r="R98" s="131">
        <v>3265</v>
      </c>
      <c r="T98" s="131">
        <v>7326.8230000000003</v>
      </c>
      <c r="U98" s="132">
        <v>3.2100000000000002E-3</v>
      </c>
      <c r="V98" s="132">
        <v>3.4259999999999999E-2</v>
      </c>
      <c r="W98" s="132">
        <v>2.4639999999999999E-2</v>
      </c>
    </row>
    <row r="99" spans="1:23">
      <c r="A99" t="s">
        <v>1213</v>
      </c>
      <c r="B99" t="s">
        <v>1223</v>
      </c>
      <c r="C99" t="s">
        <v>4117</v>
      </c>
      <c r="D99" t="s">
        <v>4118</v>
      </c>
      <c r="E99" t="s">
        <v>309</v>
      </c>
      <c r="F99" t="s">
        <v>4151</v>
      </c>
      <c r="G99" t="s">
        <v>4152</v>
      </c>
      <c r="H99" t="s">
        <v>321</v>
      </c>
      <c r="I99" t="s">
        <v>965</v>
      </c>
      <c r="J99" t="s">
        <v>204</v>
      </c>
      <c r="K99" t="s">
        <v>204</v>
      </c>
      <c r="L99" t="s">
        <v>340</v>
      </c>
      <c r="M99" t="s">
        <v>604</v>
      </c>
      <c r="N99" t="s">
        <v>339</v>
      </c>
      <c r="O99" t="s">
        <v>1212</v>
      </c>
      <c r="P99" s="131">
        <v>32350</v>
      </c>
      <c r="Q99" s="131">
        <v>1</v>
      </c>
      <c r="R99" s="131">
        <v>21020</v>
      </c>
      <c r="T99" s="131">
        <v>6799.97</v>
      </c>
      <c r="U99" s="132">
        <v>3.2000000000000003E-4</v>
      </c>
      <c r="V99" s="132">
        <v>3.1800000000000002E-2</v>
      </c>
      <c r="W99" s="132">
        <v>2.2870000000000001E-2</v>
      </c>
    </row>
    <row r="100" spans="1:23">
      <c r="A100" t="s">
        <v>1213</v>
      </c>
      <c r="B100" t="s">
        <v>1223</v>
      </c>
      <c r="C100" t="s">
        <v>4111</v>
      </c>
      <c r="D100" t="s">
        <v>4112</v>
      </c>
      <c r="E100" t="s">
        <v>309</v>
      </c>
      <c r="F100" t="s">
        <v>4113</v>
      </c>
      <c r="G100" t="s">
        <v>4114</v>
      </c>
      <c r="H100" t="s">
        <v>321</v>
      </c>
      <c r="I100" t="s">
        <v>965</v>
      </c>
      <c r="J100" t="s">
        <v>204</v>
      </c>
      <c r="K100" t="s">
        <v>204</v>
      </c>
      <c r="L100" t="s">
        <v>340</v>
      </c>
      <c r="M100" t="s">
        <v>605</v>
      </c>
      <c r="N100" t="s">
        <v>339</v>
      </c>
      <c r="O100" t="s">
        <v>1212</v>
      </c>
      <c r="P100" s="131">
        <v>120000</v>
      </c>
      <c r="Q100" s="131">
        <v>1</v>
      </c>
      <c r="R100" s="131">
        <v>5505</v>
      </c>
      <c r="T100" s="131">
        <v>6606</v>
      </c>
      <c r="U100" s="132">
        <v>1.58E-3</v>
      </c>
      <c r="V100" s="132">
        <v>3.0890000000000001E-2</v>
      </c>
      <c r="W100" s="132">
        <v>2.222E-2</v>
      </c>
    </row>
    <row r="101" spans="1:23">
      <c r="A101" t="s">
        <v>1213</v>
      </c>
      <c r="B101" t="s">
        <v>1223</v>
      </c>
      <c r="C101" t="s">
        <v>4123</v>
      </c>
      <c r="D101" t="s">
        <v>4124</v>
      </c>
      <c r="E101" t="s">
        <v>309</v>
      </c>
      <c r="F101" t="s">
        <v>4143</v>
      </c>
      <c r="G101" t="s">
        <v>4144</v>
      </c>
      <c r="H101" t="s">
        <v>321</v>
      </c>
      <c r="I101" t="s">
        <v>965</v>
      </c>
      <c r="J101" t="s">
        <v>204</v>
      </c>
      <c r="K101" t="s">
        <v>204</v>
      </c>
      <c r="L101" t="s">
        <v>340</v>
      </c>
      <c r="M101" t="s">
        <v>604</v>
      </c>
      <c r="N101" t="s">
        <v>339</v>
      </c>
      <c r="O101" t="s">
        <v>1212</v>
      </c>
      <c r="P101" s="131">
        <v>23700</v>
      </c>
      <c r="Q101" s="131">
        <v>1</v>
      </c>
      <c r="R101" s="131">
        <v>24940</v>
      </c>
      <c r="T101" s="131">
        <v>5910.78</v>
      </c>
      <c r="U101" s="132">
        <v>6.8999999999999997E-4</v>
      </c>
      <c r="V101" s="132">
        <v>2.7640000000000001E-2</v>
      </c>
      <c r="W101" s="132">
        <v>1.9879999999999998E-2</v>
      </c>
    </row>
    <row r="102" spans="1:23">
      <c r="A102" t="s">
        <v>1213</v>
      </c>
      <c r="B102" t="s">
        <v>1223</v>
      </c>
      <c r="C102" t="s">
        <v>4111</v>
      </c>
      <c r="D102" t="s">
        <v>4112</v>
      </c>
      <c r="E102" t="s">
        <v>309</v>
      </c>
      <c r="F102" t="s">
        <v>4165</v>
      </c>
      <c r="G102" t="s">
        <v>4166</v>
      </c>
      <c r="H102" t="s">
        <v>321</v>
      </c>
      <c r="I102" t="s">
        <v>965</v>
      </c>
      <c r="J102" t="s">
        <v>204</v>
      </c>
      <c r="K102" t="s">
        <v>204</v>
      </c>
      <c r="L102" t="s">
        <v>340</v>
      </c>
      <c r="M102" t="s">
        <v>603</v>
      </c>
      <c r="N102" t="s">
        <v>339</v>
      </c>
      <c r="O102" t="s">
        <v>1212</v>
      </c>
      <c r="P102" s="131">
        <v>289235</v>
      </c>
      <c r="Q102" s="131">
        <v>1</v>
      </c>
      <c r="R102" s="131">
        <v>2034</v>
      </c>
      <c r="T102" s="131">
        <v>5883.04</v>
      </c>
      <c r="U102" s="132">
        <v>8.1600000000000006E-3</v>
      </c>
      <c r="V102" s="132">
        <v>2.751E-2</v>
      </c>
      <c r="W102" s="132">
        <v>1.9789999999999999E-2</v>
      </c>
    </row>
    <row r="103" spans="1:23">
      <c r="A103" t="s">
        <v>1213</v>
      </c>
      <c r="B103" t="s">
        <v>1223</v>
      </c>
      <c r="C103" t="s">
        <v>4111</v>
      </c>
      <c r="D103" t="s">
        <v>4112</v>
      </c>
      <c r="E103" t="s">
        <v>309</v>
      </c>
      <c r="F103" t="s">
        <v>4147</v>
      </c>
      <c r="G103" t="s">
        <v>4148</v>
      </c>
      <c r="H103" t="s">
        <v>321</v>
      </c>
      <c r="I103" t="s">
        <v>965</v>
      </c>
      <c r="J103" t="s">
        <v>204</v>
      </c>
      <c r="K103" t="s">
        <v>204</v>
      </c>
      <c r="L103" t="s">
        <v>340</v>
      </c>
      <c r="M103" t="s">
        <v>604</v>
      </c>
      <c r="N103" t="s">
        <v>339</v>
      </c>
      <c r="O103" t="s">
        <v>1212</v>
      </c>
      <c r="P103" s="131">
        <v>23642</v>
      </c>
      <c r="Q103" s="131">
        <v>1</v>
      </c>
      <c r="R103" s="131">
        <v>23280</v>
      </c>
      <c r="T103" s="131">
        <v>5503.8580000000002</v>
      </c>
      <c r="U103" s="132">
        <v>8.4999999999999995E-4</v>
      </c>
      <c r="V103" s="132">
        <v>2.5739999999999999E-2</v>
      </c>
      <c r="W103" s="132">
        <v>1.8509999999999999E-2</v>
      </c>
    </row>
    <row r="104" spans="1:23">
      <c r="A104" t="s">
        <v>1213</v>
      </c>
      <c r="B104" t="s">
        <v>1223</v>
      </c>
      <c r="C104" t="s">
        <v>4181</v>
      </c>
      <c r="D104" t="s">
        <v>4182</v>
      </c>
      <c r="E104" t="s">
        <v>309</v>
      </c>
      <c r="F104" t="s">
        <v>4215</v>
      </c>
      <c r="G104" t="s">
        <v>4216</v>
      </c>
      <c r="H104" t="s">
        <v>321</v>
      </c>
      <c r="I104" t="s">
        <v>965</v>
      </c>
      <c r="J104" t="s">
        <v>204</v>
      </c>
      <c r="K104" t="s">
        <v>204</v>
      </c>
      <c r="L104" t="s">
        <v>340</v>
      </c>
      <c r="M104" t="s">
        <v>604</v>
      </c>
      <c r="N104" t="s">
        <v>339</v>
      </c>
      <c r="O104" t="s">
        <v>1212</v>
      </c>
      <c r="P104" s="131">
        <v>40000</v>
      </c>
      <c r="Q104" s="131">
        <v>1</v>
      </c>
      <c r="R104" s="131">
        <v>10530</v>
      </c>
      <c r="T104" s="131">
        <v>4212</v>
      </c>
      <c r="U104" s="132">
        <v>5.9000000000000003E-4</v>
      </c>
      <c r="V104" s="132">
        <v>1.9699999999999999E-2</v>
      </c>
      <c r="W104" s="132">
        <v>1.417E-2</v>
      </c>
    </row>
    <row r="105" spans="1:23">
      <c r="A105" t="s">
        <v>1213</v>
      </c>
      <c r="B105" t="s">
        <v>1223</v>
      </c>
      <c r="C105" t="s">
        <v>4123</v>
      </c>
      <c r="D105" t="s">
        <v>4124</v>
      </c>
      <c r="E105" t="s">
        <v>309</v>
      </c>
      <c r="F105" t="s">
        <v>4137</v>
      </c>
      <c r="G105" t="s">
        <v>4138</v>
      </c>
      <c r="H105" t="s">
        <v>321</v>
      </c>
      <c r="I105" t="s">
        <v>965</v>
      </c>
      <c r="J105" t="s">
        <v>204</v>
      </c>
      <c r="K105" t="s">
        <v>204</v>
      </c>
      <c r="L105" t="s">
        <v>340</v>
      </c>
      <c r="M105" t="s">
        <v>610</v>
      </c>
      <c r="N105" t="s">
        <v>339</v>
      </c>
      <c r="O105" t="s">
        <v>1212</v>
      </c>
      <c r="P105" s="131">
        <v>143451</v>
      </c>
      <c r="Q105" s="131">
        <v>1</v>
      </c>
      <c r="R105" s="131">
        <v>2795</v>
      </c>
      <c r="T105" s="131">
        <v>4009.4549999999999</v>
      </c>
      <c r="U105" s="132">
        <v>2.6099999999999999E-3</v>
      </c>
      <c r="V105" s="132">
        <v>1.8749999999999999E-2</v>
      </c>
      <c r="W105" s="132">
        <v>1.3480000000000001E-2</v>
      </c>
    </row>
    <row r="106" spans="1:23">
      <c r="A106" t="s">
        <v>1213</v>
      </c>
      <c r="B106" t="s">
        <v>1223</v>
      </c>
      <c r="C106" t="s">
        <v>4107</v>
      </c>
      <c r="D106" t="s">
        <v>4108</v>
      </c>
      <c r="E106" t="s">
        <v>309</v>
      </c>
      <c r="F106" t="s">
        <v>4177</v>
      </c>
      <c r="G106" t="s">
        <v>4178</v>
      </c>
      <c r="H106" t="s">
        <v>321</v>
      </c>
      <c r="I106" t="s">
        <v>965</v>
      </c>
      <c r="J106" t="s">
        <v>204</v>
      </c>
      <c r="K106" t="s">
        <v>204</v>
      </c>
      <c r="L106" t="s">
        <v>340</v>
      </c>
      <c r="M106" t="s">
        <v>598</v>
      </c>
      <c r="N106" t="s">
        <v>339</v>
      </c>
      <c r="O106" t="s">
        <v>1212</v>
      </c>
      <c r="P106" s="131">
        <v>47433.33</v>
      </c>
      <c r="Q106" s="131">
        <v>1</v>
      </c>
      <c r="R106" s="131">
        <v>7969</v>
      </c>
      <c r="T106" s="131">
        <v>3779.962</v>
      </c>
      <c r="U106" s="132">
        <v>3.5599999999999998E-3</v>
      </c>
      <c r="V106" s="132">
        <v>1.7680000000000001E-2</v>
      </c>
      <c r="W106" s="132">
        <v>1.2710000000000001E-2</v>
      </c>
    </row>
    <row r="107" spans="1:23">
      <c r="A107" t="s">
        <v>1213</v>
      </c>
      <c r="B107" t="s">
        <v>1223</v>
      </c>
      <c r="C107" t="s">
        <v>4123</v>
      </c>
      <c r="D107" t="s">
        <v>4124</v>
      </c>
      <c r="E107" t="s">
        <v>309</v>
      </c>
      <c r="F107" t="s">
        <v>4175</v>
      </c>
      <c r="G107" t="s">
        <v>4176</v>
      </c>
      <c r="H107" t="s">
        <v>321</v>
      </c>
      <c r="I107" t="s">
        <v>965</v>
      </c>
      <c r="J107" t="s">
        <v>204</v>
      </c>
      <c r="K107" t="s">
        <v>204</v>
      </c>
      <c r="L107" t="s">
        <v>340</v>
      </c>
      <c r="M107" t="s">
        <v>609</v>
      </c>
      <c r="N107" t="s">
        <v>339</v>
      </c>
      <c r="O107" t="s">
        <v>1212</v>
      </c>
      <c r="P107" s="131">
        <v>561000</v>
      </c>
      <c r="Q107" s="131">
        <v>1</v>
      </c>
      <c r="R107" s="131">
        <v>642.79999999999995</v>
      </c>
      <c r="T107" s="131">
        <v>3606.1080000000002</v>
      </c>
      <c r="U107" s="132">
        <v>1.5200000000000001E-3</v>
      </c>
      <c r="V107" s="132">
        <v>1.686E-2</v>
      </c>
      <c r="W107" s="132">
        <v>1.213E-2</v>
      </c>
    </row>
    <row r="108" spans="1:23">
      <c r="A108" t="s">
        <v>1213</v>
      </c>
      <c r="B108" t="s">
        <v>1223</v>
      </c>
      <c r="C108" t="s">
        <v>4127</v>
      </c>
      <c r="D108" t="s">
        <v>4128</v>
      </c>
      <c r="E108" t="s">
        <v>309</v>
      </c>
      <c r="F108" t="s">
        <v>4145</v>
      </c>
      <c r="G108" t="s">
        <v>4146</v>
      </c>
      <c r="H108" t="s">
        <v>321</v>
      </c>
      <c r="I108" t="s">
        <v>964</v>
      </c>
      <c r="J108" t="s">
        <v>204</v>
      </c>
      <c r="K108" t="s">
        <v>204</v>
      </c>
      <c r="L108" t="s">
        <v>340</v>
      </c>
      <c r="M108" t="s">
        <v>572</v>
      </c>
      <c r="N108" t="s">
        <v>339</v>
      </c>
      <c r="O108" t="s">
        <v>1212</v>
      </c>
      <c r="P108" s="131">
        <v>173042</v>
      </c>
      <c r="Q108" s="131">
        <v>1</v>
      </c>
      <c r="R108" s="131">
        <v>2076</v>
      </c>
      <c r="T108" s="131">
        <v>3592.3519999999999</v>
      </c>
      <c r="U108" s="132">
        <v>8.4000000000000003E-4</v>
      </c>
      <c r="V108" s="132">
        <v>1.6799999999999999E-2</v>
      </c>
      <c r="W108" s="132">
        <v>1.208E-2</v>
      </c>
    </row>
    <row r="109" spans="1:23">
      <c r="A109" t="s">
        <v>1213</v>
      </c>
      <c r="B109" t="s">
        <v>1223</v>
      </c>
      <c r="C109" t="s">
        <v>4127</v>
      </c>
      <c r="D109" t="s">
        <v>4128</v>
      </c>
      <c r="E109" t="s">
        <v>309</v>
      </c>
      <c r="F109" t="s">
        <v>4129</v>
      </c>
      <c r="G109" t="s">
        <v>4130</v>
      </c>
      <c r="H109" t="s">
        <v>321</v>
      </c>
      <c r="I109" t="s">
        <v>965</v>
      </c>
      <c r="J109" t="s">
        <v>204</v>
      </c>
      <c r="K109" t="s">
        <v>204</v>
      </c>
      <c r="L109" t="s">
        <v>340</v>
      </c>
      <c r="M109" t="s">
        <v>604</v>
      </c>
      <c r="N109" t="s">
        <v>339</v>
      </c>
      <c r="O109" t="s">
        <v>1212</v>
      </c>
      <c r="P109" s="131">
        <v>140239</v>
      </c>
      <c r="Q109" s="131">
        <v>1</v>
      </c>
      <c r="R109" s="131">
        <v>2470</v>
      </c>
      <c r="T109" s="131">
        <v>3463.9029999999998</v>
      </c>
      <c r="U109" s="132">
        <v>3.6999999999999999E-4</v>
      </c>
      <c r="V109" s="132">
        <v>1.6199999999999999E-2</v>
      </c>
      <c r="W109" s="132">
        <v>1.1650000000000001E-2</v>
      </c>
    </row>
    <row r="110" spans="1:23">
      <c r="A110" t="s">
        <v>1213</v>
      </c>
      <c r="B110" t="s">
        <v>1223</v>
      </c>
      <c r="C110" t="s">
        <v>4107</v>
      </c>
      <c r="D110" t="s">
        <v>4108</v>
      </c>
      <c r="E110" t="s">
        <v>309</v>
      </c>
      <c r="F110" t="s">
        <v>4284</v>
      </c>
      <c r="G110" t="s">
        <v>4285</v>
      </c>
      <c r="H110" t="s">
        <v>321</v>
      </c>
      <c r="I110" t="s">
        <v>965</v>
      </c>
      <c r="J110" t="s">
        <v>204</v>
      </c>
      <c r="K110" t="s">
        <v>204</v>
      </c>
      <c r="L110" t="s">
        <v>340</v>
      </c>
      <c r="M110" t="s">
        <v>610</v>
      </c>
      <c r="N110" t="s">
        <v>339</v>
      </c>
      <c r="O110" t="s">
        <v>1212</v>
      </c>
      <c r="P110" s="131">
        <v>64456</v>
      </c>
      <c r="Q110" s="131">
        <v>1</v>
      </c>
      <c r="R110" s="131">
        <v>5257</v>
      </c>
      <c r="T110" s="131">
        <v>3388.4520000000002</v>
      </c>
      <c r="U110" s="132">
        <v>1.026E-2</v>
      </c>
      <c r="V110" s="132">
        <v>1.585E-2</v>
      </c>
      <c r="W110" s="132">
        <v>1.14E-2</v>
      </c>
    </row>
    <row r="111" spans="1:23">
      <c r="A111" t="s">
        <v>1213</v>
      </c>
      <c r="B111" t="s">
        <v>1223</v>
      </c>
      <c r="C111" t="s">
        <v>4107</v>
      </c>
      <c r="D111" t="s">
        <v>4108</v>
      </c>
      <c r="E111" t="s">
        <v>309</v>
      </c>
      <c r="F111" t="s">
        <v>4191</v>
      </c>
      <c r="G111" t="s">
        <v>4192</v>
      </c>
      <c r="H111" t="s">
        <v>321</v>
      </c>
      <c r="I111" t="s">
        <v>965</v>
      </c>
      <c r="J111" t="s">
        <v>204</v>
      </c>
      <c r="K111" t="s">
        <v>204</v>
      </c>
      <c r="L111" t="s">
        <v>340</v>
      </c>
      <c r="M111" t="s">
        <v>600</v>
      </c>
      <c r="N111" t="s">
        <v>339</v>
      </c>
      <c r="O111" t="s">
        <v>1212</v>
      </c>
      <c r="P111" s="131">
        <v>80696</v>
      </c>
      <c r="Q111" s="131">
        <v>1</v>
      </c>
      <c r="R111" s="131">
        <v>3963</v>
      </c>
      <c r="T111" s="131">
        <v>3197.982</v>
      </c>
      <c r="U111" s="132">
        <v>9.4800000000000006E-3</v>
      </c>
      <c r="V111" s="132">
        <v>1.4959999999999999E-2</v>
      </c>
      <c r="W111" s="132">
        <v>1.076E-2</v>
      </c>
    </row>
    <row r="112" spans="1:23">
      <c r="A112" t="s">
        <v>1213</v>
      </c>
      <c r="B112" t="s">
        <v>1223</v>
      </c>
      <c r="C112" t="s">
        <v>4123</v>
      </c>
      <c r="D112" t="s">
        <v>4124</v>
      </c>
      <c r="E112" t="s">
        <v>309</v>
      </c>
      <c r="F112" t="s">
        <v>4163</v>
      </c>
      <c r="G112" t="s">
        <v>4164</v>
      </c>
      <c r="H112" t="s">
        <v>321</v>
      </c>
      <c r="I112" t="s">
        <v>965</v>
      </c>
      <c r="J112" t="s">
        <v>204</v>
      </c>
      <c r="K112" t="s">
        <v>204</v>
      </c>
      <c r="L112" t="s">
        <v>340</v>
      </c>
      <c r="M112" t="s">
        <v>598</v>
      </c>
      <c r="N112" t="s">
        <v>339</v>
      </c>
      <c r="O112" t="s">
        <v>1212</v>
      </c>
      <c r="P112" s="131">
        <v>19400</v>
      </c>
      <c r="Q112" s="131">
        <v>1</v>
      </c>
      <c r="R112" s="131">
        <v>16380</v>
      </c>
      <c r="T112" s="131">
        <v>3177.72</v>
      </c>
      <c r="U112" s="132">
        <v>3.8000000000000002E-4</v>
      </c>
      <c r="V112" s="132">
        <v>1.486E-2</v>
      </c>
      <c r="W112" s="132">
        <v>1.069E-2</v>
      </c>
    </row>
    <row r="113" spans="1:23">
      <c r="A113" t="s">
        <v>1213</v>
      </c>
      <c r="B113" t="s">
        <v>1223</v>
      </c>
      <c r="C113" t="s">
        <v>4111</v>
      </c>
      <c r="D113" t="s">
        <v>4112</v>
      </c>
      <c r="E113" t="s">
        <v>309</v>
      </c>
      <c r="F113" t="s">
        <v>4133</v>
      </c>
      <c r="G113" t="s">
        <v>4134</v>
      </c>
      <c r="H113" t="s">
        <v>321</v>
      </c>
      <c r="I113" t="s">
        <v>964</v>
      </c>
      <c r="J113" t="s">
        <v>204</v>
      </c>
      <c r="K113" t="s">
        <v>204</v>
      </c>
      <c r="L113" t="s">
        <v>340</v>
      </c>
      <c r="M113" t="s">
        <v>572</v>
      </c>
      <c r="N113" t="s">
        <v>339</v>
      </c>
      <c r="O113" t="s">
        <v>1212</v>
      </c>
      <c r="P113" s="131">
        <v>15281</v>
      </c>
      <c r="Q113" s="131">
        <v>1</v>
      </c>
      <c r="R113" s="131">
        <v>20710</v>
      </c>
      <c r="T113" s="131">
        <v>3164.6950000000002</v>
      </c>
      <c r="U113" s="132">
        <v>4.2999999999999999E-4</v>
      </c>
      <c r="V113" s="132">
        <v>1.4800000000000001E-2</v>
      </c>
      <c r="W113" s="132">
        <v>1.064E-2</v>
      </c>
    </row>
    <row r="114" spans="1:23">
      <c r="A114" t="s">
        <v>1213</v>
      </c>
      <c r="B114" t="s">
        <v>1223</v>
      </c>
      <c r="C114" t="s">
        <v>4123</v>
      </c>
      <c r="D114" t="s">
        <v>4124</v>
      </c>
      <c r="E114" t="s">
        <v>309</v>
      </c>
      <c r="F114" t="s">
        <v>4205</v>
      </c>
      <c r="G114" t="s">
        <v>4206</v>
      </c>
      <c r="H114" t="s">
        <v>321</v>
      </c>
      <c r="I114" t="s">
        <v>964</v>
      </c>
      <c r="J114" t="s">
        <v>204</v>
      </c>
      <c r="K114" t="s">
        <v>204</v>
      </c>
      <c r="L114" t="s">
        <v>340</v>
      </c>
      <c r="M114" t="s">
        <v>577</v>
      </c>
      <c r="N114" t="s">
        <v>339</v>
      </c>
      <c r="O114" t="s">
        <v>1212</v>
      </c>
      <c r="P114" s="131">
        <v>156905</v>
      </c>
      <c r="Q114" s="131">
        <v>1</v>
      </c>
      <c r="R114" s="131">
        <v>2003</v>
      </c>
      <c r="T114" s="131">
        <v>3142.8069999999998</v>
      </c>
      <c r="U114" s="132">
        <v>3.8000000000000002E-4</v>
      </c>
      <c r="V114" s="132">
        <v>1.47E-2</v>
      </c>
      <c r="W114" s="132">
        <v>1.057E-2</v>
      </c>
    </row>
    <row r="115" spans="1:23">
      <c r="A115" t="s">
        <v>1213</v>
      </c>
      <c r="B115" t="s">
        <v>1223</v>
      </c>
      <c r="C115" t="s">
        <v>4127</v>
      </c>
      <c r="D115" t="s">
        <v>4128</v>
      </c>
      <c r="E115" t="s">
        <v>309</v>
      </c>
      <c r="F115" t="s">
        <v>4187</v>
      </c>
      <c r="G115" t="s">
        <v>4188</v>
      </c>
      <c r="H115" t="s">
        <v>321</v>
      </c>
      <c r="I115" t="s">
        <v>965</v>
      </c>
      <c r="J115" t="s">
        <v>204</v>
      </c>
      <c r="K115" t="s">
        <v>204</v>
      </c>
      <c r="L115" t="s">
        <v>340</v>
      </c>
      <c r="M115" t="s">
        <v>598</v>
      </c>
      <c r="N115" t="s">
        <v>339</v>
      </c>
      <c r="O115" t="s">
        <v>1212</v>
      </c>
      <c r="P115" s="131">
        <v>18000</v>
      </c>
      <c r="Q115" s="131">
        <v>1</v>
      </c>
      <c r="R115" s="131">
        <v>17380</v>
      </c>
      <c r="T115" s="131">
        <v>3128.4</v>
      </c>
      <c r="U115" s="132">
        <v>2.0300000000000001E-3</v>
      </c>
      <c r="V115" s="132">
        <v>1.4630000000000001E-2</v>
      </c>
      <c r="W115" s="132">
        <v>1.052E-2</v>
      </c>
    </row>
    <row r="116" spans="1:23">
      <c r="A116" t="s">
        <v>1213</v>
      </c>
      <c r="B116" t="s">
        <v>1223</v>
      </c>
      <c r="C116" t="s">
        <v>4111</v>
      </c>
      <c r="D116" t="s">
        <v>4112</v>
      </c>
      <c r="E116" t="s">
        <v>309</v>
      </c>
      <c r="F116" t="s">
        <v>4197</v>
      </c>
      <c r="G116" t="s">
        <v>4198</v>
      </c>
      <c r="H116" t="s">
        <v>321</v>
      </c>
      <c r="I116" t="s">
        <v>965</v>
      </c>
      <c r="J116" t="s">
        <v>204</v>
      </c>
      <c r="K116" t="s">
        <v>204</v>
      </c>
      <c r="L116" t="s">
        <v>340</v>
      </c>
      <c r="M116" t="s">
        <v>598</v>
      </c>
      <c r="N116" t="s">
        <v>339</v>
      </c>
      <c r="O116" t="s">
        <v>1212</v>
      </c>
      <c r="P116" s="131">
        <v>16808.11</v>
      </c>
      <c r="Q116" s="131">
        <v>1</v>
      </c>
      <c r="R116" s="131">
        <v>16780</v>
      </c>
      <c r="T116" s="131">
        <v>2820.4009999999998</v>
      </c>
      <c r="U116" s="132">
        <v>1.7099999999999999E-3</v>
      </c>
      <c r="V116" s="132">
        <v>1.319E-2</v>
      </c>
      <c r="W116" s="132">
        <v>9.4900000000000002E-3</v>
      </c>
    </row>
    <row r="117" spans="1:23">
      <c r="A117" t="s">
        <v>1213</v>
      </c>
      <c r="B117" t="s">
        <v>1223</v>
      </c>
      <c r="C117" t="s">
        <v>4111</v>
      </c>
      <c r="D117" t="s">
        <v>4112</v>
      </c>
      <c r="E117" t="s">
        <v>309</v>
      </c>
      <c r="F117" t="s">
        <v>4171</v>
      </c>
      <c r="G117" t="s">
        <v>4172</v>
      </c>
      <c r="H117" t="s">
        <v>321</v>
      </c>
      <c r="I117" t="s">
        <v>964</v>
      </c>
      <c r="J117" t="s">
        <v>204</v>
      </c>
      <c r="K117" t="s">
        <v>204</v>
      </c>
      <c r="L117" t="s">
        <v>340</v>
      </c>
      <c r="M117" t="s">
        <v>577</v>
      </c>
      <c r="N117" t="s">
        <v>339</v>
      </c>
      <c r="O117" t="s">
        <v>1212</v>
      </c>
      <c r="P117" s="131">
        <v>13800</v>
      </c>
      <c r="Q117" s="131">
        <v>1</v>
      </c>
      <c r="R117" s="131">
        <v>19380</v>
      </c>
      <c r="T117" s="131">
        <v>2674.44</v>
      </c>
      <c r="U117" s="132">
        <v>4.0000000000000002E-4</v>
      </c>
      <c r="V117" s="132">
        <v>1.251E-2</v>
      </c>
      <c r="W117" s="132">
        <v>8.9899999999999997E-3</v>
      </c>
    </row>
    <row r="118" spans="1:23">
      <c r="A118" t="s">
        <v>1213</v>
      </c>
      <c r="B118" t="s">
        <v>1223</v>
      </c>
      <c r="C118" t="s">
        <v>4127</v>
      </c>
      <c r="D118" t="s">
        <v>4128</v>
      </c>
      <c r="E118" t="s">
        <v>309</v>
      </c>
      <c r="F118" t="s">
        <v>4153</v>
      </c>
      <c r="G118" t="s">
        <v>4154</v>
      </c>
      <c r="H118" t="s">
        <v>321</v>
      </c>
      <c r="I118" t="s">
        <v>965</v>
      </c>
      <c r="J118" t="s">
        <v>204</v>
      </c>
      <c r="K118" t="s">
        <v>204</v>
      </c>
      <c r="L118" t="s">
        <v>340</v>
      </c>
      <c r="M118" t="s">
        <v>582</v>
      </c>
      <c r="N118" t="s">
        <v>339</v>
      </c>
      <c r="O118" t="s">
        <v>1212</v>
      </c>
      <c r="P118" s="131">
        <v>13627</v>
      </c>
      <c r="Q118" s="131">
        <v>1</v>
      </c>
      <c r="R118" s="131">
        <v>16800</v>
      </c>
      <c r="T118" s="131">
        <v>2289.3359999999998</v>
      </c>
      <c r="U118" s="132">
        <v>1.1900000000000001E-3</v>
      </c>
      <c r="V118" s="132">
        <v>1.0710000000000001E-2</v>
      </c>
      <c r="W118" s="132">
        <v>7.7000000000000002E-3</v>
      </c>
    </row>
    <row r="119" spans="1:23">
      <c r="A119" t="s">
        <v>1213</v>
      </c>
      <c r="B119" t="s">
        <v>1223</v>
      </c>
      <c r="C119" t="s">
        <v>4107</v>
      </c>
      <c r="D119" t="s">
        <v>4108</v>
      </c>
      <c r="E119" t="s">
        <v>309</v>
      </c>
      <c r="F119" t="s">
        <v>4121</v>
      </c>
      <c r="G119" t="s">
        <v>4122</v>
      </c>
      <c r="H119" t="s">
        <v>321</v>
      </c>
      <c r="I119" t="s">
        <v>965</v>
      </c>
      <c r="J119" t="s">
        <v>204</v>
      </c>
      <c r="K119" t="s">
        <v>204</v>
      </c>
      <c r="L119" t="s">
        <v>340</v>
      </c>
      <c r="M119" t="s">
        <v>604</v>
      </c>
      <c r="N119" t="s">
        <v>339</v>
      </c>
      <c r="O119" t="s">
        <v>1212</v>
      </c>
      <c r="P119" s="131">
        <v>18907</v>
      </c>
      <c r="Q119" s="131">
        <v>1</v>
      </c>
      <c r="R119" s="131">
        <v>9106</v>
      </c>
      <c r="T119" s="131">
        <v>1721.671</v>
      </c>
      <c r="U119" s="132">
        <v>2.2000000000000001E-4</v>
      </c>
      <c r="V119" s="132">
        <v>8.0499999999999999E-3</v>
      </c>
      <c r="W119" s="132">
        <v>5.79E-3</v>
      </c>
    </row>
    <row r="120" spans="1:23">
      <c r="A120" t="s">
        <v>1213</v>
      </c>
      <c r="B120" t="s">
        <v>1223</v>
      </c>
      <c r="C120" t="s">
        <v>4123</v>
      </c>
      <c r="D120" t="s">
        <v>4124</v>
      </c>
      <c r="E120" t="s">
        <v>309</v>
      </c>
      <c r="F120" t="s">
        <v>4135</v>
      </c>
      <c r="G120" t="s">
        <v>4136</v>
      </c>
      <c r="H120" t="s">
        <v>321</v>
      </c>
      <c r="I120" t="s">
        <v>965</v>
      </c>
      <c r="J120" t="s">
        <v>204</v>
      </c>
      <c r="K120" t="s">
        <v>204</v>
      </c>
      <c r="L120" t="s">
        <v>340</v>
      </c>
      <c r="M120" t="s">
        <v>605</v>
      </c>
      <c r="N120" t="s">
        <v>339</v>
      </c>
      <c r="O120" t="s">
        <v>1212</v>
      </c>
      <c r="P120" s="131">
        <v>33000</v>
      </c>
      <c r="Q120" s="131">
        <v>1</v>
      </c>
      <c r="R120" s="131">
        <v>5069</v>
      </c>
      <c r="T120" s="131">
        <v>1672.77</v>
      </c>
      <c r="U120" s="132">
        <v>2.5999999999999998E-4</v>
      </c>
      <c r="V120" s="132">
        <v>7.8200000000000006E-3</v>
      </c>
      <c r="W120" s="132">
        <v>5.6299999999999996E-3</v>
      </c>
    </row>
    <row r="121" spans="1:23">
      <c r="A121" t="s">
        <v>1213</v>
      </c>
      <c r="B121" t="s">
        <v>1223</v>
      </c>
      <c r="C121" t="s">
        <v>4127</v>
      </c>
      <c r="D121" t="s">
        <v>4128</v>
      </c>
      <c r="E121" t="s">
        <v>309</v>
      </c>
      <c r="F121" t="s">
        <v>4155</v>
      </c>
      <c r="G121" t="s">
        <v>4156</v>
      </c>
      <c r="H121" t="s">
        <v>321</v>
      </c>
      <c r="I121" t="s">
        <v>965</v>
      </c>
      <c r="J121" t="s">
        <v>204</v>
      </c>
      <c r="K121" t="s">
        <v>204</v>
      </c>
      <c r="L121" t="s">
        <v>340</v>
      </c>
      <c r="M121" t="s">
        <v>597</v>
      </c>
      <c r="N121" t="s">
        <v>339</v>
      </c>
      <c r="O121" t="s">
        <v>1212</v>
      </c>
      <c r="P121" s="131">
        <v>20000</v>
      </c>
      <c r="Q121" s="131">
        <v>1</v>
      </c>
      <c r="R121" s="131">
        <v>7865</v>
      </c>
      <c r="T121" s="131">
        <v>1573</v>
      </c>
      <c r="U121" s="132">
        <v>2.0000000000000001E-4</v>
      </c>
      <c r="V121" s="132">
        <v>7.3600000000000002E-3</v>
      </c>
      <c r="W121" s="132">
        <v>5.2900000000000004E-3</v>
      </c>
    </row>
    <row r="122" spans="1:23">
      <c r="A122" t="s">
        <v>1213</v>
      </c>
      <c r="B122" t="s">
        <v>1223</v>
      </c>
      <c r="C122" t="s">
        <v>4127</v>
      </c>
      <c r="D122" t="s">
        <v>4128</v>
      </c>
      <c r="E122" t="s">
        <v>309</v>
      </c>
      <c r="F122" t="s">
        <v>4286</v>
      </c>
      <c r="G122" t="s">
        <v>4287</v>
      </c>
      <c r="H122" t="s">
        <v>321</v>
      </c>
      <c r="I122" t="s">
        <v>964</v>
      </c>
      <c r="J122" t="s">
        <v>204</v>
      </c>
      <c r="L122" t="s">
        <v>340</v>
      </c>
      <c r="N122" t="s">
        <v>339</v>
      </c>
      <c r="O122" t="s">
        <v>1212</v>
      </c>
      <c r="P122" s="131">
        <v>75625</v>
      </c>
      <c r="Q122" s="131">
        <v>1</v>
      </c>
      <c r="R122" s="131">
        <v>2013</v>
      </c>
      <c r="T122" s="131">
        <v>1522.3309999999999</v>
      </c>
      <c r="U122" s="132">
        <v>2.9999999999999997E-4</v>
      </c>
      <c r="V122" s="132">
        <v>7.1199999999999996E-3</v>
      </c>
      <c r="W122" s="132">
        <v>5.1200000000000004E-3</v>
      </c>
    </row>
    <row r="123" spans="1:23">
      <c r="A123" t="s">
        <v>1213</v>
      </c>
      <c r="B123" t="s">
        <v>1223</v>
      </c>
      <c r="C123" t="s">
        <v>4123</v>
      </c>
      <c r="D123" t="s">
        <v>4124</v>
      </c>
      <c r="E123" t="s">
        <v>309</v>
      </c>
      <c r="F123" t="s">
        <v>4201</v>
      </c>
      <c r="G123" t="s">
        <v>4202</v>
      </c>
      <c r="H123" t="s">
        <v>321</v>
      </c>
      <c r="I123" t="s">
        <v>965</v>
      </c>
      <c r="J123" t="s">
        <v>204</v>
      </c>
      <c r="K123" t="s">
        <v>204</v>
      </c>
      <c r="L123" t="s">
        <v>340</v>
      </c>
      <c r="M123" t="s">
        <v>582</v>
      </c>
      <c r="N123" t="s">
        <v>339</v>
      </c>
      <c r="O123" t="s">
        <v>1212</v>
      </c>
      <c r="P123" s="131">
        <v>8215</v>
      </c>
      <c r="Q123" s="131">
        <v>1</v>
      </c>
      <c r="R123" s="131">
        <v>16810</v>
      </c>
      <c r="T123" s="131">
        <v>1380.942</v>
      </c>
      <c r="U123" s="132">
        <v>2.7999999999999998E-4</v>
      </c>
      <c r="V123" s="132">
        <v>6.4599999999999996E-3</v>
      </c>
      <c r="W123" s="132">
        <v>4.64E-3</v>
      </c>
    </row>
    <row r="124" spans="1:23">
      <c r="A124" t="s">
        <v>1213</v>
      </c>
      <c r="B124" t="s">
        <v>1223</v>
      </c>
      <c r="C124" t="s">
        <v>4111</v>
      </c>
      <c r="D124" t="s">
        <v>4112</v>
      </c>
      <c r="E124" t="s">
        <v>309</v>
      </c>
      <c r="F124" t="s">
        <v>4199</v>
      </c>
      <c r="G124" t="s">
        <v>4200</v>
      </c>
      <c r="H124" t="s">
        <v>321</v>
      </c>
      <c r="I124" t="s">
        <v>965</v>
      </c>
      <c r="J124" t="s">
        <v>204</v>
      </c>
      <c r="K124" t="s">
        <v>204</v>
      </c>
      <c r="L124" t="s">
        <v>340</v>
      </c>
      <c r="M124" t="s">
        <v>595</v>
      </c>
      <c r="N124" t="s">
        <v>339</v>
      </c>
      <c r="O124" t="s">
        <v>1212</v>
      </c>
      <c r="P124" s="131">
        <v>58700</v>
      </c>
      <c r="Q124" s="131">
        <v>1</v>
      </c>
      <c r="R124" s="131">
        <v>2330</v>
      </c>
      <c r="T124" s="131">
        <v>1367.71</v>
      </c>
      <c r="U124" s="132">
        <v>1.9400000000000001E-3</v>
      </c>
      <c r="V124" s="132">
        <v>6.4000000000000003E-3</v>
      </c>
      <c r="W124" s="132">
        <v>4.5999999999999999E-3</v>
      </c>
    </row>
    <row r="125" spans="1:23">
      <c r="A125" t="s">
        <v>1213</v>
      </c>
      <c r="B125" t="s">
        <v>1223</v>
      </c>
      <c r="C125" t="s">
        <v>4107</v>
      </c>
      <c r="D125" t="s">
        <v>4108</v>
      </c>
      <c r="E125" t="s">
        <v>309</v>
      </c>
      <c r="F125" t="s">
        <v>4231</v>
      </c>
      <c r="G125" t="s">
        <v>4232</v>
      </c>
      <c r="H125" t="s">
        <v>321</v>
      </c>
      <c r="I125" t="s">
        <v>964</v>
      </c>
      <c r="J125" t="s">
        <v>204</v>
      </c>
      <c r="K125" t="s">
        <v>204</v>
      </c>
      <c r="L125" t="s">
        <v>340</v>
      </c>
      <c r="M125" t="s">
        <v>577</v>
      </c>
      <c r="N125" t="s">
        <v>339</v>
      </c>
      <c r="O125" t="s">
        <v>1212</v>
      </c>
      <c r="P125" s="131">
        <v>40000</v>
      </c>
      <c r="Q125" s="131">
        <v>1</v>
      </c>
      <c r="R125" s="131">
        <v>3034</v>
      </c>
      <c r="T125" s="131">
        <v>1213.5999999999999</v>
      </c>
      <c r="U125" s="132">
        <v>7.7999999999999999E-4</v>
      </c>
      <c r="V125" s="132">
        <v>5.6800000000000002E-3</v>
      </c>
      <c r="W125" s="132">
        <v>4.0800000000000003E-3</v>
      </c>
    </row>
    <row r="126" spans="1:23">
      <c r="A126" t="s">
        <v>1213</v>
      </c>
      <c r="B126" t="s">
        <v>1223</v>
      </c>
      <c r="C126" t="s">
        <v>4107</v>
      </c>
      <c r="D126" t="s">
        <v>4108</v>
      </c>
      <c r="E126" t="s">
        <v>309</v>
      </c>
      <c r="F126" t="s">
        <v>4288</v>
      </c>
      <c r="G126" t="s">
        <v>4289</v>
      </c>
      <c r="H126" t="s">
        <v>321</v>
      </c>
      <c r="I126" t="s">
        <v>965</v>
      </c>
      <c r="J126" t="s">
        <v>204</v>
      </c>
      <c r="K126" t="s">
        <v>204</v>
      </c>
      <c r="L126" t="s">
        <v>340</v>
      </c>
      <c r="M126" t="s">
        <v>582</v>
      </c>
      <c r="N126" t="s">
        <v>339</v>
      </c>
      <c r="O126" t="s">
        <v>1212</v>
      </c>
      <c r="P126" s="131">
        <v>23500</v>
      </c>
      <c r="Q126" s="131">
        <v>1</v>
      </c>
      <c r="R126" s="131">
        <v>4602</v>
      </c>
      <c r="T126" s="131">
        <v>1081.47</v>
      </c>
      <c r="U126" s="132">
        <v>3.3800000000000002E-3</v>
      </c>
      <c r="V126" s="132">
        <v>5.0600000000000003E-3</v>
      </c>
      <c r="W126" s="132">
        <v>3.64E-3</v>
      </c>
    </row>
    <row r="127" spans="1:23">
      <c r="A127" t="s">
        <v>1213</v>
      </c>
      <c r="B127" t="s">
        <v>1223</v>
      </c>
      <c r="C127" t="s">
        <v>4107</v>
      </c>
      <c r="D127" t="s">
        <v>4108</v>
      </c>
      <c r="E127" t="s">
        <v>309</v>
      </c>
      <c r="F127" t="s">
        <v>4185</v>
      </c>
      <c r="G127" t="s">
        <v>4186</v>
      </c>
      <c r="H127" t="s">
        <v>321</v>
      </c>
      <c r="I127" t="s">
        <v>965</v>
      </c>
      <c r="J127" t="s">
        <v>204</v>
      </c>
      <c r="K127" t="s">
        <v>204</v>
      </c>
      <c r="L127" t="s">
        <v>340</v>
      </c>
      <c r="M127" t="s">
        <v>609</v>
      </c>
      <c r="N127" t="s">
        <v>339</v>
      </c>
      <c r="O127" t="s">
        <v>1212</v>
      </c>
      <c r="P127" s="131">
        <v>11275</v>
      </c>
      <c r="Q127" s="131">
        <v>1</v>
      </c>
      <c r="R127" s="131">
        <v>7671</v>
      </c>
      <c r="T127" s="131">
        <v>864.90499999999997</v>
      </c>
      <c r="U127" s="132">
        <v>2.7599999999999999E-3</v>
      </c>
      <c r="V127" s="132">
        <v>4.0400000000000002E-3</v>
      </c>
      <c r="W127" s="132">
        <v>2.9099999999999998E-3</v>
      </c>
    </row>
    <row r="128" spans="1:23">
      <c r="A128" t="s">
        <v>1213</v>
      </c>
      <c r="B128" t="s">
        <v>1223</v>
      </c>
      <c r="C128" t="s">
        <v>4123</v>
      </c>
      <c r="D128" t="s">
        <v>4124</v>
      </c>
      <c r="E128" t="s">
        <v>309</v>
      </c>
      <c r="F128" t="s">
        <v>4159</v>
      </c>
      <c r="G128" t="s">
        <v>4160</v>
      </c>
      <c r="H128" t="s">
        <v>321</v>
      </c>
      <c r="I128" t="s">
        <v>964</v>
      </c>
      <c r="J128" t="s">
        <v>204</v>
      </c>
      <c r="K128" t="s">
        <v>204</v>
      </c>
      <c r="L128" t="s">
        <v>340</v>
      </c>
      <c r="M128" t="s">
        <v>574</v>
      </c>
      <c r="N128" t="s">
        <v>339</v>
      </c>
      <c r="O128" t="s">
        <v>1212</v>
      </c>
      <c r="P128" s="131">
        <v>26500</v>
      </c>
      <c r="Q128" s="131">
        <v>1</v>
      </c>
      <c r="R128" s="131">
        <v>2092</v>
      </c>
      <c r="T128" s="131">
        <v>554.38</v>
      </c>
      <c r="U128" s="132">
        <v>1E-4</v>
      </c>
      <c r="V128" s="132">
        <v>2.5899999999999999E-3</v>
      </c>
      <c r="W128" s="132">
        <v>1.8600000000000001E-3</v>
      </c>
    </row>
    <row r="129" spans="1:23">
      <c r="A129" t="s">
        <v>1213</v>
      </c>
      <c r="B129" t="s">
        <v>1223</v>
      </c>
      <c r="C129" t="s">
        <v>4107</v>
      </c>
      <c r="D129" t="s">
        <v>4108</v>
      </c>
      <c r="E129" t="s">
        <v>309</v>
      </c>
      <c r="F129" t="s">
        <v>4203</v>
      </c>
      <c r="G129" t="s">
        <v>4204</v>
      </c>
      <c r="H129" t="s">
        <v>321</v>
      </c>
      <c r="I129" t="s">
        <v>965</v>
      </c>
      <c r="J129" t="s">
        <v>204</v>
      </c>
      <c r="K129" t="s">
        <v>204</v>
      </c>
      <c r="L129" t="s">
        <v>340</v>
      </c>
      <c r="M129" t="s">
        <v>597</v>
      </c>
      <c r="N129" t="s">
        <v>339</v>
      </c>
      <c r="O129" t="s">
        <v>1212</v>
      </c>
      <c r="P129" s="131">
        <v>5200</v>
      </c>
      <c r="Q129" s="131">
        <v>1</v>
      </c>
      <c r="R129" s="131">
        <v>10350</v>
      </c>
      <c r="T129" s="131">
        <v>538.20000000000005</v>
      </c>
      <c r="U129" s="132">
        <v>5.1999999999999995E-4</v>
      </c>
      <c r="V129" s="132">
        <v>2.5200000000000001E-3</v>
      </c>
      <c r="W129" s="132">
        <v>1.81E-3</v>
      </c>
    </row>
    <row r="130" spans="1:23">
      <c r="A130" t="s">
        <v>1213</v>
      </c>
      <c r="B130" t="s">
        <v>1223</v>
      </c>
      <c r="C130" t="s">
        <v>4111</v>
      </c>
      <c r="D130" t="s">
        <v>4112</v>
      </c>
      <c r="E130" t="s">
        <v>309</v>
      </c>
      <c r="F130" t="s">
        <v>4195</v>
      </c>
      <c r="G130" t="s">
        <v>4196</v>
      </c>
      <c r="H130" t="s">
        <v>321</v>
      </c>
      <c r="I130" t="s">
        <v>965</v>
      </c>
      <c r="J130" t="s">
        <v>204</v>
      </c>
      <c r="K130" t="s">
        <v>204</v>
      </c>
      <c r="L130" t="s">
        <v>340</v>
      </c>
      <c r="M130" t="s">
        <v>610</v>
      </c>
      <c r="N130" t="s">
        <v>339</v>
      </c>
      <c r="O130" t="s">
        <v>1212</v>
      </c>
      <c r="P130" s="131">
        <v>1055</v>
      </c>
      <c r="Q130" s="131">
        <v>1</v>
      </c>
      <c r="R130" s="131">
        <v>50740</v>
      </c>
      <c r="T130" s="131">
        <v>535.30700000000002</v>
      </c>
      <c r="U130" s="132">
        <v>5.4000000000000001E-4</v>
      </c>
      <c r="V130" s="132">
        <v>2.5000000000000001E-3</v>
      </c>
      <c r="W130" s="132">
        <v>1.8E-3</v>
      </c>
    </row>
    <row r="131" spans="1:23">
      <c r="A131" t="s">
        <v>1213</v>
      </c>
      <c r="B131" t="s">
        <v>1223</v>
      </c>
      <c r="C131" t="s">
        <v>4111</v>
      </c>
      <c r="D131" t="s">
        <v>4112</v>
      </c>
      <c r="E131" t="s">
        <v>309</v>
      </c>
      <c r="F131" t="s">
        <v>4211</v>
      </c>
      <c r="G131" t="s">
        <v>4212</v>
      </c>
      <c r="H131" t="s">
        <v>321</v>
      </c>
      <c r="I131" t="s">
        <v>965</v>
      </c>
      <c r="J131" t="s">
        <v>204</v>
      </c>
      <c r="K131" t="s">
        <v>204</v>
      </c>
      <c r="L131" t="s">
        <v>340</v>
      </c>
      <c r="M131" t="s">
        <v>609</v>
      </c>
      <c r="N131" t="s">
        <v>339</v>
      </c>
      <c r="O131" t="s">
        <v>1212</v>
      </c>
      <c r="P131" s="131">
        <v>4621</v>
      </c>
      <c r="Q131" s="131">
        <v>1</v>
      </c>
      <c r="R131" s="131">
        <v>11540</v>
      </c>
      <c r="T131" s="131">
        <v>533.26300000000003</v>
      </c>
      <c r="U131" s="132">
        <v>5.6999999999999998E-4</v>
      </c>
      <c r="V131" s="132">
        <v>2.49E-3</v>
      </c>
      <c r="W131" s="132">
        <v>1.7899999999999999E-3</v>
      </c>
    </row>
    <row r="132" spans="1:23">
      <c r="A132" t="s">
        <v>1213</v>
      </c>
      <c r="B132" t="s">
        <v>1223</v>
      </c>
      <c r="C132" t="s">
        <v>4123</v>
      </c>
      <c r="D132" t="s">
        <v>4124</v>
      </c>
      <c r="E132" t="s">
        <v>309</v>
      </c>
      <c r="F132" t="s">
        <v>4290</v>
      </c>
      <c r="G132" t="s">
        <v>4291</v>
      </c>
      <c r="H132" t="s">
        <v>321</v>
      </c>
      <c r="I132" t="s">
        <v>965</v>
      </c>
      <c r="J132" t="s">
        <v>204</v>
      </c>
      <c r="K132" t="s">
        <v>204</v>
      </c>
      <c r="L132" t="s">
        <v>340</v>
      </c>
      <c r="M132" t="s">
        <v>584</v>
      </c>
      <c r="N132" t="s">
        <v>339</v>
      </c>
      <c r="O132" t="s">
        <v>1212</v>
      </c>
      <c r="P132" s="131">
        <v>1900</v>
      </c>
      <c r="Q132" s="131">
        <v>1</v>
      </c>
      <c r="R132" s="131">
        <v>26500</v>
      </c>
      <c r="T132" s="131">
        <v>503.5</v>
      </c>
      <c r="U132" s="132">
        <v>7.7999999999999999E-4</v>
      </c>
      <c r="V132" s="132">
        <v>2.3500000000000001E-3</v>
      </c>
      <c r="W132" s="132">
        <v>1.6900000000000001E-3</v>
      </c>
    </row>
    <row r="133" spans="1:23">
      <c r="A133" t="s">
        <v>1213</v>
      </c>
      <c r="B133" t="s">
        <v>1223</v>
      </c>
      <c r="C133" t="s">
        <v>4127</v>
      </c>
      <c r="D133" t="s">
        <v>4128</v>
      </c>
      <c r="E133" t="s">
        <v>309</v>
      </c>
      <c r="F133" t="s">
        <v>4193</v>
      </c>
      <c r="G133" t="s">
        <v>4194</v>
      </c>
      <c r="H133" t="s">
        <v>321</v>
      </c>
      <c r="I133" t="s">
        <v>964</v>
      </c>
      <c r="J133" t="s">
        <v>204</v>
      </c>
      <c r="K133" t="s">
        <v>204</v>
      </c>
      <c r="L133" t="s">
        <v>340</v>
      </c>
      <c r="M133" t="s">
        <v>574</v>
      </c>
      <c r="N133" t="s">
        <v>339</v>
      </c>
      <c r="O133" t="s">
        <v>1212</v>
      </c>
      <c r="P133" s="131">
        <v>23849</v>
      </c>
      <c r="Q133" s="131">
        <v>1</v>
      </c>
      <c r="R133" s="131">
        <v>2094</v>
      </c>
      <c r="T133" s="131">
        <v>499.39800000000002</v>
      </c>
      <c r="U133" s="132">
        <v>2.7999999999999998E-4</v>
      </c>
      <c r="V133" s="132">
        <v>2.3400000000000001E-3</v>
      </c>
      <c r="W133" s="132">
        <v>1.6800000000000001E-3</v>
      </c>
    </row>
    <row r="134" spans="1:23">
      <c r="A134" t="s">
        <v>1213</v>
      </c>
      <c r="B134" t="s">
        <v>1223</v>
      </c>
      <c r="C134" t="s">
        <v>4181</v>
      </c>
      <c r="D134" t="s">
        <v>4182</v>
      </c>
      <c r="E134" t="s">
        <v>309</v>
      </c>
      <c r="F134" t="s">
        <v>4221</v>
      </c>
      <c r="G134" t="s">
        <v>4222</v>
      </c>
      <c r="H134" t="s">
        <v>321</v>
      </c>
      <c r="I134" t="s">
        <v>964</v>
      </c>
      <c r="J134" t="s">
        <v>204</v>
      </c>
      <c r="K134" t="s">
        <v>204</v>
      </c>
      <c r="L134" t="s">
        <v>340</v>
      </c>
      <c r="M134" t="s">
        <v>572</v>
      </c>
      <c r="N134" t="s">
        <v>339</v>
      </c>
      <c r="O134" t="s">
        <v>1212</v>
      </c>
      <c r="P134" s="131">
        <v>8300</v>
      </c>
      <c r="Q134" s="131">
        <v>1</v>
      </c>
      <c r="R134" s="131">
        <v>5753</v>
      </c>
      <c r="T134" s="131">
        <v>477.49900000000002</v>
      </c>
      <c r="U134" s="132">
        <v>1.32E-3</v>
      </c>
      <c r="V134" s="132">
        <v>2.2300000000000002E-3</v>
      </c>
      <c r="W134" s="132">
        <v>1.6100000000000001E-3</v>
      </c>
    </row>
    <row r="135" spans="1:23">
      <c r="A135" t="s">
        <v>1213</v>
      </c>
      <c r="B135" t="s">
        <v>1223</v>
      </c>
      <c r="C135" t="s">
        <v>4127</v>
      </c>
      <c r="D135" t="s">
        <v>4128</v>
      </c>
      <c r="E135" t="s">
        <v>309</v>
      </c>
      <c r="F135" t="s">
        <v>4161</v>
      </c>
      <c r="G135" t="s">
        <v>4162</v>
      </c>
      <c r="H135" t="s">
        <v>321</v>
      </c>
      <c r="I135" t="s">
        <v>965</v>
      </c>
      <c r="J135" t="s">
        <v>204</v>
      </c>
      <c r="K135" t="s">
        <v>204</v>
      </c>
      <c r="L135" t="s">
        <v>340</v>
      </c>
      <c r="M135" t="s">
        <v>581</v>
      </c>
      <c r="N135" t="s">
        <v>339</v>
      </c>
      <c r="O135" t="s">
        <v>1212</v>
      </c>
      <c r="P135" s="131">
        <v>3400</v>
      </c>
      <c r="Q135" s="131">
        <v>1</v>
      </c>
      <c r="R135" s="131">
        <v>7382</v>
      </c>
      <c r="T135" s="131">
        <v>250.988</v>
      </c>
      <c r="U135" s="132">
        <v>2.3000000000000001E-4</v>
      </c>
      <c r="V135" s="132">
        <v>1.17E-3</v>
      </c>
      <c r="W135" s="132">
        <v>8.4000000000000003E-4</v>
      </c>
    </row>
    <row r="136" spans="1:23">
      <c r="A136" t="s">
        <v>1213</v>
      </c>
      <c r="B136" t="s">
        <v>1223</v>
      </c>
      <c r="C136" t="s">
        <v>4235</v>
      </c>
      <c r="D136" t="s">
        <v>4236</v>
      </c>
      <c r="E136" t="s">
        <v>80</v>
      </c>
      <c r="F136" t="s">
        <v>4237</v>
      </c>
      <c r="G136" t="s">
        <v>4106</v>
      </c>
      <c r="H136" t="s">
        <v>321</v>
      </c>
      <c r="I136" t="s">
        <v>965</v>
      </c>
      <c r="J136" t="s">
        <v>205</v>
      </c>
      <c r="K136" t="s">
        <v>293</v>
      </c>
      <c r="L136" t="s">
        <v>340</v>
      </c>
      <c r="M136" t="s">
        <v>604</v>
      </c>
      <c r="N136" t="s">
        <v>339</v>
      </c>
      <c r="O136" t="s">
        <v>1212</v>
      </c>
      <c r="P136" s="131">
        <v>2550</v>
      </c>
      <c r="Q136" s="131">
        <v>1</v>
      </c>
      <c r="R136" s="131">
        <v>418000</v>
      </c>
      <c r="T136" s="131">
        <v>10659</v>
      </c>
      <c r="U136" s="132">
        <v>6.4000000000000003E-3</v>
      </c>
      <c r="V136" s="132">
        <v>4.9849999999999998E-2</v>
      </c>
      <c r="W136" s="132">
        <v>3.585E-2</v>
      </c>
    </row>
    <row r="137" spans="1:23">
      <c r="A137" t="s">
        <v>1213</v>
      </c>
      <c r="B137" t="s">
        <v>1223</v>
      </c>
      <c r="C137" t="s">
        <v>4099</v>
      </c>
      <c r="D137" t="s">
        <v>4100</v>
      </c>
      <c r="E137" t="s">
        <v>80</v>
      </c>
      <c r="F137" t="s">
        <v>4101</v>
      </c>
      <c r="G137" t="s">
        <v>4102</v>
      </c>
      <c r="H137" t="s">
        <v>321</v>
      </c>
      <c r="I137" t="s">
        <v>965</v>
      </c>
      <c r="J137" t="s">
        <v>205</v>
      </c>
      <c r="K137" t="s">
        <v>224</v>
      </c>
      <c r="L137" t="s">
        <v>344</v>
      </c>
      <c r="M137" t="s">
        <v>604</v>
      </c>
      <c r="N137" t="s">
        <v>339</v>
      </c>
      <c r="O137" t="s">
        <v>1216</v>
      </c>
      <c r="P137" s="131">
        <v>3725</v>
      </c>
      <c r="Q137" s="131">
        <v>3.71</v>
      </c>
      <c r="R137" s="131">
        <v>57376</v>
      </c>
      <c r="S137" s="131">
        <f>4.892+312.1/1000/Q137</f>
        <v>4.9761239892183289</v>
      </c>
      <c r="T137" s="131">
        <f>7947.37+312.1/1000</f>
        <v>7947.6821</v>
      </c>
      <c r="U137" s="132">
        <v>0</v>
      </c>
      <c r="V137" s="132">
        <v>3.7190000000000001E-2</v>
      </c>
      <c r="W137" s="132">
        <v>2.6749999999999999E-2</v>
      </c>
    </row>
    <row r="138" spans="1:23">
      <c r="A138" t="s">
        <v>1213</v>
      </c>
      <c r="B138" t="s">
        <v>1223</v>
      </c>
      <c r="C138" t="s">
        <v>4091</v>
      </c>
      <c r="D138" t="s">
        <v>4092</v>
      </c>
      <c r="E138" t="s">
        <v>80</v>
      </c>
      <c r="F138" t="s">
        <v>4093</v>
      </c>
      <c r="G138" t="s">
        <v>4094</v>
      </c>
      <c r="H138" t="s">
        <v>321</v>
      </c>
      <c r="I138" t="s">
        <v>965</v>
      </c>
      <c r="J138" t="s">
        <v>205</v>
      </c>
      <c r="K138" t="s">
        <v>224</v>
      </c>
      <c r="L138" t="s">
        <v>344</v>
      </c>
      <c r="M138" t="s">
        <v>604</v>
      </c>
      <c r="N138" t="s">
        <v>339</v>
      </c>
      <c r="O138" t="s">
        <v>1216</v>
      </c>
      <c r="P138" s="131">
        <v>3595</v>
      </c>
      <c r="Q138" s="131">
        <v>3.71</v>
      </c>
      <c r="R138" s="131">
        <v>52767</v>
      </c>
      <c r="S138" s="131">
        <v>5.891</v>
      </c>
      <c r="T138" s="131">
        <v>7059.6270000000004</v>
      </c>
      <c r="U138" s="132">
        <v>0</v>
      </c>
      <c r="V138" s="132">
        <v>3.304E-2</v>
      </c>
      <c r="W138" s="132">
        <v>2.376E-2</v>
      </c>
    </row>
    <row r="139" spans="1:23">
      <c r="A139" t="s">
        <v>1213</v>
      </c>
      <c r="B139" t="s">
        <v>1223</v>
      </c>
      <c r="C139" t="s">
        <v>4095</v>
      </c>
      <c r="D139" t="s">
        <v>4096</v>
      </c>
      <c r="E139" t="s">
        <v>80</v>
      </c>
      <c r="F139" t="s">
        <v>4097</v>
      </c>
      <c r="G139" t="s">
        <v>4098</v>
      </c>
      <c r="H139" t="s">
        <v>321</v>
      </c>
      <c r="I139" t="s">
        <v>965</v>
      </c>
      <c r="J139" t="s">
        <v>205</v>
      </c>
      <c r="K139" t="s">
        <v>224</v>
      </c>
      <c r="L139" t="s">
        <v>346</v>
      </c>
      <c r="M139" t="s">
        <v>597</v>
      </c>
      <c r="N139" t="s">
        <v>339</v>
      </c>
      <c r="O139" t="s">
        <v>1216</v>
      </c>
      <c r="P139" s="131">
        <v>3500</v>
      </c>
      <c r="Q139" s="131">
        <v>3.71</v>
      </c>
      <c r="R139" s="131">
        <v>48807</v>
      </c>
      <c r="S139" s="131">
        <f>1.783+113.71/1000/Q139</f>
        <v>1.8136495956873315</v>
      </c>
      <c r="T139" s="131">
        <f>6344.202+113.71/1000</f>
        <v>6344.3157099999999</v>
      </c>
      <c r="U139" s="132">
        <v>0</v>
      </c>
      <c r="V139" s="132">
        <v>2.9680000000000002E-2</v>
      </c>
      <c r="W139" s="132">
        <v>2.1340000000000001E-2</v>
      </c>
    </row>
    <row r="140" spans="1:23">
      <c r="A140" t="s">
        <v>1213</v>
      </c>
      <c r="B140" t="s">
        <v>1223</v>
      </c>
      <c r="C140" t="s">
        <v>4244</v>
      </c>
      <c r="D140" t="s">
        <v>4245</v>
      </c>
      <c r="E140" t="s">
        <v>80</v>
      </c>
      <c r="F140" t="s">
        <v>4246</v>
      </c>
      <c r="G140" t="s">
        <v>4247</v>
      </c>
      <c r="H140" t="s">
        <v>321</v>
      </c>
      <c r="I140" t="s">
        <v>965</v>
      </c>
      <c r="J140" t="s">
        <v>205</v>
      </c>
      <c r="K140" t="s">
        <v>224</v>
      </c>
      <c r="L140" t="s">
        <v>344</v>
      </c>
      <c r="M140" t="s">
        <v>604</v>
      </c>
      <c r="N140" t="s">
        <v>339</v>
      </c>
      <c r="O140" t="s">
        <v>1216</v>
      </c>
      <c r="P140" s="131">
        <v>7500</v>
      </c>
      <c r="Q140" s="131">
        <v>3.71</v>
      </c>
      <c r="R140" s="131">
        <v>17916</v>
      </c>
      <c r="T140" s="131">
        <v>4985.1270000000004</v>
      </c>
      <c r="U140" s="132">
        <v>0</v>
      </c>
      <c r="V140" s="132">
        <v>2.3310000000000001E-2</v>
      </c>
      <c r="W140" s="132">
        <v>1.677E-2</v>
      </c>
    </row>
    <row r="141" spans="1:23">
      <c r="A141" t="s">
        <v>1213</v>
      </c>
      <c r="B141" t="s">
        <v>1223</v>
      </c>
      <c r="C141" t="s">
        <v>4238</v>
      </c>
      <c r="D141" t="s">
        <v>4239</v>
      </c>
      <c r="E141" t="s">
        <v>80</v>
      </c>
      <c r="F141" t="s">
        <v>4240</v>
      </c>
      <c r="G141" t="s">
        <v>4241</v>
      </c>
      <c r="H141" t="s">
        <v>321</v>
      </c>
      <c r="I141" t="s">
        <v>965</v>
      </c>
      <c r="J141" t="s">
        <v>205</v>
      </c>
      <c r="K141" t="s">
        <v>224</v>
      </c>
      <c r="L141" t="s">
        <v>368</v>
      </c>
      <c r="M141" t="s">
        <v>735</v>
      </c>
      <c r="N141" t="s">
        <v>339</v>
      </c>
      <c r="O141" t="s">
        <v>1218</v>
      </c>
      <c r="P141" s="131">
        <v>7100</v>
      </c>
      <c r="Q141" s="131">
        <v>4.1524000000000001</v>
      </c>
      <c r="R141" s="131">
        <v>16098</v>
      </c>
      <c r="T141" s="131">
        <v>4746.0190000000002</v>
      </c>
      <c r="U141" s="132">
        <v>0</v>
      </c>
      <c r="V141" s="132">
        <v>2.2200000000000001E-2</v>
      </c>
      <c r="W141" s="132">
        <v>1.5959999999999998E-2</v>
      </c>
    </row>
    <row r="142" spans="1:23">
      <c r="A142" t="s">
        <v>1213</v>
      </c>
      <c r="B142" t="s">
        <v>1223</v>
      </c>
      <c r="C142" t="s">
        <v>4238</v>
      </c>
      <c r="D142" t="s">
        <v>4239</v>
      </c>
      <c r="E142" t="s">
        <v>80</v>
      </c>
      <c r="F142" t="s">
        <v>4248</v>
      </c>
      <c r="G142" t="s">
        <v>4249</v>
      </c>
      <c r="H142" t="s">
        <v>321</v>
      </c>
      <c r="I142" t="s">
        <v>965</v>
      </c>
      <c r="J142" t="s">
        <v>205</v>
      </c>
      <c r="K142" t="s">
        <v>224</v>
      </c>
      <c r="L142" t="s">
        <v>314</v>
      </c>
      <c r="M142" t="s">
        <v>596</v>
      </c>
      <c r="N142" t="s">
        <v>339</v>
      </c>
      <c r="O142" t="s">
        <v>1216</v>
      </c>
      <c r="P142" s="131">
        <v>18100</v>
      </c>
      <c r="Q142" s="131">
        <v>3.71</v>
      </c>
      <c r="R142" s="131">
        <v>6111</v>
      </c>
      <c r="T142" s="131">
        <v>4103.598</v>
      </c>
      <c r="U142" s="132">
        <v>0</v>
      </c>
      <c r="V142" s="132">
        <v>1.9189999999999999E-2</v>
      </c>
      <c r="W142" s="132">
        <v>1.38E-2</v>
      </c>
    </row>
    <row r="143" spans="1:23">
      <c r="A143" t="s">
        <v>1213</v>
      </c>
      <c r="B143" t="s">
        <v>1223</v>
      </c>
      <c r="C143" t="s">
        <v>4238</v>
      </c>
      <c r="D143" t="s">
        <v>4239</v>
      </c>
      <c r="E143" t="s">
        <v>80</v>
      </c>
      <c r="F143" t="s">
        <v>4242</v>
      </c>
      <c r="G143" t="s">
        <v>4243</v>
      </c>
      <c r="H143" t="s">
        <v>321</v>
      </c>
      <c r="I143" t="s">
        <v>965</v>
      </c>
      <c r="J143" t="s">
        <v>205</v>
      </c>
      <c r="K143" t="s">
        <v>224</v>
      </c>
      <c r="L143" t="s">
        <v>344</v>
      </c>
      <c r="M143" t="s">
        <v>602</v>
      </c>
      <c r="N143" t="s">
        <v>339</v>
      </c>
      <c r="O143" t="s">
        <v>1216</v>
      </c>
      <c r="P143" s="131">
        <v>4270</v>
      </c>
      <c r="Q143" s="131">
        <v>3.71</v>
      </c>
      <c r="R143" s="131">
        <v>22089</v>
      </c>
      <c r="T143" s="131">
        <v>3499.2730000000001</v>
      </c>
      <c r="U143" s="132">
        <v>0</v>
      </c>
      <c r="V143" s="132">
        <v>1.636E-2</v>
      </c>
      <c r="W143" s="132">
        <v>1.1769999999999999E-2</v>
      </c>
    </row>
    <row r="144" spans="1:23">
      <c r="A144" t="s">
        <v>1213</v>
      </c>
      <c r="B144" t="s">
        <v>1223</v>
      </c>
      <c r="C144" t="s">
        <v>4111</v>
      </c>
      <c r="D144" t="s">
        <v>4112</v>
      </c>
      <c r="E144" t="s">
        <v>309</v>
      </c>
      <c r="F144" t="s">
        <v>4254</v>
      </c>
      <c r="G144" t="s">
        <v>4255</v>
      </c>
      <c r="H144" t="s">
        <v>321</v>
      </c>
      <c r="I144" t="s">
        <v>965</v>
      </c>
      <c r="J144" t="s">
        <v>205</v>
      </c>
      <c r="K144" t="s">
        <v>204</v>
      </c>
      <c r="L144" t="s">
        <v>340</v>
      </c>
      <c r="M144" t="s">
        <v>581</v>
      </c>
      <c r="N144" t="s">
        <v>339</v>
      </c>
      <c r="O144" t="s">
        <v>1212</v>
      </c>
      <c r="P144" s="131">
        <v>46641.120000000003</v>
      </c>
      <c r="Q144" s="131">
        <v>1</v>
      </c>
      <c r="R144" s="131">
        <v>6991</v>
      </c>
      <c r="T144" s="131">
        <v>3260.681</v>
      </c>
      <c r="U144" s="132">
        <v>3.3E-3</v>
      </c>
      <c r="V144" s="132">
        <v>1.525E-2</v>
      </c>
      <c r="W144" s="132">
        <v>1.0970000000000001E-2</v>
      </c>
    </row>
    <row r="145" spans="1:23">
      <c r="A145" t="s">
        <v>1213</v>
      </c>
      <c r="B145" t="s">
        <v>1223</v>
      </c>
      <c r="C145" t="s">
        <v>4127</v>
      </c>
      <c r="D145" t="s">
        <v>4128</v>
      </c>
      <c r="E145" t="s">
        <v>309</v>
      </c>
      <c r="F145" t="s">
        <v>4256</v>
      </c>
      <c r="G145" t="s">
        <v>4257</v>
      </c>
      <c r="H145" t="s">
        <v>321</v>
      </c>
      <c r="I145" t="s">
        <v>965</v>
      </c>
      <c r="J145" t="s">
        <v>205</v>
      </c>
      <c r="K145" t="s">
        <v>204</v>
      </c>
      <c r="L145" t="s">
        <v>340</v>
      </c>
      <c r="M145" t="s">
        <v>706</v>
      </c>
      <c r="N145" t="s">
        <v>339</v>
      </c>
      <c r="O145" t="s">
        <v>1212</v>
      </c>
      <c r="P145" s="131">
        <v>92960</v>
      </c>
      <c r="Q145" s="131">
        <v>1</v>
      </c>
      <c r="R145" s="131">
        <v>2830</v>
      </c>
      <c r="T145" s="131">
        <v>2630.768</v>
      </c>
      <c r="U145" s="132">
        <v>3.47E-3</v>
      </c>
      <c r="V145" s="132">
        <v>1.23E-2</v>
      </c>
      <c r="W145" s="132">
        <v>8.8500000000000002E-3</v>
      </c>
    </row>
    <row r="146" spans="1:23">
      <c r="A146" t="s">
        <v>1213</v>
      </c>
      <c r="B146" t="s">
        <v>1223</v>
      </c>
      <c r="C146" t="s">
        <v>4260</v>
      </c>
      <c r="D146" t="s">
        <v>4261</v>
      </c>
      <c r="E146" t="s">
        <v>80</v>
      </c>
      <c r="F146" t="s">
        <v>4266</v>
      </c>
      <c r="G146" t="s">
        <v>4267</v>
      </c>
      <c r="H146" t="s">
        <v>321</v>
      </c>
      <c r="I146" t="s">
        <v>965</v>
      </c>
      <c r="J146" t="s">
        <v>205</v>
      </c>
      <c r="K146" t="s">
        <v>224</v>
      </c>
      <c r="L146" t="s">
        <v>346</v>
      </c>
      <c r="M146" t="s">
        <v>735</v>
      </c>
      <c r="N146" t="s">
        <v>339</v>
      </c>
      <c r="O146" t="s">
        <v>1216</v>
      </c>
      <c r="P146" s="131">
        <v>8560</v>
      </c>
      <c r="Q146" s="131">
        <v>3.71</v>
      </c>
      <c r="R146" s="131">
        <v>7845</v>
      </c>
      <c r="T146" s="131">
        <v>2491.384</v>
      </c>
      <c r="U146" s="132">
        <v>0</v>
      </c>
      <c r="V146" s="132">
        <v>1.1650000000000001E-2</v>
      </c>
      <c r="W146" s="132">
        <v>8.3800000000000003E-3</v>
      </c>
    </row>
    <row r="147" spans="1:23">
      <c r="A147" t="s">
        <v>1213</v>
      </c>
      <c r="B147" t="s">
        <v>1223</v>
      </c>
      <c r="C147" t="s">
        <v>4099</v>
      </c>
      <c r="D147" t="s">
        <v>4100</v>
      </c>
      <c r="E147" t="s">
        <v>80</v>
      </c>
      <c r="F147" t="s">
        <v>4264</v>
      </c>
      <c r="G147" t="s">
        <v>4265</v>
      </c>
      <c r="H147" t="s">
        <v>321</v>
      </c>
      <c r="I147" t="s">
        <v>965</v>
      </c>
      <c r="J147" t="s">
        <v>205</v>
      </c>
      <c r="K147" t="s">
        <v>224</v>
      </c>
      <c r="L147" t="s">
        <v>344</v>
      </c>
      <c r="M147" t="s">
        <v>735</v>
      </c>
      <c r="N147" t="s">
        <v>339</v>
      </c>
      <c r="O147" t="s">
        <v>1216</v>
      </c>
      <c r="P147" s="131">
        <v>2500</v>
      </c>
      <c r="Q147" s="131">
        <v>3.71</v>
      </c>
      <c r="R147" s="131">
        <v>15402</v>
      </c>
      <c r="T147" s="131">
        <v>1428.5360000000001</v>
      </c>
      <c r="U147" s="132">
        <v>0</v>
      </c>
      <c r="V147" s="132">
        <v>6.6800000000000002E-3</v>
      </c>
      <c r="W147" s="132">
        <v>4.7999999999999996E-3</v>
      </c>
    </row>
    <row r="148" spans="1:23">
      <c r="A148" t="s">
        <v>1213</v>
      </c>
      <c r="B148" t="s">
        <v>1223</v>
      </c>
      <c r="C148" t="s">
        <v>4235</v>
      </c>
      <c r="D148" t="s">
        <v>4236</v>
      </c>
      <c r="E148" t="s">
        <v>80</v>
      </c>
      <c r="F148" t="s">
        <v>4292</v>
      </c>
      <c r="G148" t="s">
        <v>4293</v>
      </c>
      <c r="H148" t="s">
        <v>321</v>
      </c>
      <c r="I148" t="s">
        <v>965</v>
      </c>
      <c r="J148" t="s">
        <v>205</v>
      </c>
      <c r="K148" t="s">
        <v>224</v>
      </c>
      <c r="L148" t="s">
        <v>340</v>
      </c>
      <c r="M148" t="s">
        <v>602</v>
      </c>
      <c r="N148" t="s">
        <v>339</v>
      </c>
      <c r="O148" t="s">
        <v>1212</v>
      </c>
      <c r="P148" s="131">
        <v>2950</v>
      </c>
      <c r="Q148" s="131">
        <v>1</v>
      </c>
      <c r="R148" s="131">
        <v>41260</v>
      </c>
      <c r="T148" s="131">
        <v>1217.17</v>
      </c>
      <c r="U148" s="132">
        <v>3.1099999999999999E-2</v>
      </c>
      <c r="V148" s="132">
        <v>5.6899999999999997E-3</v>
      </c>
      <c r="W148" s="132">
        <v>4.0899999999999999E-3</v>
      </c>
    </row>
    <row r="149" spans="1:23">
      <c r="A149" t="s">
        <v>1213</v>
      </c>
      <c r="B149" t="s">
        <v>1223</v>
      </c>
      <c r="C149" t="s">
        <v>4238</v>
      </c>
      <c r="D149" t="s">
        <v>4239</v>
      </c>
      <c r="E149" t="s">
        <v>80</v>
      </c>
      <c r="F149" t="s">
        <v>4294</v>
      </c>
      <c r="G149" t="s">
        <v>4295</v>
      </c>
      <c r="H149" t="s">
        <v>321</v>
      </c>
      <c r="I149" t="s">
        <v>965</v>
      </c>
      <c r="J149" t="s">
        <v>205</v>
      </c>
      <c r="K149" t="s">
        <v>224</v>
      </c>
      <c r="L149" t="s">
        <v>380</v>
      </c>
      <c r="M149" t="s">
        <v>597</v>
      </c>
      <c r="N149" t="s">
        <v>339</v>
      </c>
      <c r="O149" t="s">
        <v>1216</v>
      </c>
      <c r="P149" s="131">
        <v>230</v>
      </c>
      <c r="Q149" s="131">
        <v>3.71</v>
      </c>
      <c r="R149" s="131">
        <v>114221</v>
      </c>
      <c r="T149" s="131">
        <v>974.64800000000002</v>
      </c>
      <c r="U149" s="132">
        <v>0</v>
      </c>
      <c r="V149" s="132">
        <v>4.5599999999999998E-3</v>
      </c>
      <c r="W149" s="132">
        <v>3.2799999999999999E-3</v>
      </c>
    </row>
    <row r="150" spans="1:23">
      <c r="A150" t="s">
        <v>1213</v>
      </c>
      <c r="B150" t="s">
        <v>1223</v>
      </c>
      <c r="C150" t="s">
        <v>4250</v>
      </c>
      <c r="D150" t="s">
        <v>4251</v>
      </c>
      <c r="E150" t="s">
        <v>80</v>
      </c>
      <c r="F150" t="s">
        <v>4252</v>
      </c>
      <c r="G150" t="s">
        <v>4253</v>
      </c>
      <c r="H150" t="s">
        <v>321</v>
      </c>
      <c r="I150" t="s">
        <v>965</v>
      </c>
      <c r="J150" t="s">
        <v>205</v>
      </c>
      <c r="K150" t="s">
        <v>224</v>
      </c>
      <c r="L150" t="s">
        <v>314</v>
      </c>
      <c r="M150" t="s">
        <v>597</v>
      </c>
      <c r="N150" t="s">
        <v>339</v>
      </c>
      <c r="O150" t="s">
        <v>1216</v>
      </c>
      <c r="P150" s="131">
        <v>1060</v>
      </c>
      <c r="Q150" s="131">
        <v>3.71</v>
      </c>
      <c r="R150" s="131">
        <v>20085</v>
      </c>
      <c r="T150" s="131">
        <v>789.86300000000006</v>
      </c>
      <c r="U150" s="132">
        <v>0</v>
      </c>
      <c r="V150" s="132">
        <v>3.6900000000000001E-3</v>
      </c>
      <c r="W150" s="132">
        <v>2.66E-3</v>
      </c>
    </row>
    <row r="151" spans="1:23">
      <c r="A151" t="s">
        <v>1213</v>
      </c>
      <c r="B151" t="s">
        <v>1223</v>
      </c>
      <c r="C151" t="s">
        <v>4238</v>
      </c>
      <c r="D151" t="s">
        <v>4239</v>
      </c>
      <c r="E151" t="s">
        <v>80</v>
      </c>
      <c r="F151" t="s">
        <v>4270</v>
      </c>
      <c r="G151" t="s">
        <v>4271</v>
      </c>
      <c r="H151" t="s">
        <v>321</v>
      </c>
      <c r="I151" t="s">
        <v>965</v>
      </c>
      <c r="J151" t="s">
        <v>205</v>
      </c>
      <c r="K151" t="s">
        <v>224</v>
      </c>
      <c r="L151" t="s">
        <v>346</v>
      </c>
      <c r="M151" t="s">
        <v>735</v>
      </c>
      <c r="N151" t="s">
        <v>339</v>
      </c>
      <c r="O151" t="s">
        <v>1216</v>
      </c>
      <c r="P151" s="131">
        <v>2750</v>
      </c>
      <c r="Q151" s="131">
        <v>3.71</v>
      </c>
      <c r="R151" s="131">
        <v>5091</v>
      </c>
      <c r="T151" s="131">
        <v>519.40899999999999</v>
      </c>
      <c r="U151" s="132">
        <v>0</v>
      </c>
      <c r="V151" s="132">
        <v>2.4299999999999999E-3</v>
      </c>
      <c r="W151" s="132">
        <v>1.75E-3</v>
      </c>
    </row>
    <row r="152" spans="1:23">
      <c r="A152" t="s">
        <v>1213</v>
      </c>
      <c r="B152" t="s">
        <v>1223</v>
      </c>
      <c r="C152" t="s">
        <v>4260</v>
      </c>
      <c r="D152" t="s">
        <v>4261</v>
      </c>
      <c r="E152" t="s">
        <v>80</v>
      </c>
      <c r="F152" t="s">
        <v>4262</v>
      </c>
      <c r="G152" t="s">
        <v>4263</v>
      </c>
      <c r="H152" t="s">
        <v>321</v>
      </c>
      <c r="I152" t="s">
        <v>965</v>
      </c>
      <c r="J152" t="s">
        <v>205</v>
      </c>
      <c r="K152" t="s">
        <v>224</v>
      </c>
      <c r="L152" t="s">
        <v>344</v>
      </c>
      <c r="M152" t="s">
        <v>735</v>
      </c>
      <c r="N152" t="s">
        <v>339</v>
      </c>
      <c r="O152" t="s">
        <v>1216</v>
      </c>
      <c r="P152" s="131">
        <v>495</v>
      </c>
      <c r="Q152" s="131">
        <v>3.71</v>
      </c>
      <c r="R152" s="131">
        <v>23059</v>
      </c>
      <c r="T152" s="131">
        <v>423.46699999999998</v>
      </c>
      <c r="U152" s="132">
        <v>0</v>
      </c>
      <c r="V152" s="132">
        <v>1.98E-3</v>
      </c>
      <c r="W152" s="132">
        <v>1.42E-3</v>
      </c>
    </row>
    <row r="153" spans="1:23">
      <c r="A153" t="s">
        <v>1213</v>
      </c>
      <c r="B153" t="s">
        <v>1223</v>
      </c>
      <c r="C153" t="s">
        <v>4274</v>
      </c>
      <c r="D153" t="s">
        <v>4275</v>
      </c>
      <c r="E153" t="s">
        <v>80</v>
      </c>
      <c r="F153" t="s">
        <v>4276</v>
      </c>
      <c r="G153" t="s">
        <v>4277</v>
      </c>
      <c r="H153" t="s">
        <v>321</v>
      </c>
      <c r="I153" t="s">
        <v>965</v>
      </c>
      <c r="J153" t="s">
        <v>205</v>
      </c>
      <c r="K153" t="s">
        <v>224</v>
      </c>
      <c r="L153" t="s">
        <v>344</v>
      </c>
      <c r="M153" t="s">
        <v>735</v>
      </c>
      <c r="N153" t="s">
        <v>339</v>
      </c>
      <c r="O153" t="s">
        <v>1216</v>
      </c>
      <c r="P153" s="131">
        <v>3500</v>
      </c>
      <c r="Q153" s="131">
        <v>3.71</v>
      </c>
      <c r="R153" s="131">
        <v>2859</v>
      </c>
      <c r="T153" s="131">
        <v>371.24099999999999</v>
      </c>
      <c r="U153" s="132">
        <v>0</v>
      </c>
      <c r="V153" s="132">
        <v>1.74E-3</v>
      </c>
      <c r="W153" s="132">
        <v>1.25E-3</v>
      </c>
    </row>
    <row r="154" spans="1:23">
      <c r="A154" t="s">
        <v>1213</v>
      </c>
      <c r="B154" t="s">
        <v>1223</v>
      </c>
      <c r="C154" t="s">
        <v>4099</v>
      </c>
      <c r="D154" t="s">
        <v>4100</v>
      </c>
      <c r="E154" t="s">
        <v>80</v>
      </c>
      <c r="F154" t="s">
        <v>4272</v>
      </c>
      <c r="G154" t="s">
        <v>4273</v>
      </c>
      <c r="H154" t="s">
        <v>321</v>
      </c>
      <c r="I154" t="s">
        <v>965</v>
      </c>
      <c r="J154" t="s">
        <v>205</v>
      </c>
      <c r="K154" t="s">
        <v>224</v>
      </c>
      <c r="L154" t="s">
        <v>344</v>
      </c>
      <c r="M154" t="s">
        <v>735</v>
      </c>
      <c r="N154" t="s">
        <v>339</v>
      </c>
      <c r="O154" t="s">
        <v>1216</v>
      </c>
      <c r="P154" s="131">
        <v>1060</v>
      </c>
      <c r="Q154" s="131">
        <v>3.71</v>
      </c>
      <c r="R154" s="131">
        <v>8300</v>
      </c>
      <c r="T154" s="131">
        <v>326.40600000000001</v>
      </c>
      <c r="U154" s="132">
        <v>0</v>
      </c>
      <c r="V154" s="132">
        <v>1.5299999999999999E-3</v>
      </c>
      <c r="W154" s="132">
        <v>1.1000000000000001E-3</v>
      </c>
    </row>
    <row r="155" spans="1:23">
      <c r="A155" t="s">
        <v>1213</v>
      </c>
      <c r="B155" t="s">
        <v>1225</v>
      </c>
      <c r="C155" t="s">
        <v>4181</v>
      </c>
      <c r="D155" t="s">
        <v>4182</v>
      </c>
      <c r="E155" t="s">
        <v>309</v>
      </c>
      <c r="F155" t="s">
        <v>4209</v>
      </c>
      <c r="G155" t="s">
        <v>4210</v>
      </c>
      <c r="H155" t="s">
        <v>321</v>
      </c>
      <c r="I155" t="s">
        <v>965</v>
      </c>
      <c r="J155" t="s">
        <v>204</v>
      </c>
      <c r="K155" t="s">
        <v>204</v>
      </c>
      <c r="L155" t="s">
        <v>340</v>
      </c>
      <c r="M155" t="s">
        <v>598</v>
      </c>
      <c r="N155" t="s">
        <v>339</v>
      </c>
      <c r="O155" t="s">
        <v>1212</v>
      </c>
      <c r="P155" s="131">
        <v>285500</v>
      </c>
      <c r="Q155" s="131">
        <v>1</v>
      </c>
      <c r="R155" s="131">
        <v>9469</v>
      </c>
      <c r="T155" s="131">
        <v>27033.994999999999</v>
      </c>
      <c r="U155" s="132">
        <v>1.3729999999999999E-2</v>
      </c>
      <c r="V155" s="132">
        <v>0.14299999999999999</v>
      </c>
      <c r="W155" s="132">
        <v>4.1410000000000002E-2</v>
      </c>
    </row>
    <row r="156" spans="1:23">
      <c r="A156" t="s">
        <v>1213</v>
      </c>
      <c r="B156" t="s">
        <v>1225</v>
      </c>
      <c r="C156" t="s">
        <v>4181</v>
      </c>
      <c r="D156" t="s">
        <v>4182</v>
      </c>
      <c r="E156" t="s">
        <v>309</v>
      </c>
      <c r="F156" t="s">
        <v>4183</v>
      </c>
      <c r="G156" t="s">
        <v>4184</v>
      </c>
      <c r="H156" t="s">
        <v>321</v>
      </c>
      <c r="I156" t="s">
        <v>965</v>
      </c>
      <c r="J156" t="s">
        <v>204</v>
      </c>
      <c r="K156" t="s">
        <v>204</v>
      </c>
      <c r="L156" t="s">
        <v>340</v>
      </c>
      <c r="M156" t="s">
        <v>605</v>
      </c>
      <c r="N156" t="s">
        <v>339</v>
      </c>
      <c r="O156" t="s">
        <v>1212</v>
      </c>
      <c r="P156" s="131">
        <v>115000</v>
      </c>
      <c r="Q156" s="131">
        <v>1</v>
      </c>
      <c r="R156" s="131">
        <v>9006</v>
      </c>
      <c r="T156" s="131">
        <v>10356.9</v>
      </c>
      <c r="U156" s="132">
        <v>4.79E-3</v>
      </c>
      <c r="V156" s="132">
        <v>5.4780000000000002E-2</v>
      </c>
      <c r="W156" s="132">
        <v>1.5859999999999999E-2</v>
      </c>
    </row>
    <row r="157" spans="1:23">
      <c r="A157" t="s">
        <v>1213</v>
      </c>
      <c r="B157" t="s">
        <v>1225</v>
      </c>
      <c r="C157" t="s">
        <v>4107</v>
      </c>
      <c r="D157" t="s">
        <v>4108</v>
      </c>
      <c r="E157" t="s">
        <v>309</v>
      </c>
      <c r="F157" t="s">
        <v>4115</v>
      </c>
      <c r="G157" t="s">
        <v>4116</v>
      </c>
      <c r="H157" t="s">
        <v>321</v>
      </c>
      <c r="I157" t="s">
        <v>965</v>
      </c>
      <c r="J157" t="s">
        <v>204</v>
      </c>
      <c r="K157" t="s">
        <v>204</v>
      </c>
      <c r="L157" t="s">
        <v>340</v>
      </c>
      <c r="M157" t="s">
        <v>605</v>
      </c>
      <c r="N157" t="s">
        <v>339</v>
      </c>
      <c r="O157" t="s">
        <v>1212</v>
      </c>
      <c r="P157" s="131">
        <v>45000</v>
      </c>
      <c r="Q157" s="131">
        <v>1</v>
      </c>
      <c r="R157" s="131">
        <v>7341</v>
      </c>
      <c r="T157" s="131">
        <v>3303.45</v>
      </c>
      <c r="U157" s="132">
        <v>1.4499999999999999E-3</v>
      </c>
      <c r="V157" s="132">
        <v>1.7469999999999999E-2</v>
      </c>
      <c r="W157" s="132">
        <v>5.0600000000000003E-3</v>
      </c>
    </row>
    <row r="158" spans="1:23">
      <c r="A158" t="s">
        <v>1213</v>
      </c>
      <c r="B158" t="s">
        <v>1225</v>
      </c>
      <c r="C158" t="s">
        <v>4095</v>
      </c>
      <c r="D158" t="s">
        <v>4096</v>
      </c>
      <c r="E158" t="s">
        <v>80</v>
      </c>
      <c r="F158" t="s">
        <v>4097</v>
      </c>
      <c r="G158" t="s">
        <v>4098</v>
      </c>
      <c r="H158" t="s">
        <v>321</v>
      </c>
      <c r="I158" t="s">
        <v>965</v>
      </c>
      <c r="J158" t="s">
        <v>205</v>
      </c>
      <c r="K158" t="s">
        <v>224</v>
      </c>
      <c r="L158" t="s">
        <v>346</v>
      </c>
      <c r="M158" t="s">
        <v>597</v>
      </c>
      <c r="N158" t="s">
        <v>339</v>
      </c>
      <c r="O158" t="s">
        <v>1216</v>
      </c>
      <c r="P158" s="131">
        <v>24925</v>
      </c>
      <c r="Q158" s="131">
        <v>3.71</v>
      </c>
      <c r="R158" s="131">
        <v>48807</v>
      </c>
      <c r="S158" s="131">
        <f>12.694+809.8/1000/Q158</f>
        <v>12.912274932614556</v>
      </c>
      <c r="T158" s="131">
        <f>45179.782+809.8/1000</f>
        <v>45180.591800000002</v>
      </c>
      <c r="U158" s="132">
        <v>0</v>
      </c>
      <c r="V158" s="132">
        <v>0.23904</v>
      </c>
      <c r="W158" s="132">
        <v>6.9220000000000004E-2</v>
      </c>
    </row>
    <row r="159" spans="1:23">
      <c r="A159" t="s">
        <v>1213</v>
      </c>
      <c r="B159" t="s">
        <v>1225</v>
      </c>
      <c r="C159" t="s">
        <v>4103</v>
      </c>
      <c r="D159" t="s">
        <v>4104</v>
      </c>
      <c r="E159" t="s">
        <v>80</v>
      </c>
      <c r="F159" t="s">
        <v>4105</v>
      </c>
      <c r="G159" t="s">
        <v>4106</v>
      </c>
      <c r="H159" t="s">
        <v>321</v>
      </c>
      <c r="I159" t="s">
        <v>965</v>
      </c>
      <c r="J159" t="s">
        <v>205</v>
      </c>
      <c r="K159" t="s">
        <v>224</v>
      </c>
      <c r="L159" t="s">
        <v>380</v>
      </c>
      <c r="M159" t="s">
        <v>604</v>
      </c>
      <c r="N159" t="s">
        <v>339</v>
      </c>
      <c r="O159" t="s">
        <v>1216</v>
      </c>
      <c r="P159" s="131">
        <v>9575</v>
      </c>
      <c r="Q159" s="131">
        <v>3.71</v>
      </c>
      <c r="R159" s="131">
        <v>112716</v>
      </c>
      <c r="T159" s="131">
        <v>40040.385999999999</v>
      </c>
      <c r="U159" s="132">
        <v>0</v>
      </c>
      <c r="V159" s="132">
        <v>0.21179000000000001</v>
      </c>
      <c r="W159" s="132">
        <v>6.1330000000000003E-2</v>
      </c>
    </row>
    <row r="160" spans="1:23">
      <c r="A160" t="s">
        <v>1213</v>
      </c>
      <c r="B160" t="s">
        <v>1225</v>
      </c>
      <c r="C160" t="s">
        <v>4091</v>
      </c>
      <c r="D160" t="s">
        <v>4092</v>
      </c>
      <c r="E160" t="s">
        <v>80</v>
      </c>
      <c r="F160" t="s">
        <v>4093</v>
      </c>
      <c r="G160" t="s">
        <v>4094</v>
      </c>
      <c r="H160" t="s">
        <v>321</v>
      </c>
      <c r="I160" t="s">
        <v>965</v>
      </c>
      <c r="J160" t="s">
        <v>205</v>
      </c>
      <c r="K160" t="s">
        <v>224</v>
      </c>
      <c r="L160" t="s">
        <v>344</v>
      </c>
      <c r="M160" t="s">
        <v>604</v>
      </c>
      <c r="N160" t="s">
        <v>339</v>
      </c>
      <c r="O160" t="s">
        <v>1216</v>
      </c>
      <c r="P160" s="131">
        <v>17000</v>
      </c>
      <c r="Q160" s="131">
        <v>3.71</v>
      </c>
      <c r="R160" s="131">
        <v>52767</v>
      </c>
      <c r="S160" s="131">
        <v>27.856000000000002</v>
      </c>
      <c r="T160" s="131">
        <v>33383.493000000002</v>
      </c>
      <c r="U160" s="132">
        <v>0</v>
      </c>
      <c r="V160" s="132">
        <v>0.17673</v>
      </c>
      <c r="W160" s="132">
        <v>5.117E-2</v>
      </c>
    </row>
    <row r="161" spans="1:23">
      <c r="A161" t="s">
        <v>1213</v>
      </c>
      <c r="B161" t="s">
        <v>1225</v>
      </c>
      <c r="C161" t="s">
        <v>4099</v>
      </c>
      <c r="D161" t="s">
        <v>4100</v>
      </c>
      <c r="E161" t="s">
        <v>80</v>
      </c>
      <c r="F161" t="s">
        <v>4296</v>
      </c>
      <c r="G161" t="s">
        <v>4297</v>
      </c>
      <c r="H161" t="s">
        <v>321</v>
      </c>
      <c r="I161" t="s">
        <v>965</v>
      </c>
      <c r="J161" t="s">
        <v>205</v>
      </c>
      <c r="K161" t="s">
        <v>224</v>
      </c>
      <c r="L161" t="s">
        <v>344</v>
      </c>
      <c r="M161" t="s">
        <v>735</v>
      </c>
      <c r="N161" t="s">
        <v>339</v>
      </c>
      <c r="O161" t="s">
        <v>1216</v>
      </c>
      <c r="P161" s="131">
        <v>26150</v>
      </c>
      <c r="Q161" s="131">
        <v>3.71</v>
      </c>
      <c r="R161" s="131">
        <v>8780</v>
      </c>
      <c r="T161" s="131">
        <v>8518.0490000000009</v>
      </c>
      <c r="U161" s="132">
        <v>0</v>
      </c>
      <c r="V161" s="132">
        <v>4.5060000000000003E-2</v>
      </c>
      <c r="W161" s="132">
        <v>1.3050000000000001E-2</v>
      </c>
    </row>
    <row r="162" spans="1:23">
      <c r="A162" t="s">
        <v>1213</v>
      </c>
      <c r="B162" t="s">
        <v>1225</v>
      </c>
      <c r="C162" t="s">
        <v>4298</v>
      </c>
      <c r="D162" t="s">
        <v>4299</v>
      </c>
      <c r="E162" t="s">
        <v>80</v>
      </c>
      <c r="F162" t="s">
        <v>4300</v>
      </c>
      <c r="G162" t="s">
        <v>4301</v>
      </c>
      <c r="H162" t="s">
        <v>321</v>
      </c>
      <c r="I162" t="s">
        <v>965</v>
      </c>
      <c r="J162" t="s">
        <v>205</v>
      </c>
      <c r="K162" t="s">
        <v>281</v>
      </c>
      <c r="L162" t="s">
        <v>314</v>
      </c>
      <c r="M162" t="s">
        <v>735</v>
      </c>
      <c r="N162" t="s">
        <v>339</v>
      </c>
      <c r="O162" t="s">
        <v>1218</v>
      </c>
      <c r="P162" s="131">
        <v>63000</v>
      </c>
      <c r="Q162" s="131">
        <v>4.1524000000000001</v>
      </c>
      <c r="R162" s="131">
        <v>3230</v>
      </c>
      <c r="T162" s="131">
        <v>8449.7189999999991</v>
      </c>
      <c r="U162" s="132">
        <v>6.9999999999999994E-5</v>
      </c>
      <c r="V162" s="132">
        <v>4.4690000000000001E-2</v>
      </c>
      <c r="W162" s="132">
        <v>1.294E-2</v>
      </c>
    </row>
    <row r="163" spans="1:23">
      <c r="A163" t="s">
        <v>1213</v>
      </c>
      <c r="B163" t="s">
        <v>1225</v>
      </c>
      <c r="C163" t="s">
        <v>4302</v>
      </c>
      <c r="D163" t="s">
        <v>4303</v>
      </c>
      <c r="E163" t="s">
        <v>80</v>
      </c>
      <c r="F163" t="s">
        <v>4304</v>
      </c>
      <c r="G163" t="s">
        <v>4305</v>
      </c>
      <c r="H163" t="s">
        <v>321</v>
      </c>
      <c r="I163" t="s">
        <v>965</v>
      </c>
      <c r="J163" t="s">
        <v>205</v>
      </c>
      <c r="K163" t="s">
        <v>224</v>
      </c>
      <c r="L163" t="s">
        <v>344</v>
      </c>
      <c r="M163" t="s">
        <v>735</v>
      </c>
      <c r="N163" t="s">
        <v>339</v>
      </c>
      <c r="O163" t="s">
        <v>1216</v>
      </c>
      <c r="P163" s="131">
        <v>37750</v>
      </c>
      <c r="Q163" s="131">
        <v>3.71</v>
      </c>
      <c r="R163" s="131">
        <v>4727</v>
      </c>
      <c r="T163" s="131">
        <v>6620.2820000000002</v>
      </c>
      <c r="U163" s="132">
        <v>1.0000000000000001E-5</v>
      </c>
      <c r="V163" s="132">
        <v>3.5020000000000003E-2</v>
      </c>
      <c r="W163" s="132">
        <v>1.014E-2</v>
      </c>
    </row>
    <row r="164" spans="1:23">
      <c r="A164" t="s">
        <v>1213</v>
      </c>
      <c r="B164" t="s">
        <v>1225</v>
      </c>
      <c r="C164" t="s">
        <v>4306</v>
      </c>
      <c r="D164" t="s">
        <v>4307</v>
      </c>
      <c r="E164" t="s">
        <v>80</v>
      </c>
      <c r="F164" t="s">
        <v>4308</v>
      </c>
      <c r="G164" t="s">
        <v>4309</v>
      </c>
      <c r="H164" t="s">
        <v>321</v>
      </c>
      <c r="I164" t="s">
        <v>965</v>
      </c>
      <c r="J164" t="s">
        <v>205</v>
      </c>
      <c r="K164" t="s">
        <v>224</v>
      </c>
      <c r="L164" t="s">
        <v>346</v>
      </c>
      <c r="M164" t="s">
        <v>735</v>
      </c>
      <c r="N164" t="s">
        <v>339</v>
      </c>
      <c r="O164" t="s">
        <v>1216</v>
      </c>
      <c r="P164" s="131">
        <v>6775</v>
      </c>
      <c r="Q164" s="131">
        <v>3.71</v>
      </c>
      <c r="R164" s="131">
        <v>24545</v>
      </c>
      <c r="T164" s="131">
        <v>6169.4470000000001</v>
      </c>
      <c r="U164" s="132">
        <v>0</v>
      </c>
      <c r="V164" s="132">
        <v>3.2629999999999999E-2</v>
      </c>
      <c r="W164" s="132">
        <v>9.4500000000000001E-3</v>
      </c>
    </row>
    <row r="165" spans="1:23">
      <c r="A165" t="s">
        <v>1213</v>
      </c>
      <c r="B165" t="s">
        <v>1230</v>
      </c>
      <c r="C165" t="s">
        <v>4107</v>
      </c>
      <c r="D165" t="s">
        <v>4108</v>
      </c>
      <c r="E165" t="s">
        <v>309</v>
      </c>
      <c r="F165" t="s">
        <v>4115</v>
      </c>
      <c r="G165" t="s">
        <v>4116</v>
      </c>
      <c r="H165" t="s">
        <v>321</v>
      </c>
      <c r="I165" t="s">
        <v>965</v>
      </c>
      <c r="J165" t="s">
        <v>204</v>
      </c>
      <c r="K165" t="s">
        <v>204</v>
      </c>
      <c r="L165" t="s">
        <v>340</v>
      </c>
      <c r="M165" t="s">
        <v>605</v>
      </c>
      <c r="N165" t="s">
        <v>339</v>
      </c>
      <c r="O165" t="s">
        <v>1212</v>
      </c>
      <c r="P165" s="131">
        <v>580000</v>
      </c>
      <c r="Q165" s="131">
        <v>1</v>
      </c>
      <c r="R165" s="131">
        <v>7341</v>
      </c>
      <c r="T165" s="131">
        <v>42577.8</v>
      </c>
      <c r="U165" s="132">
        <v>1.8710000000000001E-2</v>
      </c>
      <c r="V165" s="132">
        <v>0.18088000000000001</v>
      </c>
      <c r="W165" s="132">
        <v>1.519E-2</v>
      </c>
    </row>
    <row r="166" spans="1:23">
      <c r="A166" t="s">
        <v>1213</v>
      </c>
      <c r="B166" t="s">
        <v>1230</v>
      </c>
      <c r="C166" t="s">
        <v>4181</v>
      </c>
      <c r="D166" t="s">
        <v>4182</v>
      </c>
      <c r="E166" t="s">
        <v>309</v>
      </c>
      <c r="F166" t="s">
        <v>4209</v>
      </c>
      <c r="G166" t="s">
        <v>4210</v>
      </c>
      <c r="H166" t="s">
        <v>321</v>
      </c>
      <c r="I166" t="s">
        <v>965</v>
      </c>
      <c r="J166" t="s">
        <v>204</v>
      </c>
      <c r="K166" t="s">
        <v>204</v>
      </c>
      <c r="L166" t="s">
        <v>340</v>
      </c>
      <c r="M166" t="s">
        <v>598</v>
      </c>
      <c r="N166" t="s">
        <v>339</v>
      </c>
      <c r="O166" t="s">
        <v>1212</v>
      </c>
      <c r="P166" s="131">
        <v>417500</v>
      </c>
      <c r="Q166" s="131">
        <v>1</v>
      </c>
      <c r="R166" s="131">
        <v>9469</v>
      </c>
      <c r="T166" s="131">
        <v>39533.074999999997</v>
      </c>
      <c r="U166" s="132">
        <v>2.0070000000000001E-2</v>
      </c>
      <c r="V166" s="132">
        <v>0.16794000000000001</v>
      </c>
      <c r="W166" s="132">
        <v>1.41E-2</v>
      </c>
    </row>
    <row r="167" spans="1:23">
      <c r="A167" t="s">
        <v>1213</v>
      </c>
      <c r="B167" t="s">
        <v>1230</v>
      </c>
      <c r="C167" t="s">
        <v>4091</v>
      </c>
      <c r="D167" t="s">
        <v>4092</v>
      </c>
      <c r="E167" t="s">
        <v>80</v>
      </c>
      <c r="F167" t="s">
        <v>4093</v>
      </c>
      <c r="G167" t="s">
        <v>4094</v>
      </c>
      <c r="H167" t="s">
        <v>321</v>
      </c>
      <c r="I167" t="s">
        <v>965</v>
      </c>
      <c r="J167" t="s">
        <v>205</v>
      </c>
      <c r="K167" t="s">
        <v>224</v>
      </c>
      <c r="L167" t="s">
        <v>344</v>
      </c>
      <c r="M167" t="s">
        <v>604</v>
      </c>
      <c r="N167" t="s">
        <v>339</v>
      </c>
      <c r="O167" t="s">
        <v>1216</v>
      </c>
      <c r="P167" s="131">
        <v>26900</v>
      </c>
      <c r="Q167" s="131">
        <v>3.71</v>
      </c>
      <c r="R167" s="131">
        <v>52767</v>
      </c>
      <c r="S167" s="131">
        <v>44.078000000000003</v>
      </c>
      <c r="T167" s="131">
        <v>52824.468999999997</v>
      </c>
      <c r="U167" s="132">
        <v>0</v>
      </c>
      <c r="V167" s="132">
        <v>0.22459000000000001</v>
      </c>
      <c r="W167" s="132">
        <v>1.8859999999999998E-2</v>
      </c>
    </row>
    <row r="168" spans="1:23">
      <c r="A168" t="s">
        <v>1213</v>
      </c>
      <c r="B168" t="s">
        <v>1230</v>
      </c>
      <c r="C168" t="s">
        <v>4095</v>
      </c>
      <c r="D168" t="s">
        <v>4096</v>
      </c>
      <c r="E168" t="s">
        <v>80</v>
      </c>
      <c r="F168" t="s">
        <v>4097</v>
      </c>
      <c r="G168" t="s">
        <v>4098</v>
      </c>
      <c r="H168" t="s">
        <v>321</v>
      </c>
      <c r="I168" t="s">
        <v>965</v>
      </c>
      <c r="J168" t="s">
        <v>205</v>
      </c>
      <c r="K168" t="s">
        <v>224</v>
      </c>
      <c r="L168" t="s">
        <v>346</v>
      </c>
      <c r="M168" t="s">
        <v>597</v>
      </c>
      <c r="N168" t="s">
        <v>339</v>
      </c>
      <c r="O168" t="s">
        <v>1216</v>
      </c>
      <c r="P168" s="131">
        <v>18650</v>
      </c>
      <c r="Q168" s="131">
        <v>3.71</v>
      </c>
      <c r="R168" s="131">
        <v>48807</v>
      </c>
      <c r="S168" s="131">
        <f>9.498+605.93/1000/Q168</f>
        <v>9.6613234501347698</v>
      </c>
      <c r="T168" s="131">
        <f>33805.534+605.93/1000</f>
        <v>33806.139929999998</v>
      </c>
      <c r="U168" s="132">
        <v>0</v>
      </c>
      <c r="V168" s="132">
        <v>0.14365</v>
      </c>
      <c r="W168" s="132">
        <v>1.206E-2</v>
      </c>
    </row>
    <row r="169" spans="1:23">
      <c r="A169" t="s">
        <v>1213</v>
      </c>
      <c r="B169" t="s">
        <v>1230</v>
      </c>
      <c r="C169" t="s">
        <v>4099</v>
      </c>
      <c r="D169" t="s">
        <v>4100</v>
      </c>
      <c r="E169" t="s">
        <v>80</v>
      </c>
      <c r="F169" t="s">
        <v>4296</v>
      </c>
      <c r="G169" t="s">
        <v>4297</v>
      </c>
      <c r="H169" t="s">
        <v>321</v>
      </c>
      <c r="I169" t="s">
        <v>965</v>
      </c>
      <c r="J169" t="s">
        <v>205</v>
      </c>
      <c r="K169" t="s">
        <v>224</v>
      </c>
      <c r="L169" t="s">
        <v>344</v>
      </c>
      <c r="M169" t="s">
        <v>735</v>
      </c>
      <c r="N169" t="s">
        <v>339</v>
      </c>
      <c r="O169" t="s">
        <v>1216</v>
      </c>
      <c r="P169" s="131">
        <v>59700</v>
      </c>
      <c r="Q169" s="131">
        <v>3.71</v>
      </c>
      <c r="R169" s="131">
        <v>8780</v>
      </c>
      <c r="T169" s="131">
        <v>19446.559000000001</v>
      </c>
      <c r="U169" s="132">
        <v>0</v>
      </c>
      <c r="V169" s="132">
        <v>8.2610000000000003E-2</v>
      </c>
      <c r="W169" s="132">
        <v>6.94E-3</v>
      </c>
    </row>
    <row r="170" spans="1:23">
      <c r="A170" t="s">
        <v>1213</v>
      </c>
      <c r="B170" t="s">
        <v>1230</v>
      </c>
      <c r="C170" t="s">
        <v>4298</v>
      </c>
      <c r="D170" t="s">
        <v>4299</v>
      </c>
      <c r="E170" t="s">
        <v>80</v>
      </c>
      <c r="F170" t="s">
        <v>4300</v>
      </c>
      <c r="G170" t="s">
        <v>4301</v>
      </c>
      <c r="H170" t="s">
        <v>321</v>
      </c>
      <c r="I170" t="s">
        <v>965</v>
      </c>
      <c r="J170" t="s">
        <v>205</v>
      </c>
      <c r="K170" t="s">
        <v>281</v>
      </c>
      <c r="L170" t="s">
        <v>314</v>
      </c>
      <c r="M170" t="s">
        <v>735</v>
      </c>
      <c r="N170" t="s">
        <v>339</v>
      </c>
      <c r="O170" t="s">
        <v>1218</v>
      </c>
      <c r="P170" s="131">
        <v>140000</v>
      </c>
      <c r="Q170" s="131">
        <v>4.1524000000000001</v>
      </c>
      <c r="R170" s="131">
        <v>3230</v>
      </c>
      <c r="T170" s="131">
        <v>18777.152999999998</v>
      </c>
      <c r="U170" s="132">
        <v>1.6000000000000001E-4</v>
      </c>
      <c r="V170" s="132">
        <v>7.9769999999999994E-2</v>
      </c>
      <c r="W170" s="132">
        <v>6.7000000000000002E-3</v>
      </c>
    </row>
    <row r="171" spans="1:23">
      <c r="A171" t="s">
        <v>1213</v>
      </c>
      <c r="B171" t="s">
        <v>1230</v>
      </c>
      <c r="C171" t="s">
        <v>4302</v>
      </c>
      <c r="D171" t="s">
        <v>4303</v>
      </c>
      <c r="E171" t="s">
        <v>80</v>
      </c>
      <c r="F171" t="s">
        <v>4304</v>
      </c>
      <c r="G171" t="s">
        <v>4305</v>
      </c>
      <c r="H171" t="s">
        <v>321</v>
      </c>
      <c r="I171" t="s">
        <v>965</v>
      </c>
      <c r="J171" t="s">
        <v>205</v>
      </c>
      <c r="K171" t="s">
        <v>224</v>
      </c>
      <c r="L171" t="s">
        <v>344</v>
      </c>
      <c r="M171" t="s">
        <v>735</v>
      </c>
      <c r="N171" t="s">
        <v>339</v>
      </c>
      <c r="O171" t="s">
        <v>1216</v>
      </c>
      <c r="P171" s="131">
        <v>84250</v>
      </c>
      <c r="Q171" s="131">
        <v>3.71</v>
      </c>
      <c r="R171" s="131">
        <v>4727</v>
      </c>
      <c r="T171" s="131">
        <v>14775.066000000001</v>
      </c>
      <c r="U171" s="132">
        <v>3.0000000000000001E-5</v>
      </c>
      <c r="V171" s="132">
        <v>6.2770000000000006E-2</v>
      </c>
      <c r="W171" s="132">
        <v>5.2700000000000004E-3</v>
      </c>
    </row>
    <row r="172" spans="1:23">
      <c r="A172" t="s">
        <v>1213</v>
      </c>
      <c r="B172" t="s">
        <v>1230</v>
      </c>
      <c r="C172" t="s">
        <v>4306</v>
      </c>
      <c r="D172" t="s">
        <v>4307</v>
      </c>
      <c r="E172" t="s">
        <v>80</v>
      </c>
      <c r="F172" t="s">
        <v>4308</v>
      </c>
      <c r="G172" t="s">
        <v>4309</v>
      </c>
      <c r="H172" t="s">
        <v>321</v>
      </c>
      <c r="I172" t="s">
        <v>965</v>
      </c>
      <c r="J172" t="s">
        <v>205</v>
      </c>
      <c r="K172" t="s">
        <v>224</v>
      </c>
      <c r="L172" t="s">
        <v>346</v>
      </c>
      <c r="M172" t="s">
        <v>735</v>
      </c>
      <c r="N172" t="s">
        <v>339</v>
      </c>
      <c r="O172" t="s">
        <v>1216</v>
      </c>
      <c r="P172" s="131">
        <v>15000</v>
      </c>
      <c r="Q172" s="131">
        <v>3.71</v>
      </c>
      <c r="R172" s="131">
        <v>24545</v>
      </c>
      <c r="T172" s="131">
        <v>13659.293</v>
      </c>
      <c r="U172" s="132">
        <v>0</v>
      </c>
      <c r="V172" s="132">
        <v>5.8029999999999998E-2</v>
      </c>
      <c r="W172" s="132">
        <v>4.8700000000000002E-3</v>
      </c>
    </row>
    <row r="173" spans="1:23">
      <c r="A173" t="s">
        <v>1213</v>
      </c>
      <c r="B173" t="s">
        <v>1231</v>
      </c>
      <c r="C173" t="s">
        <v>4181</v>
      </c>
      <c r="D173" t="s">
        <v>4182</v>
      </c>
      <c r="E173" t="s">
        <v>309</v>
      </c>
      <c r="F173" t="s">
        <v>4215</v>
      </c>
      <c r="G173" t="s">
        <v>4216</v>
      </c>
      <c r="H173" t="s">
        <v>321</v>
      </c>
      <c r="I173" t="s">
        <v>965</v>
      </c>
      <c r="J173" t="s">
        <v>204</v>
      </c>
      <c r="K173" t="s">
        <v>204</v>
      </c>
      <c r="L173" t="s">
        <v>340</v>
      </c>
      <c r="M173" t="s">
        <v>604</v>
      </c>
      <c r="N173" t="s">
        <v>339</v>
      </c>
      <c r="O173" t="s">
        <v>1212</v>
      </c>
      <c r="P173" s="131">
        <v>1788</v>
      </c>
      <c r="Q173" s="131">
        <v>1</v>
      </c>
      <c r="R173" s="131">
        <v>10530</v>
      </c>
      <c r="T173" s="131">
        <v>188.27600000000001</v>
      </c>
      <c r="U173" s="132">
        <v>3.0000000000000001E-5</v>
      </c>
      <c r="V173" s="132">
        <v>0.10002999999999999</v>
      </c>
      <c r="W173" s="132">
        <v>7.9310000000000005E-2</v>
      </c>
    </row>
    <row r="174" spans="1:23">
      <c r="A174" t="s">
        <v>1213</v>
      </c>
      <c r="B174" t="s">
        <v>1231</v>
      </c>
      <c r="C174" t="s">
        <v>4111</v>
      </c>
      <c r="D174" t="s">
        <v>4112</v>
      </c>
      <c r="E174" t="s">
        <v>309</v>
      </c>
      <c r="F174" t="s">
        <v>4310</v>
      </c>
      <c r="G174" t="s">
        <v>4311</v>
      </c>
      <c r="H174" t="s">
        <v>321</v>
      </c>
      <c r="I174" t="s">
        <v>966</v>
      </c>
      <c r="J174" t="s">
        <v>204</v>
      </c>
      <c r="K174" t="s">
        <v>204</v>
      </c>
      <c r="L174" t="s">
        <v>340</v>
      </c>
      <c r="M174" t="s">
        <v>573</v>
      </c>
      <c r="N174" t="s">
        <v>339</v>
      </c>
      <c r="O174" t="s">
        <v>1212</v>
      </c>
      <c r="P174" s="131">
        <v>4815</v>
      </c>
      <c r="Q174" s="131">
        <v>1</v>
      </c>
      <c r="R174" s="131">
        <v>3695.59</v>
      </c>
      <c r="T174" s="131">
        <v>177.94300000000001</v>
      </c>
      <c r="U174" s="132">
        <v>6.0000000000000002E-5</v>
      </c>
      <c r="V174" s="132">
        <v>9.4539999999999999E-2</v>
      </c>
      <c r="W174" s="132">
        <v>7.4959999999999999E-2</v>
      </c>
    </row>
    <row r="175" spans="1:23">
      <c r="A175" t="s">
        <v>1213</v>
      </c>
      <c r="B175" t="s">
        <v>1231</v>
      </c>
      <c r="C175" t="s">
        <v>4127</v>
      </c>
      <c r="D175" t="s">
        <v>4128</v>
      </c>
      <c r="E175" t="s">
        <v>309</v>
      </c>
      <c r="F175" t="s">
        <v>4233</v>
      </c>
      <c r="G175" t="s">
        <v>4234</v>
      </c>
      <c r="H175" t="s">
        <v>321</v>
      </c>
      <c r="I175" t="s">
        <v>966</v>
      </c>
      <c r="J175" t="s">
        <v>204</v>
      </c>
      <c r="K175" t="s">
        <v>204</v>
      </c>
      <c r="L175" t="s">
        <v>340</v>
      </c>
      <c r="M175" t="s">
        <v>573</v>
      </c>
      <c r="N175" t="s">
        <v>339</v>
      </c>
      <c r="O175" t="s">
        <v>1212</v>
      </c>
      <c r="P175" s="131">
        <v>47645</v>
      </c>
      <c r="Q175" s="131">
        <v>1</v>
      </c>
      <c r="R175" s="131">
        <v>373.22</v>
      </c>
      <c r="T175" s="131">
        <v>177.821</v>
      </c>
      <c r="U175" s="132">
        <v>2.0000000000000001E-4</v>
      </c>
      <c r="V175" s="132">
        <v>9.4469999999999998E-2</v>
      </c>
      <c r="W175" s="132">
        <v>7.4910000000000004E-2</v>
      </c>
    </row>
    <row r="176" spans="1:23">
      <c r="A176" t="s">
        <v>1213</v>
      </c>
      <c r="B176" t="s">
        <v>1231</v>
      </c>
      <c r="C176" t="s">
        <v>4117</v>
      </c>
      <c r="D176" t="s">
        <v>4118</v>
      </c>
      <c r="E176" t="s">
        <v>309</v>
      </c>
      <c r="F176" t="s">
        <v>4312</v>
      </c>
      <c r="G176" t="s">
        <v>4313</v>
      </c>
      <c r="H176" t="s">
        <v>321</v>
      </c>
      <c r="I176" t="s">
        <v>966</v>
      </c>
      <c r="J176" t="s">
        <v>204</v>
      </c>
      <c r="K176" t="s">
        <v>204</v>
      </c>
      <c r="L176" t="s">
        <v>340</v>
      </c>
      <c r="M176" t="s">
        <v>575</v>
      </c>
      <c r="N176" t="s">
        <v>339</v>
      </c>
      <c r="O176" t="s">
        <v>1212</v>
      </c>
      <c r="P176" s="131">
        <v>44923</v>
      </c>
      <c r="Q176" s="131">
        <v>1</v>
      </c>
      <c r="R176" s="131">
        <v>357.69</v>
      </c>
      <c r="T176" s="131">
        <v>160.685</v>
      </c>
      <c r="U176" s="132">
        <v>5.0000000000000002E-5</v>
      </c>
      <c r="V176" s="132">
        <v>8.5370000000000001E-2</v>
      </c>
      <c r="W176" s="132">
        <v>6.769E-2</v>
      </c>
    </row>
    <row r="177" spans="1:23">
      <c r="A177" t="s">
        <v>1213</v>
      </c>
      <c r="B177" t="s">
        <v>1231</v>
      </c>
      <c r="C177" t="s">
        <v>4123</v>
      </c>
      <c r="D177" t="s">
        <v>4124</v>
      </c>
      <c r="E177" t="s">
        <v>309</v>
      </c>
      <c r="F177" t="s">
        <v>4314</v>
      </c>
      <c r="G177" t="s">
        <v>4315</v>
      </c>
      <c r="H177" t="s">
        <v>321</v>
      </c>
      <c r="I177" t="s">
        <v>966</v>
      </c>
      <c r="J177" t="s">
        <v>204</v>
      </c>
      <c r="K177" t="s">
        <v>204</v>
      </c>
      <c r="L177" t="s">
        <v>340</v>
      </c>
      <c r="M177" t="s">
        <v>573</v>
      </c>
      <c r="N177" t="s">
        <v>339</v>
      </c>
      <c r="O177" t="s">
        <v>1212</v>
      </c>
      <c r="P177" s="131">
        <v>40926</v>
      </c>
      <c r="Q177" s="131">
        <v>1</v>
      </c>
      <c r="R177" s="131">
        <v>370.48</v>
      </c>
      <c r="T177" s="131">
        <v>151.62299999999999</v>
      </c>
      <c r="U177" s="132">
        <v>3.0000000000000001E-5</v>
      </c>
      <c r="V177" s="132">
        <v>8.0549999999999997E-2</v>
      </c>
      <c r="W177" s="132">
        <v>6.3869999999999996E-2</v>
      </c>
    </row>
    <row r="178" spans="1:23">
      <c r="A178" t="s">
        <v>1213</v>
      </c>
      <c r="B178" t="s">
        <v>1231</v>
      </c>
      <c r="C178" t="s">
        <v>4107</v>
      </c>
      <c r="D178" t="s">
        <v>4108</v>
      </c>
      <c r="E178" t="s">
        <v>309</v>
      </c>
      <c r="F178" t="s">
        <v>4316</v>
      </c>
      <c r="G178" t="s">
        <v>4317</v>
      </c>
      <c r="H178" t="s">
        <v>321</v>
      </c>
      <c r="I178" t="s">
        <v>966</v>
      </c>
      <c r="J178" t="s">
        <v>204</v>
      </c>
      <c r="K178" t="s">
        <v>204</v>
      </c>
      <c r="L178" t="s">
        <v>340</v>
      </c>
      <c r="M178" t="s">
        <v>573</v>
      </c>
      <c r="N178" t="s">
        <v>339</v>
      </c>
      <c r="O178" t="s">
        <v>1212</v>
      </c>
      <c r="P178" s="131">
        <v>25534</v>
      </c>
      <c r="Q178" s="131">
        <v>1</v>
      </c>
      <c r="R178" s="131">
        <v>461.48</v>
      </c>
      <c r="T178" s="131">
        <v>117.834</v>
      </c>
      <c r="U178" s="132">
        <v>1.1E-4</v>
      </c>
      <c r="V178" s="132">
        <v>6.2600000000000003E-2</v>
      </c>
      <c r="W178" s="132">
        <v>4.9639999999999997E-2</v>
      </c>
    </row>
    <row r="179" spans="1:23">
      <c r="A179" t="s">
        <v>1213</v>
      </c>
      <c r="B179" t="s">
        <v>1231</v>
      </c>
      <c r="C179" t="s">
        <v>4117</v>
      </c>
      <c r="D179" t="s">
        <v>4118</v>
      </c>
      <c r="E179" t="s">
        <v>309</v>
      </c>
      <c r="F179" t="s">
        <v>4119</v>
      </c>
      <c r="G179" t="s">
        <v>4120</v>
      </c>
      <c r="H179" t="s">
        <v>321</v>
      </c>
      <c r="I179" t="s">
        <v>964</v>
      </c>
      <c r="J179" t="s">
        <v>204</v>
      </c>
      <c r="K179" t="s">
        <v>204</v>
      </c>
      <c r="L179" t="s">
        <v>340</v>
      </c>
      <c r="M179" t="s">
        <v>572</v>
      </c>
      <c r="N179" t="s">
        <v>339</v>
      </c>
      <c r="O179" t="s">
        <v>1212</v>
      </c>
      <c r="P179" s="131">
        <v>5648</v>
      </c>
      <c r="Q179" s="131">
        <v>1</v>
      </c>
      <c r="R179" s="131">
        <v>2073</v>
      </c>
      <c r="T179" s="131">
        <v>117.083</v>
      </c>
      <c r="U179" s="132">
        <v>1.0000000000000001E-5</v>
      </c>
      <c r="V179" s="132">
        <v>6.2199999999999998E-2</v>
      </c>
      <c r="W179" s="132">
        <v>4.9320000000000003E-2</v>
      </c>
    </row>
    <row r="180" spans="1:23">
      <c r="A180" t="s">
        <v>1213</v>
      </c>
      <c r="B180" t="s">
        <v>1231</v>
      </c>
      <c r="C180" t="s">
        <v>4107</v>
      </c>
      <c r="D180" t="s">
        <v>4108</v>
      </c>
      <c r="E180" t="s">
        <v>309</v>
      </c>
      <c r="F180" t="s">
        <v>4109</v>
      </c>
      <c r="G180" t="s">
        <v>4110</v>
      </c>
      <c r="H180" t="s">
        <v>321</v>
      </c>
      <c r="I180" t="s">
        <v>964</v>
      </c>
      <c r="J180" t="s">
        <v>204</v>
      </c>
      <c r="K180" t="s">
        <v>204</v>
      </c>
      <c r="L180" t="s">
        <v>340</v>
      </c>
      <c r="M180" t="s">
        <v>572</v>
      </c>
      <c r="N180" t="s">
        <v>339</v>
      </c>
      <c r="O180" t="s">
        <v>1212</v>
      </c>
      <c r="P180" s="131">
        <v>3430</v>
      </c>
      <c r="Q180" s="131">
        <v>1</v>
      </c>
      <c r="R180" s="131">
        <v>3265</v>
      </c>
      <c r="T180" s="131">
        <v>111.99</v>
      </c>
      <c r="U180" s="132">
        <v>5.0000000000000002E-5</v>
      </c>
      <c r="V180" s="132">
        <v>5.9499999999999997E-2</v>
      </c>
      <c r="W180" s="132">
        <v>4.718E-2</v>
      </c>
    </row>
    <row r="181" spans="1:23">
      <c r="A181" t="s">
        <v>1213</v>
      </c>
      <c r="B181" t="s">
        <v>1231</v>
      </c>
      <c r="C181" t="s">
        <v>4123</v>
      </c>
      <c r="D181" t="s">
        <v>4124</v>
      </c>
      <c r="E181" t="s">
        <v>309</v>
      </c>
      <c r="F181" t="s">
        <v>4318</v>
      </c>
      <c r="G181" t="s">
        <v>4319</v>
      </c>
      <c r="H181" t="s">
        <v>321</v>
      </c>
      <c r="I181" t="s">
        <v>966</v>
      </c>
      <c r="J181" t="s">
        <v>204</v>
      </c>
      <c r="K181" t="s">
        <v>204</v>
      </c>
      <c r="L181" t="s">
        <v>340</v>
      </c>
      <c r="M181" t="s">
        <v>575</v>
      </c>
      <c r="N181" t="s">
        <v>339</v>
      </c>
      <c r="O181" t="s">
        <v>1212</v>
      </c>
      <c r="P181" s="131">
        <v>27278</v>
      </c>
      <c r="Q181" s="131">
        <v>1</v>
      </c>
      <c r="R181" s="131">
        <v>356.82</v>
      </c>
      <c r="T181" s="131">
        <v>97.332999999999998</v>
      </c>
      <c r="U181" s="132">
        <v>5.0000000000000002E-5</v>
      </c>
      <c r="V181" s="132">
        <v>5.1709999999999999E-2</v>
      </c>
      <c r="W181" s="132">
        <v>4.1000000000000002E-2</v>
      </c>
    </row>
    <row r="182" spans="1:23">
      <c r="A182" t="s">
        <v>1213</v>
      </c>
      <c r="B182" t="s">
        <v>1231</v>
      </c>
      <c r="C182" t="s">
        <v>4127</v>
      </c>
      <c r="D182" t="s">
        <v>4128</v>
      </c>
      <c r="E182" t="s">
        <v>309</v>
      </c>
      <c r="F182" t="s">
        <v>4131</v>
      </c>
      <c r="G182" t="s">
        <v>4132</v>
      </c>
      <c r="H182" t="s">
        <v>321</v>
      </c>
      <c r="I182" t="s">
        <v>965</v>
      </c>
      <c r="J182" t="s">
        <v>204</v>
      </c>
      <c r="K182" t="s">
        <v>204</v>
      </c>
      <c r="L182" t="s">
        <v>340</v>
      </c>
      <c r="M182" t="s">
        <v>605</v>
      </c>
      <c r="N182" t="s">
        <v>339</v>
      </c>
      <c r="O182" t="s">
        <v>1212</v>
      </c>
      <c r="P182" s="131">
        <v>1741</v>
      </c>
      <c r="Q182" s="131">
        <v>1</v>
      </c>
      <c r="R182" s="131">
        <v>5590</v>
      </c>
      <c r="T182" s="131">
        <v>97.322000000000003</v>
      </c>
      <c r="U182" s="132">
        <v>1.0000000000000001E-5</v>
      </c>
      <c r="V182" s="132">
        <v>5.1700000000000003E-2</v>
      </c>
      <c r="W182" s="132">
        <v>4.1000000000000002E-2</v>
      </c>
    </row>
    <row r="183" spans="1:23">
      <c r="A183" t="s">
        <v>1213</v>
      </c>
      <c r="B183" t="s">
        <v>1231</v>
      </c>
      <c r="C183" t="s">
        <v>4111</v>
      </c>
      <c r="D183" t="s">
        <v>4112</v>
      </c>
      <c r="E183" t="s">
        <v>309</v>
      </c>
      <c r="F183" t="s">
        <v>4113</v>
      </c>
      <c r="G183" t="s">
        <v>4114</v>
      </c>
      <c r="H183" t="s">
        <v>321</v>
      </c>
      <c r="I183" t="s">
        <v>965</v>
      </c>
      <c r="J183" t="s">
        <v>204</v>
      </c>
      <c r="K183" t="s">
        <v>204</v>
      </c>
      <c r="L183" t="s">
        <v>340</v>
      </c>
      <c r="M183" t="s">
        <v>605</v>
      </c>
      <c r="N183" t="s">
        <v>339</v>
      </c>
      <c r="O183" t="s">
        <v>1212</v>
      </c>
      <c r="P183" s="131">
        <v>1767</v>
      </c>
      <c r="Q183" s="131">
        <v>1</v>
      </c>
      <c r="R183" s="131">
        <v>5505</v>
      </c>
      <c r="T183" s="131">
        <v>97.272999999999996</v>
      </c>
      <c r="U183" s="132">
        <v>2.0000000000000002E-5</v>
      </c>
      <c r="V183" s="132">
        <v>5.1679999999999997E-2</v>
      </c>
      <c r="W183" s="132">
        <v>4.0980000000000003E-2</v>
      </c>
    </row>
    <row r="184" spans="1:23">
      <c r="A184" t="s">
        <v>1213</v>
      </c>
      <c r="B184" t="s">
        <v>1231</v>
      </c>
      <c r="C184" t="s">
        <v>4181</v>
      </c>
      <c r="D184" t="s">
        <v>4182</v>
      </c>
      <c r="E184" t="s">
        <v>309</v>
      </c>
      <c r="F184" t="s">
        <v>4183</v>
      </c>
      <c r="G184" t="s">
        <v>4184</v>
      </c>
      <c r="H184" t="s">
        <v>321</v>
      </c>
      <c r="I184" t="s">
        <v>965</v>
      </c>
      <c r="J184" t="s">
        <v>204</v>
      </c>
      <c r="K184" t="s">
        <v>204</v>
      </c>
      <c r="L184" t="s">
        <v>340</v>
      </c>
      <c r="M184" t="s">
        <v>605</v>
      </c>
      <c r="N184" t="s">
        <v>339</v>
      </c>
      <c r="O184" t="s">
        <v>1212</v>
      </c>
      <c r="P184" s="131">
        <v>949</v>
      </c>
      <c r="Q184" s="131">
        <v>1</v>
      </c>
      <c r="R184" s="131">
        <v>9006</v>
      </c>
      <c r="T184" s="131">
        <v>85.466999999999999</v>
      </c>
      <c r="U184" s="132">
        <v>4.0000000000000003E-5</v>
      </c>
      <c r="V184" s="132">
        <v>4.5409999999999999E-2</v>
      </c>
      <c r="W184" s="132">
        <v>3.5999999999999997E-2</v>
      </c>
    </row>
    <row r="185" spans="1:23">
      <c r="A185" t="s">
        <v>1213</v>
      </c>
      <c r="B185" t="s">
        <v>1231</v>
      </c>
      <c r="C185" t="s">
        <v>4123</v>
      </c>
      <c r="D185" t="s">
        <v>4124</v>
      </c>
      <c r="E185" t="s">
        <v>309</v>
      </c>
      <c r="F185" t="s">
        <v>4135</v>
      </c>
      <c r="G185" t="s">
        <v>4136</v>
      </c>
      <c r="H185" t="s">
        <v>321</v>
      </c>
      <c r="I185" t="s">
        <v>965</v>
      </c>
      <c r="J185" t="s">
        <v>204</v>
      </c>
      <c r="K185" t="s">
        <v>204</v>
      </c>
      <c r="L185" t="s">
        <v>340</v>
      </c>
      <c r="M185" t="s">
        <v>605</v>
      </c>
      <c r="N185" t="s">
        <v>339</v>
      </c>
      <c r="O185" t="s">
        <v>1212</v>
      </c>
      <c r="P185" s="131">
        <v>1399</v>
      </c>
      <c r="Q185" s="131">
        <v>1</v>
      </c>
      <c r="R185" s="131">
        <v>5069</v>
      </c>
      <c r="T185" s="131">
        <v>70.915000000000006</v>
      </c>
      <c r="U185" s="132">
        <v>1.0000000000000001E-5</v>
      </c>
      <c r="V185" s="132">
        <v>3.7679999999999998E-2</v>
      </c>
      <c r="W185" s="132">
        <v>2.9870000000000001E-2</v>
      </c>
    </row>
    <row r="186" spans="1:23">
      <c r="A186" t="s">
        <v>1213</v>
      </c>
      <c r="B186" t="s">
        <v>1231</v>
      </c>
      <c r="C186" t="s">
        <v>4107</v>
      </c>
      <c r="D186" t="s">
        <v>4108</v>
      </c>
      <c r="E186" t="s">
        <v>309</v>
      </c>
      <c r="F186" t="s">
        <v>4177</v>
      </c>
      <c r="G186" t="s">
        <v>4178</v>
      </c>
      <c r="H186" t="s">
        <v>321</v>
      </c>
      <c r="I186" t="s">
        <v>965</v>
      </c>
      <c r="J186" t="s">
        <v>204</v>
      </c>
      <c r="K186" t="s">
        <v>204</v>
      </c>
      <c r="L186" t="s">
        <v>340</v>
      </c>
      <c r="M186" t="s">
        <v>598</v>
      </c>
      <c r="N186" t="s">
        <v>339</v>
      </c>
      <c r="O186" t="s">
        <v>1212</v>
      </c>
      <c r="P186" s="131">
        <v>774</v>
      </c>
      <c r="Q186" s="131">
        <v>1</v>
      </c>
      <c r="R186" s="131">
        <v>7969</v>
      </c>
      <c r="T186" s="131">
        <v>61.68</v>
      </c>
      <c r="U186" s="132">
        <v>6.0000000000000002E-5</v>
      </c>
      <c r="V186" s="132">
        <v>3.2770000000000001E-2</v>
      </c>
      <c r="W186" s="132">
        <v>2.598E-2</v>
      </c>
    </row>
    <row r="187" spans="1:23">
      <c r="A187" t="s">
        <v>1213</v>
      </c>
      <c r="B187" t="s">
        <v>1231</v>
      </c>
      <c r="C187" t="s">
        <v>4099</v>
      </c>
      <c r="D187" t="s">
        <v>4100</v>
      </c>
      <c r="E187" t="s">
        <v>80</v>
      </c>
      <c r="F187" t="s">
        <v>4101</v>
      </c>
      <c r="G187" t="s">
        <v>4102</v>
      </c>
      <c r="H187" t="s">
        <v>321</v>
      </c>
      <c r="I187" t="s">
        <v>965</v>
      </c>
      <c r="J187" t="s">
        <v>205</v>
      </c>
      <c r="K187" t="s">
        <v>224</v>
      </c>
      <c r="L187" t="s">
        <v>344</v>
      </c>
      <c r="M187" t="s">
        <v>604</v>
      </c>
      <c r="N187" t="s">
        <v>339</v>
      </c>
      <c r="O187" t="s">
        <v>1216</v>
      </c>
      <c r="P187" s="131">
        <v>41</v>
      </c>
      <c r="Q187" s="131">
        <v>3.71</v>
      </c>
      <c r="R187" s="131">
        <v>57376</v>
      </c>
      <c r="S187" s="131">
        <f>0.054+3.43/1000/Q187</f>
        <v>5.4924528301886794E-2</v>
      </c>
      <c r="T187" s="131">
        <f>87.474+3.43/1000</f>
        <v>87.477429999999998</v>
      </c>
      <c r="U187" s="132">
        <v>0</v>
      </c>
      <c r="V187" s="132">
        <v>4.65E-2</v>
      </c>
      <c r="W187" s="132">
        <v>3.687E-2</v>
      </c>
    </row>
    <row r="188" spans="1:23">
      <c r="A188" t="s">
        <v>1213</v>
      </c>
      <c r="B188" t="s">
        <v>1231</v>
      </c>
      <c r="C188" t="s">
        <v>4095</v>
      </c>
      <c r="D188" t="s">
        <v>4096</v>
      </c>
      <c r="E188" t="s">
        <v>80</v>
      </c>
      <c r="F188" t="s">
        <v>4097</v>
      </c>
      <c r="G188" t="s">
        <v>4098</v>
      </c>
      <c r="H188" t="s">
        <v>321</v>
      </c>
      <c r="I188" t="s">
        <v>965</v>
      </c>
      <c r="J188" t="s">
        <v>205</v>
      </c>
      <c r="K188" t="s">
        <v>224</v>
      </c>
      <c r="L188" t="s">
        <v>346</v>
      </c>
      <c r="M188" t="s">
        <v>597</v>
      </c>
      <c r="N188" t="s">
        <v>339</v>
      </c>
      <c r="O188" t="s">
        <v>1216</v>
      </c>
      <c r="P188" s="131">
        <v>45</v>
      </c>
      <c r="Q188" s="131">
        <v>3.71</v>
      </c>
      <c r="R188" s="131">
        <v>48807</v>
      </c>
      <c r="S188" s="131">
        <f>0.023+1.46/1000/Q188</f>
        <v>2.3393530997304582E-2</v>
      </c>
      <c r="T188" s="131">
        <f>81.568+1.46/1000</f>
        <v>81.569459999999992</v>
      </c>
      <c r="U188" s="132">
        <v>0</v>
      </c>
      <c r="V188" s="132">
        <v>4.335E-2</v>
      </c>
      <c r="W188" s="132">
        <v>3.4369999999999998E-2</v>
      </c>
    </row>
    <row r="189" spans="1:23">
      <c r="A189" t="s">
        <v>1213</v>
      </c>
      <c r="B189" t="s">
        <v>1232</v>
      </c>
      <c r="C189" t="s">
        <v>4181</v>
      </c>
      <c r="D189" t="s">
        <v>4182</v>
      </c>
      <c r="E189" t="s">
        <v>309</v>
      </c>
      <c r="F189" t="s">
        <v>4183</v>
      </c>
      <c r="G189" t="s">
        <v>4184</v>
      </c>
      <c r="H189" t="s">
        <v>321</v>
      </c>
      <c r="I189" t="s">
        <v>965</v>
      </c>
      <c r="J189" t="s">
        <v>204</v>
      </c>
      <c r="K189" t="s">
        <v>204</v>
      </c>
      <c r="L189" t="s">
        <v>340</v>
      </c>
      <c r="M189" t="s">
        <v>605</v>
      </c>
      <c r="N189" t="s">
        <v>339</v>
      </c>
      <c r="O189" t="s">
        <v>1212</v>
      </c>
      <c r="P189" s="131">
        <v>13068</v>
      </c>
      <c r="Q189" s="131">
        <v>1</v>
      </c>
      <c r="R189" s="131">
        <v>9006</v>
      </c>
      <c r="T189" s="131">
        <v>1176.904</v>
      </c>
      <c r="U189" s="132">
        <v>5.4000000000000001E-4</v>
      </c>
      <c r="V189" s="132">
        <v>0.10143000000000001</v>
      </c>
      <c r="W189" s="132">
        <v>7.9990000000000006E-2</v>
      </c>
    </row>
    <row r="190" spans="1:23">
      <c r="A190" t="s">
        <v>1213</v>
      </c>
      <c r="B190" t="s">
        <v>1232</v>
      </c>
      <c r="C190" t="s">
        <v>4127</v>
      </c>
      <c r="D190" t="s">
        <v>4128</v>
      </c>
      <c r="E190" t="s">
        <v>309</v>
      </c>
      <c r="F190" t="s">
        <v>4233</v>
      </c>
      <c r="G190" t="s">
        <v>4234</v>
      </c>
      <c r="H190" t="s">
        <v>321</v>
      </c>
      <c r="I190" t="s">
        <v>966</v>
      </c>
      <c r="J190" t="s">
        <v>204</v>
      </c>
      <c r="K190" t="s">
        <v>204</v>
      </c>
      <c r="L190" t="s">
        <v>340</v>
      </c>
      <c r="M190" t="s">
        <v>573</v>
      </c>
      <c r="N190" t="s">
        <v>339</v>
      </c>
      <c r="O190" t="s">
        <v>1212</v>
      </c>
      <c r="P190" s="131">
        <v>315036</v>
      </c>
      <c r="Q190" s="131">
        <v>1</v>
      </c>
      <c r="R190" s="131">
        <v>373.22</v>
      </c>
      <c r="T190" s="131">
        <v>1175.777</v>
      </c>
      <c r="U190" s="132">
        <v>1.2899999999999999E-3</v>
      </c>
      <c r="V190" s="132">
        <v>0.10133</v>
      </c>
      <c r="W190" s="132">
        <v>7.9920000000000005E-2</v>
      </c>
    </row>
    <row r="191" spans="1:23">
      <c r="A191" t="s">
        <v>1213</v>
      </c>
      <c r="B191" t="s">
        <v>1232</v>
      </c>
      <c r="C191" t="s">
        <v>4107</v>
      </c>
      <c r="D191" t="s">
        <v>4108</v>
      </c>
      <c r="E191" t="s">
        <v>309</v>
      </c>
      <c r="F191" t="s">
        <v>4320</v>
      </c>
      <c r="G191" t="s">
        <v>4321</v>
      </c>
      <c r="H191" t="s">
        <v>321</v>
      </c>
      <c r="I191" t="s">
        <v>966</v>
      </c>
      <c r="J191" t="s">
        <v>204</v>
      </c>
      <c r="K191" t="s">
        <v>204</v>
      </c>
      <c r="L191" t="s">
        <v>340</v>
      </c>
      <c r="M191" t="s">
        <v>669</v>
      </c>
      <c r="N191" t="s">
        <v>339</v>
      </c>
      <c r="O191" t="s">
        <v>1212</v>
      </c>
      <c r="P191" s="131">
        <v>266061</v>
      </c>
      <c r="Q191" s="131">
        <v>1</v>
      </c>
      <c r="R191" s="131">
        <v>364.82</v>
      </c>
      <c r="T191" s="131">
        <v>970.64400000000001</v>
      </c>
      <c r="U191" s="132">
        <v>6.1399999999999996E-3</v>
      </c>
      <c r="V191" s="132">
        <v>8.3650000000000002E-2</v>
      </c>
      <c r="W191" s="132">
        <v>6.5970000000000001E-2</v>
      </c>
    </row>
    <row r="192" spans="1:23">
      <c r="A192" t="s">
        <v>1213</v>
      </c>
      <c r="B192" t="s">
        <v>1232</v>
      </c>
      <c r="C192" t="s">
        <v>4111</v>
      </c>
      <c r="D192" t="s">
        <v>4112</v>
      </c>
      <c r="E192" t="s">
        <v>309</v>
      </c>
      <c r="F192" t="s">
        <v>4322</v>
      </c>
      <c r="G192" t="s">
        <v>4323</v>
      </c>
      <c r="H192" t="s">
        <v>321</v>
      </c>
      <c r="I192" t="s">
        <v>966</v>
      </c>
      <c r="J192" t="s">
        <v>204</v>
      </c>
      <c r="K192" t="s">
        <v>204</v>
      </c>
      <c r="L192" t="s">
        <v>340</v>
      </c>
      <c r="M192" t="s">
        <v>669</v>
      </c>
      <c r="N192" t="s">
        <v>339</v>
      </c>
      <c r="O192" t="s">
        <v>1212</v>
      </c>
      <c r="P192" s="131">
        <v>34313</v>
      </c>
      <c r="Q192" s="131">
        <v>1</v>
      </c>
      <c r="R192" s="131">
        <v>2827.6</v>
      </c>
      <c r="T192" s="131">
        <v>970.23400000000004</v>
      </c>
      <c r="U192" s="132">
        <v>1.17E-3</v>
      </c>
      <c r="V192" s="132">
        <v>8.362E-2</v>
      </c>
      <c r="W192" s="132">
        <v>6.5949999999999995E-2</v>
      </c>
    </row>
    <row r="193" spans="1:23">
      <c r="A193" t="s">
        <v>1213</v>
      </c>
      <c r="B193" t="s">
        <v>1232</v>
      </c>
      <c r="C193" t="s">
        <v>4123</v>
      </c>
      <c r="D193" t="s">
        <v>4124</v>
      </c>
      <c r="E193" t="s">
        <v>309</v>
      </c>
      <c r="F193" t="s">
        <v>4324</v>
      </c>
      <c r="G193" t="s">
        <v>4325</v>
      </c>
      <c r="H193" t="s">
        <v>321</v>
      </c>
      <c r="I193" t="s">
        <v>966</v>
      </c>
      <c r="J193" t="s">
        <v>204</v>
      </c>
      <c r="K193" t="s">
        <v>204</v>
      </c>
      <c r="L193" t="s">
        <v>340</v>
      </c>
      <c r="M193" t="s">
        <v>669</v>
      </c>
      <c r="N193" t="s">
        <v>339</v>
      </c>
      <c r="O193" t="s">
        <v>1212</v>
      </c>
      <c r="P193" s="131">
        <v>344067</v>
      </c>
      <c r="Q193" s="131">
        <v>1</v>
      </c>
      <c r="R193" s="131">
        <v>281.88</v>
      </c>
      <c r="T193" s="131">
        <v>969.85599999999999</v>
      </c>
      <c r="U193" s="132">
        <v>7.5000000000000002E-4</v>
      </c>
      <c r="V193" s="132">
        <v>8.3580000000000002E-2</v>
      </c>
      <c r="W193" s="132">
        <v>6.5920000000000006E-2</v>
      </c>
    </row>
    <row r="194" spans="1:23">
      <c r="A194" t="s">
        <v>1213</v>
      </c>
      <c r="B194" t="s">
        <v>1232</v>
      </c>
      <c r="C194" t="s">
        <v>4107</v>
      </c>
      <c r="D194" t="s">
        <v>4108</v>
      </c>
      <c r="E194" t="s">
        <v>309</v>
      </c>
      <c r="F194" t="s">
        <v>4316</v>
      </c>
      <c r="G194" t="s">
        <v>4317</v>
      </c>
      <c r="H194" t="s">
        <v>321</v>
      </c>
      <c r="I194" t="s">
        <v>966</v>
      </c>
      <c r="J194" t="s">
        <v>204</v>
      </c>
      <c r="K194" t="s">
        <v>204</v>
      </c>
      <c r="L194" t="s">
        <v>340</v>
      </c>
      <c r="M194" t="s">
        <v>573</v>
      </c>
      <c r="N194" t="s">
        <v>339</v>
      </c>
      <c r="O194" t="s">
        <v>1212</v>
      </c>
      <c r="P194" s="131">
        <v>191254</v>
      </c>
      <c r="Q194" s="131">
        <v>1</v>
      </c>
      <c r="R194" s="131">
        <v>461.48</v>
      </c>
      <c r="T194" s="131">
        <v>882.59900000000005</v>
      </c>
      <c r="U194" s="132">
        <v>8.0000000000000004E-4</v>
      </c>
      <c r="V194" s="132">
        <v>7.6060000000000003E-2</v>
      </c>
      <c r="W194" s="132">
        <v>5.9990000000000002E-2</v>
      </c>
    </row>
    <row r="195" spans="1:23">
      <c r="A195" t="s">
        <v>1213</v>
      </c>
      <c r="B195" t="s">
        <v>1232</v>
      </c>
      <c r="C195" t="s">
        <v>4111</v>
      </c>
      <c r="D195" t="s">
        <v>4112</v>
      </c>
      <c r="E195" t="s">
        <v>309</v>
      </c>
      <c r="F195" t="s">
        <v>4310</v>
      </c>
      <c r="G195" t="s">
        <v>4311</v>
      </c>
      <c r="H195" t="s">
        <v>321</v>
      </c>
      <c r="I195" t="s">
        <v>966</v>
      </c>
      <c r="J195" t="s">
        <v>204</v>
      </c>
      <c r="K195" t="s">
        <v>204</v>
      </c>
      <c r="L195" t="s">
        <v>340</v>
      </c>
      <c r="M195" t="s">
        <v>573</v>
      </c>
      <c r="N195" t="s">
        <v>339</v>
      </c>
      <c r="O195" t="s">
        <v>1212</v>
      </c>
      <c r="P195" s="131">
        <v>17903</v>
      </c>
      <c r="Q195" s="131">
        <v>1</v>
      </c>
      <c r="R195" s="131">
        <v>3695.59</v>
      </c>
      <c r="T195" s="131">
        <v>661.62099999999998</v>
      </c>
      <c r="U195" s="132">
        <v>2.3000000000000001E-4</v>
      </c>
      <c r="V195" s="132">
        <v>5.7020000000000001E-2</v>
      </c>
      <c r="W195" s="132">
        <v>4.4970000000000003E-2</v>
      </c>
    </row>
    <row r="196" spans="1:23">
      <c r="A196" t="s">
        <v>1213</v>
      </c>
      <c r="B196" t="s">
        <v>1232</v>
      </c>
      <c r="C196" t="s">
        <v>4123</v>
      </c>
      <c r="D196" t="s">
        <v>4124</v>
      </c>
      <c r="E196" t="s">
        <v>309</v>
      </c>
      <c r="F196" t="s">
        <v>4314</v>
      </c>
      <c r="G196" t="s">
        <v>4315</v>
      </c>
      <c r="H196" t="s">
        <v>321</v>
      </c>
      <c r="I196" t="s">
        <v>966</v>
      </c>
      <c r="J196" t="s">
        <v>204</v>
      </c>
      <c r="K196" t="s">
        <v>204</v>
      </c>
      <c r="L196" t="s">
        <v>340</v>
      </c>
      <c r="M196" t="s">
        <v>573</v>
      </c>
      <c r="N196" t="s">
        <v>339</v>
      </c>
      <c r="O196" t="s">
        <v>1212</v>
      </c>
      <c r="P196" s="131">
        <v>178572</v>
      </c>
      <c r="Q196" s="131">
        <v>1</v>
      </c>
      <c r="R196" s="131">
        <v>370.48</v>
      </c>
      <c r="T196" s="131">
        <v>661.57399999999996</v>
      </c>
      <c r="U196" s="132">
        <v>1.3999999999999999E-4</v>
      </c>
      <c r="V196" s="132">
        <v>5.7009999999999998E-2</v>
      </c>
      <c r="W196" s="132">
        <v>4.4970000000000003E-2</v>
      </c>
    </row>
    <row r="197" spans="1:23">
      <c r="A197" t="s">
        <v>1213</v>
      </c>
      <c r="B197" t="s">
        <v>1232</v>
      </c>
      <c r="C197" t="s">
        <v>4127</v>
      </c>
      <c r="D197" t="s">
        <v>4128</v>
      </c>
      <c r="E197" t="s">
        <v>309</v>
      </c>
      <c r="F197" t="s">
        <v>4193</v>
      </c>
      <c r="G197" t="s">
        <v>4194</v>
      </c>
      <c r="H197" t="s">
        <v>321</v>
      </c>
      <c r="I197" t="s">
        <v>964</v>
      </c>
      <c r="J197" t="s">
        <v>204</v>
      </c>
      <c r="K197" t="s">
        <v>204</v>
      </c>
      <c r="L197" t="s">
        <v>340</v>
      </c>
      <c r="M197" t="s">
        <v>574</v>
      </c>
      <c r="N197" t="s">
        <v>339</v>
      </c>
      <c r="O197" t="s">
        <v>1212</v>
      </c>
      <c r="P197" s="131">
        <v>24610</v>
      </c>
      <c r="Q197" s="131">
        <v>1</v>
      </c>
      <c r="R197" s="131">
        <v>2094</v>
      </c>
      <c r="T197" s="131">
        <v>515.33299999999997</v>
      </c>
      <c r="U197" s="132">
        <v>2.9E-4</v>
      </c>
      <c r="V197" s="132">
        <v>4.4409999999999998E-2</v>
      </c>
      <c r="W197" s="132">
        <v>3.5029999999999999E-2</v>
      </c>
    </row>
    <row r="198" spans="1:23">
      <c r="A198" t="s">
        <v>1213</v>
      </c>
      <c r="B198" t="s">
        <v>1232</v>
      </c>
      <c r="C198" t="s">
        <v>4181</v>
      </c>
      <c r="D198" t="s">
        <v>4182</v>
      </c>
      <c r="E198" t="s">
        <v>309</v>
      </c>
      <c r="F198" t="s">
        <v>4326</v>
      </c>
      <c r="G198" t="s">
        <v>4327</v>
      </c>
      <c r="H198" t="s">
        <v>321</v>
      </c>
      <c r="I198" t="s">
        <v>964</v>
      </c>
      <c r="J198" t="s">
        <v>204</v>
      </c>
      <c r="K198" t="s">
        <v>204</v>
      </c>
      <c r="L198" t="s">
        <v>340</v>
      </c>
      <c r="M198" t="s">
        <v>574</v>
      </c>
      <c r="N198" t="s">
        <v>339</v>
      </c>
      <c r="O198" t="s">
        <v>1212</v>
      </c>
      <c r="P198" s="131">
        <v>8096</v>
      </c>
      <c r="Q198" s="131">
        <v>1</v>
      </c>
      <c r="R198" s="131">
        <v>6003</v>
      </c>
      <c r="T198" s="131">
        <v>486.00299999999999</v>
      </c>
      <c r="U198" s="132">
        <v>1.16E-3</v>
      </c>
      <c r="V198" s="132">
        <v>4.1880000000000001E-2</v>
      </c>
      <c r="W198" s="132">
        <v>3.3029999999999997E-2</v>
      </c>
    </row>
    <row r="199" spans="1:23">
      <c r="A199" t="s">
        <v>1213</v>
      </c>
      <c r="B199" t="s">
        <v>1232</v>
      </c>
      <c r="C199" t="s">
        <v>4111</v>
      </c>
      <c r="D199" t="s">
        <v>4112</v>
      </c>
      <c r="E199" t="s">
        <v>309</v>
      </c>
      <c r="F199" t="s">
        <v>4328</v>
      </c>
      <c r="G199" t="s">
        <v>4329</v>
      </c>
      <c r="H199" t="s">
        <v>321</v>
      </c>
      <c r="I199" t="s">
        <v>966</v>
      </c>
      <c r="J199" t="s">
        <v>204</v>
      </c>
      <c r="K199" t="s">
        <v>204</v>
      </c>
      <c r="L199" t="s">
        <v>340</v>
      </c>
      <c r="M199" t="s">
        <v>661</v>
      </c>
      <c r="N199" t="s">
        <v>339</v>
      </c>
      <c r="O199" t="s">
        <v>1212</v>
      </c>
      <c r="P199" s="131">
        <v>10383</v>
      </c>
      <c r="Q199" s="131">
        <v>1</v>
      </c>
      <c r="R199" s="131">
        <v>2975.67</v>
      </c>
      <c r="T199" s="131">
        <v>308.964</v>
      </c>
      <c r="U199" s="132">
        <v>3.8999999999999999E-4</v>
      </c>
      <c r="V199" s="132">
        <v>2.6630000000000001E-2</v>
      </c>
      <c r="W199" s="132">
        <v>2.1000000000000001E-2</v>
      </c>
    </row>
    <row r="200" spans="1:23">
      <c r="A200" t="s">
        <v>1213</v>
      </c>
      <c r="B200" t="s">
        <v>1232</v>
      </c>
      <c r="C200" t="s">
        <v>4123</v>
      </c>
      <c r="D200" t="s">
        <v>4124</v>
      </c>
      <c r="E200" t="s">
        <v>309</v>
      </c>
      <c r="F200" t="s">
        <v>4330</v>
      </c>
      <c r="G200" t="s">
        <v>4331</v>
      </c>
      <c r="H200" t="s">
        <v>321</v>
      </c>
      <c r="I200" t="s">
        <v>966</v>
      </c>
      <c r="J200" t="s">
        <v>204</v>
      </c>
      <c r="K200" t="s">
        <v>204</v>
      </c>
      <c r="L200" t="s">
        <v>340</v>
      </c>
      <c r="M200" t="s">
        <v>661</v>
      </c>
      <c r="N200" t="s">
        <v>339</v>
      </c>
      <c r="O200" t="s">
        <v>1212</v>
      </c>
      <c r="P200" s="131">
        <v>10343</v>
      </c>
      <c r="Q200" s="131">
        <v>1</v>
      </c>
      <c r="R200" s="131">
        <v>2984.16</v>
      </c>
      <c r="T200" s="131">
        <v>308.65199999999999</v>
      </c>
      <c r="U200" s="132">
        <v>4.0000000000000002E-4</v>
      </c>
      <c r="V200" s="132">
        <v>2.6599999999999999E-2</v>
      </c>
      <c r="W200" s="132">
        <v>2.0979999999999999E-2</v>
      </c>
    </row>
    <row r="201" spans="1:23">
      <c r="A201" t="s">
        <v>1213</v>
      </c>
      <c r="B201" t="s">
        <v>1232</v>
      </c>
      <c r="C201" t="s">
        <v>4123</v>
      </c>
      <c r="D201" t="s">
        <v>4124</v>
      </c>
      <c r="E201" t="s">
        <v>309</v>
      </c>
      <c r="F201" t="s">
        <v>4135</v>
      </c>
      <c r="G201" t="s">
        <v>4136</v>
      </c>
      <c r="H201" t="s">
        <v>321</v>
      </c>
      <c r="I201" t="s">
        <v>965</v>
      </c>
      <c r="J201" t="s">
        <v>204</v>
      </c>
      <c r="K201" t="s">
        <v>204</v>
      </c>
      <c r="L201" t="s">
        <v>340</v>
      </c>
      <c r="M201" t="s">
        <v>605</v>
      </c>
      <c r="N201" t="s">
        <v>339</v>
      </c>
      <c r="O201" t="s">
        <v>1212</v>
      </c>
      <c r="P201" s="131">
        <v>5061</v>
      </c>
      <c r="Q201" s="131">
        <v>1</v>
      </c>
      <c r="R201" s="131">
        <v>5069</v>
      </c>
      <c r="T201" s="131">
        <v>256.54199999999997</v>
      </c>
      <c r="U201" s="132">
        <v>4.0000000000000003E-5</v>
      </c>
      <c r="V201" s="132">
        <v>2.2110000000000001E-2</v>
      </c>
      <c r="W201" s="132">
        <v>1.7440000000000001E-2</v>
      </c>
    </row>
    <row r="202" spans="1:23">
      <c r="A202" t="s">
        <v>1213</v>
      </c>
      <c r="B202" t="s">
        <v>1232</v>
      </c>
      <c r="C202" t="s">
        <v>4111</v>
      </c>
      <c r="D202" t="s">
        <v>4112</v>
      </c>
      <c r="E202" t="s">
        <v>309</v>
      </c>
      <c r="F202" t="s">
        <v>4332</v>
      </c>
      <c r="G202" t="s">
        <v>4333</v>
      </c>
      <c r="H202" t="s">
        <v>321</v>
      </c>
      <c r="I202" t="s">
        <v>964</v>
      </c>
      <c r="J202" t="s">
        <v>204</v>
      </c>
      <c r="K202" t="s">
        <v>204</v>
      </c>
      <c r="L202" t="s">
        <v>340</v>
      </c>
      <c r="M202" t="s">
        <v>574</v>
      </c>
      <c r="N202" t="s">
        <v>339</v>
      </c>
      <c r="O202" t="s">
        <v>1212</v>
      </c>
      <c r="P202" s="131">
        <v>81</v>
      </c>
      <c r="Q202" s="131">
        <v>1</v>
      </c>
      <c r="R202" s="131">
        <v>20810</v>
      </c>
      <c r="T202" s="131">
        <v>16.856000000000002</v>
      </c>
      <c r="U202" s="132">
        <v>0</v>
      </c>
      <c r="V202" s="132">
        <v>1.4499999999999999E-3</v>
      </c>
      <c r="W202" s="132">
        <v>1.15E-3</v>
      </c>
    </row>
    <row r="203" spans="1:23">
      <c r="A203" t="s">
        <v>1213</v>
      </c>
      <c r="B203" t="s">
        <v>1232</v>
      </c>
      <c r="C203" t="s">
        <v>4099</v>
      </c>
      <c r="D203" t="s">
        <v>4100</v>
      </c>
      <c r="E203" t="s">
        <v>80</v>
      </c>
      <c r="F203" t="s">
        <v>4101</v>
      </c>
      <c r="G203" t="s">
        <v>4102</v>
      </c>
      <c r="H203" t="s">
        <v>321</v>
      </c>
      <c r="I203" t="s">
        <v>965</v>
      </c>
      <c r="J203" t="s">
        <v>205</v>
      </c>
      <c r="K203" t="s">
        <v>224</v>
      </c>
      <c r="L203" t="s">
        <v>344</v>
      </c>
      <c r="M203" t="s">
        <v>604</v>
      </c>
      <c r="N203" t="s">
        <v>339</v>
      </c>
      <c r="O203" t="s">
        <v>1216</v>
      </c>
      <c r="P203" s="131">
        <v>319</v>
      </c>
      <c r="Q203" s="131">
        <v>3.71</v>
      </c>
      <c r="R203" s="131">
        <v>57376</v>
      </c>
      <c r="S203" s="131">
        <f>0.344+21.95/1000/Q203</f>
        <v>0.34991644204851752</v>
      </c>
      <c r="T203" s="131">
        <f>680.316+21.95/1000</f>
        <v>680.33794999999998</v>
      </c>
      <c r="U203" s="132">
        <v>0</v>
      </c>
      <c r="V203" s="132">
        <v>5.8659999999999997E-2</v>
      </c>
      <c r="W203" s="132">
        <v>4.6260000000000003E-2</v>
      </c>
    </row>
    <row r="204" spans="1:23">
      <c r="A204" t="s">
        <v>1213</v>
      </c>
      <c r="B204" t="s">
        <v>1232</v>
      </c>
      <c r="C204" t="s">
        <v>4091</v>
      </c>
      <c r="D204" t="s">
        <v>4092</v>
      </c>
      <c r="E204" t="s">
        <v>80</v>
      </c>
      <c r="F204" t="s">
        <v>4093</v>
      </c>
      <c r="G204" t="s">
        <v>4094</v>
      </c>
      <c r="H204" t="s">
        <v>321</v>
      </c>
      <c r="I204" t="s">
        <v>965</v>
      </c>
      <c r="J204" t="s">
        <v>205</v>
      </c>
      <c r="K204" t="s">
        <v>224</v>
      </c>
      <c r="L204" t="s">
        <v>344</v>
      </c>
      <c r="M204" t="s">
        <v>604</v>
      </c>
      <c r="N204" t="s">
        <v>339</v>
      </c>
      <c r="O204" t="s">
        <v>1216</v>
      </c>
      <c r="P204" s="131">
        <v>307</v>
      </c>
      <c r="Q204" s="131">
        <v>3.71</v>
      </c>
      <c r="R204" s="131">
        <v>52767</v>
      </c>
      <c r="S204" s="131">
        <v>0.39700000000000002</v>
      </c>
      <c r="T204" s="131">
        <v>602.471</v>
      </c>
      <c r="U204" s="132">
        <v>0</v>
      </c>
      <c r="V204" s="132">
        <v>5.1959999999999999E-2</v>
      </c>
      <c r="W204" s="132">
        <v>4.0980000000000003E-2</v>
      </c>
    </row>
    <row r="205" spans="1:23">
      <c r="A205" t="s">
        <v>1213</v>
      </c>
      <c r="B205" t="s">
        <v>1232</v>
      </c>
      <c r="C205" t="s">
        <v>4238</v>
      </c>
      <c r="D205" t="s">
        <v>4239</v>
      </c>
      <c r="E205" t="s">
        <v>80</v>
      </c>
      <c r="F205" t="s">
        <v>4334</v>
      </c>
      <c r="G205" t="s">
        <v>4335</v>
      </c>
      <c r="H205" t="s">
        <v>321</v>
      </c>
      <c r="I205" t="s">
        <v>965</v>
      </c>
      <c r="J205" t="s">
        <v>205</v>
      </c>
      <c r="K205" t="s">
        <v>224</v>
      </c>
      <c r="L205" t="s">
        <v>344</v>
      </c>
      <c r="M205" t="s">
        <v>604</v>
      </c>
      <c r="N205" t="s">
        <v>339</v>
      </c>
      <c r="O205" t="s">
        <v>1216</v>
      </c>
      <c r="P205" s="131">
        <v>278</v>
      </c>
      <c r="Q205" s="131">
        <v>3.71</v>
      </c>
      <c r="R205" s="131">
        <v>57682</v>
      </c>
      <c r="T205" s="131">
        <v>594.92100000000005</v>
      </c>
      <c r="U205" s="132">
        <v>0</v>
      </c>
      <c r="V205" s="132">
        <v>5.1270000000000003E-2</v>
      </c>
      <c r="W205" s="132">
        <v>4.0439999999999997E-2</v>
      </c>
    </row>
    <row r="206" spans="1:23">
      <c r="A206" t="s">
        <v>1213</v>
      </c>
      <c r="B206" t="s">
        <v>1232</v>
      </c>
      <c r="C206" t="s">
        <v>4095</v>
      </c>
      <c r="D206" t="s">
        <v>4096</v>
      </c>
      <c r="E206" t="s">
        <v>80</v>
      </c>
      <c r="F206" t="s">
        <v>4097</v>
      </c>
      <c r="G206" t="s">
        <v>4098</v>
      </c>
      <c r="H206" t="s">
        <v>321</v>
      </c>
      <c r="I206" t="s">
        <v>965</v>
      </c>
      <c r="J206" t="s">
        <v>205</v>
      </c>
      <c r="K206" t="s">
        <v>224</v>
      </c>
      <c r="L206" t="s">
        <v>346</v>
      </c>
      <c r="M206" t="s">
        <v>597</v>
      </c>
      <c r="N206" t="s">
        <v>339</v>
      </c>
      <c r="O206" t="s">
        <v>1216</v>
      </c>
      <c r="P206" s="131">
        <v>201</v>
      </c>
      <c r="Q206" s="131">
        <v>3.71</v>
      </c>
      <c r="R206" s="131">
        <v>48807</v>
      </c>
      <c r="S206" s="131">
        <f>0.085+5.43/1000/Q206</f>
        <v>8.646361185983828E-2</v>
      </c>
      <c r="T206" s="131">
        <f>364.274+5.43/1000</f>
        <v>364.27942999999999</v>
      </c>
      <c r="U206" s="132">
        <v>0</v>
      </c>
      <c r="V206" s="132">
        <v>3.1399999999999997E-2</v>
      </c>
      <c r="W206" s="132">
        <v>2.477E-2</v>
      </c>
    </row>
    <row r="207" spans="1:23">
      <c r="A207" t="s">
        <v>1213</v>
      </c>
      <c r="B207" t="s">
        <v>1233</v>
      </c>
      <c r="C207" t="s">
        <v>4123</v>
      </c>
      <c r="D207" t="s">
        <v>4124</v>
      </c>
      <c r="E207" t="s">
        <v>309</v>
      </c>
      <c r="F207" t="s">
        <v>4318</v>
      </c>
      <c r="G207" t="s">
        <v>4319</v>
      </c>
      <c r="H207" t="s">
        <v>321</v>
      </c>
      <c r="I207" t="s">
        <v>966</v>
      </c>
      <c r="J207" t="s">
        <v>204</v>
      </c>
      <c r="K207" t="s">
        <v>204</v>
      </c>
      <c r="L207" t="s">
        <v>340</v>
      </c>
      <c r="M207" t="s">
        <v>575</v>
      </c>
      <c r="N207" t="s">
        <v>339</v>
      </c>
      <c r="O207" t="s">
        <v>1212</v>
      </c>
      <c r="P207" s="131">
        <v>5249827</v>
      </c>
      <c r="Q207" s="131">
        <v>1</v>
      </c>
      <c r="R207" s="131">
        <v>356.82</v>
      </c>
      <c r="T207" s="131">
        <v>18732.433000000001</v>
      </c>
      <c r="U207" s="132">
        <v>9.1400000000000006E-3</v>
      </c>
      <c r="V207" s="132">
        <v>0.45422000000000001</v>
      </c>
      <c r="W207" s="132">
        <v>4.9779999999999998E-2</v>
      </c>
    </row>
    <row r="208" spans="1:23">
      <c r="A208" t="s">
        <v>1213</v>
      </c>
      <c r="B208" t="s">
        <v>1233</v>
      </c>
      <c r="C208" t="s">
        <v>4123</v>
      </c>
      <c r="D208" t="s">
        <v>4124</v>
      </c>
      <c r="E208" t="s">
        <v>309</v>
      </c>
      <c r="F208" t="s">
        <v>4173</v>
      </c>
      <c r="G208" t="s">
        <v>4174</v>
      </c>
      <c r="H208" t="s">
        <v>321</v>
      </c>
      <c r="I208" t="s">
        <v>966</v>
      </c>
      <c r="J208" t="s">
        <v>204</v>
      </c>
      <c r="K208" t="s">
        <v>204</v>
      </c>
      <c r="L208" t="s">
        <v>340</v>
      </c>
      <c r="M208" t="s">
        <v>630</v>
      </c>
      <c r="N208" t="s">
        <v>339</v>
      </c>
      <c r="O208" t="s">
        <v>1212</v>
      </c>
      <c r="P208" s="131">
        <v>1386757</v>
      </c>
      <c r="Q208" s="131">
        <v>1</v>
      </c>
      <c r="R208" s="131">
        <v>390.51</v>
      </c>
      <c r="T208" s="131">
        <v>5415.4250000000002</v>
      </c>
      <c r="U208" s="132">
        <v>1.89E-3</v>
      </c>
      <c r="V208" s="132">
        <v>0.13131000000000001</v>
      </c>
      <c r="W208" s="132">
        <v>1.439E-2</v>
      </c>
    </row>
    <row r="209" spans="1:23">
      <c r="A209" t="s">
        <v>1213</v>
      </c>
      <c r="B209" t="s">
        <v>1233</v>
      </c>
      <c r="C209" t="s">
        <v>4111</v>
      </c>
      <c r="D209" t="s">
        <v>4112</v>
      </c>
      <c r="E209" t="s">
        <v>309</v>
      </c>
      <c r="F209" t="s">
        <v>4310</v>
      </c>
      <c r="G209" t="s">
        <v>4311</v>
      </c>
      <c r="H209" t="s">
        <v>321</v>
      </c>
      <c r="I209" t="s">
        <v>966</v>
      </c>
      <c r="J209" t="s">
        <v>204</v>
      </c>
      <c r="K209" t="s">
        <v>204</v>
      </c>
      <c r="L209" t="s">
        <v>340</v>
      </c>
      <c r="M209" t="s">
        <v>573</v>
      </c>
      <c r="N209" t="s">
        <v>339</v>
      </c>
      <c r="O209" t="s">
        <v>1212</v>
      </c>
      <c r="P209" s="131">
        <v>141543</v>
      </c>
      <c r="Q209" s="131">
        <v>1</v>
      </c>
      <c r="R209" s="131">
        <v>3695.59</v>
      </c>
      <c r="T209" s="131">
        <v>5230.8490000000002</v>
      </c>
      <c r="U209" s="132">
        <v>1.7899999999999999E-3</v>
      </c>
      <c r="V209" s="132">
        <v>0.12684000000000001</v>
      </c>
      <c r="W209" s="132">
        <v>1.3899999999999999E-2</v>
      </c>
    </row>
    <row r="210" spans="1:23">
      <c r="A210" t="s">
        <v>1213</v>
      </c>
      <c r="B210" t="s">
        <v>1233</v>
      </c>
      <c r="C210" t="s">
        <v>4111</v>
      </c>
      <c r="D210" t="s">
        <v>4112</v>
      </c>
      <c r="E210" t="s">
        <v>309</v>
      </c>
      <c r="F210" t="s">
        <v>4157</v>
      </c>
      <c r="G210" t="s">
        <v>4158</v>
      </c>
      <c r="H210" t="s">
        <v>321</v>
      </c>
      <c r="I210" t="s">
        <v>966</v>
      </c>
      <c r="J210" t="s">
        <v>204</v>
      </c>
      <c r="K210" t="s">
        <v>204</v>
      </c>
      <c r="L210" t="s">
        <v>340</v>
      </c>
      <c r="M210" t="s">
        <v>630</v>
      </c>
      <c r="N210" t="s">
        <v>339</v>
      </c>
      <c r="O210" t="s">
        <v>1212</v>
      </c>
      <c r="P210" s="131">
        <v>127021</v>
      </c>
      <c r="Q210" s="131">
        <v>1</v>
      </c>
      <c r="R210" s="131">
        <v>3902.52</v>
      </c>
      <c r="T210" s="131">
        <v>4957.0200000000004</v>
      </c>
      <c r="U210" s="132">
        <v>3.2599999999999999E-3</v>
      </c>
      <c r="V210" s="132">
        <v>0.1202</v>
      </c>
      <c r="W210" s="132">
        <v>1.3169999999999999E-2</v>
      </c>
    </row>
    <row r="211" spans="1:23">
      <c r="A211" t="s">
        <v>1213</v>
      </c>
      <c r="B211" t="s">
        <v>1233</v>
      </c>
      <c r="C211" t="s">
        <v>4238</v>
      </c>
      <c r="D211" t="s">
        <v>4239</v>
      </c>
      <c r="E211" t="s">
        <v>80</v>
      </c>
      <c r="F211" t="s">
        <v>4242</v>
      </c>
      <c r="G211" t="s">
        <v>4243</v>
      </c>
      <c r="H211" t="s">
        <v>321</v>
      </c>
      <c r="I211" t="s">
        <v>965</v>
      </c>
      <c r="J211" t="s">
        <v>205</v>
      </c>
      <c r="K211" t="s">
        <v>224</v>
      </c>
      <c r="L211" t="s">
        <v>344</v>
      </c>
      <c r="M211" t="s">
        <v>602</v>
      </c>
      <c r="N211" t="s">
        <v>339</v>
      </c>
      <c r="O211" t="s">
        <v>1216</v>
      </c>
      <c r="P211" s="131">
        <v>2853</v>
      </c>
      <c r="Q211" s="131">
        <v>3.71</v>
      </c>
      <c r="R211" s="131">
        <v>22089</v>
      </c>
      <c r="T211" s="131">
        <v>2338.0390000000002</v>
      </c>
      <c r="U211" s="132">
        <v>0</v>
      </c>
      <c r="V211" s="132">
        <v>5.6689999999999997E-2</v>
      </c>
      <c r="W211" s="132">
        <v>6.2100000000000002E-3</v>
      </c>
    </row>
    <row r="212" spans="1:23">
      <c r="A212" t="s">
        <v>1213</v>
      </c>
      <c r="B212" t="s">
        <v>1233</v>
      </c>
      <c r="C212" t="s">
        <v>4099</v>
      </c>
      <c r="D212" t="s">
        <v>4100</v>
      </c>
      <c r="E212" t="s">
        <v>80</v>
      </c>
      <c r="F212" t="s">
        <v>4101</v>
      </c>
      <c r="G212" t="s">
        <v>4102</v>
      </c>
      <c r="H212" t="s">
        <v>321</v>
      </c>
      <c r="I212" t="s">
        <v>965</v>
      </c>
      <c r="J212" t="s">
        <v>205</v>
      </c>
      <c r="K212" t="s">
        <v>224</v>
      </c>
      <c r="L212" t="s">
        <v>344</v>
      </c>
      <c r="M212" t="s">
        <v>604</v>
      </c>
      <c r="N212" t="s">
        <v>339</v>
      </c>
      <c r="O212" t="s">
        <v>1216</v>
      </c>
      <c r="P212" s="131">
        <v>1015</v>
      </c>
      <c r="Q212" s="131">
        <v>3.71</v>
      </c>
      <c r="R212" s="131">
        <v>57376</v>
      </c>
      <c r="S212" s="131">
        <f>1.333+85.04/1000/Q212</f>
        <v>1.355921832884097</v>
      </c>
      <c r="T212" s="131">
        <f>2165.525+85.04/1000</f>
        <v>2165.61004</v>
      </c>
      <c r="U212" s="132">
        <v>0</v>
      </c>
      <c r="V212" s="132">
        <v>5.2540000000000003E-2</v>
      </c>
      <c r="W212" s="132">
        <v>5.7600000000000004E-3</v>
      </c>
    </row>
    <row r="213" spans="1:23">
      <c r="A213" t="s">
        <v>1213</v>
      </c>
      <c r="B213" t="s">
        <v>1233</v>
      </c>
      <c r="C213" t="s">
        <v>4238</v>
      </c>
      <c r="D213" t="s">
        <v>4239</v>
      </c>
      <c r="E213" t="s">
        <v>80</v>
      </c>
      <c r="F213" t="s">
        <v>4336</v>
      </c>
      <c r="G213" t="s">
        <v>4337</v>
      </c>
      <c r="H213" t="s">
        <v>321</v>
      </c>
      <c r="I213" t="s">
        <v>965</v>
      </c>
      <c r="J213" t="s">
        <v>205</v>
      </c>
      <c r="K213" t="s">
        <v>224</v>
      </c>
      <c r="L213" t="s">
        <v>360</v>
      </c>
      <c r="M213" t="s">
        <v>735</v>
      </c>
      <c r="N213" t="s">
        <v>339</v>
      </c>
      <c r="O213" t="s">
        <v>1216</v>
      </c>
      <c r="P213" s="131">
        <v>7713</v>
      </c>
      <c r="Q213" s="131">
        <v>3.71</v>
      </c>
      <c r="R213" s="131">
        <v>5853</v>
      </c>
      <c r="T213" s="131">
        <v>1674.8489999999999</v>
      </c>
      <c r="U213" s="132">
        <v>0</v>
      </c>
      <c r="V213" s="132">
        <v>4.061E-2</v>
      </c>
      <c r="W213" s="132">
        <v>4.45E-3</v>
      </c>
    </row>
    <row r="214" spans="1:23">
      <c r="A214" t="s">
        <v>1213</v>
      </c>
      <c r="B214" t="s">
        <v>1233</v>
      </c>
      <c r="C214" t="s">
        <v>4238</v>
      </c>
      <c r="D214" t="s">
        <v>4239</v>
      </c>
      <c r="E214" t="s">
        <v>80</v>
      </c>
      <c r="F214" t="s">
        <v>4338</v>
      </c>
      <c r="G214" t="s">
        <v>4339</v>
      </c>
      <c r="H214" t="s">
        <v>321</v>
      </c>
      <c r="I214" t="s">
        <v>967</v>
      </c>
      <c r="J214" t="s">
        <v>205</v>
      </c>
      <c r="K214" t="s">
        <v>224</v>
      </c>
      <c r="L214" t="s">
        <v>344</v>
      </c>
      <c r="M214" t="s">
        <v>732</v>
      </c>
      <c r="N214" t="s">
        <v>339</v>
      </c>
      <c r="O214" t="s">
        <v>1216</v>
      </c>
      <c r="P214" s="131">
        <v>1733</v>
      </c>
      <c r="Q214" s="131">
        <v>3.71</v>
      </c>
      <c r="R214" s="131">
        <v>11298</v>
      </c>
      <c r="T214" s="131">
        <v>726.39700000000005</v>
      </c>
      <c r="U214" s="132">
        <v>0</v>
      </c>
      <c r="V214" s="132">
        <v>1.7610000000000001E-2</v>
      </c>
      <c r="W214" s="132">
        <v>1.9300000000000001E-3</v>
      </c>
    </row>
    <row r="215" spans="1:23">
      <c r="A215" t="s">
        <v>1213</v>
      </c>
      <c r="B215" t="s">
        <v>1234</v>
      </c>
      <c r="C215" t="s">
        <v>4123</v>
      </c>
      <c r="D215" t="s">
        <v>4124</v>
      </c>
      <c r="E215" t="s">
        <v>309</v>
      </c>
      <c r="F215" t="s">
        <v>4314</v>
      </c>
      <c r="G215" t="s">
        <v>4315</v>
      </c>
      <c r="H215" t="s">
        <v>321</v>
      </c>
      <c r="I215" t="s">
        <v>966</v>
      </c>
      <c r="J215" t="s">
        <v>204</v>
      </c>
      <c r="K215" t="s">
        <v>204</v>
      </c>
      <c r="L215" t="s">
        <v>340</v>
      </c>
      <c r="M215" t="s">
        <v>573</v>
      </c>
      <c r="N215" t="s">
        <v>339</v>
      </c>
      <c r="O215" t="s">
        <v>1212</v>
      </c>
      <c r="P215" s="131">
        <v>473861</v>
      </c>
      <c r="Q215" s="131">
        <v>1</v>
      </c>
      <c r="R215" s="131">
        <v>370.48</v>
      </c>
      <c r="T215" s="131">
        <v>1755.56</v>
      </c>
      <c r="U215" s="132">
        <v>3.6999999999999999E-4</v>
      </c>
      <c r="V215" s="132">
        <v>0.18007000000000001</v>
      </c>
      <c r="W215" s="132">
        <v>8.9569999999999997E-2</v>
      </c>
    </row>
    <row r="216" spans="1:23">
      <c r="A216" t="s">
        <v>1213</v>
      </c>
      <c r="B216" t="s">
        <v>1234</v>
      </c>
      <c r="C216" t="s">
        <v>4127</v>
      </c>
      <c r="D216" t="s">
        <v>4128</v>
      </c>
      <c r="E216" t="s">
        <v>309</v>
      </c>
      <c r="F216" t="s">
        <v>4167</v>
      </c>
      <c r="G216" t="s">
        <v>4168</v>
      </c>
      <c r="H216" t="s">
        <v>321</v>
      </c>
      <c r="I216" t="s">
        <v>966</v>
      </c>
      <c r="J216" t="s">
        <v>204</v>
      </c>
      <c r="K216" t="s">
        <v>204</v>
      </c>
      <c r="L216" t="s">
        <v>340</v>
      </c>
      <c r="M216" t="s">
        <v>630</v>
      </c>
      <c r="N216" t="s">
        <v>339</v>
      </c>
      <c r="O216" t="s">
        <v>1212</v>
      </c>
      <c r="P216" s="131">
        <v>323963</v>
      </c>
      <c r="Q216" s="131">
        <v>1</v>
      </c>
      <c r="R216" s="131">
        <v>389.18</v>
      </c>
      <c r="T216" s="131">
        <v>1260.799</v>
      </c>
      <c r="U216" s="132">
        <v>1.1900000000000001E-3</v>
      </c>
      <c r="V216" s="132">
        <v>0.12931999999999999</v>
      </c>
      <c r="W216" s="132">
        <v>6.4329999999999998E-2</v>
      </c>
    </row>
    <row r="217" spans="1:23">
      <c r="A217" t="s">
        <v>1213</v>
      </c>
      <c r="B217" t="s">
        <v>1234</v>
      </c>
      <c r="C217" t="s">
        <v>4117</v>
      </c>
      <c r="D217" t="s">
        <v>4118</v>
      </c>
      <c r="E217" t="s">
        <v>309</v>
      </c>
      <c r="F217" t="s">
        <v>4149</v>
      </c>
      <c r="G217" t="s">
        <v>4150</v>
      </c>
      <c r="H217" t="s">
        <v>321</v>
      </c>
      <c r="I217" t="s">
        <v>966</v>
      </c>
      <c r="J217" t="s">
        <v>204</v>
      </c>
      <c r="K217" t="s">
        <v>204</v>
      </c>
      <c r="L217" t="s">
        <v>340</v>
      </c>
      <c r="M217" t="s">
        <v>576</v>
      </c>
      <c r="N217" t="s">
        <v>339</v>
      </c>
      <c r="O217" t="s">
        <v>1212</v>
      </c>
      <c r="P217" s="131">
        <v>340398</v>
      </c>
      <c r="Q217" s="131">
        <v>1</v>
      </c>
      <c r="R217" s="131">
        <v>365.93</v>
      </c>
      <c r="T217" s="131">
        <v>1245.6179999999999</v>
      </c>
      <c r="U217" s="132">
        <v>2.5000000000000001E-4</v>
      </c>
      <c r="V217" s="132">
        <v>0.12776999999999999</v>
      </c>
      <c r="W217" s="132">
        <v>6.3549999999999995E-2</v>
      </c>
    </row>
    <row r="218" spans="1:23">
      <c r="A218" t="s">
        <v>1213</v>
      </c>
      <c r="B218" t="s">
        <v>1234</v>
      </c>
      <c r="C218" t="s">
        <v>4107</v>
      </c>
      <c r="D218" t="s">
        <v>4108</v>
      </c>
      <c r="E218" t="s">
        <v>309</v>
      </c>
      <c r="F218" t="s">
        <v>4203</v>
      </c>
      <c r="G218" t="s">
        <v>4204</v>
      </c>
      <c r="H218" t="s">
        <v>321</v>
      </c>
      <c r="I218" t="s">
        <v>965</v>
      </c>
      <c r="J218" t="s">
        <v>204</v>
      </c>
      <c r="K218" t="s">
        <v>204</v>
      </c>
      <c r="L218" t="s">
        <v>340</v>
      </c>
      <c r="M218" t="s">
        <v>597</v>
      </c>
      <c r="N218" t="s">
        <v>339</v>
      </c>
      <c r="O218" t="s">
        <v>1212</v>
      </c>
      <c r="P218" s="131">
        <v>10437</v>
      </c>
      <c r="Q218" s="131">
        <v>1</v>
      </c>
      <c r="R218" s="131">
        <v>10350</v>
      </c>
      <c r="T218" s="131">
        <v>1080.23</v>
      </c>
      <c r="U218" s="132">
        <v>1.0399999999999999E-3</v>
      </c>
      <c r="V218" s="132">
        <v>0.1108</v>
      </c>
      <c r="W218" s="132">
        <v>5.5120000000000002E-2</v>
      </c>
    </row>
    <row r="219" spans="1:23">
      <c r="A219" t="s">
        <v>1213</v>
      </c>
      <c r="B219" t="s">
        <v>1234</v>
      </c>
      <c r="C219" t="s">
        <v>4107</v>
      </c>
      <c r="D219" t="s">
        <v>4108</v>
      </c>
      <c r="E219" t="s">
        <v>309</v>
      </c>
      <c r="F219" t="s">
        <v>4109</v>
      </c>
      <c r="G219" t="s">
        <v>4110</v>
      </c>
      <c r="H219" t="s">
        <v>321</v>
      </c>
      <c r="I219" t="s">
        <v>964</v>
      </c>
      <c r="J219" t="s">
        <v>204</v>
      </c>
      <c r="K219" t="s">
        <v>204</v>
      </c>
      <c r="L219" t="s">
        <v>340</v>
      </c>
      <c r="M219" t="s">
        <v>572</v>
      </c>
      <c r="N219" t="s">
        <v>339</v>
      </c>
      <c r="O219" t="s">
        <v>1212</v>
      </c>
      <c r="P219" s="131">
        <v>29354</v>
      </c>
      <c r="Q219" s="131">
        <v>1</v>
      </c>
      <c r="R219" s="131">
        <v>3265</v>
      </c>
      <c r="T219" s="131">
        <v>958.40800000000002</v>
      </c>
      <c r="U219" s="132">
        <v>4.2000000000000002E-4</v>
      </c>
      <c r="V219" s="132">
        <v>9.8309999999999995E-2</v>
      </c>
      <c r="W219" s="132">
        <v>4.8899999999999999E-2</v>
      </c>
    </row>
    <row r="220" spans="1:23">
      <c r="A220" t="s">
        <v>1213</v>
      </c>
      <c r="B220" t="s">
        <v>1234</v>
      </c>
      <c r="C220" t="s">
        <v>4181</v>
      </c>
      <c r="D220" t="s">
        <v>4182</v>
      </c>
      <c r="E220" t="s">
        <v>309</v>
      </c>
      <c r="F220" t="s">
        <v>4215</v>
      </c>
      <c r="G220" t="s">
        <v>4216</v>
      </c>
      <c r="H220" t="s">
        <v>321</v>
      </c>
      <c r="I220" t="s">
        <v>965</v>
      </c>
      <c r="J220" t="s">
        <v>204</v>
      </c>
      <c r="K220" t="s">
        <v>204</v>
      </c>
      <c r="L220" t="s">
        <v>340</v>
      </c>
      <c r="M220" t="s">
        <v>604</v>
      </c>
      <c r="N220" t="s">
        <v>339</v>
      </c>
      <c r="O220" t="s">
        <v>1212</v>
      </c>
      <c r="P220" s="131">
        <v>8395</v>
      </c>
      <c r="Q220" s="131">
        <v>1</v>
      </c>
      <c r="R220" s="131">
        <v>10530</v>
      </c>
      <c r="T220" s="131">
        <v>883.99400000000003</v>
      </c>
      <c r="U220" s="132">
        <v>1.2E-4</v>
      </c>
      <c r="V220" s="132">
        <v>9.0670000000000001E-2</v>
      </c>
      <c r="W220" s="132">
        <v>4.5100000000000001E-2</v>
      </c>
    </row>
    <row r="221" spans="1:23">
      <c r="A221" t="s">
        <v>1213</v>
      </c>
      <c r="B221" t="s">
        <v>1234</v>
      </c>
      <c r="C221" t="s">
        <v>4111</v>
      </c>
      <c r="D221" t="s">
        <v>4112</v>
      </c>
      <c r="E221" t="s">
        <v>309</v>
      </c>
      <c r="F221" t="s">
        <v>4139</v>
      </c>
      <c r="G221" t="s">
        <v>4140</v>
      </c>
      <c r="H221" t="s">
        <v>321</v>
      </c>
      <c r="I221" t="s">
        <v>966</v>
      </c>
      <c r="J221" t="s">
        <v>204</v>
      </c>
      <c r="K221" t="s">
        <v>204</v>
      </c>
      <c r="L221" t="s">
        <v>340</v>
      </c>
      <c r="M221" t="s">
        <v>576</v>
      </c>
      <c r="N221" t="s">
        <v>339</v>
      </c>
      <c r="O221" t="s">
        <v>1212</v>
      </c>
      <c r="P221" s="131">
        <v>22886</v>
      </c>
      <c r="Q221" s="131">
        <v>1</v>
      </c>
      <c r="R221" s="131">
        <v>3637.39</v>
      </c>
      <c r="T221" s="131">
        <v>832.45299999999997</v>
      </c>
      <c r="U221" s="132">
        <v>1.6000000000000001E-4</v>
      </c>
      <c r="V221" s="132">
        <v>8.5389999999999994E-2</v>
      </c>
      <c r="W221" s="132">
        <v>4.2470000000000001E-2</v>
      </c>
    </row>
    <row r="222" spans="1:23">
      <c r="A222" t="s">
        <v>1213</v>
      </c>
      <c r="B222" t="s">
        <v>1234</v>
      </c>
      <c r="C222" t="s">
        <v>4111</v>
      </c>
      <c r="D222" t="s">
        <v>4112</v>
      </c>
      <c r="E222" t="s">
        <v>309</v>
      </c>
      <c r="F222" t="s">
        <v>4157</v>
      </c>
      <c r="G222" t="s">
        <v>4158</v>
      </c>
      <c r="H222" t="s">
        <v>321</v>
      </c>
      <c r="I222" t="s">
        <v>966</v>
      </c>
      <c r="J222" t="s">
        <v>204</v>
      </c>
      <c r="K222" t="s">
        <v>204</v>
      </c>
      <c r="L222" t="s">
        <v>340</v>
      </c>
      <c r="M222" t="s">
        <v>630</v>
      </c>
      <c r="N222" t="s">
        <v>339</v>
      </c>
      <c r="O222" t="s">
        <v>1212</v>
      </c>
      <c r="P222" s="131">
        <v>20548</v>
      </c>
      <c r="Q222" s="131">
        <v>1</v>
      </c>
      <c r="R222" s="131">
        <v>3902.52</v>
      </c>
      <c r="T222" s="131">
        <v>801.89</v>
      </c>
      <c r="U222" s="132">
        <v>5.2999999999999998E-4</v>
      </c>
      <c r="V222" s="132">
        <v>8.2250000000000004E-2</v>
      </c>
      <c r="W222" s="132">
        <v>4.0910000000000002E-2</v>
      </c>
    </row>
    <row r="223" spans="1:23">
      <c r="A223" t="s">
        <v>1213</v>
      </c>
      <c r="B223" t="s">
        <v>1234</v>
      </c>
      <c r="C223" t="s">
        <v>4123</v>
      </c>
      <c r="D223" t="s">
        <v>4124</v>
      </c>
      <c r="E223" t="s">
        <v>309</v>
      </c>
      <c r="F223" t="s">
        <v>4135</v>
      </c>
      <c r="G223" t="s">
        <v>4136</v>
      </c>
      <c r="H223" t="s">
        <v>321</v>
      </c>
      <c r="I223" t="s">
        <v>965</v>
      </c>
      <c r="J223" t="s">
        <v>204</v>
      </c>
      <c r="K223" t="s">
        <v>204</v>
      </c>
      <c r="L223" t="s">
        <v>340</v>
      </c>
      <c r="M223" t="s">
        <v>605</v>
      </c>
      <c r="N223" t="s">
        <v>339</v>
      </c>
      <c r="O223" t="s">
        <v>1212</v>
      </c>
      <c r="P223" s="131">
        <v>12131</v>
      </c>
      <c r="Q223" s="131">
        <v>1</v>
      </c>
      <c r="R223" s="131">
        <v>5069</v>
      </c>
      <c r="T223" s="131">
        <v>614.91999999999996</v>
      </c>
      <c r="U223" s="132">
        <v>9.0000000000000006E-5</v>
      </c>
      <c r="V223" s="132">
        <v>6.3070000000000001E-2</v>
      </c>
      <c r="W223" s="132">
        <v>3.1370000000000002E-2</v>
      </c>
    </row>
    <row r="224" spans="1:23">
      <c r="A224" t="s">
        <v>1213</v>
      </c>
      <c r="B224" t="s">
        <v>1234</v>
      </c>
      <c r="C224" t="s">
        <v>4117</v>
      </c>
      <c r="D224" t="s">
        <v>4118</v>
      </c>
      <c r="E224" t="s">
        <v>309</v>
      </c>
      <c r="F224" t="s">
        <v>4340</v>
      </c>
      <c r="G224" t="s">
        <v>4341</v>
      </c>
      <c r="H224" t="s">
        <v>321</v>
      </c>
      <c r="I224" t="s">
        <v>965</v>
      </c>
      <c r="J224" t="s">
        <v>204</v>
      </c>
      <c r="K224" t="s">
        <v>204</v>
      </c>
      <c r="L224" t="s">
        <v>340</v>
      </c>
      <c r="M224" t="s">
        <v>605</v>
      </c>
      <c r="N224" t="s">
        <v>339</v>
      </c>
      <c r="O224" t="s">
        <v>1212</v>
      </c>
      <c r="P224" s="131">
        <v>5296</v>
      </c>
      <c r="Q224" s="131">
        <v>1</v>
      </c>
      <c r="R224" s="131">
        <v>5955</v>
      </c>
      <c r="T224" s="131">
        <v>315.37700000000001</v>
      </c>
      <c r="V224" s="132">
        <v>3.2349999999999997E-2</v>
      </c>
      <c r="W224" s="132">
        <v>1.609E-2</v>
      </c>
    </row>
    <row r="225" spans="1:23">
      <c r="A225" t="s">
        <v>1213</v>
      </c>
      <c r="B225" t="s">
        <v>1235</v>
      </c>
      <c r="C225" t="s">
        <v>4111</v>
      </c>
      <c r="D225" t="s">
        <v>4112</v>
      </c>
      <c r="E225" t="s">
        <v>309</v>
      </c>
      <c r="F225" t="s">
        <v>4197</v>
      </c>
      <c r="G225" t="s">
        <v>4198</v>
      </c>
      <c r="H225" t="s">
        <v>321</v>
      </c>
      <c r="I225" t="s">
        <v>965</v>
      </c>
      <c r="J225" t="s">
        <v>204</v>
      </c>
      <c r="K225" t="s">
        <v>204</v>
      </c>
      <c r="L225" t="s">
        <v>340</v>
      </c>
      <c r="M225" t="s">
        <v>598</v>
      </c>
      <c r="N225" t="s">
        <v>339</v>
      </c>
      <c r="O225" t="s">
        <v>1212</v>
      </c>
      <c r="P225" s="131">
        <v>4008</v>
      </c>
      <c r="Q225" s="131">
        <v>1</v>
      </c>
      <c r="R225" s="131">
        <v>16780</v>
      </c>
      <c r="T225" s="131">
        <v>672.54200000000003</v>
      </c>
      <c r="U225" s="132">
        <v>4.0999999999999999E-4</v>
      </c>
      <c r="V225" s="132">
        <v>4.8469999999999999E-2</v>
      </c>
      <c r="W225" s="132">
        <v>9.7400000000000004E-3</v>
      </c>
    </row>
    <row r="226" spans="1:23">
      <c r="A226" t="s">
        <v>1213</v>
      </c>
      <c r="B226" t="s">
        <v>1235</v>
      </c>
      <c r="C226" t="s">
        <v>4107</v>
      </c>
      <c r="D226" t="s">
        <v>4108</v>
      </c>
      <c r="E226" t="s">
        <v>309</v>
      </c>
      <c r="F226" t="s">
        <v>4115</v>
      </c>
      <c r="G226" t="s">
        <v>4116</v>
      </c>
      <c r="H226" t="s">
        <v>321</v>
      </c>
      <c r="I226" t="s">
        <v>965</v>
      </c>
      <c r="J226" t="s">
        <v>204</v>
      </c>
      <c r="K226" t="s">
        <v>204</v>
      </c>
      <c r="L226" t="s">
        <v>340</v>
      </c>
      <c r="M226" t="s">
        <v>605</v>
      </c>
      <c r="N226" t="s">
        <v>339</v>
      </c>
      <c r="O226" t="s">
        <v>1212</v>
      </c>
      <c r="P226" s="131">
        <v>5795</v>
      </c>
      <c r="Q226" s="131">
        <v>1</v>
      </c>
      <c r="R226" s="131">
        <v>7341</v>
      </c>
      <c r="T226" s="131">
        <v>425.411</v>
      </c>
      <c r="U226" s="132">
        <v>1.9000000000000001E-4</v>
      </c>
      <c r="V226" s="132">
        <v>3.066E-2</v>
      </c>
      <c r="W226" s="132">
        <v>6.1599999999999997E-3</v>
      </c>
    </row>
    <row r="227" spans="1:23">
      <c r="A227" t="s">
        <v>1213</v>
      </c>
      <c r="B227" t="s">
        <v>1235</v>
      </c>
      <c r="C227" t="s">
        <v>4123</v>
      </c>
      <c r="D227" t="s">
        <v>4124</v>
      </c>
      <c r="E227" t="s">
        <v>309</v>
      </c>
      <c r="F227" t="s">
        <v>4135</v>
      </c>
      <c r="G227" t="s">
        <v>4136</v>
      </c>
      <c r="H227" t="s">
        <v>321</v>
      </c>
      <c r="I227" t="s">
        <v>965</v>
      </c>
      <c r="J227" t="s">
        <v>204</v>
      </c>
      <c r="K227" t="s">
        <v>204</v>
      </c>
      <c r="L227" t="s">
        <v>340</v>
      </c>
      <c r="M227" t="s">
        <v>605</v>
      </c>
      <c r="N227" t="s">
        <v>339</v>
      </c>
      <c r="O227" t="s">
        <v>1212</v>
      </c>
      <c r="P227" s="131">
        <v>3678</v>
      </c>
      <c r="Q227" s="131">
        <v>1</v>
      </c>
      <c r="R227" s="131">
        <v>5069</v>
      </c>
      <c r="T227" s="131">
        <v>186.43799999999999</v>
      </c>
      <c r="U227" s="132">
        <v>3.0000000000000001E-5</v>
      </c>
      <c r="V227" s="132">
        <v>1.3440000000000001E-2</v>
      </c>
      <c r="W227" s="132">
        <v>2.7000000000000001E-3</v>
      </c>
    </row>
    <row r="228" spans="1:23">
      <c r="A228" t="s">
        <v>1213</v>
      </c>
      <c r="B228" t="s">
        <v>1235</v>
      </c>
      <c r="C228" t="s">
        <v>4117</v>
      </c>
      <c r="D228" t="s">
        <v>4118</v>
      </c>
      <c r="E228" t="s">
        <v>309</v>
      </c>
      <c r="F228" t="s">
        <v>4213</v>
      </c>
      <c r="G228" t="s">
        <v>4214</v>
      </c>
      <c r="H228" t="s">
        <v>321</v>
      </c>
      <c r="I228" t="s">
        <v>965</v>
      </c>
      <c r="J228" t="s">
        <v>204</v>
      </c>
      <c r="K228" t="s">
        <v>204</v>
      </c>
      <c r="L228" t="s">
        <v>340</v>
      </c>
      <c r="M228" t="s">
        <v>582</v>
      </c>
      <c r="N228" t="s">
        <v>339</v>
      </c>
      <c r="O228" t="s">
        <v>1212</v>
      </c>
      <c r="P228" s="131">
        <v>912</v>
      </c>
      <c r="Q228" s="131">
        <v>1</v>
      </c>
      <c r="R228" s="131">
        <v>16570</v>
      </c>
      <c r="T228" s="131">
        <v>151.11799999999999</v>
      </c>
      <c r="U228" s="132">
        <v>4.0000000000000003E-5</v>
      </c>
      <c r="V228" s="132">
        <v>1.089E-2</v>
      </c>
      <c r="W228" s="132">
        <v>2.1900000000000001E-3</v>
      </c>
    </row>
    <row r="229" spans="1:23">
      <c r="A229" t="s">
        <v>1213</v>
      </c>
      <c r="B229" t="s">
        <v>1235</v>
      </c>
      <c r="C229" t="s">
        <v>4107</v>
      </c>
      <c r="D229" t="s">
        <v>4108</v>
      </c>
      <c r="E229" t="s">
        <v>309</v>
      </c>
      <c r="F229" t="s">
        <v>4288</v>
      </c>
      <c r="G229" t="s">
        <v>4289</v>
      </c>
      <c r="H229" t="s">
        <v>321</v>
      </c>
      <c r="I229" t="s">
        <v>965</v>
      </c>
      <c r="J229" t="s">
        <v>204</v>
      </c>
      <c r="K229" t="s">
        <v>204</v>
      </c>
      <c r="L229" t="s">
        <v>340</v>
      </c>
      <c r="M229" t="s">
        <v>582</v>
      </c>
      <c r="N229" t="s">
        <v>339</v>
      </c>
      <c r="O229" t="s">
        <v>1212</v>
      </c>
      <c r="P229" s="131">
        <v>2367</v>
      </c>
      <c r="Q229" s="131">
        <v>1</v>
      </c>
      <c r="R229" s="131">
        <v>4602</v>
      </c>
      <c r="T229" s="131">
        <v>108.929</v>
      </c>
      <c r="U229" s="132">
        <v>3.4000000000000002E-4</v>
      </c>
      <c r="V229" s="132">
        <v>7.8499999999999993E-3</v>
      </c>
      <c r="W229" s="132">
        <v>1.58E-3</v>
      </c>
    </row>
    <row r="230" spans="1:23">
      <c r="A230" t="s">
        <v>1213</v>
      </c>
      <c r="B230" t="s">
        <v>1235</v>
      </c>
      <c r="C230" t="s">
        <v>4111</v>
      </c>
      <c r="D230" t="s">
        <v>4112</v>
      </c>
      <c r="E230" t="s">
        <v>309</v>
      </c>
      <c r="F230" t="s">
        <v>4342</v>
      </c>
      <c r="G230" t="s">
        <v>4343</v>
      </c>
      <c r="H230" t="s">
        <v>321</v>
      </c>
      <c r="I230" t="s">
        <v>965</v>
      </c>
      <c r="J230" t="s">
        <v>204</v>
      </c>
      <c r="K230" t="s">
        <v>204</v>
      </c>
      <c r="L230" t="s">
        <v>340</v>
      </c>
      <c r="M230" t="s">
        <v>588</v>
      </c>
      <c r="N230" t="s">
        <v>339</v>
      </c>
      <c r="O230" t="s">
        <v>1212</v>
      </c>
      <c r="P230" s="131">
        <v>1253</v>
      </c>
      <c r="Q230" s="131">
        <v>1</v>
      </c>
      <c r="R230" s="131">
        <v>6911</v>
      </c>
      <c r="T230" s="131">
        <v>86.594999999999999</v>
      </c>
      <c r="U230" s="132">
        <v>1.2999999999999999E-4</v>
      </c>
      <c r="V230" s="132">
        <v>6.2399999999999999E-3</v>
      </c>
      <c r="W230" s="132">
        <v>1.25E-3</v>
      </c>
    </row>
    <row r="231" spans="1:23">
      <c r="A231" t="s">
        <v>1213</v>
      </c>
      <c r="B231" t="s">
        <v>1235</v>
      </c>
      <c r="C231" t="s">
        <v>4111</v>
      </c>
      <c r="D231" t="s">
        <v>4112</v>
      </c>
      <c r="E231" t="s">
        <v>309</v>
      </c>
      <c r="F231" t="s">
        <v>4344</v>
      </c>
      <c r="G231" t="s">
        <v>4345</v>
      </c>
      <c r="H231" t="s">
        <v>321</v>
      </c>
      <c r="I231" t="s">
        <v>965</v>
      </c>
      <c r="J231" t="s">
        <v>204</v>
      </c>
      <c r="K231" t="s">
        <v>204</v>
      </c>
      <c r="L231" t="s">
        <v>340</v>
      </c>
      <c r="M231" t="s">
        <v>707</v>
      </c>
      <c r="N231" t="s">
        <v>339</v>
      </c>
      <c r="O231" t="s">
        <v>1212</v>
      </c>
      <c r="P231" s="131">
        <v>1418</v>
      </c>
      <c r="Q231" s="131">
        <v>1</v>
      </c>
      <c r="R231" s="131">
        <v>5159</v>
      </c>
      <c r="T231" s="131">
        <v>73.155000000000001</v>
      </c>
      <c r="U231" s="132">
        <v>4.0999999999999999E-4</v>
      </c>
      <c r="V231" s="132">
        <v>5.2700000000000004E-3</v>
      </c>
      <c r="W231" s="132">
        <v>1.06E-3</v>
      </c>
    </row>
    <row r="232" spans="1:23">
      <c r="A232" t="s">
        <v>1213</v>
      </c>
      <c r="B232" t="s">
        <v>1235</v>
      </c>
      <c r="C232" t="s">
        <v>4111</v>
      </c>
      <c r="D232" t="s">
        <v>4112</v>
      </c>
      <c r="E232" t="s">
        <v>309</v>
      </c>
      <c r="F232" t="s">
        <v>4113</v>
      </c>
      <c r="G232" t="s">
        <v>4114</v>
      </c>
      <c r="H232" t="s">
        <v>321</v>
      </c>
      <c r="I232" t="s">
        <v>965</v>
      </c>
      <c r="J232" t="s">
        <v>204</v>
      </c>
      <c r="K232" t="s">
        <v>204</v>
      </c>
      <c r="L232" t="s">
        <v>340</v>
      </c>
      <c r="M232" t="s">
        <v>605</v>
      </c>
      <c r="N232" t="s">
        <v>339</v>
      </c>
      <c r="O232" t="s">
        <v>1212</v>
      </c>
      <c r="P232" s="131">
        <v>1307</v>
      </c>
      <c r="Q232" s="131">
        <v>1</v>
      </c>
      <c r="R232" s="131">
        <v>5505</v>
      </c>
      <c r="T232" s="131">
        <v>71.95</v>
      </c>
      <c r="U232" s="132">
        <v>2.0000000000000002E-5</v>
      </c>
      <c r="V232" s="132">
        <v>5.1900000000000002E-3</v>
      </c>
      <c r="W232" s="132">
        <v>1.0399999999999999E-3</v>
      </c>
    </row>
    <row r="233" spans="1:23">
      <c r="A233" t="s">
        <v>1213</v>
      </c>
      <c r="B233" t="s">
        <v>1235</v>
      </c>
      <c r="C233" t="s">
        <v>4091</v>
      </c>
      <c r="D233" t="s">
        <v>4092</v>
      </c>
      <c r="E233" t="s">
        <v>80</v>
      </c>
      <c r="F233" t="s">
        <v>4093</v>
      </c>
      <c r="G233" t="s">
        <v>4094</v>
      </c>
      <c r="H233" t="s">
        <v>321</v>
      </c>
      <c r="I233" t="s">
        <v>965</v>
      </c>
      <c r="J233" t="s">
        <v>205</v>
      </c>
      <c r="K233" t="s">
        <v>224</v>
      </c>
      <c r="L233" t="s">
        <v>344</v>
      </c>
      <c r="M233" t="s">
        <v>604</v>
      </c>
      <c r="N233" t="s">
        <v>339</v>
      </c>
      <c r="O233" t="s">
        <v>1216</v>
      </c>
      <c r="P233" s="131">
        <v>1722</v>
      </c>
      <c r="Q233" s="131">
        <v>3.71</v>
      </c>
      <c r="R233" s="131">
        <v>52767</v>
      </c>
      <c r="S233" s="131">
        <v>2.8220000000000001</v>
      </c>
      <c r="T233" s="131">
        <v>3381.5520000000001</v>
      </c>
      <c r="U233" s="132">
        <v>0</v>
      </c>
      <c r="V233" s="132">
        <v>0.24390999999999999</v>
      </c>
      <c r="W233" s="132">
        <v>4.904E-2</v>
      </c>
    </row>
    <row r="234" spans="1:23">
      <c r="A234" t="s">
        <v>1213</v>
      </c>
      <c r="B234" t="s">
        <v>1235</v>
      </c>
      <c r="C234" t="s">
        <v>4095</v>
      </c>
      <c r="D234" t="s">
        <v>4096</v>
      </c>
      <c r="E234" t="s">
        <v>80</v>
      </c>
      <c r="F234" t="s">
        <v>4097</v>
      </c>
      <c r="G234" t="s">
        <v>4098</v>
      </c>
      <c r="H234" t="s">
        <v>321</v>
      </c>
      <c r="I234" t="s">
        <v>965</v>
      </c>
      <c r="J234" t="s">
        <v>205</v>
      </c>
      <c r="K234" t="s">
        <v>224</v>
      </c>
      <c r="L234" t="s">
        <v>346</v>
      </c>
      <c r="M234" t="s">
        <v>597</v>
      </c>
      <c r="N234" t="s">
        <v>339</v>
      </c>
      <c r="O234" t="s">
        <v>1216</v>
      </c>
      <c r="P234" s="131">
        <v>1660</v>
      </c>
      <c r="Q234" s="131">
        <v>3.71</v>
      </c>
      <c r="R234" s="131">
        <v>48807</v>
      </c>
      <c r="S234" s="131">
        <f>0.845+53.93/1000/Q234</f>
        <v>0.85953638814016164</v>
      </c>
      <c r="T234" s="131">
        <f>3008.964+53.93/1000</f>
        <v>3009.01793</v>
      </c>
      <c r="U234" s="132">
        <v>0</v>
      </c>
      <c r="V234" s="132">
        <v>0.21690999999999999</v>
      </c>
      <c r="W234" s="132">
        <v>4.3610000000000003E-2</v>
      </c>
    </row>
    <row r="235" spans="1:23">
      <c r="A235" t="s">
        <v>1213</v>
      </c>
      <c r="B235" t="s">
        <v>1235</v>
      </c>
      <c r="C235" t="s">
        <v>4099</v>
      </c>
      <c r="D235" t="s">
        <v>4100</v>
      </c>
      <c r="E235" t="s">
        <v>80</v>
      </c>
      <c r="F235" t="s">
        <v>4101</v>
      </c>
      <c r="G235" t="s">
        <v>4102</v>
      </c>
      <c r="H235" t="s">
        <v>321</v>
      </c>
      <c r="I235" t="s">
        <v>965</v>
      </c>
      <c r="J235" t="s">
        <v>205</v>
      </c>
      <c r="K235" t="s">
        <v>224</v>
      </c>
      <c r="L235" t="s">
        <v>344</v>
      </c>
      <c r="M235" t="s">
        <v>604</v>
      </c>
      <c r="N235" t="s">
        <v>339</v>
      </c>
      <c r="O235" t="s">
        <v>1216</v>
      </c>
      <c r="P235" s="131">
        <v>1299</v>
      </c>
      <c r="Q235" s="131">
        <v>3.71</v>
      </c>
      <c r="R235" s="131">
        <v>57376</v>
      </c>
      <c r="S235" s="131">
        <f>1.706+108.84/1000/Q235</f>
        <v>1.7353369272237196</v>
      </c>
      <c r="T235" s="131">
        <f>2771.445+108.84/1000</f>
        <v>2771.55384</v>
      </c>
      <c r="U235" s="132">
        <v>0</v>
      </c>
      <c r="V235" s="132">
        <v>0.19986000000000001</v>
      </c>
      <c r="W235" s="132">
        <v>4.018E-2</v>
      </c>
    </row>
    <row r="236" spans="1:23">
      <c r="A236" t="s">
        <v>1213</v>
      </c>
      <c r="B236" t="s">
        <v>1235</v>
      </c>
      <c r="C236" t="s">
        <v>4250</v>
      </c>
      <c r="D236" t="s">
        <v>4251</v>
      </c>
      <c r="E236" t="s">
        <v>80</v>
      </c>
      <c r="F236" t="s">
        <v>4252</v>
      </c>
      <c r="G236" t="s">
        <v>4253</v>
      </c>
      <c r="H236" t="s">
        <v>321</v>
      </c>
      <c r="I236" t="s">
        <v>965</v>
      </c>
      <c r="J236" t="s">
        <v>205</v>
      </c>
      <c r="K236" t="s">
        <v>224</v>
      </c>
      <c r="L236" t="s">
        <v>314</v>
      </c>
      <c r="M236" t="s">
        <v>597</v>
      </c>
      <c r="N236" t="s">
        <v>339</v>
      </c>
      <c r="O236" t="s">
        <v>1216</v>
      </c>
      <c r="P236" s="131">
        <v>1183</v>
      </c>
      <c r="Q236" s="131">
        <v>3.71</v>
      </c>
      <c r="R236" s="131">
        <v>20085</v>
      </c>
      <c r="T236" s="131">
        <v>881.51700000000005</v>
      </c>
      <c r="U236" s="132">
        <v>0</v>
      </c>
      <c r="V236" s="132">
        <v>6.3530000000000003E-2</v>
      </c>
      <c r="W236" s="132">
        <v>1.277E-2</v>
      </c>
    </row>
    <row r="237" spans="1:23">
      <c r="A237" t="s">
        <v>1213</v>
      </c>
      <c r="B237" t="s">
        <v>1235</v>
      </c>
      <c r="C237" t="s">
        <v>4238</v>
      </c>
      <c r="D237" t="s">
        <v>4239</v>
      </c>
      <c r="E237" t="s">
        <v>80</v>
      </c>
      <c r="F237" t="s">
        <v>4240</v>
      </c>
      <c r="G237" t="s">
        <v>4241</v>
      </c>
      <c r="H237" t="s">
        <v>321</v>
      </c>
      <c r="I237" t="s">
        <v>965</v>
      </c>
      <c r="J237" t="s">
        <v>205</v>
      </c>
      <c r="K237" t="s">
        <v>224</v>
      </c>
      <c r="L237" t="s">
        <v>368</v>
      </c>
      <c r="M237" t="s">
        <v>735</v>
      </c>
      <c r="N237" t="s">
        <v>339</v>
      </c>
      <c r="O237" t="s">
        <v>1218</v>
      </c>
      <c r="P237" s="131">
        <v>577</v>
      </c>
      <c r="Q237" s="131">
        <v>4.1524000000000001</v>
      </c>
      <c r="R237" s="131">
        <v>16098</v>
      </c>
      <c r="T237" s="131">
        <v>385.69799999999998</v>
      </c>
      <c r="U237" s="132">
        <v>0</v>
      </c>
      <c r="V237" s="132">
        <v>2.7799999999999998E-2</v>
      </c>
      <c r="W237" s="132">
        <v>5.5900000000000004E-3</v>
      </c>
    </row>
    <row r="238" spans="1:23">
      <c r="A238" t="s">
        <v>1213</v>
      </c>
      <c r="B238" t="s">
        <v>1235</v>
      </c>
      <c r="C238" t="s">
        <v>4238</v>
      </c>
      <c r="D238" t="s">
        <v>4239</v>
      </c>
      <c r="E238" t="s">
        <v>80</v>
      </c>
      <c r="F238" t="s">
        <v>4242</v>
      </c>
      <c r="G238" t="s">
        <v>4243</v>
      </c>
      <c r="H238" t="s">
        <v>321</v>
      </c>
      <c r="I238" t="s">
        <v>965</v>
      </c>
      <c r="J238" t="s">
        <v>205</v>
      </c>
      <c r="K238" t="s">
        <v>224</v>
      </c>
      <c r="L238" t="s">
        <v>344</v>
      </c>
      <c r="M238" t="s">
        <v>602</v>
      </c>
      <c r="N238" t="s">
        <v>339</v>
      </c>
      <c r="O238" t="s">
        <v>1216</v>
      </c>
      <c r="P238" s="131">
        <v>437</v>
      </c>
      <c r="Q238" s="131">
        <v>3.71</v>
      </c>
      <c r="R238" s="131">
        <v>22089</v>
      </c>
      <c r="T238" s="131">
        <v>358.12200000000001</v>
      </c>
      <c r="U238" s="132">
        <v>0</v>
      </c>
      <c r="V238" s="132">
        <v>2.581E-2</v>
      </c>
      <c r="W238" s="132">
        <v>5.1900000000000002E-3</v>
      </c>
    </row>
    <row r="239" spans="1:23">
      <c r="A239" t="s">
        <v>1213</v>
      </c>
      <c r="B239" t="s">
        <v>1235</v>
      </c>
      <c r="C239" t="s">
        <v>4238</v>
      </c>
      <c r="D239" t="s">
        <v>4239</v>
      </c>
      <c r="E239" t="s">
        <v>80</v>
      </c>
      <c r="F239" t="s">
        <v>4346</v>
      </c>
      <c r="G239" t="s">
        <v>4347</v>
      </c>
      <c r="H239" t="s">
        <v>321</v>
      </c>
      <c r="I239" t="s">
        <v>965</v>
      </c>
      <c r="J239" t="s">
        <v>205</v>
      </c>
      <c r="K239" t="s">
        <v>224</v>
      </c>
      <c r="L239" t="s">
        <v>344</v>
      </c>
      <c r="M239" t="s">
        <v>735</v>
      </c>
      <c r="N239" t="s">
        <v>339</v>
      </c>
      <c r="O239" t="s">
        <v>1216</v>
      </c>
      <c r="P239" s="131">
        <v>1180</v>
      </c>
      <c r="Q239" s="131">
        <v>3.71</v>
      </c>
      <c r="R239" s="131">
        <v>7154</v>
      </c>
      <c r="T239" s="131">
        <v>313.18799999999999</v>
      </c>
      <c r="U239" s="132">
        <v>0</v>
      </c>
      <c r="V239" s="132">
        <v>2.257E-2</v>
      </c>
      <c r="W239" s="132">
        <v>4.5399999999999998E-3</v>
      </c>
    </row>
    <row r="240" spans="1:23">
      <c r="A240" t="s">
        <v>1213</v>
      </c>
      <c r="B240" t="s">
        <v>1235</v>
      </c>
      <c r="C240" t="s">
        <v>4107</v>
      </c>
      <c r="D240" t="s">
        <v>4108</v>
      </c>
      <c r="E240" t="s">
        <v>309</v>
      </c>
      <c r="F240" t="s">
        <v>4348</v>
      </c>
      <c r="G240" t="s">
        <v>4349</v>
      </c>
      <c r="H240" t="s">
        <v>321</v>
      </c>
      <c r="I240" t="s">
        <v>965</v>
      </c>
      <c r="J240" t="s">
        <v>205</v>
      </c>
      <c r="K240" t="s">
        <v>204</v>
      </c>
      <c r="L240" t="s">
        <v>340</v>
      </c>
      <c r="M240" t="s">
        <v>716</v>
      </c>
      <c r="N240" t="s">
        <v>339</v>
      </c>
      <c r="O240" t="s">
        <v>1212</v>
      </c>
      <c r="P240" s="131">
        <v>9583</v>
      </c>
      <c r="Q240" s="131">
        <v>1</v>
      </c>
      <c r="R240" s="131">
        <v>2544</v>
      </c>
      <c r="T240" s="131">
        <v>243.792</v>
      </c>
      <c r="U240" s="132">
        <v>2.1299999999999999E-3</v>
      </c>
      <c r="V240" s="132">
        <v>1.7569999999999999E-2</v>
      </c>
      <c r="W240" s="132">
        <v>3.5300000000000002E-3</v>
      </c>
    </row>
    <row r="241" spans="1:23">
      <c r="A241" t="s">
        <v>1213</v>
      </c>
      <c r="B241" t="s">
        <v>1235</v>
      </c>
      <c r="C241" t="s">
        <v>4260</v>
      </c>
      <c r="D241" t="s">
        <v>4261</v>
      </c>
      <c r="E241" t="s">
        <v>80</v>
      </c>
      <c r="F241" t="s">
        <v>4262</v>
      </c>
      <c r="G241" t="s">
        <v>4263</v>
      </c>
      <c r="H241" t="s">
        <v>321</v>
      </c>
      <c r="I241" t="s">
        <v>965</v>
      </c>
      <c r="J241" t="s">
        <v>205</v>
      </c>
      <c r="K241" t="s">
        <v>224</v>
      </c>
      <c r="L241" t="s">
        <v>344</v>
      </c>
      <c r="M241" t="s">
        <v>735</v>
      </c>
      <c r="N241" t="s">
        <v>339</v>
      </c>
      <c r="O241" t="s">
        <v>1216</v>
      </c>
      <c r="P241" s="131">
        <v>258</v>
      </c>
      <c r="Q241" s="131">
        <v>3.71</v>
      </c>
      <c r="R241" s="131">
        <v>23059</v>
      </c>
      <c r="T241" s="131">
        <v>220.71600000000001</v>
      </c>
      <c r="U241" s="132">
        <v>0</v>
      </c>
      <c r="V241" s="132">
        <v>1.5910000000000001E-2</v>
      </c>
      <c r="W241" s="132">
        <v>3.2000000000000002E-3</v>
      </c>
    </row>
    <row r="242" spans="1:23">
      <c r="A242" t="s">
        <v>1213</v>
      </c>
      <c r="B242" t="s">
        <v>1235</v>
      </c>
      <c r="C242" t="s">
        <v>4298</v>
      </c>
      <c r="D242" t="s">
        <v>4299</v>
      </c>
      <c r="E242" t="s">
        <v>80</v>
      </c>
      <c r="F242" t="s">
        <v>4300</v>
      </c>
      <c r="G242" t="s">
        <v>4301</v>
      </c>
      <c r="H242" t="s">
        <v>321</v>
      </c>
      <c r="I242" t="s">
        <v>965</v>
      </c>
      <c r="J242" t="s">
        <v>205</v>
      </c>
      <c r="K242" t="s">
        <v>281</v>
      </c>
      <c r="L242" t="s">
        <v>314</v>
      </c>
      <c r="M242" t="s">
        <v>735</v>
      </c>
      <c r="N242" t="s">
        <v>339</v>
      </c>
      <c r="O242" t="s">
        <v>1218</v>
      </c>
      <c r="P242" s="131">
        <v>1507</v>
      </c>
      <c r="Q242" s="131">
        <v>4.1524000000000001</v>
      </c>
      <c r="R242" s="131">
        <v>3230</v>
      </c>
      <c r="T242" s="131">
        <v>202.12299999999999</v>
      </c>
      <c r="U242" s="132">
        <v>0</v>
      </c>
      <c r="V242" s="132">
        <v>1.457E-2</v>
      </c>
      <c r="W242" s="132">
        <v>2.9299999999999999E-3</v>
      </c>
    </row>
    <row r="243" spans="1:23">
      <c r="A243" t="s">
        <v>1213</v>
      </c>
      <c r="B243" t="s">
        <v>1235</v>
      </c>
      <c r="C243" t="s">
        <v>4302</v>
      </c>
      <c r="D243" t="s">
        <v>4303</v>
      </c>
      <c r="E243" t="s">
        <v>80</v>
      </c>
      <c r="F243" t="s">
        <v>4304</v>
      </c>
      <c r="G243" t="s">
        <v>4305</v>
      </c>
      <c r="H243" t="s">
        <v>321</v>
      </c>
      <c r="I243" t="s">
        <v>965</v>
      </c>
      <c r="J243" t="s">
        <v>205</v>
      </c>
      <c r="K243" t="s">
        <v>224</v>
      </c>
      <c r="L243" t="s">
        <v>344</v>
      </c>
      <c r="M243" t="s">
        <v>735</v>
      </c>
      <c r="N243" t="s">
        <v>339</v>
      </c>
      <c r="O243" t="s">
        <v>1216</v>
      </c>
      <c r="P243" s="131">
        <v>923</v>
      </c>
      <c r="Q243" s="131">
        <v>3.71</v>
      </c>
      <c r="R243" s="131">
        <v>4727</v>
      </c>
      <c r="T243" s="131">
        <v>161.86799999999999</v>
      </c>
      <c r="U243" s="132">
        <v>0</v>
      </c>
      <c r="V243" s="132">
        <v>1.167E-2</v>
      </c>
      <c r="W243" s="132">
        <v>2.3500000000000001E-3</v>
      </c>
    </row>
    <row r="244" spans="1:23">
      <c r="A244" t="s">
        <v>1213</v>
      </c>
      <c r="B244" t="s">
        <v>1235</v>
      </c>
      <c r="C244" t="s">
        <v>4238</v>
      </c>
      <c r="D244" t="s">
        <v>4239</v>
      </c>
      <c r="E244" t="s">
        <v>80</v>
      </c>
      <c r="F244" t="s">
        <v>4350</v>
      </c>
      <c r="G244" t="s">
        <v>4351</v>
      </c>
      <c r="H244" t="s">
        <v>321</v>
      </c>
      <c r="I244" t="s">
        <v>967</v>
      </c>
      <c r="J244" t="s">
        <v>205</v>
      </c>
      <c r="K244" t="s">
        <v>224</v>
      </c>
      <c r="L244" t="s">
        <v>380</v>
      </c>
      <c r="M244" t="s">
        <v>732</v>
      </c>
      <c r="N244" t="s">
        <v>339</v>
      </c>
      <c r="O244" t="s">
        <v>1216</v>
      </c>
      <c r="P244" s="131">
        <v>278</v>
      </c>
      <c r="Q244" s="131">
        <v>3.71</v>
      </c>
      <c r="R244" s="131">
        <v>10046</v>
      </c>
      <c r="T244" s="131">
        <v>103.61199999999999</v>
      </c>
      <c r="U244" s="132">
        <v>0</v>
      </c>
      <c r="V244" s="132">
        <v>7.4700000000000001E-3</v>
      </c>
      <c r="W244" s="132">
        <v>1.5E-3</v>
      </c>
    </row>
    <row r="245" spans="1:23">
      <c r="A245" t="s">
        <v>1213</v>
      </c>
      <c r="B245" t="s">
        <v>1235</v>
      </c>
      <c r="C245" t="s">
        <v>4260</v>
      </c>
      <c r="D245" t="s">
        <v>4261</v>
      </c>
      <c r="E245" t="s">
        <v>80</v>
      </c>
      <c r="F245" t="s">
        <v>4352</v>
      </c>
      <c r="G245" t="s">
        <v>4353</v>
      </c>
      <c r="H245" t="s">
        <v>321</v>
      </c>
      <c r="I245" t="s">
        <v>965</v>
      </c>
      <c r="J245" t="s">
        <v>205</v>
      </c>
      <c r="K245" t="s">
        <v>224</v>
      </c>
      <c r="L245" t="s">
        <v>344</v>
      </c>
      <c r="M245" t="s">
        <v>735</v>
      </c>
      <c r="N245" t="s">
        <v>339</v>
      </c>
      <c r="O245" t="s">
        <v>1216</v>
      </c>
      <c r="P245" s="131">
        <v>111</v>
      </c>
      <c r="Q245" s="131">
        <v>3.71</v>
      </c>
      <c r="R245" s="131">
        <v>8937</v>
      </c>
      <c r="T245" s="131">
        <v>36.802999999999997</v>
      </c>
      <c r="U245" s="132">
        <v>0</v>
      </c>
      <c r="V245" s="132">
        <v>2.65E-3</v>
      </c>
      <c r="W245" s="132">
        <v>5.2999999999999998E-4</v>
      </c>
    </row>
    <row r="246" spans="1:23">
      <c r="A246" t="s">
        <v>1213</v>
      </c>
      <c r="B246" t="s">
        <v>1235</v>
      </c>
      <c r="C246" t="s">
        <v>4238</v>
      </c>
      <c r="D246" t="s">
        <v>4239</v>
      </c>
      <c r="E246" t="s">
        <v>80</v>
      </c>
      <c r="F246" t="s">
        <v>4338</v>
      </c>
      <c r="G246" t="s">
        <v>4339</v>
      </c>
      <c r="H246" t="s">
        <v>321</v>
      </c>
      <c r="I246" t="s">
        <v>967</v>
      </c>
      <c r="J246" t="s">
        <v>205</v>
      </c>
      <c r="K246" t="s">
        <v>224</v>
      </c>
      <c r="L246" t="s">
        <v>344</v>
      </c>
      <c r="M246" t="s">
        <v>732</v>
      </c>
      <c r="N246" t="s">
        <v>339</v>
      </c>
      <c r="O246" t="s">
        <v>1216</v>
      </c>
      <c r="P246" s="131">
        <v>72</v>
      </c>
      <c r="Q246" s="131">
        <v>3.71</v>
      </c>
      <c r="R246" s="131">
        <v>11298</v>
      </c>
      <c r="T246" s="131">
        <v>30.178999999999998</v>
      </c>
      <c r="U246" s="132">
        <v>0</v>
      </c>
      <c r="V246" s="132">
        <v>2.1700000000000001E-3</v>
      </c>
      <c r="W246" s="132">
        <v>4.4000000000000002E-4</v>
      </c>
    </row>
    <row r="247" spans="1:23">
      <c r="A247" t="s">
        <v>1213</v>
      </c>
      <c r="B247" t="s">
        <v>1238</v>
      </c>
      <c r="C247" t="s">
        <v>4111</v>
      </c>
      <c r="D247" t="s">
        <v>4112</v>
      </c>
      <c r="E247" t="s">
        <v>309</v>
      </c>
      <c r="F247" t="s">
        <v>4197</v>
      </c>
      <c r="G247" t="s">
        <v>4198</v>
      </c>
      <c r="H247" t="s">
        <v>321</v>
      </c>
      <c r="I247" t="s">
        <v>965</v>
      </c>
      <c r="J247" t="s">
        <v>204</v>
      </c>
      <c r="K247" t="s">
        <v>204</v>
      </c>
      <c r="L247" t="s">
        <v>340</v>
      </c>
      <c r="M247" t="s">
        <v>598</v>
      </c>
      <c r="N247" t="s">
        <v>339</v>
      </c>
      <c r="O247" t="s">
        <v>1212</v>
      </c>
      <c r="P247" s="131">
        <v>157010</v>
      </c>
      <c r="Q247" s="131">
        <v>1</v>
      </c>
      <c r="R247" s="131">
        <v>16780</v>
      </c>
      <c r="T247" s="131">
        <v>26346.277999999998</v>
      </c>
      <c r="U247" s="132">
        <v>1.5959999999999998E-2</v>
      </c>
      <c r="V247" s="132">
        <v>0.16929</v>
      </c>
      <c r="W247" s="132">
        <v>1.457E-2</v>
      </c>
    </row>
    <row r="248" spans="1:23">
      <c r="A248" t="s">
        <v>1213</v>
      </c>
      <c r="B248" t="s">
        <v>1238</v>
      </c>
      <c r="C248" t="s">
        <v>4117</v>
      </c>
      <c r="D248" t="s">
        <v>4118</v>
      </c>
      <c r="E248" t="s">
        <v>309</v>
      </c>
      <c r="F248" t="s">
        <v>4149</v>
      </c>
      <c r="G248" t="s">
        <v>4150</v>
      </c>
      <c r="H248" t="s">
        <v>321</v>
      </c>
      <c r="I248" t="s">
        <v>966</v>
      </c>
      <c r="J248" t="s">
        <v>204</v>
      </c>
      <c r="K248" t="s">
        <v>204</v>
      </c>
      <c r="L248" t="s">
        <v>340</v>
      </c>
      <c r="M248" t="s">
        <v>576</v>
      </c>
      <c r="N248" t="s">
        <v>339</v>
      </c>
      <c r="O248" t="s">
        <v>1212</v>
      </c>
      <c r="P248" s="131">
        <v>2085331</v>
      </c>
      <c r="Q248" s="131">
        <v>1</v>
      </c>
      <c r="R248" s="131">
        <v>365.93</v>
      </c>
      <c r="T248" s="131">
        <v>7630.8519999999999</v>
      </c>
      <c r="U248" s="132">
        <v>1.5200000000000001E-3</v>
      </c>
      <c r="V248" s="132">
        <v>4.9029999999999997E-2</v>
      </c>
      <c r="W248" s="132">
        <v>4.2199999999999998E-3</v>
      </c>
    </row>
    <row r="249" spans="1:23">
      <c r="A249" t="s">
        <v>1213</v>
      </c>
      <c r="B249" t="s">
        <v>1238</v>
      </c>
      <c r="C249" t="s">
        <v>4111</v>
      </c>
      <c r="D249" t="s">
        <v>4112</v>
      </c>
      <c r="E249" t="s">
        <v>309</v>
      </c>
      <c r="F249" t="s">
        <v>4354</v>
      </c>
      <c r="G249" t="s">
        <v>4355</v>
      </c>
      <c r="H249" t="s">
        <v>321</v>
      </c>
      <c r="I249" t="s">
        <v>964</v>
      </c>
      <c r="J249" t="s">
        <v>204</v>
      </c>
      <c r="K249" t="s">
        <v>204</v>
      </c>
      <c r="L249" t="s">
        <v>340</v>
      </c>
      <c r="M249" t="s">
        <v>697</v>
      </c>
      <c r="N249" t="s">
        <v>339</v>
      </c>
      <c r="O249" t="s">
        <v>1212</v>
      </c>
      <c r="P249" s="131">
        <v>18168</v>
      </c>
      <c r="Q249" s="131">
        <v>1</v>
      </c>
      <c r="R249" s="131">
        <v>38300</v>
      </c>
      <c r="T249" s="131">
        <v>6958.3440000000001</v>
      </c>
      <c r="U249" s="132">
        <v>7.6000000000000004E-4</v>
      </c>
      <c r="V249" s="132">
        <v>4.471E-2</v>
      </c>
      <c r="W249" s="132">
        <v>3.8500000000000001E-3</v>
      </c>
    </row>
    <row r="250" spans="1:23">
      <c r="A250" t="s">
        <v>1213</v>
      </c>
      <c r="B250" t="s">
        <v>1238</v>
      </c>
      <c r="C250" t="s">
        <v>4117</v>
      </c>
      <c r="D250" t="s">
        <v>4118</v>
      </c>
      <c r="E250" t="s">
        <v>309</v>
      </c>
      <c r="F250" t="s">
        <v>4213</v>
      </c>
      <c r="G250" t="s">
        <v>4214</v>
      </c>
      <c r="H250" t="s">
        <v>321</v>
      </c>
      <c r="I250" t="s">
        <v>965</v>
      </c>
      <c r="J250" t="s">
        <v>204</v>
      </c>
      <c r="K250" t="s">
        <v>204</v>
      </c>
      <c r="L250" t="s">
        <v>340</v>
      </c>
      <c r="M250" t="s">
        <v>582</v>
      </c>
      <c r="N250" t="s">
        <v>339</v>
      </c>
      <c r="O250" t="s">
        <v>1212</v>
      </c>
      <c r="P250" s="131">
        <v>22818</v>
      </c>
      <c r="Q250" s="131">
        <v>1</v>
      </c>
      <c r="R250" s="131">
        <v>16570</v>
      </c>
      <c r="T250" s="131">
        <v>3780.9430000000002</v>
      </c>
      <c r="U250" s="132">
        <v>1E-3</v>
      </c>
      <c r="V250" s="132">
        <v>2.4289999999999999E-2</v>
      </c>
      <c r="W250" s="132">
        <v>2.0899999999999998E-3</v>
      </c>
    </row>
    <row r="251" spans="1:23">
      <c r="A251" t="s">
        <v>1213</v>
      </c>
      <c r="B251" t="s">
        <v>1238</v>
      </c>
      <c r="C251" t="s">
        <v>4111</v>
      </c>
      <c r="D251" t="s">
        <v>4112</v>
      </c>
      <c r="E251" t="s">
        <v>309</v>
      </c>
      <c r="F251" t="s">
        <v>4342</v>
      </c>
      <c r="G251" t="s">
        <v>4343</v>
      </c>
      <c r="H251" t="s">
        <v>321</v>
      </c>
      <c r="I251" t="s">
        <v>965</v>
      </c>
      <c r="J251" t="s">
        <v>204</v>
      </c>
      <c r="K251" t="s">
        <v>204</v>
      </c>
      <c r="L251" t="s">
        <v>340</v>
      </c>
      <c r="M251" t="s">
        <v>588</v>
      </c>
      <c r="N251" t="s">
        <v>339</v>
      </c>
      <c r="O251" t="s">
        <v>1212</v>
      </c>
      <c r="P251" s="131">
        <v>47305</v>
      </c>
      <c r="Q251" s="131">
        <v>1</v>
      </c>
      <c r="R251" s="131">
        <v>6911</v>
      </c>
      <c r="T251" s="131">
        <v>3269.2489999999998</v>
      </c>
      <c r="U251" s="132">
        <v>4.9300000000000004E-3</v>
      </c>
      <c r="V251" s="132">
        <v>2.1010000000000001E-2</v>
      </c>
      <c r="W251" s="132">
        <v>1.81E-3</v>
      </c>
    </row>
    <row r="252" spans="1:23">
      <c r="A252" t="s">
        <v>1213</v>
      </c>
      <c r="B252" t="s">
        <v>1238</v>
      </c>
      <c r="C252" t="s">
        <v>4123</v>
      </c>
      <c r="D252" t="s">
        <v>4124</v>
      </c>
      <c r="E252" t="s">
        <v>309</v>
      </c>
      <c r="F252" t="s">
        <v>4135</v>
      </c>
      <c r="G252" t="s">
        <v>4136</v>
      </c>
      <c r="H252" t="s">
        <v>321</v>
      </c>
      <c r="I252" t="s">
        <v>965</v>
      </c>
      <c r="J252" t="s">
        <v>204</v>
      </c>
      <c r="K252" t="s">
        <v>204</v>
      </c>
      <c r="L252" t="s">
        <v>340</v>
      </c>
      <c r="M252" t="s">
        <v>605</v>
      </c>
      <c r="N252" t="s">
        <v>339</v>
      </c>
      <c r="O252" t="s">
        <v>1212</v>
      </c>
      <c r="P252" s="131">
        <v>36557</v>
      </c>
      <c r="Q252" s="131">
        <v>1</v>
      </c>
      <c r="R252" s="131">
        <v>5069</v>
      </c>
      <c r="T252" s="131">
        <v>1853.0740000000001</v>
      </c>
      <c r="U252" s="132">
        <v>2.7999999999999998E-4</v>
      </c>
      <c r="V252" s="132">
        <v>1.191E-2</v>
      </c>
      <c r="W252" s="132">
        <v>1.0200000000000001E-3</v>
      </c>
    </row>
    <row r="253" spans="1:23">
      <c r="A253" t="s">
        <v>1213</v>
      </c>
      <c r="B253" t="s">
        <v>1238</v>
      </c>
      <c r="C253" t="s">
        <v>4111</v>
      </c>
      <c r="D253" t="s">
        <v>4112</v>
      </c>
      <c r="E253" t="s">
        <v>309</v>
      </c>
      <c r="F253" t="s">
        <v>4344</v>
      </c>
      <c r="G253" t="s">
        <v>4345</v>
      </c>
      <c r="H253" t="s">
        <v>321</v>
      </c>
      <c r="I253" t="s">
        <v>965</v>
      </c>
      <c r="J253" t="s">
        <v>204</v>
      </c>
      <c r="K253" t="s">
        <v>204</v>
      </c>
      <c r="L253" t="s">
        <v>340</v>
      </c>
      <c r="M253" t="s">
        <v>707</v>
      </c>
      <c r="N253" t="s">
        <v>339</v>
      </c>
      <c r="O253" t="s">
        <v>1212</v>
      </c>
      <c r="P253" s="131">
        <v>34870</v>
      </c>
      <c r="Q253" s="131">
        <v>1</v>
      </c>
      <c r="R253" s="131">
        <v>5159</v>
      </c>
      <c r="T253" s="131">
        <v>1798.943</v>
      </c>
      <c r="U253" s="132">
        <v>9.9600000000000001E-3</v>
      </c>
      <c r="V253" s="132">
        <v>1.1560000000000001E-2</v>
      </c>
      <c r="W253" s="132">
        <v>9.8999999999999999E-4</v>
      </c>
    </row>
    <row r="254" spans="1:23">
      <c r="A254" t="s">
        <v>1213</v>
      </c>
      <c r="B254" t="s">
        <v>1238</v>
      </c>
      <c r="C254" t="s">
        <v>4099</v>
      </c>
      <c r="D254" t="s">
        <v>4100</v>
      </c>
      <c r="E254" t="s">
        <v>80</v>
      </c>
      <c r="F254" t="s">
        <v>4101</v>
      </c>
      <c r="G254" t="s">
        <v>4102</v>
      </c>
      <c r="H254" t="s">
        <v>321</v>
      </c>
      <c r="I254" t="s">
        <v>965</v>
      </c>
      <c r="J254" t="s">
        <v>205</v>
      </c>
      <c r="K254" t="s">
        <v>224</v>
      </c>
      <c r="L254" t="s">
        <v>344</v>
      </c>
      <c r="M254" t="s">
        <v>604</v>
      </c>
      <c r="N254" t="s">
        <v>339</v>
      </c>
      <c r="O254" t="s">
        <v>1216</v>
      </c>
      <c r="P254" s="131">
        <v>14596</v>
      </c>
      <c r="Q254" s="131">
        <v>3.71</v>
      </c>
      <c r="R254" s="131">
        <v>57376</v>
      </c>
      <c r="S254" s="131">
        <f>19.17+1222.94/1000/Q254</f>
        <v>19.499633423180594</v>
      </c>
      <c r="T254" s="131">
        <f>31140.891+1222.94/1000</f>
        <v>31142.113939999999</v>
      </c>
      <c r="U254" s="132">
        <v>0</v>
      </c>
      <c r="V254" s="132">
        <v>0.20022000000000001</v>
      </c>
      <c r="W254" s="132">
        <v>1.7229999999999999E-2</v>
      </c>
    </row>
    <row r="255" spans="1:23">
      <c r="A255">
        <f>520042177+370.32/1000</f>
        <v>520042177.37032002</v>
      </c>
      <c r="B255" t="s">
        <v>1238</v>
      </c>
      <c r="C255" t="s">
        <v>4095</v>
      </c>
      <c r="D255" t="s">
        <v>4096</v>
      </c>
      <c r="E255" t="s">
        <v>80</v>
      </c>
      <c r="F255" t="s">
        <v>4097</v>
      </c>
      <c r="G255" t="s">
        <v>4098</v>
      </c>
      <c r="H255" t="s">
        <v>321</v>
      </c>
      <c r="I255" t="s">
        <v>965</v>
      </c>
      <c r="J255" t="s">
        <v>205</v>
      </c>
      <c r="K255" t="s">
        <v>224</v>
      </c>
      <c r="L255" t="s">
        <v>346</v>
      </c>
      <c r="M255" t="s">
        <v>597</v>
      </c>
      <c r="N255" t="s">
        <v>339</v>
      </c>
      <c r="O255" t="s">
        <v>1216</v>
      </c>
      <c r="P255" s="131">
        <v>11398</v>
      </c>
      <c r="Q255" s="131">
        <v>3.71</v>
      </c>
      <c r="R255" s="131">
        <v>48807</v>
      </c>
      <c r="S255" s="131">
        <f>5.805+370.32/1000/Q255</f>
        <v>5.9048167115902963</v>
      </c>
      <c r="T255" s="131">
        <f>20660.347+370.32/1000</f>
        <v>20660.717320000003</v>
      </c>
      <c r="U255" s="132">
        <v>0</v>
      </c>
      <c r="V255" s="132">
        <v>0.13278999999999999</v>
      </c>
      <c r="W255" s="132">
        <v>1.1429999999999999E-2</v>
      </c>
    </row>
    <row r="256" spans="1:23">
      <c r="A256" t="s">
        <v>1213</v>
      </c>
      <c r="B256" t="s">
        <v>1238</v>
      </c>
      <c r="C256" t="s">
        <v>4238</v>
      </c>
      <c r="D256" t="s">
        <v>4239</v>
      </c>
      <c r="E256" t="s">
        <v>80</v>
      </c>
      <c r="F256" t="s">
        <v>4242</v>
      </c>
      <c r="G256" t="s">
        <v>4243</v>
      </c>
      <c r="H256" t="s">
        <v>321</v>
      </c>
      <c r="I256" t="s">
        <v>965</v>
      </c>
      <c r="J256" t="s">
        <v>205</v>
      </c>
      <c r="K256" t="s">
        <v>224</v>
      </c>
      <c r="L256" t="s">
        <v>344</v>
      </c>
      <c r="M256" t="s">
        <v>602</v>
      </c>
      <c r="N256" t="s">
        <v>339</v>
      </c>
      <c r="O256" t="s">
        <v>1216</v>
      </c>
      <c r="P256" s="131">
        <v>11237</v>
      </c>
      <c r="Q256" s="131">
        <v>3.71</v>
      </c>
      <c r="R256" s="131">
        <v>22089</v>
      </c>
      <c r="T256" s="131">
        <v>9208.7430000000004</v>
      </c>
      <c r="U256" s="132">
        <v>0</v>
      </c>
      <c r="V256" s="132">
        <v>5.917E-2</v>
      </c>
      <c r="W256" s="132">
        <v>5.0899999999999999E-3</v>
      </c>
    </row>
    <row r="257" spans="1:23">
      <c r="A257" t="s">
        <v>1213</v>
      </c>
      <c r="B257" t="s">
        <v>1238</v>
      </c>
      <c r="C257" t="s">
        <v>4238</v>
      </c>
      <c r="D257" t="s">
        <v>4239</v>
      </c>
      <c r="E257" t="s">
        <v>80</v>
      </c>
      <c r="F257" t="s">
        <v>4338</v>
      </c>
      <c r="G257" t="s">
        <v>4339</v>
      </c>
      <c r="H257" t="s">
        <v>321</v>
      </c>
      <c r="I257" t="s">
        <v>967</v>
      </c>
      <c r="J257" t="s">
        <v>205</v>
      </c>
      <c r="K257" t="s">
        <v>224</v>
      </c>
      <c r="L257" t="s">
        <v>344</v>
      </c>
      <c r="M257" t="s">
        <v>732</v>
      </c>
      <c r="N257" t="s">
        <v>339</v>
      </c>
      <c r="O257" t="s">
        <v>1216</v>
      </c>
      <c r="P257" s="131">
        <v>18653</v>
      </c>
      <c r="Q257" s="131">
        <v>3.71</v>
      </c>
      <c r="R257" s="131">
        <v>11298</v>
      </c>
      <c r="T257" s="131">
        <v>7818.5129999999999</v>
      </c>
      <c r="U257" s="132">
        <v>0</v>
      </c>
      <c r="V257" s="132">
        <v>5.024E-2</v>
      </c>
      <c r="W257" s="132">
        <v>4.3200000000000001E-3</v>
      </c>
    </row>
    <row r="258" spans="1:23">
      <c r="A258" t="s">
        <v>1213</v>
      </c>
      <c r="B258" t="s">
        <v>1238</v>
      </c>
      <c r="C258" t="s">
        <v>4238</v>
      </c>
      <c r="D258" t="s">
        <v>4239</v>
      </c>
      <c r="E258" t="s">
        <v>80</v>
      </c>
      <c r="F258" t="s">
        <v>4346</v>
      </c>
      <c r="G258" t="s">
        <v>4347</v>
      </c>
      <c r="H258" t="s">
        <v>321</v>
      </c>
      <c r="I258" t="s">
        <v>965</v>
      </c>
      <c r="J258" t="s">
        <v>205</v>
      </c>
      <c r="K258" t="s">
        <v>224</v>
      </c>
      <c r="L258" t="s">
        <v>344</v>
      </c>
      <c r="M258" t="s">
        <v>735</v>
      </c>
      <c r="N258" t="s">
        <v>339</v>
      </c>
      <c r="O258" t="s">
        <v>1216</v>
      </c>
      <c r="P258" s="131">
        <v>28863</v>
      </c>
      <c r="Q258" s="131">
        <v>3.71</v>
      </c>
      <c r="R258" s="131">
        <v>7154</v>
      </c>
      <c r="T258" s="131">
        <v>7660.6270000000004</v>
      </c>
      <c r="U258" s="132">
        <v>0</v>
      </c>
      <c r="V258" s="132">
        <v>4.922E-2</v>
      </c>
      <c r="W258" s="132">
        <v>4.2399999999999998E-3</v>
      </c>
    </row>
    <row r="259" spans="1:23">
      <c r="A259" t="s">
        <v>1213</v>
      </c>
      <c r="B259" t="s">
        <v>1238</v>
      </c>
      <c r="C259" t="s">
        <v>4091</v>
      </c>
      <c r="D259" t="s">
        <v>4092</v>
      </c>
      <c r="E259" t="s">
        <v>80</v>
      </c>
      <c r="F259" t="s">
        <v>4093</v>
      </c>
      <c r="G259" t="s">
        <v>4094</v>
      </c>
      <c r="H259" t="s">
        <v>321</v>
      </c>
      <c r="I259" t="s">
        <v>965</v>
      </c>
      <c r="J259" t="s">
        <v>205</v>
      </c>
      <c r="K259" t="s">
        <v>224</v>
      </c>
      <c r="L259" t="s">
        <v>344</v>
      </c>
      <c r="M259" t="s">
        <v>604</v>
      </c>
      <c r="N259" t="s">
        <v>339</v>
      </c>
      <c r="O259" t="s">
        <v>1216</v>
      </c>
      <c r="P259" s="131">
        <v>3471</v>
      </c>
      <c r="Q259" s="131">
        <v>3.71</v>
      </c>
      <c r="R259" s="131">
        <v>52767</v>
      </c>
      <c r="S259" s="131">
        <v>5.6879999999999997</v>
      </c>
      <c r="T259" s="131">
        <v>6816.1239999999998</v>
      </c>
      <c r="U259" s="132">
        <v>0</v>
      </c>
      <c r="V259" s="132">
        <v>4.3830000000000001E-2</v>
      </c>
      <c r="W259" s="132">
        <v>3.7699999999999999E-3</v>
      </c>
    </row>
    <row r="260" spans="1:23">
      <c r="A260" t="s">
        <v>1213</v>
      </c>
      <c r="B260" t="s">
        <v>1238</v>
      </c>
      <c r="C260" t="s">
        <v>4260</v>
      </c>
      <c r="D260" t="s">
        <v>4261</v>
      </c>
      <c r="E260" t="s">
        <v>80</v>
      </c>
      <c r="F260" t="s">
        <v>4262</v>
      </c>
      <c r="G260" t="s">
        <v>4263</v>
      </c>
      <c r="H260" t="s">
        <v>321</v>
      </c>
      <c r="I260" t="s">
        <v>965</v>
      </c>
      <c r="J260" t="s">
        <v>205</v>
      </c>
      <c r="K260" t="s">
        <v>224</v>
      </c>
      <c r="L260" t="s">
        <v>344</v>
      </c>
      <c r="M260" t="s">
        <v>735</v>
      </c>
      <c r="N260" t="s">
        <v>339</v>
      </c>
      <c r="O260" t="s">
        <v>1216</v>
      </c>
      <c r="P260" s="131">
        <v>6539</v>
      </c>
      <c r="Q260" s="131">
        <v>3.71</v>
      </c>
      <c r="R260" s="131">
        <v>23059</v>
      </c>
      <c r="T260" s="131">
        <v>5594.0420000000004</v>
      </c>
      <c r="U260" s="132">
        <v>0</v>
      </c>
      <c r="V260" s="132">
        <v>3.594E-2</v>
      </c>
      <c r="W260" s="132">
        <v>3.0899999999999999E-3</v>
      </c>
    </row>
    <row r="261" spans="1:23">
      <c r="A261" t="s">
        <v>1213</v>
      </c>
      <c r="B261" t="s">
        <v>1238</v>
      </c>
      <c r="C261" t="s">
        <v>4298</v>
      </c>
      <c r="D261" t="s">
        <v>4299</v>
      </c>
      <c r="E261" t="s">
        <v>80</v>
      </c>
      <c r="F261" t="s">
        <v>4300</v>
      </c>
      <c r="G261" t="s">
        <v>4301</v>
      </c>
      <c r="H261" t="s">
        <v>321</v>
      </c>
      <c r="I261" t="s">
        <v>965</v>
      </c>
      <c r="J261" t="s">
        <v>205</v>
      </c>
      <c r="K261" t="s">
        <v>281</v>
      </c>
      <c r="L261" t="s">
        <v>314</v>
      </c>
      <c r="M261" t="s">
        <v>735</v>
      </c>
      <c r="N261" t="s">
        <v>339</v>
      </c>
      <c r="O261" t="s">
        <v>1218</v>
      </c>
      <c r="P261" s="131">
        <v>38832</v>
      </c>
      <c r="Q261" s="131">
        <v>4.1524000000000001</v>
      </c>
      <c r="R261" s="131">
        <v>3230</v>
      </c>
      <c r="T261" s="131">
        <v>5208.2460000000001</v>
      </c>
      <c r="U261" s="132">
        <v>5.0000000000000002E-5</v>
      </c>
      <c r="V261" s="132">
        <v>3.347E-2</v>
      </c>
      <c r="W261" s="132">
        <v>2.8800000000000002E-3</v>
      </c>
    </row>
    <row r="262" spans="1:23">
      <c r="A262" t="s">
        <v>1213</v>
      </c>
      <c r="B262" t="s">
        <v>1238</v>
      </c>
      <c r="C262" t="s">
        <v>4238</v>
      </c>
      <c r="D262" t="s">
        <v>4239</v>
      </c>
      <c r="E262" t="s">
        <v>80</v>
      </c>
      <c r="F262" t="s">
        <v>4350</v>
      </c>
      <c r="G262" t="s">
        <v>4351</v>
      </c>
      <c r="H262" t="s">
        <v>321</v>
      </c>
      <c r="I262" t="s">
        <v>967</v>
      </c>
      <c r="J262" t="s">
        <v>205</v>
      </c>
      <c r="K262" t="s">
        <v>224</v>
      </c>
      <c r="L262" t="s">
        <v>380</v>
      </c>
      <c r="M262" t="s">
        <v>732</v>
      </c>
      <c r="N262" t="s">
        <v>339</v>
      </c>
      <c r="O262" t="s">
        <v>1216</v>
      </c>
      <c r="P262" s="131">
        <v>13245</v>
      </c>
      <c r="Q262" s="131">
        <v>3.71</v>
      </c>
      <c r="R262" s="131">
        <v>10046</v>
      </c>
      <c r="T262" s="131">
        <v>4936.4989999999998</v>
      </c>
      <c r="U262" s="132">
        <v>0</v>
      </c>
      <c r="V262" s="132">
        <v>3.1719999999999998E-2</v>
      </c>
      <c r="W262" s="132">
        <v>2.7299999999999998E-3</v>
      </c>
    </row>
    <row r="263" spans="1:23">
      <c r="A263" t="s">
        <v>1213</v>
      </c>
      <c r="B263" t="s">
        <v>1238</v>
      </c>
      <c r="C263" t="s">
        <v>4302</v>
      </c>
      <c r="D263" t="s">
        <v>4303</v>
      </c>
      <c r="E263" t="s">
        <v>80</v>
      </c>
      <c r="F263" t="s">
        <v>4304</v>
      </c>
      <c r="G263" t="s">
        <v>4305</v>
      </c>
      <c r="H263" t="s">
        <v>321</v>
      </c>
      <c r="I263" t="s">
        <v>965</v>
      </c>
      <c r="J263" t="s">
        <v>205</v>
      </c>
      <c r="K263" t="s">
        <v>224</v>
      </c>
      <c r="L263" t="s">
        <v>344</v>
      </c>
      <c r="M263" t="s">
        <v>735</v>
      </c>
      <c r="N263" t="s">
        <v>339</v>
      </c>
      <c r="O263" t="s">
        <v>1216</v>
      </c>
      <c r="P263" s="131">
        <v>22834</v>
      </c>
      <c r="Q263" s="131">
        <v>3.71</v>
      </c>
      <c r="R263" s="131">
        <v>4727</v>
      </c>
      <c r="T263" s="131">
        <v>4004.4369999999999</v>
      </c>
      <c r="U263" s="132">
        <v>1.0000000000000001E-5</v>
      </c>
      <c r="V263" s="132">
        <v>2.5729999999999999E-2</v>
      </c>
      <c r="W263" s="132">
        <v>2.2100000000000002E-3</v>
      </c>
    </row>
    <row r="264" spans="1:23">
      <c r="A264" t="s">
        <v>1213</v>
      </c>
      <c r="B264" t="s">
        <v>1238</v>
      </c>
      <c r="C264" t="s">
        <v>4260</v>
      </c>
      <c r="D264" t="s">
        <v>4261</v>
      </c>
      <c r="E264" t="s">
        <v>80</v>
      </c>
      <c r="F264" t="s">
        <v>4352</v>
      </c>
      <c r="G264" t="s">
        <v>4353</v>
      </c>
      <c r="H264" t="s">
        <v>321</v>
      </c>
      <c r="I264" t="s">
        <v>965</v>
      </c>
      <c r="J264" t="s">
        <v>205</v>
      </c>
      <c r="K264" t="s">
        <v>224</v>
      </c>
      <c r="L264" t="s">
        <v>344</v>
      </c>
      <c r="M264" t="s">
        <v>735</v>
      </c>
      <c r="N264" t="s">
        <v>339</v>
      </c>
      <c r="O264" t="s">
        <v>1216</v>
      </c>
      <c r="P264" s="131">
        <v>2846</v>
      </c>
      <c r="Q264" s="131">
        <v>3.71</v>
      </c>
      <c r="R264" s="131">
        <v>8937</v>
      </c>
      <c r="T264" s="131">
        <v>943.62699999999995</v>
      </c>
      <c r="U264" s="132">
        <v>0</v>
      </c>
      <c r="V264" s="132">
        <v>6.0600000000000003E-3</v>
      </c>
      <c r="W264" s="132">
        <v>5.1999999999999995E-4</v>
      </c>
    </row>
    <row r="265" spans="1:23">
      <c r="A265" t="s">
        <v>1213</v>
      </c>
      <c r="B265" t="s">
        <v>1241</v>
      </c>
      <c r="C265" t="s">
        <v>4111</v>
      </c>
      <c r="D265" t="s">
        <v>4112</v>
      </c>
      <c r="E265" t="s">
        <v>309</v>
      </c>
      <c r="F265" t="s">
        <v>4139</v>
      </c>
      <c r="G265" t="s">
        <v>4140</v>
      </c>
      <c r="H265" t="s">
        <v>321</v>
      </c>
      <c r="I265" t="s">
        <v>966</v>
      </c>
      <c r="J265" t="s">
        <v>204</v>
      </c>
      <c r="K265" t="s">
        <v>204</v>
      </c>
      <c r="L265" t="s">
        <v>340</v>
      </c>
      <c r="M265" t="s">
        <v>576</v>
      </c>
      <c r="N265" t="s">
        <v>339</v>
      </c>
      <c r="O265" t="s">
        <v>1212</v>
      </c>
      <c r="P265" s="131">
        <v>56196</v>
      </c>
      <c r="Q265" s="131">
        <v>1</v>
      </c>
      <c r="R265" s="131">
        <v>3637.39</v>
      </c>
      <c r="T265" s="131">
        <v>2044.068</v>
      </c>
      <c r="U265" s="132">
        <v>4.0000000000000002E-4</v>
      </c>
      <c r="V265" s="132">
        <v>0.16539000000000001</v>
      </c>
      <c r="W265" s="132">
        <v>5.3899999999999998E-3</v>
      </c>
    </row>
    <row r="266" spans="1:23">
      <c r="A266" t="s">
        <v>1213</v>
      </c>
      <c r="B266" t="s">
        <v>1241</v>
      </c>
      <c r="C266" t="s">
        <v>4111</v>
      </c>
      <c r="D266" t="s">
        <v>4112</v>
      </c>
      <c r="E266" t="s">
        <v>309</v>
      </c>
      <c r="F266" t="s">
        <v>4310</v>
      </c>
      <c r="G266" t="s">
        <v>4311</v>
      </c>
      <c r="H266" t="s">
        <v>321</v>
      </c>
      <c r="I266" t="s">
        <v>966</v>
      </c>
      <c r="J266" t="s">
        <v>204</v>
      </c>
      <c r="K266" t="s">
        <v>204</v>
      </c>
      <c r="L266" t="s">
        <v>340</v>
      </c>
      <c r="M266" t="s">
        <v>573</v>
      </c>
      <c r="N266" t="s">
        <v>339</v>
      </c>
      <c r="O266" t="s">
        <v>1212</v>
      </c>
      <c r="P266" s="131">
        <v>54975</v>
      </c>
      <c r="Q266" s="131">
        <v>1</v>
      </c>
      <c r="R266" s="131">
        <v>3695.59</v>
      </c>
      <c r="T266" s="131">
        <v>2031.6510000000001</v>
      </c>
      <c r="U266" s="132">
        <v>6.9999999999999999E-4</v>
      </c>
      <c r="V266" s="132">
        <v>0.16439000000000001</v>
      </c>
      <c r="W266" s="132">
        <v>5.3600000000000002E-3</v>
      </c>
    </row>
    <row r="267" spans="1:23">
      <c r="A267" t="s">
        <v>1213</v>
      </c>
      <c r="B267" t="s">
        <v>1241</v>
      </c>
      <c r="C267" t="s">
        <v>4238</v>
      </c>
      <c r="D267" t="s">
        <v>4239</v>
      </c>
      <c r="E267" t="s">
        <v>80</v>
      </c>
      <c r="F267" t="s">
        <v>4242</v>
      </c>
      <c r="G267" t="s">
        <v>4243</v>
      </c>
      <c r="H267" t="s">
        <v>321</v>
      </c>
      <c r="I267" t="s">
        <v>965</v>
      </c>
      <c r="J267" t="s">
        <v>205</v>
      </c>
      <c r="K267" t="s">
        <v>224</v>
      </c>
      <c r="L267" t="s">
        <v>344</v>
      </c>
      <c r="M267" t="s">
        <v>602</v>
      </c>
      <c r="N267" t="s">
        <v>339</v>
      </c>
      <c r="O267" t="s">
        <v>1216</v>
      </c>
      <c r="P267" s="131">
        <v>2977</v>
      </c>
      <c r="Q267" s="131">
        <v>3.71</v>
      </c>
      <c r="R267" s="131">
        <v>22089</v>
      </c>
      <c r="T267" s="131">
        <v>2439.6570000000002</v>
      </c>
      <c r="U267" s="132">
        <v>0</v>
      </c>
      <c r="V267" s="132">
        <v>0.19739999999999999</v>
      </c>
      <c r="W267" s="132">
        <v>6.43E-3</v>
      </c>
    </row>
    <row r="268" spans="1:23">
      <c r="A268" t="s">
        <v>1213</v>
      </c>
      <c r="B268" t="s">
        <v>1241</v>
      </c>
      <c r="C268" t="s">
        <v>4238</v>
      </c>
      <c r="D268" t="s">
        <v>4239</v>
      </c>
      <c r="E268" t="s">
        <v>80</v>
      </c>
      <c r="F268" t="s">
        <v>4338</v>
      </c>
      <c r="G268" t="s">
        <v>4339</v>
      </c>
      <c r="H268" t="s">
        <v>321</v>
      </c>
      <c r="I268" t="s">
        <v>967</v>
      </c>
      <c r="J268" t="s">
        <v>205</v>
      </c>
      <c r="K268" t="s">
        <v>224</v>
      </c>
      <c r="L268" t="s">
        <v>344</v>
      </c>
      <c r="M268" t="s">
        <v>732</v>
      </c>
      <c r="N268" t="s">
        <v>339</v>
      </c>
      <c r="O268" t="s">
        <v>1216</v>
      </c>
      <c r="P268" s="131">
        <v>3922</v>
      </c>
      <c r="Q268" s="131">
        <v>3.71</v>
      </c>
      <c r="R268" s="131">
        <v>11298</v>
      </c>
      <c r="T268" s="131">
        <v>1643.9290000000001</v>
      </c>
      <c r="U268" s="132">
        <v>0</v>
      </c>
      <c r="V268" s="132">
        <v>0.13300999999999999</v>
      </c>
      <c r="W268" s="132">
        <v>4.3299999999999996E-3</v>
      </c>
    </row>
    <row r="269" spans="1:23">
      <c r="A269" t="s">
        <v>1213</v>
      </c>
      <c r="B269" t="s">
        <v>1241</v>
      </c>
      <c r="C269" t="s">
        <v>4099</v>
      </c>
      <c r="D269" t="s">
        <v>4100</v>
      </c>
      <c r="E269" t="s">
        <v>80</v>
      </c>
      <c r="F269" t="s">
        <v>4101</v>
      </c>
      <c r="G269" t="s">
        <v>4102</v>
      </c>
      <c r="H269" t="s">
        <v>321</v>
      </c>
      <c r="I269" t="s">
        <v>965</v>
      </c>
      <c r="J269" t="s">
        <v>205</v>
      </c>
      <c r="K269" t="s">
        <v>224</v>
      </c>
      <c r="L269" t="s">
        <v>344</v>
      </c>
      <c r="M269" t="s">
        <v>604</v>
      </c>
      <c r="N269" t="s">
        <v>339</v>
      </c>
      <c r="O269" t="s">
        <v>1216</v>
      </c>
      <c r="P269" s="131">
        <v>682</v>
      </c>
      <c r="Q269" s="131">
        <v>3.71</v>
      </c>
      <c r="R269" s="131">
        <v>57376</v>
      </c>
      <c r="S269" s="131">
        <f>0.896+57.14/1000/Q269</f>
        <v>0.91140161725067392</v>
      </c>
      <c r="T269" s="131">
        <f>1455.062+57.14/1000</f>
        <v>1455.1191399999998</v>
      </c>
      <c r="U269" s="132">
        <v>0</v>
      </c>
      <c r="V269" s="132">
        <v>0.11781</v>
      </c>
      <c r="W269" s="132">
        <v>3.8400000000000001E-3</v>
      </c>
    </row>
    <row r="270" spans="1:23">
      <c r="A270" t="s">
        <v>1213</v>
      </c>
      <c r="B270" t="s">
        <v>1241</v>
      </c>
      <c r="C270" t="s">
        <v>4238</v>
      </c>
      <c r="D270" t="s">
        <v>4239</v>
      </c>
      <c r="E270" t="s">
        <v>80</v>
      </c>
      <c r="F270" t="s">
        <v>4350</v>
      </c>
      <c r="G270" t="s">
        <v>4351</v>
      </c>
      <c r="H270" t="s">
        <v>321</v>
      </c>
      <c r="I270" t="s">
        <v>967</v>
      </c>
      <c r="J270" t="s">
        <v>205</v>
      </c>
      <c r="K270" t="s">
        <v>224</v>
      </c>
      <c r="L270" t="s">
        <v>380</v>
      </c>
      <c r="M270" t="s">
        <v>732</v>
      </c>
      <c r="N270" t="s">
        <v>339</v>
      </c>
      <c r="O270" t="s">
        <v>1216</v>
      </c>
      <c r="P270" s="131">
        <v>3831</v>
      </c>
      <c r="Q270" s="131">
        <v>3.71</v>
      </c>
      <c r="R270" s="131">
        <v>10046</v>
      </c>
      <c r="T270" s="131">
        <v>1427.8389999999999</v>
      </c>
      <c r="U270" s="132">
        <v>0</v>
      </c>
      <c r="V270" s="132">
        <v>0.11552999999999999</v>
      </c>
      <c r="W270" s="132">
        <v>3.7599999999999999E-3</v>
      </c>
    </row>
    <row r="271" spans="1:23">
      <c r="A271" t="s">
        <v>1213</v>
      </c>
      <c r="B271" t="s">
        <v>1241</v>
      </c>
      <c r="C271" t="s">
        <v>4238</v>
      </c>
      <c r="D271" t="s">
        <v>4239</v>
      </c>
      <c r="E271" t="s">
        <v>80</v>
      </c>
      <c r="F271" t="s">
        <v>4356</v>
      </c>
      <c r="G271" t="s">
        <v>4357</v>
      </c>
      <c r="H271" t="s">
        <v>321</v>
      </c>
      <c r="I271" t="s">
        <v>965</v>
      </c>
      <c r="J271" t="s">
        <v>205</v>
      </c>
      <c r="K271" t="s">
        <v>224</v>
      </c>
      <c r="L271" t="s">
        <v>344</v>
      </c>
      <c r="M271" t="s">
        <v>595</v>
      </c>
      <c r="N271" t="s">
        <v>339</v>
      </c>
      <c r="O271" t="s">
        <v>1216</v>
      </c>
      <c r="P271" s="131">
        <v>2262</v>
      </c>
      <c r="Q271" s="131">
        <v>3.71</v>
      </c>
      <c r="R271" s="131">
        <v>15691</v>
      </c>
      <c r="T271" s="131">
        <v>1316.7919999999999</v>
      </c>
      <c r="U271" s="132">
        <v>0</v>
      </c>
      <c r="V271" s="132">
        <v>0.10655000000000001</v>
      </c>
      <c r="W271" s="132">
        <v>3.47E-3</v>
      </c>
    </row>
    <row r="272" spans="1:23">
      <c r="A272" t="s">
        <v>1213</v>
      </c>
      <c r="B272" t="s">
        <v>1242</v>
      </c>
      <c r="C272" t="s">
        <v>4181</v>
      </c>
      <c r="D272" t="s">
        <v>4182</v>
      </c>
      <c r="E272" t="s">
        <v>309</v>
      </c>
      <c r="F272" t="s">
        <v>4183</v>
      </c>
      <c r="G272" t="s">
        <v>4184</v>
      </c>
      <c r="H272" t="s">
        <v>321</v>
      </c>
      <c r="I272" t="s">
        <v>965</v>
      </c>
      <c r="J272" t="s">
        <v>204</v>
      </c>
      <c r="K272" t="s">
        <v>204</v>
      </c>
      <c r="L272" t="s">
        <v>340</v>
      </c>
      <c r="M272" t="s">
        <v>605</v>
      </c>
      <c r="N272" t="s">
        <v>339</v>
      </c>
      <c r="O272" t="s">
        <v>1212</v>
      </c>
      <c r="P272" s="131">
        <v>183842</v>
      </c>
      <c r="Q272" s="131">
        <v>1</v>
      </c>
      <c r="R272" s="131">
        <v>9006</v>
      </c>
      <c r="T272" s="131">
        <v>16556.811000000002</v>
      </c>
      <c r="U272" s="132">
        <v>7.6600000000000001E-3</v>
      </c>
      <c r="V272" s="132">
        <v>8.9160000000000003E-2</v>
      </c>
      <c r="W272" s="132">
        <v>4.3270000000000003E-2</v>
      </c>
    </row>
    <row r="273" spans="1:23">
      <c r="A273" t="s">
        <v>1213</v>
      </c>
      <c r="B273" t="s">
        <v>1242</v>
      </c>
      <c r="C273" t="s">
        <v>4123</v>
      </c>
      <c r="D273" t="s">
        <v>4124</v>
      </c>
      <c r="E273" t="s">
        <v>309</v>
      </c>
      <c r="F273" t="s">
        <v>4163</v>
      </c>
      <c r="G273" t="s">
        <v>4164</v>
      </c>
      <c r="H273" t="s">
        <v>321</v>
      </c>
      <c r="I273" t="s">
        <v>965</v>
      </c>
      <c r="J273" t="s">
        <v>204</v>
      </c>
      <c r="K273" t="s">
        <v>204</v>
      </c>
      <c r="L273" t="s">
        <v>340</v>
      </c>
      <c r="M273" t="s">
        <v>598</v>
      </c>
      <c r="N273" t="s">
        <v>339</v>
      </c>
      <c r="O273" t="s">
        <v>1212</v>
      </c>
      <c r="P273" s="131">
        <v>87800</v>
      </c>
      <c r="Q273" s="131">
        <v>1</v>
      </c>
      <c r="R273" s="131">
        <v>16380</v>
      </c>
      <c r="T273" s="131">
        <v>14381.64</v>
      </c>
      <c r="U273" s="132">
        <v>1.74E-3</v>
      </c>
      <c r="V273" s="132">
        <v>7.7450000000000005E-2</v>
      </c>
      <c r="W273" s="132">
        <v>3.7580000000000002E-2</v>
      </c>
    </row>
    <row r="274" spans="1:23">
      <c r="A274" t="s">
        <v>1213</v>
      </c>
      <c r="B274" t="s">
        <v>1242</v>
      </c>
      <c r="C274" t="s">
        <v>4107</v>
      </c>
      <c r="D274" t="s">
        <v>4108</v>
      </c>
      <c r="E274" t="s">
        <v>309</v>
      </c>
      <c r="F274" t="s">
        <v>4115</v>
      </c>
      <c r="G274" t="s">
        <v>4116</v>
      </c>
      <c r="H274" t="s">
        <v>321</v>
      </c>
      <c r="I274" t="s">
        <v>965</v>
      </c>
      <c r="J274" t="s">
        <v>204</v>
      </c>
      <c r="K274" t="s">
        <v>204</v>
      </c>
      <c r="L274" t="s">
        <v>340</v>
      </c>
      <c r="M274" t="s">
        <v>605</v>
      </c>
      <c r="N274" t="s">
        <v>339</v>
      </c>
      <c r="O274" t="s">
        <v>1212</v>
      </c>
      <c r="P274" s="131">
        <v>165247</v>
      </c>
      <c r="Q274" s="131">
        <v>1</v>
      </c>
      <c r="R274" s="131">
        <v>7341</v>
      </c>
      <c r="T274" s="131">
        <v>12130.781999999999</v>
      </c>
      <c r="U274" s="132">
        <v>5.3299999999999997E-3</v>
      </c>
      <c r="V274" s="132">
        <v>6.5329999999999999E-2</v>
      </c>
      <c r="W274" s="132">
        <v>3.1699999999999999E-2</v>
      </c>
    </row>
    <row r="275" spans="1:23">
      <c r="A275" t="s">
        <v>1213</v>
      </c>
      <c r="B275" t="s">
        <v>1242</v>
      </c>
      <c r="C275" t="s">
        <v>4127</v>
      </c>
      <c r="D275" t="s">
        <v>4128</v>
      </c>
      <c r="E275" t="s">
        <v>309</v>
      </c>
      <c r="F275" t="s">
        <v>4131</v>
      </c>
      <c r="G275" t="s">
        <v>4132</v>
      </c>
      <c r="H275" t="s">
        <v>321</v>
      </c>
      <c r="I275" t="s">
        <v>965</v>
      </c>
      <c r="J275" t="s">
        <v>204</v>
      </c>
      <c r="K275" t="s">
        <v>204</v>
      </c>
      <c r="L275" t="s">
        <v>340</v>
      </c>
      <c r="M275" t="s">
        <v>605</v>
      </c>
      <c r="N275" t="s">
        <v>339</v>
      </c>
      <c r="O275" t="s">
        <v>1212</v>
      </c>
      <c r="P275" s="131">
        <v>205873</v>
      </c>
      <c r="Q275" s="131">
        <v>1</v>
      </c>
      <c r="R275" s="131">
        <v>5590</v>
      </c>
      <c r="T275" s="131">
        <v>11508.300999999999</v>
      </c>
      <c r="U275" s="132">
        <v>1.6900000000000001E-3</v>
      </c>
      <c r="V275" s="132">
        <v>6.1969999999999997E-2</v>
      </c>
      <c r="W275" s="132">
        <v>3.007E-2</v>
      </c>
    </row>
    <row r="276" spans="1:23">
      <c r="A276" t="s">
        <v>1213</v>
      </c>
      <c r="B276" t="s">
        <v>1242</v>
      </c>
      <c r="C276" t="s">
        <v>4111</v>
      </c>
      <c r="D276" t="s">
        <v>4112</v>
      </c>
      <c r="E276" t="s">
        <v>309</v>
      </c>
      <c r="F276" t="s">
        <v>4113</v>
      </c>
      <c r="G276" t="s">
        <v>4114</v>
      </c>
      <c r="H276" t="s">
        <v>321</v>
      </c>
      <c r="I276" t="s">
        <v>965</v>
      </c>
      <c r="J276" t="s">
        <v>204</v>
      </c>
      <c r="K276" t="s">
        <v>204</v>
      </c>
      <c r="L276" t="s">
        <v>340</v>
      </c>
      <c r="M276" t="s">
        <v>605</v>
      </c>
      <c r="N276" t="s">
        <v>339</v>
      </c>
      <c r="O276" t="s">
        <v>1212</v>
      </c>
      <c r="P276" s="131">
        <v>171621.83</v>
      </c>
      <c r="Q276" s="131">
        <v>1</v>
      </c>
      <c r="R276" s="131">
        <v>5505</v>
      </c>
      <c r="T276" s="131">
        <v>9447.7819999999992</v>
      </c>
      <c r="U276" s="132">
        <v>2.2599999999999999E-3</v>
      </c>
      <c r="V276" s="132">
        <v>5.0880000000000002E-2</v>
      </c>
      <c r="W276" s="132">
        <v>2.469E-2</v>
      </c>
    </row>
    <row r="277" spans="1:23">
      <c r="A277" t="s">
        <v>1213</v>
      </c>
      <c r="B277" t="s">
        <v>1242</v>
      </c>
      <c r="C277" t="s">
        <v>4117</v>
      </c>
      <c r="D277" t="s">
        <v>4118</v>
      </c>
      <c r="E277" t="s">
        <v>309</v>
      </c>
      <c r="F277" t="s">
        <v>4151</v>
      </c>
      <c r="G277" t="s">
        <v>4152</v>
      </c>
      <c r="H277" t="s">
        <v>321</v>
      </c>
      <c r="I277" t="s">
        <v>965</v>
      </c>
      <c r="J277" t="s">
        <v>204</v>
      </c>
      <c r="K277" t="s">
        <v>204</v>
      </c>
      <c r="L277" t="s">
        <v>340</v>
      </c>
      <c r="M277" t="s">
        <v>604</v>
      </c>
      <c r="N277" t="s">
        <v>339</v>
      </c>
      <c r="O277" t="s">
        <v>1212</v>
      </c>
      <c r="P277" s="131">
        <v>28335</v>
      </c>
      <c r="Q277" s="131">
        <v>1</v>
      </c>
      <c r="R277" s="131">
        <v>21020</v>
      </c>
      <c r="T277" s="131">
        <v>5956.0169999999998</v>
      </c>
      <c r="U277" s="132">
        <v>2.7999999999999998E-4</v>
      </c>
      <c r="V277" s="132">
        <v>3.2070000000000001E-2</v>
      </c>
      <c r="W277" s="132">
        <v>1.5559999999999999E-2</v>
      </c>
    </row>
    <row r="278" spans="1:23">
      <c r="A278" t="s">
        <v>1213</v>
      </c>
      <c r="B278" t="s">
        <v>1242</v>
      </c>
      <c r="C278" t="s">
        <v>4111</v>
      </c>
      <c r="D278" t="s">
        <v>4112</v>
      </c>
      <c r="E278" t="s">
        <v>309</v>
      </c>
      <c r="F278" t="s">
        <v>4147</v>
      </c>
      <c r="G278" t="s">
        <v>4148</v>
      </c>
      <c r="H278" t="s">
        <v>321</v>
      </c>
      <c r="I278" t="s">
        <v>965</v>
      </c>
      <c r="J278" t="s">
        <v>204</v>
      </c>
      <c r="K278" t="s">
        <v>204</v>
      </c>
      <c r="L278" t="s">
        <v>340</v>
      </c>
      <c r="M278" t="s">
        <v>604</v>
      </c>
      <c r="N278" t="s">
        <v>339</v>
      </c>
      <c r="O278" t="s">
        <v>1212</v>
      </c>
      <c r="P278" s="131">
        <v>18257</v>
      </c>
      <c r="Q278" s="131">
        <v>1</v>
      </c>
      <c r="R278" s="131">
        <v>23280</v>
      </c>
      <c r="T278" s="131">
        <v>4250.2299999999996</v>
      </c>
      <c r="U278" s="132">
        <v>6.6E-4</v>
      </c>
      <c r="V278" s="132">
        <v>2.2890000000000001E-2</v>
      </c>
      <c r="W278" s="132">
        <v>1.111E-2</v>
      </c>
    </row>
    <row r="279" spans="1:23">
      <c r="A279" t="s">
        <v>1213</v>
      </c>
      <c r="B279" t="s">
        <v>1242</v>
      </c>
      <c r="C279" t="s">
        <v>4111</v>
      </c>
      <c r="D279" t="s">
        <v>4112</v>
      </c>
      <c r="E279" t="s">
        <v>309</v>
      </c>
      <c r="F279" t="s">
        <v>4197</v>
      </c>
      <c r="G279" t="s">
        <v>4198</v>
      </c>
      <c r="H279" t="s">
        <v>321</v>
      </c>
      <c r="I279" t="s">
        <v>965</v>
      </c>
      <c r="J279" t="s">
        <v>204</v>
      </c>
      <c r="K279" t="s">
        <v>204</v>
      </c>
      <c r="L279" t="s">
        <v>340</v>
      </c>
      <c r="M279" t="s">
        <v>598</v>
      </c>
      <c r="N279" t="s">
        <v>339</v>
      </c>
      <c r="O279" t="s">
        <v>1212</v>
      </c>
      <c r="P279" s="131">
        <v>19508</v>
      </c>
      <c r="Q279" s="131">
        <v>1</v>
      </c>
      <c r="R279" s="131">
        <v>16780</v>
      </c>
      <c r="T279" s="131">
        <v>3273.442</v>
      </c>
      <c r="U279" s="132">
        <v>1.98E-3</v>
      </c>
      <c r="V279" s="132">
        <v>1.763E-2</v>
      </c>
      <c r="W279" s="132">
        <v>8.5500000000000003E-3</v>
      </c>
    </row>
    <row r="280" spans="1:23">
      <c r="A280" t="s">
        <v>1213</v>
      </c>
      <c r="B280" t="s">
        <v>1242</v>
      </c>
      <c r="C280" t="s">
        <v>4123</v>
      </c>
      <c r="D280" t="s">
        <v>4124</v>
      </c>
      <c r="E280" t="s">
        <v>309</v>
      </c>
      <c r="F280" t="s">
        <v>4135</v>
      </c>
      <c r="G280" t="s">
        <v>4136</v>
      </c>
      <c r="H280" t="s">
        <v>321</v>
      </c>
      <c r="I280" t="s">
        <v>965</v>
      </c>
      <c r="J280" t="s">
        <v>204</v>
      </c>
      <c r="K280" t="s">
        <v>204</v>
      </c>
      <c r="L280" t="s">
        <v>340</v>
      </c>
      <c r="M280" t="s">
        <v>605</v>
      </c>
      <c r="N280" t="s">
        <v>339</v>
      </c>
      <c r="O280" t="s">
        <v>1212</v>
      </c>
      <c r="P280" s="131">
        <v>60434</v>
      </c>
      <c r="Q280" s="131">
        <v>1</v>
      </c>
      <c r="R280" s="131">
        <v>5069</v>
      </c>
      <c r="T280" s="131">
        <v>3063.3989999999999</v>
      </c>
      <c r="U280" s="132">
        <v>4.6999999999999999E-4</v>
      </c>
      <c r="V280" s="132">
        <v>1.6500000000000001E-2</v>
      </c>
      <c r="W280" s="132">
        <v>8.0099999999999998E-3</v>
      </c>
    </row>
    <row r="281" spans="1:23">
      <c r="A281" t="s">
        <v>1213</v>
      </c>
      <c r="B281" t="s">
        <v>1242</v>
      </c>
      <c r="C281" t="s">
        <v>4111</v>
      </c>
      <c r="D281" t="s">
        <v>4112</v>
      </c>
      <c r="E281" t="s">
        <v>309</v>
      </c>
      <c r="F281" t="s">
        <v>4358</v>
      </c>
      <c r="G281" t="s">
        <v>4359</v>
      </c>
      <c r="H281" t="s">
        <v>321</v>
      </c>
      <c r="I281" t="s">
        <v>964</v>
      </c>
      <c r="J281" t="s">
        <v>204</v>
      </c>
      <c r="K281" t="s">
        <v>204</v>
      </c>
      <c r="L281" t="s">
        <v>340</v>
      </c>
      <c r="M281" t="s">
        <v>608</v>
      </c>
      <c r="N281" t="s">
        <v>339</v>
      </c>
      <c r="O281" t="s">
        <v>1212</v>
      </c>
      <c r="P281" s="131">
        <v>48500</v>
      </c>
      <c r="Q281" s="131">
        <v>1</v>
      </c>
      <c r="R281" s="131">
        <v>6060</v>
      </c>
      <c r="T281" s="131">
        <v>2939.1</v>
      </c>
      <c r="U281" s="132">
        <v>4.7299999999999998E-3</v>
      </c>
      <c r="V281" s="132">
        <v>1.583E-2</v>
      </c>
      <c r="W281" s="132">
        <v>7.6800000000000002E-3</v>
      </c>
    </row>
    <row r="282" spans="1:23">
      <c r="A282" t="s">
        <v>1213</v>
      </c>
      <c r="B282" t="s">
        <v>1242</v>
      </c>
      <c r="C282" t="s">
        <v>4107</v>
      </c>
      <c r="D282" t="s">
        <v>4108</v>
      </c>
      <c r="E282" t="s">
        <v>309</v>
      </c>
      <c r="F282" t="s">
        <v>4177</v>
      </c>
      <c r="G282" t="s">
        <v>4178</v>
      </c>
      <c r="H282" t="s">
        <v>321</v>
      </c>
      <c r="I282" t="s">
        <v>965</v>
      </c>
      <c r="J282" t="s">
        <v>204</v>
      </c>
      <c r="K282" t="s">
        <v>204</v>
      </c>
      <c r="L282" t="s">
        <v>340</v>
      </c>
      <c r="M282" t="s">
        <v>598</v>
      </c>
      <c r="N282" t="s">
        <v>339</v>
      </c>
      <c r="O282" t="s">
        <v>1212</v>
      </c>
      <c r="P282" s="131">
        <v>33733</v>
      </c>
      <c r="Q282" s="131">
        <v>1</v>
      </c>
      <c r="R282" s="131">
        <v>7969</v>
      </c>
      <c r="T282" s="131">
        <v>2688.183</v>
      </c>
      <c r="U282" s="132">
        <v>2.5300000000000001E-3</v>
      </c>
      <c r="V282" s="132">
        <v>1.448E-2</v>
      </c>
      <c r="W282" s="132">
        <v>7.0200000000000002E-3</v>
      </c>
    </row>
    <row r="283" spans="1:23">
      <c r="A283" t="s">
        <v>1213</v>
      </c>
      <c r="B283" t="s">
        <v>1242</v>
      </c>
      <c r="C283" t="s">
        <v>4117</v>
      </c>
      <c r="D283" t="s">
        <v>4118</v>
      </c>
      <c r="E283" t="s">
        <v>309</v>
      </c>
      <c r="F283" t="s">
        <v>4213</v>
      </c>
      <c r="G283" t="s">
        <v>4214</v>
      </c>
      <c r="H283" t="s">
        <v>321</v>
      </c>
      <c r="I283" t="s">
        <v>965</v>
      </c>
      <c r="J283" t="s">
        <v>204</v>
      </c>
      <c r="K283" t="s">
        <v>204</v>
      </c>
      <c r="L283" t="s">
        <v>340</v>
      </c>
      <c r="M283" t="s">
        <v>582</v>
      </c>
      <c r="N283" t="s">
        <v>339</v>
      </c>
      <c r="O283" t="s">
        <v>1212</v>
      </c>
      <c r="P283" s="131">
        <v>8691</v>
      </c>
      <c r="Q283" s="131">
        <v>1</v>
      </c>
      <c r="R283" s="131">
        <v>16570</v>
      </c>
      <c r="T283" s="131">
        <v>1440.0989999999999</v>
      </c>
      <c r="U283" s="132">
        <v>3.8000000000000002E-4</v>
      </c>
      <c r="V283" s="132">
        <v>7.7600000000000004E-3</v>
      </c>
      <c r="W283" s="132">
        <v>3.7599999999999999E-3</v>
      </c>
    </row>
    <row r="284" spans="1:23">
      <c r="A284" t="s">
        <v>1213</v>
      </c>
      <c r="B284" t="s">
        <v>1242</v>
      </c>
      <c r="C284" t="s">
        <v>4111</v>
      </c>
      <c r="D284" t="s">
        <v>4112</v>
      </c>
      <c r="E284" t="s">
        <v>309</v>
      </c>
      <c r="F284" t="s">
        <v>4342</v>
      </c>
      <c r="G284" t="s">
        <v>4343</v>
      </c>
      <c r="H284" t="s">
        <v>321</v>
      </c>
      <c r="I284" t="s">
        <v>965</v>
      </c>
      <c r="J284" t="s">
        <v>204</v>
      </c>
      <c r="K284" t="s">
        <v>204</v>
      </c>
      <c r="L284" t="s">
        <v>340</v>
      </c>
      <c r="M284" t="s">
        <v>588</v>
      </c>
      <c r="N284" t="s">
        <v>339</v>
      </c>
      <c r="O284" t="s">
        <v>1212</v>
      </c>
      <c r="P284" s="131">
        <v>249</v>
      </c>
      <c r="Q284" s="131">
        <v>1</v>
      </c>
      <c r="R284" s="131">
        <v>6911</v>
      </c>
      <c r="T284" s="131">
        <v>17.207999999999998</v>
      </c>
      <c r="U284" s="132">
        <v>3.0000000000000001E-5</v>
      </c>
      <c r="V284" s="132">
        <v>9.0000000000000006E-5</v>
      </c>
      <c r="W284" s="132">
        <v>4.0000000000000003E-5</v>
      </c>
    </row>
    <row r="285" spans="1:23">
      <c r="A285" t="s">
        <v>1213</v>
      </c>
      <c r="B285" t="s">
        <v>1242</v>
      </c>
      <c r="C285" t="s">
        <v>4103</v>
      </c>
      <c r="D285" t="s">
        <v>4104</v>
      </c>
      <c r="E285" t="s">
        <v>80</v>
      </c>
      <c r="F285" t="s">
        <v>4105</v>
      </c>
      <c r="G285" t="s">
        <v>4106</v>
      </c>
      <c r="H285" t="s">
        <v>321</v>
      </c>
      <c r="I285" t="s">
        <v>965</v>
      </c>
      <c r="J285" t="s">
        <v>205</v>
      </c>
      <c r="K285" t="s">
        <v>224</v>
      </c>
      <c r="L285" t="s">
        <v>380</v>
      </c>
      <c r="M285" t="s">
        <v>604</v>
      </c>
      <c r="N285" t="s">
        <v>339</v>
      </c>
      <c r="O285" t="s">
        <v>1216</v>
      </c>
      <c r="P285" s="131">
        <v>4761</v>
      </c>
      <c r="Q285" s="131">
        <v>3.71</v>
      </c>
      <c r="R285" s="131">
        <v>112716</v>
      </c>
      <c r="T285" s="131">
        <v>19909.376</v>
      </c>
      <c r="U285" s="132">
        <v>0</v>
      </c>
      <c r="V285" s="132">
        <v>0.10721</v>
      </c>
      <c r="W285" s="132">
        <v>5.203E-2</v>
      </c>
    </row>
    <row r="286" spans="1:23">
      <c r="A286" t="s">
        <v>1213</v>
      </c>
      <c r="B286" t="s">
        <v>1242</v>
      </c>
      <c r="C286" t="s">
        <v>4095</v>
      </c>
      <c r="D286" t="s">
        <v>4096</v>
      </c>
      <c r="E286" t="s">
        <v>80</v>
      </c>
      <c r="F286" t="s">
        <v>4097</v>
      </c>
      <c r="G286" t="s">
        <v>4098</v>
      </c>
      <c r="H286" t="s">
        <v>321</v>
      </c>
      <c r="I286" t="s">
        <v>965</v>
      </c>
      <c r="J286" t="s">
        <v>205</v>
      </c>
      <c r="K286" t="s">
        <v>224</v>
      </c>
      <c r="L286" t="s">
        <v>346</v>
      </c>
      <c r="M286" t="s">
        <v>597</v>
      </c>
      <c r="N286" t="s">
        <v>339</v>
      </c>
      <c r="O286" t="s">
        <v>1216</v>
      </c>
      <c r="P286" s="131">
        <v>9197</v>
      </c>
      <c r="Q286" s="131">
        <v>3.71</v>
      </c>
      <c r="R286" s="131">
        <v>48807</v>
      </c>
      <c r="S286" s="131">
        <f>4.684+298.8/1000/Q286</f>
        <v>4.7645390835579517</v>
      </c>
      <c r="T286" s="131">
        <f>16670.75+298.8/1000</f>
        <v>16671.0488</v>
      </c>
      <c r="U286" s="132">
        <v>0</v>
      </c>
      <c r="V286" s="132">
        <v>8.9800000000000005E-2</v>
      </c>
      <c r="W286" s="132">
        <v>4.3580000000000001E-2</v>
      </c>
    </row>
    <row r="287" spans="1:23">
      <c r="A287" t="s">
        <v>1213</v>
      </c>
      <c r="B287" t="s">
        <v>1242</v>
      </c>
      <c r="C287" t="s">
        <v>4099</v>
      </c>
      <c r="D287" t="s">
        <v>4100</v>
      </c>
      <c r="E287" t="s">
        <v>80</v>
      </c>
      <c r="F287" t="s">
        <v>4101</v>
      </c>
      <c r="G287" t="s">
        <v>4102</v>
      </c>
      <c r="H287" t="s">
        <v>321</v>
      </c>
      <c r="I287" t="s">
        <v>965</v>
      </c>
      <c r="J287" t="s">
        <v>205</v>
      </c>
      <c r="K287" t="s">
        <v>224</v>
      </c>
      <c r="L287" t="s">
        <v>344</v>
      </c>
      <c r="M287" t="s">
        <v>604</v>
      </c>
      <c r="N287" t="s">
        <v>339</v>
      </c>
      <c r="O287" t="s">
        <v>1216</v>
      </c>
      <c r="P287" s="131">
        <v>7566</v>
      </c>
      <c r="Q287" s="131">
        <v>3.71</v>
      </c>
      <c r="R287" s="131">
        <v>57376</v>
      </c>
      <c r="S287" s="131">
        <f>9.937+633.93/1000/Q287</f>
        <v>10.107870619946091</v>
      </c>
      <c r="T287" s="131">
        <f>16142.229+633.93/1000</f>
        <v>16142.862929999999</v>
      </c>
      <c r="U287" s="132">
        <v>0</v>
      </c>
      <c r="V287" s="132">
        <v>8.6980000000000002E-2</v>
      </c>
      <c r="W287" s="132">
        <v>4.2209999999999998E-2</v>
      </c>
    </row>
    <row r="288" spans="1:23">
      <c r="A288" t="s">
        <v>1213</v>
      </c>
      <c r="B288" t="s">
        <v>1242</v>
      </c>
      <c r="C288" t="s">
        <v>4091</v>
      </c>
      <c r="D288" t="s">
        <v>4092</v>
      </c>
      <c r="E288" t="s">
        <v>80</v>
      </c>
      <c r="F288" t="s">
        <v>4093</v>
      </c>
      <c r="G288" t="s">
        <v>4094</v>
      </c>
      <c r="H288" t="s">
        <v>321</v>
      </c>
      <c r="I288" t="s">
        <v>965</v>
      </c>
      <c r="J288" t="s">
        <v>205</v>
      </c>
      <c r="K288" t="s">
        <v>224</v>
      </c>
      <c r="L288" t="s">
        <v>344</v>
      </c>
      <c r="M288" t="s">
        <v>604</v>
      </c>
      <c r="N288" t="s">
        <v>339</v>
      </c>
      <c r="O288" t="s">
        <v>1216</v>
      </c>
      <c r="P288" s="131">
        <v>8038</v>
      </c>
      <c r="Q288" s="131">
        <v>3.71</v>
      </c>
      <c r="R288" s="131">
        <v>52767</v>
      </c>
      <c r="S288" s="131">
        <v>13.170999999999999</v>
      </c>
      <c r="T288" s="131">
        <v>15784.501</v>
      </c>
      <c r="U288" s="132">
        <v>0</v>
      </c>
      <c r="V288" s="132">
        <v>8.5070000000000007E-2</v>
      </c>
      <c r="W288" s="132">
        <v>4.1279999999999997E-2</v>
      </c>
    </row>
    <row r="289" spans="1:23">
      <c r="A289" t="s">
        <v>1213</v>
      </c>
      <c r="B289" t="s">
        <v>1242</v>
      </c>
      <c r="C289" t="s">
        <v>4238</v>
      </c>
      <c r="D289" t="s">
        <v>4239</v>
      </c>
      <c r="E289" t="s">
        <v>80</v>
      </c>
      <c r="F289" t="s">
        <v>4240</v>
      </c>
      <c r="G289" t="s">
        <v>4241</v>
      </c>
      <c r="H289" t="s">
        <v>321</v>
      </c>
      <c r="I289" t="s">
        <v>965</v>
      </c>
      <c r="J289" t="s">
        <v>205</v>
      </c>
      <c r="K289" t="s">
        <v>224</v>
      </c>
      <c r="L289" t="s">
        <v>368</v>
      </c>
      <c r="M289" t="s">
        <v>735</v>
      </c>
      <c r="N289" t="s">
        <v>339</v>
      </c>
      <c r="O289" t="s">
        <v>1218</v>
      </c>
      <c r="P289" s="131">
        <v>8798</v>
      </c>
      <c r="Q289" s="131">
        <v>4.1524000000000001</v>
      </c>
      <c r="R289" s="131">
        <v>16098</v>
      </c>
      <c r="T289" s="131">
        <v>5881.0529999999999</v>
      </c>
      <c r="U289" s="132">
        <v>0</v>
      </c>
      <c r="V289" s="132">
        <v>3.1669999999999997E-2</v>
      </c>
      <c r="W289" s="132">
        <v>1.537E-2</v>
      </c>
    </row>
    <row r="290" spans="1:23">
      <c r="A290" t="s">
        <v>1213</v>
      </c>
      <c r="B290" t="s">
        <v>1242</v>
      </c>
      <c r="C290" t="s">
        <v>4238</v>
      </c>
      <c r="D290" t="s">
        <v>4239</v>
      </c>
      <c r="E290" t="s">
        <v>80</v>
      </c>
      <c r="F290" t="s">
        <v>4334</v>
      </c>
      <c r="G290" t="s">
        <v>4335</v>
      </c>
      <c r="H290" t="s">
        <v>321</v>
      </c>
      <c r="I290" t="s">
        <v>965</v>
      </c>
      <c r="J290" t="s">
        <v>205</v>
      </c>
      <c r="K290" t="s">
        <v>224</v>
      </c>
      <c r="L290" t="s">
        <v>344</v>
      </c>
      <c r="M290" t="s">
        <v>604</v>
      </c>
      <c r="N290" t="s">
        <v>339</v>
      </c>
      <c r="O290" t="s">
        <v>1216</v>
      </c>
      <c r="P290" s="131">
        <v>2628</v>
      </c>
      <c r="Q290" s="131">
        <v>3.71</v>
      </c>
      <c r="R290" s="131">
        <v>57682</v>
      </c>
      <c r="T290" s="131">
        <v>5623.9260000000004</v>
      </c>
      <c r="U290" s="132">
        <v>0</v>
      </c>
      <c r="V290" s="132">
        <v>3.0290000000000001E-2</v>
      </c>
      <c r="W290" s="132">
        <v>1.47E-2</v>
      </c>
    </row>
    <row r="291" spans="1:23">
      <c r="A291" t="s">
        <v>1213</v>
      </c>
      <c r="B291" t="s">
        <v>1242</v>
      </c>
      <c r="C291" t="s">
        <v>4238</v>
      </c>
      <c r="D291" t="s">
        <v>4239</v>
      </c>
      <c r="E291" t="s">
        <v>80</v>
      </c>
      <c r="F291" t="s">
        <v>4242</v>
      </c>
      <c r="G291" t="s">
        <v>4243</v>
      </c>
      <c r="H291" t="s">
        <v>321</v>
      </c>
      <c r="I291" t="s">
        <v>965</v>
      </c>
      <c r="J291" t="s">
        <v>205</v>
      </c>
      <c r="K291" t="s">
        <v>224</v>
      </c>
      <c r="L291" t="s">
        <v>344</v>
      </c>
      <c r="M291" t="s">
        <v>602</v>
      </c>
      <c r="N291" t="s">
        <v>339</v>
      </c>
      <c r="O291" t="s">
        <v>1216</v>
      </c>
      <c r="P291" s="131">
        <v>5422</v>
      </c>
      <c r="Q291" s="131">
        <v>3.71</v>
      </c>
      <c r="R291" s="131">
        <v>22089</v>
      </c>
      <c r="T291" s="131">
        <v>4443.3389999999999</v>
      </c>
      <c r="U291" s="132">
        <v>0</v>
      </c>
      <c r="V291" s="132">
        <v>2.393E-2</v>
      </c>
      <c r="W291" s="132">
        <v>1.1610000000000001E-2</v>
      </c>
    </row>
    <row r="292" spans="1:23">
      <c r="A292" t="s">
        <v>1213</v>
      </c>
      <c r="B292" t="s">
        <v>1242</v>
      </c>
      <c r="C292" t="s">
        <v>4107</v>
      </c>
      <c r="D292" t="s">
        <v>4108</v>
      </c>
      <c r="E292" t="s">
        <v>309</v>
      </c>
      <c r="F292" t="s">
        <v>4348</v>
      </c>
      <c r="G292" t="s">
        <v>4349</v>
      </c>
      <c r="H292" t="s">
        <v>321</v>
      </c>
      <c r="I292" t="s">
        <v>965</v>
      </c>
      <c r="J292" t="s">
        <v>205</v>
      </c>
      <c r="K292" t="s">
        <v>204</v>
      </c>
      <c r="L292" t="s">
        <v>340</v>
      </c>
      <c r="M292" t="s">
        <v>716</v>
      </c>
      <c r="N292" t="s">
        <v>339</v>
      </c>
      <c r="O292" t="s">
        <v>1212</v>
      </c>
      <c r="P292" s="131">
        <v>103274</v>
      </c>
      <c r="Q292" s="131">
        <v>1</v>
      </c>
      <c r="R292" s="131">
        <v>2544</v>
      </c>
      <c r="T292" s="131">
        <v>2627.2910000000002</v>
      </c>
      <c r="U292" s="132">
        <v>2.2950000000000002E-2</v>
      </c>
      <c r="V292" s="132">
        <v>1.4149999999999999E-2</v>
      </c>
      <c r="W292" s="132">
        <v>6.8700000000000002E-3</v>
      </c>
    </row>
    <row r="293" spans="1:23">
      <c r="A293" t="s">
        <v>1213</v>
      </c>
      <c r="B293" t="s">
        <v>1242</v>
      </c>
      <c r="C293" t="s">
        <v>4260</v>
      </c>
      <c r="D293" t="s">
        <v>4261</v>
      </c>
      <c r="E293" t="s">
        <v>80</v>
      </c>
      <c r="F293" t="s">
        <v>4262</v>
      </c>
      <c r="G293" t="s">
        <v>4263</v>
      </c>
      <c r="H293" t="s">
        <v>321</v>
      </c>
      <c r="I293" t="s">
        <v>965</v>
      </c>
      <c r="J293" t="s">
        <v>205</v>
      </c>
      <c r="K293" t="s">
        <v>224</v>
      </c>
      <c r="L293" t="s">
        <v>344</v>
      </c>
      <c r="M293" t="s">
        <v>735</v>
      </c>
      <c r="N293" t="s">
        <v>339</v>
      </c>
      <c r="O293" t="s">
        <v>1216</v>
      </c>
      <c r="P293" s="131">
        <v>2643</v>
      </c>
      <c r="Q293" s="131">
        <v>3.71</v>
      </c>
      <c r="R293" s="131">
        <v>23059</v>
      </c>
      <c r="T293" s="131">
        <v>2261.0569999999998</v>
      </c>
      <c r="U293" s="132">
        <v>0</v>
      </c>
      <c r="V293" s="132">
        <v>1.218E-2</v>
      </c>
      <c r="W293" s="132">
        <v>5.9100000000000003E-3</v>
      </c>
    </row>
    <row r="294" spans="1:23">
      <c r="A294" t="s">
        <v>1213</v>
      </c>
      <c r="B294" t="s">
        <v>1242</v>
      </c>
      <c r="C294" t="s">
        <v>4298</v>
      </c>
      <c r="D294" t="s">
        <v>4299</v>
      </c>
      <c r="E294" t="s">
        <v>80</v>
      </c>
      <c r="F294" t="s">
        <v>4300</v>
      </c>
      <c r="G294" t="s">
        <v>4301</v>
      </c>
      <c r="H294" t="s">
        <v>321</v>
      </c>
      <c r="I294" t="s">
        <v>965</v>
      </c>
      <c r="J294" t="s">
        <v>205</v>
      </c>
      <c r="K294" t="s">
        <v>281</v>
      </c>
      <c r="L294" t="s">
        <v>314</v>
      </c>
      <c r="M294" t="s">
        <v>735</v>
      </c>
      <c r="N294" t="s">
        <v>339</v>
      </c>
      <c r="O294" t="s">
        <v>1218</v>
      </c>
      <c r="P294" s="131">
        <v>15627</v>
      </c>
      <c r="Q294" s="131">
        <v>4.1524000000000001</v>
      </c>
      <c r="R294" s="131">
        <v>3230</v>
      </c>
      <c r="T294" s="131">
        <v>2095.933</v>
      </c>
      <c r="U294" s="132">
        <v>2.0000000000000002E-5</v>
      </c>
      <c r="V294" s="132">
        <v>1.129E-2</v>
      </c>
      <c r="W294" s="132">
        <v>5.4799999999999996E-3</v>
      </c>
    </row>
    <row r="295" spans="1:23">
      <c r="A295" t="s">
        <v>1213</v>
      </c>
      <c r="B295" t="s">
        <v>1242</v>
      </c>
      <c r="C295" t="s">
        <v>4238</v>
      </c>
      <c r="D295" t="s">
        <v>4239</v>
      </c>
      <c r="E295" t="s">
        <v>80</v>
      </c>
      <c r="F295" t="s">
        <v>4360</v>
      </c>
      <c r="G295" t="s">
        <v>4361</v>
      </c>
      <c r="H295" t="s">
        <v>321</v>
      </c>
      <c r="I295" t="s">
        <v>967</v>
      </c>
      <c r="J295" t="s">
        <v>205</v>
      </c>
      <c r="K295" t="s">
        <v>224</v>
      </c>
      <c r="L295" t="s">
        <v>346</v>
      </c>
      <c r="M295" t="s">
        <v>732</v>
      </c>
      <c r="N295" t="s">
        <v>339</v>
      </c>
      <c r="O295" t="s">
        <v>1216</v>
      </c>
      <c r="P295" s="131">
        <v>5346</v>
      </c>
      <c r="Q295" s="131">
        <v>3.71</v>
      </c>
      <c r="R295" s="131">
        <v>9812</v>
      </c>
      <c r="T295" s="131">
        <v>1946.079</v>
      </c>
      <c r="U295" s="132">
        <v>0</v>
      </c>
      <c r="V295" s="132">
        <v>1.048E-2</v>
      </c>
      <c r="W295" s="132">
        <v>5.0899999999999999E-3</v>
      </c>
    </row>
    <row r="296" spans="1:23">
      <c r="A296" t="s">
        <v>1213</v>
      </c>
      <c r="B296" t="s">
        <v>1242</v>
      </c>
      <c r="C296" t="s">
        <v>4238</v>
      </c>
      <c r="D296" t="s">
        <v>4239</v>
      </c>
      <c r="E296" t="s">
        <v>80</v>
      </c>
      <c r="F296" t="s">
        <v>4362</v>
      </c>
      <c r="G296" t="s">
        <v>4363</v>
      </c>
      <c r="H296" t="s">
        <v>321</v>
      </c>
      <c r="I296" t="s">
        <v>965</v>
      </c>
      <c r="J296" t="s">
        <v>205</v>
      </c>
      <c r="K296" t="s">
        <v>293</v>
      </c>
      <c r="L296" t="s">
        <v>368</v>
      </c>
      <c r="M296" t="s">
        <v>584</v>
      </c>
      <c r="N296" t="s">
        <v>339</v>
      </c>
      <c r="O296" t="s">
        <v>1218</v>
      </c>
      <c r="P296" s="131">
        <v>7420</v>
      </c>
      <c r="Q296" s="131">
        <v>4.1524000000000001</v>
      </c>
      <c r="R296" s="131">
        <v>5031</v>
      </c>
      <c r="T296" s="131">
        <v>1550.0920000000001</v>
      </c>
      <c r="U296" s="132">
        <v>0</v>
      </c>
      <c r="V296" s="132">
        <v>8.3499999999999998E-3</v>
      </c>
      <c r="W296" s="132">
        <v>4.0499999999999998E-3</v>
      </c>
    </row>
    <row r="297" spans="1:23">
      <c r="A297" t="s">
        <v>1213</v>
      </c>
      <c r="B297" t="s">
        <v>1242</v>
      </c>
      <c r="C297" t="s">
        <v>4302</v>
      </c>
      <c r="D297" t="s">
        <v>4303</v>
      </c>
      <c r="E297" t="s">
        <v>80</v>
      </c>
      <c r="F297" t="s">
        <v>4304</v>
      </c>
      <c r="G297" t="s">
        <v>4305</v>
      </c>
      <c r="H297" t="s">
        <v>321</v>
      </c>
      <c r="I297" t="s">
        <v>965</v>
      </c>
      <c r="J297" t="s">
        <v>205</v>
      </c>
      <c r="K297" t="s">
        <v>224</v>
      </c>
      <c r="L297" t="s">
        <v>344</v>
      </c>
      <c r="M297" t="s">
        <v>735</v>
      </c>
      <c r="N297" t="s">
        <v>339</v>
      </c>
      <c r="O297" t="s">
        <v>1216</v>
      </c>
      <c r="P297" s="131">
        <v>8827</v>
      </c>
      <c r="Q297" s="131">
        <v>3.71</v>
      </c>
      <c r="R297" s="131">
        <v>4727</v>
      </c>
      <c r="T297" s="131">
        <v>1548.0060000000001</v>
      </c>
      <c r="U297" s="132">
        <v>0</v>
      </c>
      <c r="V297" s="132">
        <v>8.3400000000000002E-3</v>
      </c>
      <c r="W297" s="132">
        <v>4.0499999999999998E-3</v>
      </c>
    </row>
    <row r="298" spans="1:23">
      <c r="A298" t="s">
        <v>1213</v>
      </c>
      <c r="B298" t="s">
        <v>1242</v>
      </c>
      <c r="C298" t="s">
        <v>4238</v>
      </c>
      <c r="D298" t="s">
        <v>4239</v>
      </c>
      <c r="E298" t="s">
        <v>80</v>
      </c>
      <c r="F298" t="s">
        <v>4364</v>
      </c>
      <c r="G298" t="s">
        <v>4365</v>
      </c>
      <c r="H298" t="s">
        <v>321</v>
      </c>
      <c r="I298" t="s">
        <v>965</v>
      </c>
      <c r="J298" t="s">
        <v>205</v>
      </c>
      <c r="K298" t="s">
        <v>224</v>
      </c>
      <c r="L298" t="s">
        <v>344</v>
      </c>
      <c r="M298" t="s">
        <v>735</v>
      </c>
      <c r="N298" t="s">
        <v>339</v>
      </c>
      <c r="O298" t="s">
        <v>1216</v>
      </c>
      <c r="P298" s="131">
        <v>9885</v>
      </c>
      <c r="Q298" s="131">
        <v>3.71</v>
      </c>
      <c r="R298" s="131">
        <v>3178</v>
      </c>
      <c r="T298" s="131">
        <v>1165.479</v>
      </c>
      <c r="U298" s="132">
        <v>0</v>
      </c>
      <c r="V298" s="132">
        <v>6.28E-3</v>
      </c>
      <c r="W298" s="132">
        <v>3.0500000000000002E-3</v>
      </c>
    </row>
    <row r="299" spans="1:23">
      <c r="A299" t="s">
        <v>1213</v>
      </c>
      <c r="B299" t="s">
        <v>1242</v>
      </c>
      <c r="C299" t="s">
        <v>4260</v>
      </c>
      <c r="D299" t="s">
        <v>4261</v>
      </c>
      <c r="E299" t="s">
        <v>80</v>
      </c>
      <c r="F299" t="s">
        <v>4352</v>
      </c>
      <c r="G299" t="s">
        <v>4353</v>
      </c>
      <c r="H299" t="s">
        <v>321</v>
      </c>
      <c r="I299" t="s">
        <v>965</v>
      </c>
      <c r="J299" t="s">
        <v>205</v>
      </c>
      <c r="K299" t="s">
        <v>224</v>
      </c>
      <c r="L299" t="s">
        <v>344</v>
      </c>
      <c r="M299" t="s">
        <v>735</v>
      </c>
      <c r="N299" t="s">
        <v>339</v>
      </c>
      <c r="O299" t="s">
        <v>1216</v>
      </c>
      <c r="P299" s="131">
        <v>1196</v>
      </c>
      <c r="Q299" s="131">
        <v>3.71</v>
      </c>
      <c r="R299" s="131">
        <v>8937</v>
      </c>
      <c r="T299" s="131">
        <v>396.54899999999998</v>
      </c>
      <c r="U299" s="132">
        <v>0</v>
      </c>
      <c r="V299" s="132">
        <v>2.14E-3</v>
      </c>
      <c r="W299" s="132">
        <v>1.0399999999999999E-3</v>
      </c>
    </row>
    <row r="300" spans="1:23">
      <c r="A300" t="s">
        <v>1213</v>
      </c>
      <c r="B300" t="s">
        <v>1243</v>
      </c>
      <c r="C300" t="s">
        <v>4111</v>
      </c>
      <c r="D300" t="s">
        <v>4112</v>
      </c>
      <c r="E300" t="s">
        <v>309</v>
      </c>
      <c r="F300" t="s">
        <v>4197</v>
      </c>
      <c r="G300" t="s">
        <v>4198</v>
      </c>
      <c r="H300" t="s">
        <v>321</v>
      </c>
      <c r="I300" t="s">
        <v>965</v>
      </c>
      <c r="J300" t="s">
        <v>204</v>
      </c>
      <c r="K300" t="s">
        <v>204</v>
      </c>
      <c r="L300" t="s">
        <v>340</v>
      </c>
      <c r="M300" t="s">
        <v>598</v>
      </c>
      <c r="N300" t="s">
        <v>339</v>
      </c>
      <c r="O300" t="s">
        <v>1212</v>
      </c>
      <c r="P300" s="131">
        <v>510637.77</v>
      </c>
      <c r="Q300" s="131">
        <v>1</v>
      </c>
      <c r="R300" s="131">
        <v>16780</v>
      </c>
      <c r="T300" s="131">
        <v>85685.017999999996</v>
      </c>
      <c r="U300" s="132">
        <v>5.1889999999999999E-2</v>
      </c>
      <c r="V300" s="132">
        <v>0.12855</v>
      </c>
      <c r="W300" s="132">
        <v>1.925E-2</v>
      </c>
    </row>
    <row r="301" spans="1:23">
      <c r="A301" t="s">
        <v>1213</v>
      </c>
      <c r="B301" t="s">
        <v>1243</v>
      </c>
      <c r="C301" t="s">
        <v>4181</v>
      </c>
      <c r="D301" t="s">
        <v>4182</v>
      </c>
      <c r="E301" t="s">
        <v>309</v>
      </c>
      <c r="F301" t="s">
        <v>4183</v>
      </c>
      <c r="G301" t="s">
        <v>4184</v>
      </c>
      <c r="H301" t="s">
        <v>321</v>
      </c>
      <c r="I301" t="s">
        <v>965</v>
      </c>
      <c r="J301" t="s">
        <v>204</v>
      </c>
      <c r="K301" t="s">
        <v>204</v>
      </c>
      <c r="L301" t="s">
        <v>340</v>
      </c>
      <c r="M301" t="s">
        <v>605</v>
      </c>
      <c r="N301" t="s">
        <v>339</v>
      </c>
      <c r="O301" t="s">
        <v>1212</v>
      </c>
      <c r="P301" s="131">
        <v>429910</v>
      </c>
      <c r="Q301" s="131">
        <v>1</v>
      </c>
      <c r="R301" s="131">
        <v>9006</v>
      </c>
      <c r="T301" s="131">
        <v>38717.695</v>
      </c>
      <c r="U301" s="132">
        <v>1.7909999999999999E-2</v>
      </c>
      <c r="V301" s="132">
        <v>5.8090000000000003E-2</v>
      </c>
      <c r="W301" s="132">
        <v>8.6999999999999994E-3</v>
      </c>
    </row>
    <row r="302" spans="1:23">
      <c r="A302" t="s">
        <v>1213</v>
      </c>
      <c r="B302" t="s">
        <v>1243</v>
      </c>
      <c r="C302" t="s">
        <v>4107</v>
      </c>
      <c r="D302" t="s">
        <v>4108</v>
      </c>
      <c r="E302" t="s">
        <v>309</v>
      </c>
      <c r="F302" t="s">
        <v>4115</v>
      </c>
      <c r="G302" t="s">
        <v>4116</v>
      </c>
      <c r="H302" t="s">
        <v>321</v>
      </c>
      <c r="I302" t="s">
        <v>965</v>
      </c>
      <c r="J302" t="s">
        <v>204</v>
      </c>
      <c r="K302" t="s">
        <v>204</v>
      </c>
      <c r="L302" t="s">
        <v>340</v>
      </c>
      <c r="M302" t="s">
        <v>605</v>
      </c>
      <c r="N302" t="s">
        <v>339</v>
      </c>
      <c r="O302" t="s">
        <v>1212</v>
      </c>
      <c r="P302" s="131">
        <v>365262</v>
      </c>
      <c r="Q302" s="131">
        <v>1</v>
      </c>
      <c r="R302" s="131">
        <v>7341</v>
      </c>
      <c r="T302" s="131">
        <v>26813.883000000002</v>
      </c>
      <c r="U302" s="132">
        <v>1.1780000000000001E-2</v>
      </c>
      <c r="V302" s="132">
        <v>4.0230000000000002E-2</v>
      </c>
      <c r="W302" s="132">
        <v>6.0200000000000002E-3</v>
      </c>
    </row>
    <row r="303" spans="1:23">
      <c r="A303" t="s">
        <v>1213</v>
      </c>
      <c r="B303" t="s">
        <v>1243</v>
      </c>
      <c r="C303" t="s">
        <v>4123</v>
      </c>
      <c r="D303" t="s">
        <v>4124</v>
      </c>
      <c r="E303" t="s">
        <v>309</v>
      </c>
      <c r="F303" t="s">
        <v>4205</v>
      </c>
      <c r="G303" t="s">
        <v>4206</v>
      </c>
      <c r="H303" t="s">
        <v>321</v>
      </c>
      <c r="I303" t="s">
        <v>964</v>
      </c>
      <c r="J303" t="s">
        <v>204</v>
      </c>
      <c r="K303" t="s">
        <v>204</v>
      </c>
      <c r="L303" t="s">
        <v>340</v>
      </c>
      <c r="M303" t="s">
        <v>577</v>
      </c>
      <c r="N303" t="s">
        <v>339</v>
      </c>
      <c r="O303" t="s">
        <v>1212</v>
      </c>
      <c r="P303" s="131">
        <v>1276902</v>
      </c>
      <c r="Q303" s="131">
        <v>1</v>
      </c>
      <c r="R303" s="131">
        <v>2003</v>
      </c>
      <c r="T303" s="131">
        <v>25576.347000000002</v>
      </c>
      <c r="U303" s="132">
        <v>3.13E-3</v>
      </c>
      <c r="V303" s="132">
        <v>3.8370000000000001E-2</v>
      </c>
      <c r="W303" s="132">
        <v>5.7400000000000003E-3</v>
      </c>
    </row>
    <row r="304" spans="1:23">
      <c r="A304" t="s">
        <v>1213</v>
      </c>
      <c r="B304" t="s">
        <v>1243</v>
      </c>
      <c r="C304" t="s">
        <v>4117</v>
      </c>
      <c r="D304" t="s">
        <v>4118</v>
      </c>
      <c r="E304" t="s">
        <v>309</v>
      </c>
      <c r="F304" t="s">
        <v>4149</v>
      </c>
      <c r="G304" t="s">
        <v>4150</v>
      </c>
      <c r="H304" t="s">
        <v>321</v>
      </c>
      <c r="I304" t="s">
        <v>966</v>
      </c>
      <c r="J304" t="s">
        <v>204</v>
      </c>
      <c r="K304" t="s">
        <v>204</v>
      </c>
      <c r="L304" t="s">
        <v>340</v>
      </c>
      <c r="M304" t="s">
        <v>576</v>
      </c>
      <c r="N304" t="s">
        <v>339</v>
      </c>
      <c r="O304" t="s">
        <v>1212</v>
      </c>
      <c r="P304" s="131">
        <v>6543958.1399999997</v>
      </c>
      <c r="Q304" s="131">
        <v>1</v>
      </c>
      <c r="R304" s="131">
        <v>365.93</v>
      </c>
      <c r="T304" s="131">
        <v>23946.306</v>
      </c>
      <c r="U304" s="132">
        <v>4.7600000000000003E-3</v>
      </c>
      <c r="V304" s="132">
        <v>3.5929999999999997E-2</v>
      </c>
      <c r="W304" s="132">
        <v>5.3800000000000002E-3</v>
      </c>
    </row>
    <row r="305" spans="1:23">
      <c r="A305" t="s">
        <v>1213</v>
      </c>
      <c r="B305" t="s">
        <v>1243</v>
      </c>
      <c r="C305" t="s">
        <v>4111</v>
      </c>
      <c r="D305" t="s">
        <v>4112</v>
      </c>
      <c r="E305" t="s">
        <v>309</v>
      </c>
      <c r="F305" t="s">
        <v>4133</v>
      </c>
      <c r="G305" t="s">
        <v>4134</v>
      </c>
      <c r="H305" t="s">
        <v>321</v>
      </c>
      <c r="I305" t="s">
        <v>964</v>
      </c>
      <c r="J305" t="s">
        <v>204</v>
      </c>
      <c r="K305" t="s">
        <v>204</v>
      </c>
      <c r="L305" t="s">
        <v>340</v>
      </c>
      <c r="M305" t="s">
        <v>572</v>
      </c>
      <c r="N305" t="s">
        <v>339</v>
      </c>
      <c r="O305" t="s">
        <v>1212</v>
      </c>
      <c r="P305" s="131">
        <v>114219</v>
      </c>
      <c r="Q305" s="131">
        <v>1</v>
      </c>
      <c r="R305" s="131">
        <v>20710</v>
      </c>
      <c r="T305" s="131">
        <v>23654.755000000001</v>
      </c>
      <c r="U305" s="132">
        <v>3.2200000000000002E-3</v>
      </c>
      <c r="V305" s="132">
        <v>3.5490000000000001E-2</v>
      </c>
      <c r="W305" s="132">
        <v>5.3099999999999996E-3</v>
      </c>
    </row>
    <row r="306" spans="1:23">
      <c r="A306" t="s">
        <v>1213</v>
      </c>
      <c r="B306" t="s">
        <v>1243</v>
      </c>
      <c r="C306" t="s">
        <v>4111</v>
      </c>
      <c r="D306" t="s">
        <v>4112</v>
      </c>
      <c r="E306" t="s">
        <v>309</v>
      </c>
      <c r="F306" t="s">
        <v>4310</v>
      </c>
      <c r="G306" t="s">
        <v>4311</v>
      </c>
      <c r="H306" t="s">
        <v>321</v>
      </c>
      <c r="I306" t="s">
        <v>966</v>
      </c>
      <c r="J306" t="s">
        <v>204</v>
      </c>
      <c r="K306" t="s">
        <v>204</v>
      </c>
      <c r="L306" t="s">
        <v>340</v>
      </c>
      <c r="M306" t="s">
        <v>573</v>
      </c>
      <c r="N306" t="s">
        <v>339</v>
      </c>
      <c r="O306" t="s">
        <v>1212</v>
      </c>
      <c r="P306" s="131">
        <v>584649.12</v>
      </c>
      <c r="Q306" s="131">
        <v>1</v>
      </c>
      <c r="R306" s="131">
        <v>3695.59</v>
      </c>
      <c r="T306" s="131">
        <v>21606.234</v>
      </c>
      <c r="U306" s="132">
        <v>7.4099999999999999E-3</v>
      </c>
      <c r="V306" s="132">
        <v>3.2410000000000001E-2</v>
      </c>
      <c r="W306" s="132">
        <v>4.8500000000000001E-3</v>
      </c>
    </row>
    <row r="307" spans="1:23">
      <c r="A307" t="s">
        <v>1213</v>
      </c>
      <c r="B307" t="s">
        <v>1243</v>
      </c>
      <c r="C307" t="s">
        <v>4111</v>
      </c>
      <c r="D307" t="s">
        <v>4112</v>
      </c>
      <c r="E307" t="s">
        <v>309</v>
      </c>
      <c r="F307" t="s">
        <v>4366</v>
      </c>
      <c r="G307" t="s">
        <v>4367</v>
      </c>
      <c r="H307" t="s">
        <v>321</v>
      </c>
      <c r="I307" t="s">
        <v>966</v>
      </c>
      <c r="J307" t="s">
        <v>204</v>
      </c>
      <c r="K307" t="s">
        <v>204</v>
      </c>
      <c r="L307" t="s">
        <v>340</v>
      </c>
      <c r="M307" t="s">
        <v>624</v>
      </c>
      <c r="N307" t="s">
        <v>339</v>
      </c>
      <c r="O307" t="s">
        <v>1212</v>
      </c>
      <c r="P307" s="131">
        <v>534810.72</v>
      </c>
      <c r="Q307" s="131">
        <v>1</v>
      </c>
      <c r="R307" s="131">
        <v>3853.89</v>
      </c>
      <c r="T307" s="131">
        <v>20611.017</v>
      </c>
      <c r="U307" s="132">
        <v>8.3199999999999993E-3</v>
      </c>
      <c r="V307" s="132">
        <v>3.092E-2</v>
      </c>
      <c r="W307" s="132">
        <v>4.6299999999999996E-3</v>
      </c>
    </row>
    <row r="308" spans="1:23">
      <c r="A308" t="s">
        <v>1213</v>
      </c>
      <c r="B308" t="s">
        <v>1243</v>
      </c>
      <c r="C308" t="s">
        <v>4123</v>
      </c>
      <c r="D308" t="s">
        <v>4124</v>
      </c>
      <c r="E308" t="s">
        <v>309</v>
      </c>
      <c r="F308" t="s">
        <v>4135</v>
      </c>
      <c r="G308" t="s">
        <v>4136</v>
      </c>
      <c r="H308" t="s">
        <v>321</v>
      </c>
      <c r="I308" t="s">
        <v>965</v>
      </c>
      <c r="J308" t="s">
        <v>204</v>
      </c>
      <c r="K308" t="s">
        <v>204</v>
      </c>
      <c r="L308" t="s">
        <v>340</v>
      </c>
      <c r="M308" t="s">
        <v>605</v>
      </c>
      <c r="N308" t="s">
        <v>339</v>
      </c>
      <c r="O308" t="s">
        <v>1212</v>
      </c>
      <c r="P308" s="131">
        <v>358426</v>
      </c>
      <c r="Q308" s="131">
        <v>1</v>
      </c>
      <c r="R308" s="131">
        <v>5069</v>
      </c>
      <c r="T308" s="131">
        <v>18168.614000000001</v>
      </c>
      <c r="U308" s="132">
        <v>2.7899999999999999E-3</v>
      </c>
      <c r="V308" s="132">
        <v>2.726E-2</v>
      </c>
      <c r="W308" s="132">
        <v>4.0800000000000003E-3</v>
      </c>
    </row>
    <row r="309" spans="1:23">
      <c r="A309" t="s">
        <v>1213</v>
      </c>
      <c r="B309" t="s">
        <v>1243</v>
      </c>
      <c r="C309" t="s">
        <v>4111</v>
      </c>
      <c r="D309" t="s">
        <v>4112</v>
      </c>
      <c r="E309" t="s">
        <v>309</v>
      </c>
      <c r="F309" t="s">
        <v>4354</v>
      </c>
      <c r="G309" t="s">
        <v>4355</v>
      </c>
      <c r="H309" t="s">
        <v>321</v>
      </c>
      <c r="I309" t="s">
        <v>964</v>
      </c>
      <c r="J309" t="s">
        <v>204</v>
      </c>
      <c r="K309" t="s">
        <v>204</v>
      </c>
      <c r="L309" t="s">
        <v>340</v>
      </c>
      <c r="M309" t="s">
        <v>697</v>
      </c>
      <c r="N309" t="s">
        <v>339</v>
      </c>
      <c r="O309" t="s">
        <v>1212</v>
      </c>
      <c r="P309" s="131">
        <v>44886</v>
      </c>
      <c r="Q309" s="131">
        <v>1</v>
      </c>
      <c r="R309" s="131">
        <v>38300</v>
      </c>
      <c r="T309" s="131">
        <v>17191.338</v>
      </c>
      <c r="U309" s="132">
        <v>1.89E-3</v>
      </c>
      <c r="V309" s="132">
        <v>2.579E-2</v>
      </c>
      <c r="W309" s="132">
        <v>3.8600000000000001E-3</v>
      </c>
    </row>
    <row r="310" spans="1:23">
      <c r="A310" t="s">
        <v>1213</v>
      </c>
      <c r="B310" t="s">
        <v>1243</v>
      </c>
      <c r="C310" t="s">
        <v>4111</v>
      </c>
      <c r="D310" t="s">
        <v>4112</v>
      </c>
      <c r="E310" t="s">
        <v>309</v>
      </c>
      <c r="F310" t="s">
        <v>4113</v>
      </c>
      <c r="G310" t="s">
        <v>4114</v>
      </c>
      <c r="H310" t="s">
        <v>321</v>
      </c>
      <c r="I310" t="s">
        <v>965</v>
      </c>
      <c r="J310" t="s">
        <v>204</v>
      </c>
      <c r="K310" t="s">
        <v>204</v>
      </c>
      <c r="L310" t="s">
        <v>340</v>
      </c>
      <c r="M310" t="s">
        <v>605</v>
      </c>
      <c r="N310" t="s">
        <v>339</v>
      </c>
      <c r="O310" t="s">
        <v>1212</v>
      </c>
      <c r="P310" s="131">
        <v>200104</v>
      </c>
      <c r="Q310" s="131">
        <v>1</v>
      </c>
      <c r="R310" s="131">
        <v>5505</v>
      </c>
      <c r="T310" s="131">
        <v>11015.725</v>
      </c>
      <c r="U310" s="132">
        <v>2.64E-3</v>
      </c>
      <c r="V310" s="132">
        <v>1.653E-2</v>
      </c>
      <c r="W310" s="132">
        <v>2.47E-3</v>
      </c>
    </row>
    <row r="311" spans="1:23">
      <c r="A311" t="s">
        <v>1213</v>
      </c>
      <c r="B311" t="s">
        <v>1243</v>
      </c>
      <c r="C311" t="s">
        <v>4117</v>
      </c>
      <c r="D311" t="s">
        <v>4118</v>
      </c>
      <c r="E311" t="s">
        <v>309</v>
      </c>
      <c r="F311" t="s">
        <v>4213</v>
      </c>
      <c r="G311" t="s">
        <v>4214</v>
      </c>
      <c r="H311" t="s">
        <v>321</v>
      </c>
      <c r="I311" t="s">
        <v>965</v>
      </c>
      <c r="J311" t="s">
        <v>204</v>
      </c>
      <c r="K311" t="s">
        <v>204</v>
      </c>
      <c r="L311" t="s">
        <v>340</v>
      </c>
      <c r="M311" t="s">
        <v>582</v>
      </c>
      <c r="N311" t="s">
        <v>339</v>
      </c>
      <c r="O311" t="s">
        <v>1212</v>
      </c>
      <c r="P311" s="131">
        <v>56255</v>
      </c>
      <c r="Q311" s="131">
        <v>1</v>
      </c>
      <c r="R311" s="131">
        <v>16570</v>
      </c>
      <c r="T311" s="131">
        <v>9321.4539999999997</v>
      </c>
      <c r="U311" s="132">
        <v>2.4599999999999999E-3</v>
      </c>
      <c r="V311" s="132">
        <v>1.3979999999999999E-2</v>
      </c>
      <c r="W311" s="132">
        <v>2.0899999999999998E-3</v>
      </c>
    </row>
    <row r="312" spans="1:23">
      <c r="A312" t="s">
        <v>1213</v>
      </c>
      <c r="B312" t="s">
        <v>1243</v>
      </c>
      <c r="C312" t="s">
        <v>4111</v>
      </c>
      <c r="D312" t="s">
        <v>4112</v>
      </c>
      <c r="E312" t="s">
        <v>309</v>
      </c>
      <c r="F312" t="s">
        <v>4171</v>
      </c>
      <c r="G312" t="s">
        <v>4172</v>
      </c>
      <c r="H312" t="s">
        <v>321</v>
      </c>
      <c r="I312" t="s">
        <v>964</v>
      </c>
      <c r="J312" t="s">
        <v>204</v>
      </c>
      <c r="K312" t="s">
        <v>204</v>
      </c>
      <c r="L312" t="s">
        <v>340</v>
      </c>
      <c r="M312" t="s">
        <v>577</v>
      </c>
      <c r="N312" t="s">
        <v>339</v>
      </c>
      <c r="O312" t="s">
        <v>1212</v>
      </c>
      <c r="P312" s="131">
        <v>43438</v>
      </c>
      <c r="Q312" s="131">
        <v>1</v>
      </c>
      <c r="R312" s="131">
        <v>19380</v>
      </c>
      <c r="T312" s="131">
        <v>8418.2839999999997</v>
      </c>
      <c r="U312" s="132">
        <v>1.25E-3</v>
      </c>
      <c r="V312" s="132">
        <v>1.2630000000000001E-2</v>
      </c>
      <c r="W312" s="132">
        <v>1.89E-3</v>
      </c>
    </row>
    <row r="313" spans="1:23">
      <c r="A313" t="s">
        <v>1213</v>
      </c>
      <c r="B313" t="s">
        <v>1243</v>
      </c>
      <c r="C313" t="s">
        <v>4123</v>
      </c>
      <c r="D313" t="s">
        <v>4124</v>
      </c>
      <c r="E313" t="s">
        <v>309</v>
      </c>
      <c r="F313" t="s">
        <v>4125</v>
      </c>
      <c r="G313" t="s">
        <v>4126</v>
      </c>
      <c r="H313" t="s">
        <v>321</v>
      </c>
      <c r="I313" t="s">
        <v>964</v>
      </c>
      <c r="J313" t="s">
        <v>204</v>
      </c>
      <c r="K313" t="s">
        <v>204</v>
      </c>
      <c r="L313" t="s">
        <v>340</v>
      </c>
      <c r="M313" t="s">
        <v>572</v>
      </c>
      <c r="N313" t="s">
        <v>339</v>
      </c>
      <c r="O313" t="s">
        <v>1212</v>
      </c>
      <c r="P313" s="131">
        <v>182284</v>
      </c>
      <c r="Q313" s="131">
        <v>1</v>
      </c>
      <c r="R313" s="131">
        <v>2081</v>
      </c>
      <c r="T313" s="131">
        <v>3793.33</v>
      </c>
      <c r="U313" s="132">
        <v>4.2000000000000002E-4</v>
      </c>
      <c r="V313" s="132">
        <v>5.6899999999999997E-3</v>
      </c>
      <c r="W313" s="132">
        <v>8.4999999999999995E-4</v>
      </c>
    </row>
    <row r="314" spans="1:23">
      <c r="A314" t="s">
        <v>1213</v>
      </c>
      <c r="B314" t="s">
        <v>1243</v>
      </c>
      <c r="C314" t="s">
        <v>4111</v>
      </c>
      <c r="D314" t="s">
        <v>4112</v>
      </c>
      <c r="E314" t="s">
        <v>309</v>
      </c>
      <c r="F314" t="s">
        <v>4344</v>
      </c>
      <c r="G314" t="s">
        <v>4345</v>
      </c>
      <c r="H314" t="s">
        <v>321</v>
      </c>
      <c r="I314" t="s">
        <v>965</v>
      </c>
      <c r="J314" t="s">
        <v>204</v>
      </c>
      <c r="K314" t="s">
        <v>204</v>
      </c>
      <c r="L314" t="s">
        <v>340</v>
      </c>
      <c r="M314" t="s">
        <v>707</v>
      </c>
      <c r="N314" t="s">
        <v>339</v>
      </c>
      <c r="O314" t="s">
        <v>1212</v>
      </c>
      <c r="P314" s="131">
        <v>70941</v>
      </c>
      <c r="Q314" s="131">
        <v>1</v>
      </c>
      <c r="R314" s="131">
        <v>5159</v>
      </c>
      <c r="T314" s="131">
        <v>3659.846</v>
      </c>
      <c r="U314" s="132">
        <v>2.027E-2</v>
      </c>
      <c r="V314" s="132">
        <v>5.4900000000000001E-3</v>
      </c>
      <c r="W314" s="132">
        <v>8.1999999999999998E-4</v>
      </c>
    </row>
    <row r="315" spans="1:23">
      <c r="A315" t="s">
        <v>1213</v>
      </c>
      <c r="B315" t="s">
        <v>1243</v>
      </c>
      <c r="C315" t="s">
        <v>4111</v>
      </c>
      <c r="D315" t="s">
        <v>4112</v>
      </c>
      <c r="E315" t="s">
        <v>309</v>
      </c>
      <c r="F315" t="s">
        <v>4342</v>
      </c>
      <c r="G315" t="s">
        <v>4343</v>
      </c>
      <c r="H315" t="s">
        <v>321</v>
      </c>
      <c r="I315" t="s">
        <v>965</v>
      </c>
      <c r="J315" t="s">
        <v>204</v>
      </c>
      <c r="K315" t="s">
        <v>204</v>
      </c>
      <c r="L315" t="s">
        <v>340</v>
      </c>
      <c r="M315" t="s">
        <v>588</v>
      </c>
      <c r="N315" t="s">
        <v>339</v>
      </c>
      <c r="O315" t="s">
        <v>1212</v>
      </c>
      <c r="P315" s="131">
        <v>3671</v>
      </c>
      <c r="Q315" s="131">
        <v>1</v>
      </c>
      <c r="R315" s="131">
        <v>6911</v>
      </c>
      <c r="T315" s="131">
        <v>253.703</v>
      </c>
      <c r="U315" s="132">
        <v>3.8000000000000002E-4</v>
      </c>
      <c r="V315" s="132">
        <v>3.8000000000000002E-4</v>
      </c>
      <c r="W315" s="132">
        <v>6.0000000000000002E-5</v>
      </c>
    </row>
    <row r="316" spans="1:23">
      <c r="A316" t="s">
        <v>1213</v>
      </c>
      <c r="B316" t="s">
        <v>1243</v>
      </c>
      <c r="C316" t="s">
        <v>4099</v>
      </c>
      <c r="D316" t="s">
        <v>4100</v>
      </c>
      <c r="E316" t="s">
        <v>80</v>
      </c>
      <c r="F316" t="s">
        <v>4101</v>
      </c>
      <c r="G316" t="s">
        <v>4102</v>
      </c>
      <c r="H316" t="s">
        <v>321</v>
      </c>
      <c r="I316" t="s">
        <v>965</v>
      </c>
      <c r="J316" t="s">
        <v>205</v>
      </c>
      <c r="K316" t="s">
        <v>224</v>
      </c>
      <c r="L316" t="s">
        <v>344</v>
      </c>
      <c r="M316" t="s">
        <v>604</v>
      </c>
      <c r="N316" t="s">
        <v>339</v>
      </c>
      <c r="O316" t="s">
        <v>1216</v>
      </c>
      <c r="P316" s="131">
        <v>32953</v>
      </c>
      <c r="Q316" s="131">
        <v>3.71</v>
      </c>
      <c r="R316" s="131">
        <v>57376</v>
      </c>
      <c r="S316" s="131">
        <f>43.28+2760.98/1000/Q316</f>
        <v>44.024199460916442</v>
      </c>
      <c r="T316" s="131">
        <f>70305.959+2760.98/1000</f>
        <v>70308.719980000009</v>
      </c>
      <c r="U316" s="132">
        <v>0</v>
      </c>
      <c r="V316" s="132">
        <v>0.10553999999999999</v>
      </c>
      <c r="W316" s="132">
        <v>1.5800000000000002E-2</v>
      </c>
    </row>
    <row r="317" spans="1:23">
      <c r="A317" t="s">
        <v>1213</v>
      </c>
      <c r="B317" t="s">
        <v>1243</v>
      </c>
      <c r="C317" t="s">
        <v>4238</v>
      </c>
      <c r="D317" t="s">
        <v>4239</v>
      </c>
      <c r="E317" t="s">
        <v>80</v>
      </c>
      <c r="F317" t="s">
        <v>4240</v>
      </c>
      <c r="G317" t="s">
        <v>4241</v>
      </c>
      <c r="H317" t="s">
        <v>321</v>
      </c>
      <c r="I317" t="s">
        <v>965</v>
      </c>
      <c r="J317" t="s">
        <v>205</v>
      </c>
      <c r="K317" t="s">
        <v>224</v>
      </c>
      <c r="L317" t="s">
        <v>368</v>
      </c>
      <c r="M317" t="s">
        <v>735</v>
      </c>
      <c r="N317" t="s">
        <v>339</v>
      </c>
      <c r="O317" t="s">
        <v>1218</v>
      </c>
      <c r="P317" s="131">
        <v>93072</v>
      </c>
      <c r="Q317" s="131">
        <v>4.1524000000000001</v>
      </c>
      <c r="R317" s="131">
        <v>16098</v>
      </c>
      <c r="T317" s="131">
        <v>62214.29</v>
      </c>
      <c r="U317" s="132">
        <v>1.0000000000000001E-5</v>
      </c>
      <c r="V317" s="132">
        <v>9.3340000000000006E-2</v>
      </c>
      <c r="W317" s="132">
        <v>1.397E-2</v>
      </c>
    </row>
    <row r="318" spans="1:23">
      <c r="A318" t="s">
        <v>1213</v>
      </c>
      <c r="B318" t="s">
        <v>1243</v>
      </c>
      <c r="C318" t="s">
        <v>4238</v>
      </c>
      <c r="D318" t="s">
        <v>4239</v>
      </c>
      <c r="E318" t="s">
        <v>80</v>
      </c>
      <c r="F318" t="s">
        <v>4242</v>
      </c>
      <c r="G318" t="s">
        <v>4243</v>
      </c>
      <c r="H318" t="s">
        <v>321</v>
      </c>
      <c r="I318" t="s">
        <v>965</v>
      </c>
      <c r="J318" t="s">
        <v>205</v>
      </c>
      <c r="K318" t="s">
        <v>224</v>
      </c>
      <c r="L318" t="s">
        <v>344</v>
      </c>
      <c r="M318" t="s">
        <v>602</v>
      </c>
      <c r="N318" t="s">
        <v>339</v>
      </c>
      <c r="O318" t="s">
        <v>1216</v>
      </c>
      <c r="P318" s="131">
        <v>60954</v>
      </c>
      <c r="Q318" s="131">
        <v>3.71</v>
      </c>
      <c r="R318" s="131">
        <v>22089</v>
      </c>
      <c r="T318" s="131">
        <v>49951.919000000002</v>
      </c>
      <c r="U318" s="132">
        <v>0</v>
      </c>
      <c r="V318" s="132">
        <v>7.4940000000000007E-2</v>
      </c>
      <c r="W318" s="132">
        <v>1.1220000000000001E-2</v>
      </c>
    </row>
    <row r="319" spans="1:23">
      <c r="A319" t="s">
        <v>1213</v>
      </c>
      <c r="B319" t="s">
        <v>1243</v>
      </c>
      <c r="C319" t="s">
        <v>4095</v>
      </c>
      <c r="D319" t="s">
        <v>4096</v>
      </c>
      <c r="E319" t="s">
        <v>80</v>
      </c>
      <c r="F319" t="s">
        <v>4097</v>
      </c>
      <c r="G319" t="s">
        <v>4098</v>
      </c>
      <c r="H319" t="s">
        <v>321</v>
      </c>
      <c r="I319" t="s">
        <v>965</v>
      </c>
      <c r="J319" t="s">
        <v>205</v>
      </c>
      <c r="K319" t="s">
        <v>224</v>
      </c>
      <c r="L319" t="s">
        <v>346</v>
      </c>
      <c r="M319" t="s">
        <v>597</v>
      </c>
      <c r="N319" t="s">
        <v>339</v>
      </c>
      <c r="O319" t="s">
        <v>1216</v>
      </c>
      <c r="P319" s="131">
        <v>21011</v>
      </c>
      <c r="Q319" s="131">
        <v>3.71</v>
      </c>
      <c r="R319" s="131">
        <v>48807</v>
      </c>
      <c r="S319" s="131">
        <f>10.701+682.63/1000/Q319</f>
        <v>10.88499730458221</v>
      </c>
      <c r="T319" s="131">
        <f>38085.151+682.63/1000</f>
        <v>38085.833630000001</v>
      </c>
      <c r="U319" s="132">
        <v>0</v>
      </c>
      <c r="V319" s="132">
        <v>5.7149999999999999E-2</v>
      </c>
      <c r="W319" s="132">
        <v>8.5599999999999999E-3</v>
      </c>
    </row>
    <row r="320" spans="1:23">
      <c r="A320" t="s">
        <v>1213</v>
      </c>
      <c r="B320" t="s">
        <v>1243</v>
      </c>
      <c r="C320" t="s">
        <v>4238</v>
      </c>
      <c r="D320" t="s">
        <v>4239</v>
      </c>
      <c r="E320" t="s">
        <v>80</v>
      </c>
      <c r="F320" t="s">
        <v>4338</v>
      </c>
      <c r="G320" t="s">
        <v>4339</v>
      </c>
      <c r="H320" t="s">
        <v>321</v>
      </c>
      <c r="I320" t="s">
        <v>967</v>
      </c>
      <c r="J320" t="s">
        <v>205</v>
      </c>
      <c r="K320" t="s">
        <v>224</v>
      </c>
      <c r="L320" t="s">
        <v>344</v>
      </c>
      <c r="M320" t="s">
        <v>732</v>
      </c>
      <c r="N320" t="s">
        <v>339</v>
      </c>
      <c r="O320" t="s">
        <v>1216</v>
      </c>
      <c r="P320" s="131">
        <v>46844</v>
      </c>
      <c r="Q320" s="131">
        <v>3.71</v>
      </c>
      <c r="R320" s="131">
        <v>11298</v>
      </c>
      <c r="T320" s="131">
        <v>19634.934000000001</v>
      </c>
      <c r="U320" s="132">
        <v>0</v>
      </c>
      <c r="V320" s="132">
        <v>2.946E-2</v>
      </c>
      <c r="W320" s="132">
        <v>4.4099999999999999E-3</v>
      </c>
    </row>
    <row r="321" spans="1:23">
      <c r="A321" t="s">
        <v>1213</v>
      </c>
      <c r="B321" t="s">
        <v>1243</v>
      </c>
      <c r="C321" t="s">
        <v>4238</v>
      </c>
      <c r="D321" t="s">
        <v>4239</v>
      </c>
      <c r="E321" t="s">
        <v>80</v>
      </c>
      <c r="F321" t="s">
        <v>4346</v>
      </c>
      <c r="G321" t="s">
        <v>4347</v>
      </c>
      <c r="H321" t="s">
        <v>321</v>
      </c>
      <c r="I321" t="s">
        <v>965</v>
      </c>
      <c r="J321" t="s">
        <v>205</v>
      </c>
      <c r="K321" t="s">
        <v>224</v>
      </c>
      <c r="L321" t="s">
        <v>344</v>
      </c>
      <c r="M321" t="s">
        <v>735</v>
      </c>
      <c r="N321" t="s">
        <v>339</v>
      </c>
      <c r="O321" t="s">
        <v>1216</v>
      </c>
      <c r="P321" s="131">
        <v>71757</v>
      </c>
      <c r="Q321" s="131">
        <v>3.71</v>
      </c>
      <c r="R321" s="131">
        <v>7154</v>
      </c>
      <c r="T321" s="131">
        <v>19045.269</v>
      </c>
      <c r="U321" s="132">
        <v>0</v>
      </c>
      <c r="V321" s="132">
        <v>2.8570000000000002E-2</v>
      </c>
      <c r="W321" s="132">
        <v>4.28E-3</v>
      </c>
    </row>
    <row r="322" spans="1:23">
      <c r="A322" t="s">
        <v>1213</v>
      </c>
      <c r="B322" t="s">
        <v>1243</v>
      </c>
      <c r="C322" t="s">
        <v>4091</v>
      </c>
      <c r="D322" t="s">
        <v>4092</v>
      </c>
      <c r="E322" t="s">
        <v>80</v>
      </c>
      <c r="F322" t="s">
        <v>4093</v>
      </c>
      <c r="G322" t="s">
        <v>4094</v>
      </c>
      <c r="H322" t="s">
        <v>321</v>
      </c>
      <c r="I322" t="s">
        <v>965</v>
      </c>
      <c r="J322" t="s">
        <v>205</v>
      </c>
      <c r="K322" t="s">
        <v>224</v>
      </c>
      <c r="L322" t="s">
        <v>344</v>
      </c>
      <c r="M322" t="s">
        <v>604</v>
      </c>
      <c r="N322" t="s">
        <v>339</v>
      </c>
      <c r="O322" t="s">
        <v>1216</v>
      </c>
      <c r="P322" s="131">
        <v>8939</v>
      </c>
      <c r="Q322" s="131">
        <v>3.71</v>
      </c>
      <c r="R322" s="131">
        <v>52767</v>
      </c>
      <c r="S322" s="131">
        <v>14.647</v>
      </c>
      <c r="T322" s="131">
        <v>17553.826000000001</v>
      </c>
      <c r="U322" s="132">
        <v>0</v>
      </c>
      <c r="V322" s="132">
        <v>2.6360000000000001E-2</v>
      </c>
      <c r="W322" s="132">
        <v>3.9500000000000004E-3</v>
      </c>
    </row>
    <row r="323" spans="1:23">
      <c r="A323" t="s">
        <v>1213</v>
      </c>
      <c r="B323" t="s">
        <v>1243</v>
      </c>
      <c r="C323" t="s">
        <v>4260</v>
      </c>
      <c r="D323" t="s">
        <v>4261</v>
      </c>
      <c r="E323" t="s">
        <v>80</v>
      </c>
      <c r="F323" t="s">
        <v>4262</v>
      </c>
      <c r="G323" t="s">
        <v>4263</v>
      </c>
      <c r="H323" t="s">
        <v>321</v>
      </c>
      <c r="I323" t="s">
        <v>965</v>
      </c>
      <c r="J323" t="s">
        <v>205</v>
      </c>
      <c r="K323" t="s">
        <v>224</v>
      </c>
      <c r="L323" t="s">
        <v>344</v>
      </c>
      <c r="M323" t="s">
        <v>735</v>
      </c>
      <c r="N323" t="s">
        <v>339</v>
      </c>
      <c r="O323" t="s">
        <v>1216</v>
      </c>
      <c r="P323" s="131">
        <v>16201</v>
      </c>
      <c r="Q323" s="131">
        <v>3.71</v>
      </c>
      <c r="R323" s="131">
        <v>23059</v>
      </c>
      <c r="T323" s="131">
        <v>13859.776</v>
      </c>
      <c r="U323" s="132">
        <v>0</v>
      </c>
      <c r="V323" s="132">
        <v>2.0789999999999999E-2</v>
      </c>
      <c r="W323" s="132">
        <v>3.1099999999999999E-3</v>
      </c>
    </row>
    <row r="324" spans="1:23">
      <c r="A324" t="s">
        <v>1213</v>
      </c>
      <c r="B324" t="s">
        <v>1243</v>
      </c>
      <c r="C324" t="s">
        <v>4298</v>
      </c>
      <c r="D324" t="s">
        <v>4299</v>
      </c>
      <c r="E324" t="s">
        <v>80</v>
      </c>
      <c r="F324" t="s">
        <v>4300</v>
      </c>
      <c r="G324" t="s">
        <v>4301</v>
      </c>
      <c r="H324" t="s">
        <v>321</v>
      </c>
      <c r="I324" t="s">
        <v>965</v>
      </c>
      <c r="J324" t="s">
        <v>205</v>
      </c>
      <c r="K324" t="s">
        <v>281</v>
      </c>
      <c r="L324" t="s">
        <v>314</v>
      </c>
      <c r="M324" t="s">
        <v>735</v>
      </c>
      <c r="N324" t="s">
        <v>339</v>
      </c>
      <c r="O324" t="s">
        <v>1218</v>
      </c>
      <c r="P324" s="131">
        <v>95039</v>
      </c>
      <c r="Q324" s="131">
        <v>4.1524000000000001</v>
      </c>
      <c r="R324" s="131">
        <v>3230</v>
      </c>
      <c r="T324" s="131">
        <v>12746.87</v>
      </c>
      <c r="U324" s="132">
        <v>1.1E-4</v>
      </c>
      <c r="V324" s="132">
        <v>1.9120000000000002E-2</v>
      </c>
      <c r="W324" s="132">
        <v>2.8600000000000001E-3</v>
      </c>
    </row>
    <row r="325" spans="1:23">
      <c r="A325" t="s">
        <v>1213</v>
      </c>
      <c r="B325" t="s">
        <v>1243</v>
      </c>
      <c r="C325" t="s">
        <v>4238</v>
      </c>
      <c r="D325" t="s">
        <v>4239</v>
      </c>
      <c r="E325" t="s">
        <v>80</v>
      </c>
      <c r="F325" t="s">
        <v>4350</v>
      </c>
      <c r="G325" t="s">
        <v>4351</v>
      </c>
      <c r="H325" t="s">
        <v>321</v>
      </c>
      <c r="I325" t="s">
        <v>967</v>
      </c>
      <c r="J325" t="s">
        <v>205</v>
      </c>
      <c r="K325" t="s">
        <v>224</v>
      </c>
      <c r="L325" t="s">
        <v>380</v>
      </c>
      <c r="M325" t="s">
        <v>732</v>
      </c>
      <c r="N325" t="s">
        <v>339</v>
      </c>
      <c r="O325" t="s">
        <v>1216</v>
      </c>
      <c r="P325" s="131">
        <v>32836</v>
      </c>
      <c r="Q325" s="131">
        <v>3.71</v>
      </c>
      <c r="R325" s="131">
        <v>10046</v>
      </c>
      <c r="T325" s="131">
        <v>12238.194</v>
      </c>
      <c r="U325" s="132">
        <v>0</v>
      </c>
      <c r="V325" s="132">
        <v>1.8360000000000001E-2</v>
      </c>
      <c r="W325" s="132">
        <v>2.7499999999999998E-3</v>
      </c>
    </row>
    <row r="326" spans="1:23">
      <c r="A326" t="s">
        <v>1213</v>
      </c>
      <c r="B326" t="s">
        <v>1243</v>
      </c>
      <c r="C326" t="s">
        <v>4302</v>
      </c>
      <c r="D326" t="s">
        <v>4303</v>
      </c>
      <c r="E326" t="s">
        <v>80</v>
      </c>
      <c r="F326" t="s">
        <v>4304</v>
      </c>
      <c r="G326" t="s">
        <v>4305</v>
      </c>
      <c r="H326" t="s">
        <v>321</v>
      </c>
      <c r="I326" t="s">
        <v>965</v>
      </c>
      <c r="J326" t="s">
        <v>205</v>
      </c>
      <c r="K326" t="s">
        <v>224</v>
      </c>
      <c r="L326" t="s">
        <v>344</v>
      </c>
      <c r="M326" t="s">
        <v>735</v>
      </c>
      <c r="N326" t="s">
        <v>339</v>
      </c>
      <c r="O326" t="s">
        <v>1216</v>
      </c>
      <c r="P326" s="131">
        <v>57901</v>
      </c>
      <c r="Q326" s="131">
        <v>3.71</v>
      </c>
      <c r="R326" s="131">
        <v>4727</v>
      </c>
      <c r="T326" s="131">
        <v>10154.197</v>
      </c>
      <c r="U326" s="132">
        <v>2.0000000000000002E-5</v>
      </c>
      <c r="V326" s="132">
        <v>1.523E-2</v>
      </c>
      <c r="W326" s="132">
        <v>2.2799999999999999E-3</v>
      </c>
    </row>
    <row r="327" spans="1:23">
      <c r="A327" t="s">
        <v>1213</v>
      </c>
      <c r="B327" t="s">
        <v>1243</v>
      </c>
      <c r="C327" t="s">
        <v>4260</v>
      </c>
      <c r="D327" t="s">
        <v>4261</v>
      </c>
      <c r="E327" t="s">
        <v>80</v>
      </c>
      <c r="F327" t="s">
        <v>4352</v>
      </c>
      <c r="G327" t="s">
        <v>4353</v>
      </c>
      <c r="H327" t="s">
        <v>321</v>
      </c>
      <c r="I327" t="s">
        <v>965</v>
      </c>
      <c r="J327" t="s">
        <v>205</v>
      </c>
      <c r="K327" t="s">
        <v>224</v>
      </c>
      <c r="L327" t="s">
        <v>344</v>
      </c>
      <c r="M327" t="s">
        <v>735</v>
      </c>
      <c r="N327" t="s">
        <v>339</v>
      </c>
      <c r="O327" t="s">
        <v>1216</v>
      </c>
      <c r="P327" s="131">
        <v>7055</v>
      </c>
      <c r="Q327" s="131">
        <v>3.71</v>
      </c>
      <c r="R327" s="131">
        <v>8937</v>
      </c>
      <c r="T327" s="131">
        <v>2339.1750000000002</v>
      </c>
      <c r="U327" s="132">
        <v>0</v>
      </c>
      <c r="V327" s="132">
        <v>3.5100000000000001E-3</v>
      </c>
      <c r="W327" s="132">
        <v>5.2999999999999998E-4</v>
      </c>
    </row>
    <row r="328" spans="1:23">
      <c r="A328" t="s">
        <v>1213</v>
      </c>
      <c r="B328">
        <v>15108</v>
      </c>
      <c r="C328" t="s">
        <v>4298</v>
      </c>
      <c r="D328" t="s">
        <v>4299</v>
      </c>
      <c r="E328" t="s">
        <v>80</v>
      </c>
      <c r="F328" t="s">
        <v>4368</v>
      </c>
      <c r="G328" t="s">
        <v>4369</v>
      </c>
      <c r="H328" t="s">
        <v>321</v>
      </c>
      <c r="I328" t="s">
        <v>965</v>
      </c>
      <c r="J328" t="s">
        <v>205</v>
      </c>
      <c r="K328" t="s">
        <v>281</v>
      </c>
      <c r="L328" t="s">
        <v>380</v>
      </c>
      <c r="M328" t="s">
        <v>604</v>
      </c>
      <c r="N328" t="s">
        <v>339</v>
      </c>
      <c r="O328" t="s">
        <v>1216</v>
      </c>
      <c r="P328" s="131">
        <v>23001</v>
      </c>
      <c r="Q328" s="131">
        <v>3.71</v>
      </c>
      <c r="R328" s="131">
        <v>40841</v>
      </c>
      <c r="T328" s="131">
        <v>34851.141000000003</v>
      </c>
      <c r="U328" s="132">
        <v>0</v>
      </c>
      <c r="V328" s="132">
        <v>0.25030000000000002</v>
      </c>
      <c r="W328" s="132">
        <v>5.901E-2</v>
      </c>
    </row>
    <row r="329" spans="1:23">
      <c r="A329" t="s">
        <v>1213</v>
      </c>
      <c r="B329">
        <v>15108</v>
      </c>
      <c r="C329" t="s">
        <v>4103</v>
      </c>
      <c r="D329" t="s">
        <v>4104</v>
      </c>
      <c r="E329" t="s">
        <v>80</v>
      </c>
      <c r="F329" t="s">
        <v>4105</v>
      </c>
      <c r="G329" t="s">
        <v>4106</v>
      </c>
      <c r="H329" t="s">
        <v>321</v>
      </c>
      <c r="I329" t="s">
        <v>965</v>
      </c>
      <c r="J329" t="s">
        <v>205</v>
      </c>
      <c r="K329" t="s">
        <v>224</v>
      </c>
      <c r="L329" t="s">
        <v>380</v>
      </c>
      <c r="M329" t="s">
        <v>604</v>
      </c>
      <c r="N329" t="s">
        <v>339</v>
      </c>
      <c r="O329" t="s">
        <v>1216</v>
      </c>
      <c r="P329" s="131">
        <v>8328</v>
      </c>
      <c r="Q329" s="131">
        <v>3.71</v>
      </c>
      <c r="R329" s="131">
        <v>112716</v>
      </c>
      <c r="T329" s="131">
        <v>34825.726999999999</v>
      </c>
      <c r="U329" s="132">
        <v>0</v>
      </c>
      <c r="V329" s="132">
        <v>0.25012000000000001</v>
      </c>
      <c r="W329" s="132">
        <v>5.8970000000000002E-2</v>
      </c>
    </row>
    <row r="330" spans="1:23">
      <c r="A330" t="s">
        <v>1213</v>
      </c>
      <c r="B330">
        <v>15108</v>
      </c>
      <c r="C330" t="s">
        <v>4370</v>
      </c>
      <c r="D330" t="s">
        <v>4371</v>
      </c>
      <c r="E330" t="s">
        <v>80</v>
      </c>
      <c r="F330" t="s">
        <v>4372</v>
      </c>
      <c r="G330" t="s">
        <v>4373</v>
      </c>
      <c r="H330" t="s">
        <v>321</v>
      </c>
      <c r="I330" t="s">
        <v>965</v>
      </c>
      <c r="J330" t="s">
        <v>205</v>
      </c>
      <c r="K330" t="s">
        <v>293</v>
      </c>
      <c r="L330" t="s">
        <v>314</v>
      </c>
      <c r="M330" t="s">
        <v>604</v>
      </c>
      <c r="N330" t="s">
        <v>339</v>
      </c>
      <c r="O330" t="s">
        <v>1216</v>
      </c>
      <c r="P330" s="131">
        <v>83522</v>
      </c>
      <c r="Q330" s="131">
        <v>3.71</v>
      </c>
      <c r="R330" s="131">
        <v>11230.77</v>
      </c>
      <c r="T330" s="131">
        <v>34800.406999999999</v>
      </c>
      <c r="U330" s="132">
        <v>1.0000000000000001E-5</v>
      </c>
      <c r="V330" s="132">
        <v>0.24994</v>
      </c>
      <c r="W330" s="132">
        <v>5.8930000000000003E-2</v>
      </c>
    </row>
    <row r="331" spans="1:23">
      <c r="A331" t="s">
        <v>1213</v>
      </c>
      <c r="B331">
        <v>15108</v>
      </c>
      <c r="C331" t="s">
        <v>3740</v>
      </c>
      <c r="D331" t="s">
        <v>3741</v>
      </c>
      <c r="E331" t="s">
        <v>80</v>
      </c>
      <c r="F331" t="s">
        <v>4374</v>
      </c>
      <c r="G331" t="s">
        <v>4375</v>
      </c>
      <c r="H331" t="s">
        <v>321</v>
      </c>
      <c r="I331" t="s">
        <v>965</v>
      </c>
      <c r="J331" t="s">
        <v>205</v>
      </c>
      <c r="K331" t="s">
        <v>281</v>
      </c>
      <c r="L331" t="s">
        <v>314</v>
      </c>
      <c r="M331" t="s">
        <v>604</v>
      </c>
      <c r="N331" t="s">
        <v>339</v>
      </c>
      <c r="O331" t="s">
        <v>1216</v>
      </c>
      <c r="P331" s="131">
        <v>408704</v>
      </c>
      <c r="Q331" s="131">
        <v>3.71</v>
      </c>
      <c r="R331" s="131">
        <v>2292.3000000000002</v>
      </c>
      <c r="T331" s="131">
        <v>34757.957999999999</v>
      </c>
      <c r="U331" s="132">
        <v>6.0000000000000002E-5</v>
      </c>
      <c r="V331" s="132">
        <v>0.24962999999999999</v>
      </c>
      <c r="W331" s="132">
        <v>5.8860000000000003E-2</v>
      </c>
    </row>
    <row r="332" spans="1:23">
      <c r="A332" t="s">
        <v>1213</v>
      </c>
      <c r="B332" t="s">
        <v>1248</v>
      </c>
      <c r="C332" t="s">
        <v>4107</v>
      </c>
      <c r="D332" t="s">
        <v>4108</v>
      </c>
      <c r="E332" t="s">
        <v>309</v>
      </c>
      <c r="F332" t="s">
        <v>4115</v>
      </c>
      <c r="G332" t="s">
        <v>4116</v>
      </c>
      <c r="H332" t="s">
        <v>321</v>
      </c>
      <c r="I332" t="s">
        <v>965</v>
      </c>
      <c r="J332" t="s">
        <v>204</v>
      </c>
      <c r="K332" t="s">
        <v>204</v>
      </c>
      <c r="L332" t="s">
        <v>340</v>
      </c>
      <c r="M332" t="s">
        <v>605</v>
      </c>
      <c r="N332" t="s">
        <v>339</v>
      </c>
      <c r="O332" t="s">
        <v>1212</v>
      </c>
      <c r="P332" s="131">
        <v>591660</v>
      </c>
      <c r="Q332" s="131">
        <v>1</v>
      </c>
      <c r="R332" s="131">
        <v>7341</v>
      </c>
      <c r="T332" s="131">
        <v>43433.760999999999</v>
      </c>
      <c r="U332" s="132">
        <v>1.9089999999999999E-2</v>
      </c>
      <c r="V332" s="132">
        <v>0.11154</v>
      </c>
      <c r="W332" s="132">
        <v>5.9650000000000002E-2</v>
      </c>
    </row>
    <row r="333" spans="1:23">
      <c r="A333" t="s">
        <v>1213</v>
      </c>
      <c r="B333" t="s">
        <v>1248</v>
      </c>
      <c r="C333" t="s">
        <v>4127</v>
      </c>
      <c r="D333" t="s">
        <v>4128</v>
      </c>
      <c r="E333" t="s">
        <v>309</v>
      </c>
      <c r="F333" t="s">
        <v>4187</v>
      </c>
      <c r="G333" t="s">
        <v>4188</v>
      </c>
      <c r="H333" t="s">
        <v>321</v>
      </c>
      <c r="I333" t="s">
        <v>965</v>
      </c>
      <c r="J333" t="s">
        <v>204</v>
      </c>
      <c r="K333" t="s">
        <v>204</v>
      </c>
      <c r="L333" t="s">
        <v>340</v>
      </c>
      <c r="M333" t="s">
        <v>598</v>
      </c>
      <c r="N333" t="s">
        <v>339</v>
      </c>
      <c r="O333" t="s">
        <v>1212</v>
      </c>
      <c r="P333" s="131">
        <v>245019</v>
      </c>
      <c r="Q333" s="131">
        <v>1</v>
      </c>
      <c r="R333" s="131">
        <v>17380</v>
      </c>
      <c r="T333" s="131">
        <v>42584.302000000003</v>
      </c>
      <c r="U333" s="132">
        <v>2.768E-2</v>
      </c>
      <c r="V333" s="132">
        <v>0.10935</v>
      </c>
      <c r="W333" s="132">
        <v>5.849E-2</v>
      </c>
    </row>
    <row r="334" spans="1:23">
      <c r="A334" t="s">
        <v>1213</v>
      </c>
      <c r="B334" t="s">
        <v>1248</v>
      </c>
      <c r="C334" t="s">
        <v>4123</v>
      </c>
      <c r="D334" t="s">
        <v>4124</v>
      </c>
      <c r="E334" t="s">
        <v>309</v>
      </c>
      <c r="F334" t="s">
        <v>4135</v>
      </c>
      <c r="G334" t="s">
        <v>4136</v>
      </c>
      <c r="H334" t="s">
        <v>321</v>
      </c>
      <c r="I334" t="s">
        <v>965</v>
      </c>
      <c r="J334" t="s">
        <v>204</v>
      </c>
      <c r="K334" t="s">
        <v>204</v>
      </c>
      <c r="L334" t="s">
        <v>340</v>
      </c>
      <c r="M334" t="s">
        <v>605</v>
      </c>
      <c r="N334" t="s">
        <v>339</v>
      </c>
      <c r="O334" t="s">
        <v>1212</v>
      </c>
      <c r="P334" s="131">
        <v>806987</v>
      </c>
      <c r="Q334" s="131">
        <v>1</v>
      </c>
      <c r="R334" s="131">
        <v>5069</v>
      </c>
      <c r="T334" s="131">
        <v>40906.171000000002</v>
      </c>
      <c r="U334" s="132">
        <v>6.28E-3</v>
      </c>
      <c r="V334" s="132">
        <v>0.10503999999999999</v>
      </c>
      <c r="W334" s="132">
        <v>5.6180000000000001E-2</v>
      </c>
    </row>
    <row r="335" spans="1:23">
      <c r="A335" t="s">
        <v>1213</v>
      </c>
      <c r="B335" t="s">
        <v>1248</v>
      </c>
      <c r="C335" t="s">
        <v>4107</v>
      </c>
      <c r="D335" t="s">
        <v>4108</v>
      </c>
      <c r="E335" t="s">
        <v>309</v>
      </c>
      <c r="F335" t="s">
        <v>4376</v>
      </c>
      <c r="G335" t="s">
        <v>4377</v>
      </c>
      <c r="H335" t="s">
        <v>321</v>
      </c>
      <c r="I335" t="s">
        <v>965</v>
      </c>
      <c r="J335" t="s">
        <v>204</v>
      </c>
      <c r="K335" t="s">
        <v>204</v>
      </c>
      <c r="L335" t="s">
        <v>340</v>
      </c>
      <c r="M335" t="s">
        <v>602</v>
      </c>
      <c r="N335" t="s">
        <v>339</v>
      </c>
      <c r="O335" t="s">
        <v>1212</v>
      </c>
      <c r="P335" s="131">
        <v>199155</v>
      </c>
      <c r="Q335" s="131">
        <v>1</v>
      </c>
      <c r="R335" s="131">
        <v>7312</v>
      </c>
      <c r="T335" s="131">
        <v>14562.214</v>
      </c>
      <c r="U335" s="132">
        <v>4.4260000000000001E-2</v>
      </c>
      <c r="V335" s="132">
        <v>3.739E-2</v>
      </c>
      <c r="W335" s="132">
        <v>0.02</v>
      </c>
    </row>
    <row r="336" spans="1:23">
      <c r="A336" t="s">
        <v>1213</v>
      </c>
      <c r="B336" t="s">
        <v>1248</v>
      </c>
      <c r="C336" t="s">
        <v>4127</v>
      </c>
      <c r="D336" t="s">
        <v>4128</v>
      </c>
      <c r="E336" t="s">
        <v>309</v>
      </c>
      <c r="F336" t="s">
        <v>4378</v>
      </c>
      <c r="G336" t="s">
        <v>4379</v>
      </c>
      <c r="H336" t="s">
        <v>321</v>
      </c>
      <c r="I336" t="s">
        <v>965</v>
      </c>
      <c r="J336" t="s">
        <v>204</v>
      </c>
      <c r="K336" t="s">
        <v>204</v>
      </c>
      <c r="L336" t="s">
        <v>340</v>
      </c>
      <c r="M336" t="s">
        <v>703</v>
      </c>
      <c r="N336" t="s">
        <v>339</v>
      </c>
      <c r="O336" t="s">
        <v>1212</v>
      </c>
      <c r="P336" s="131">
        <v>72225</v>
      </c>
      <c r="Q336" s="131">
        <v>1</v>
      </c>
      <c r="R336" s="131">
        <v>18920</v>
      </c>
      <c r="T336" s="131">
        <v>13664.97</v>
      </c>
      <c r="U336" s="132">
        <v>9.7999999999999997E-3</v>
      </c>
      <c r="V336" s="132">
        <v>3.5090000000000003E-2</v>
      </c>
      <c r="W336" s="132">
        <v>1.8769999999999998E-2</v>
      </c>
    </row>
    <row r="337" spans="1:23">
      <c r="A337" t="s">
        <v>1213</v>
      </c>
      <c r="B337" t="s">
        <v>1248</v>
      </c>
      <c r="C337" t="s">
        <v>4123</v>
      </c>
      <c r="D337" t="s">
        <v>4124</v>
      </c>
      <c r="E337" t="s">
        <v>309</v>
      </c>
      <c r="F337" t="s">
        <v>4380</v>
      </c>
      <c r="G337" t="s">
        <v>4381</v>
      </c>
      <c r="H337" t="s">
        <v>321</v>
      </c>
      <c r="I337" t="s">
        <v>965</v>
      </c>
      <c r="J337" t="s">
        <v>204</v>
      </c>
      <c r="K337" t="s">
        <v>204</v>
      </c>
      <c r="L337" t="s">
        <v>340</v>
      </c>
      <c r="M337" t="s">
        <v>602</v>
      </c>
      <c r="N337" t="s">
        <v>339</v>
      </c>
      <c r="O337" t="s">
        <v>1212</v>
      </c>
      <c r="P337" s="131">
        <v>148043</v>
      </c>
      <c r="Q337" s="131">
        <v>1</v>
      </c>
      <c r="R337" s="131">
        <v>9039</v>
      </c>
      <c r="T337" s="131">
        <v>13381.607</v>
      </c>
      <c r="U337" s="132">
        <v>1.583E-2</v>
      </c>
      <c r="V337" s="132">
        <v>3.4360000000000002E-2</v>
      </c>
      <c r="W337" s="132">
        <v>1.8380000000000001E-2</v>
      </c>
    </row>
    <row r="338" spans="1:23">
      <c r="A338" t="s">
        <v>1213</v>
      </c>
      <c r="B338" t="s">
        <v>1248</v>
      </c>
      <c r="C338" t="s">
        <v>4123</v>
      </c>
      <c r="D338" t="s">
        <v>4124</v>
      </c>
      <c r="E338" t="s">
        <v>309</v>
      </c>
      <c r="F338" t="s">
        <v>4382</v>
      </c>
      <c r="G338" t="s">
        <v>4383</v>
      </c>
      <c r="H338" t="s">
        <v>321</v>
      </c>
      <c r="I338" t="s">
        <v>965</v>
      </c>
      <c r="J338" t="s">
        <v>204</v>
      </c>
      <c r="K338" t="s">
        <v>204</v>
      </c>
      <c r="L338" t="s">
        <v>340</v>
      </c>
      <c r="M338" t="s">
        <v>597</v>
      </c>
      <c r="N338" t="s">
        <v>339</v>
      </c>
      <c r="O338" t="s">
        <v>1212</v>
      </c>
      <c r="P338" s="131">
        <v>31421</v>
      </c>
      <c r="Q338" s="131">
        <v>1</v>
      </c>
      <c r="R338" s="131">
        <v>38730</v>
      </c>
      <c r="T338" s="131">
        <v>12169.352999999999</v>
      </c>
      <c r="U338" s="132">
        <v>1.8500000000000001E-3</v>
      </c>
      <c r="V338" s="132">
        <v>3.125E-2</v>
      </c>
      <c r="W338" s="132">
        <v>1.6709999999999999E-2</v>
      </c>
    </row>
    <row r="339" spans="1:23">
      <c r="A339" t="s">
        <v>1213</v>
      </c>
      <c r="B339" t="s">
        <v>1248</v>
      </c>
      <c r="C339" t="s">
        <v>4103</v>
      </c>
      <c r="D339" t="s">
        <v>4104</v>
      </c>
      <c r="E339" t="s">
        <v>80</v>
      </c>
      <c r="F339" t="s">
        <v>4105</v>
      </c>
      <c r="G339" t="s">
        <v>4106</v>
      </c>
      <c r="H339" t="s">
        <v>321</v>
      </c>
      <c r="I339" t="s">
        <v>965</v>
      </c>
      <c r="J339" t="s">
        <v>205</v>
      </c>
      <c r="K339" t="s">
        <v>224</v>
      </c>
      <c r="L339" t="s">
        <v>380</v>
      </c>
      <c r="M339" t="s">
        <v>604</v>
      </c>
      <c r="N339" t="s">
        <v>339</v>
      </c>
      <c r="O339" t="s">
        <v>1216</v>
      </c>
      <c r="P339" s="131">
        <v>14500</v>
      </c>
      <c r="Q339" s="131">
        <v>3.71</v>
      </c>
      <c r="R339" s="131">
        <v>112716</v>
      </c>
      <c r="T339" s="131">
        <v>60635.572</v>
      </c>
      <c r="U339" s="132">
        <v>0</v>
      </c>
      <c r="V339" s="132">
        <v>0.15570999999999999</v>
      </c>
      <c r="W339" s="132">
        <v>8.3280000000000007E-2</v>
      </c>
    </row>
    <row r="340" spans="1:23">
      <c r="A340" t="s">
        <v>1213</v>
      </c>
      <c r="B340" t="s">
        <v>1248</v>
      </c>
      <c r="C340" t="s">
        <v>4095</v>
      </c>
      <c r="D340" t="s">
        <v>4096</v>
      </c>
      <c r="E340" t="s">
        <v>80</v>
      </c>
      <c r="F340" t="s">
        <v>4097</v>
      </c>
      <c r="G340" t="s">
        <v>4098</v>
      </c>
      <c r="H340" t="s">
        <v>321</v>
      </c>
      <c r="I340" t="s">
        <v>965</v>
      </c>
      <c r="J340" t="s">
        <v>205</v>
      </c>
      <c r="K340" t="s">
        <v>224</v>
      </c>
      <c r="L340" t="s">
        <v>346</v>
      </c>
      <c r="M340" t="s">
        <v>597</v>
      </c>
      <c r="N340" t="s">
        <v>339</v>
      </c>
      <c r="O340" t="s">
        <v>1216</v>
      </c>
      <c r="P340" s="131">
        <v>29737</v>
      </c>
      <c r="Q340" s="131">
        <v>3.71</v>
      </c>
      <c r="R340" s="131">
        <v>48807</v>
      </c>
      <c r="S340" s="131">
        <f>15.145+966.13/1000/Q340</f>
        <v>15.405412398921833</v>
      </c>
      <c r="T340" s="131">
        <f>53902.153+966.13/1000</f>
        <v>53903.119129999999</v>
      </c>
      <c r="U340" s="132">
        <v>0</v>
      </c>
      <c r="V340" s="132">
        <v>0.13846</v>
      </c>
      <c r="W340" s="132">
        <v>7.4050000000000005E-2</v>
      </c>
    </row>
    <row r="341" spans="1:23">
      <c r="A341" t="s">
        <v>1213</v>
      </c>
      <c r="B341" t="s">
        <v>1248</v>
      </c>
      <c r="C341" t="s">
        <v>4298</v>
      </c>
      <c r="D341" t="s">
        <v>4299</v>
      </c>
      <c r="E341" t="s">
        <v>80</v>
      </c>
      <c r="F341" t="s">
        <v>4368</v>
      </c>
      <c r="G341" t="s">
        <v>4369</v>
      </c>
      <c r="H341" t="s">
        <v>321</v>
      </c>
      <c r="I341" t="s">
        <v>965</v>
      </c>
      <c r="J341" t="s">
        <v>205</v>
      </c>
      <c r="K341" t="s">
        <v>281</v>
      </c>
      <c r="L341" t="s">
        <v>380</v>
      </c>
      <c r="M341" t="s">
        <v>604</v>
      </c>
      <c r="N341" t="s">
        <v>339</v>
      </c>
      <c r="O341" t="s">
        <v>1216</v>
      </c>
      <c r="P341" s="131">
        <v>21272</v>
      </c>
      <c r="Q341" s="131">
        <v>3.71</v>
      </c>
      <c r="R341" s="131">
        <v>40841</v>
      </c>
      <c r="T341" s="131">
        <v>32231.358</v>
      </c>
      <c r="U341" s="132">
        <v>0</v>
      </c>
      <c r="V341" s="132">
        <v>8.2769999999999996E-2</v>
      </c>
      <c r="W341" s="132">
        <v>4.4269999999999997E-2</v>
      </c>
    </row>
    <row r="342" spans="1:23">
      <c r="A342" t="s">
        <v>1213</v>
      </c>
      <c r="B342" t="s">
        <v>1248</v>
      </c>
      <c r="C342" t="s">
        <v>4298</v>
      </c>
      <c r="D342" t="s">
        <v>4299</v>
      </c>
      <c r="E342" t="s">
        <v>80</v>
      </c>
      <c r="F342" t="s">
        <v>4384</v>
      </c>
      <c r="G342" t="s">
        <v>4385</v>
      </c>
      <c r="H342" t="s">
        <v>321</v>
      </c>
      <c r="I342" t="s">
        <v>965</v>
      </c>
      <c r="J342" t="s">
        <v>205</v>
      </c>
      <c r="K342" t="s">
        <v>281</v>
      </c>
      <c r="L342" t="s">
        <v>314</v>
      </c>
      <c r="M342" t="s">
        <v>735</v>
      </c>
      <c r="N342" t="s">
        <v>339</v>
      </c>
      <c r="O342" t="s">
        <v>1218</v>
      </c>
      <c r="P342" s="131">
        <v>20630</v>
      </c>
      <c r="Q342" s="131">
        <v>4.1524000000000001</v>
      </c>
      <c r="R342" s="131">
        <v>24366</v>
      </c>
      <c r="T342" s="131">
        <v>20872.893</v>
      </c>
      <c r="U342" s="132">
        <v>0</v>
      </c>
      <c r="V342" s="132">
        <v>5.3600000000000002E-2</v>
      </c>
      <c r="W342" s="132">
        <v>2.8670000000000001E-2</v>
      </c>
    </row>
    <row r="343" spans="1:23">
      <c r="A343" t="s">
        <v>1213</v>
      </c>
      <c r="B343" t="s">
        <v>1248</v>
      </c>
      <c r="C343" t="s">
        <v>4238</v>
      </c>
      <c r="D343" t="s">
        <v>4239</v>
      </c>
      <c r="E343" t="s">
        <v>80</v>
      </c>
      <c r="F343" t="s">
        <v>4386</v>
      </c>
      <c r="G343" t="s">
        <v>4387</v>
      </c>
      <c r="H343" t="s">
        <v>321</v>
      </c>
      <c r="I343" t="s">
        <v>965</v>
      </c>
      <c r="J343" t="s">
        <v>205</v>
      </c>
      <c r="K343" t="s">
        <v>224</v>
      </c>
      <c r="L343" t="s">
        <v>314</v>
      </c>
      <c r="M343" t="s">
        <v>596</v>
      </c>
      <c r="N343" t="s">
        <v>339</v>
      </c>
      <c r="O343" t="s">
        <v>1216</v>
      </c>
      <c r="P343" s="131">
        <v>106279</v>
      </c>
      <c r="Q343" s="131">
        <v>3.71</v>
      </c>
      <c r="R343" s="131">
        <v>3689</v>
      </c>
      <c r="T343" s="131">
        <v>14545.546</v>
      </c>
      <c r="U343" s="132">
        <v>0</v>
      </c>
      <c r="V343" s="132">
        <v>3.7350000000000001E-2</v>
      </c>
      <c r="W343" s="132">
        <v>1.9980000000000001E-2</v>
      </c>
    </row>
    <row r="344" spans="1:23">
      <c r="A344" t="s">
        <v>1213</v>
      </c>
      <c r="B344" t="s">
        <v>1248</v>
      </c>
      <c r="C344" t="s">
        <v>4250</v>
      </c>
      <c r="D344" t="s">
        <v>4251</v>
      </c>
      <c r="E344" t="s">
        <v>80</v>
      </c>
      <c r="F344" t="s">
        <v>4252</v>
      </c>
      <c r="G344" t="s">
        <v>4253</v>
      </c>
      <c r="H344" t="s">
        <v>321</v>
      </c>
      <c r="I344" t="s">
        <v>965</v>
      </c>
      <c r="J344" t="s">
        <v>205</v>
      </c>
      <c r="K344" t="s">
        <v>224</v>
      </c>
      <c r="L344" t="s">
        <v>314</v>
      </c>
      <c r="M344" t="s">
        <v>597</v>
      </c>
      <c r="N344" t="s">
        <v>339</v>
      </c>
      <c r="O344" t="s">
        <v>1216</v>
      </c>
      <c r="P344" s="131">
        <v>12556</v>
      </c>
      <c r="Q344" s="131">
        <v>3.71</v>
      </c>
      <c r="R344" s="131">
        <v>20085</v>
      </c>
      <c r="T344" s="131">
        <v>9356.1470000000008</v>
      </c>
      <c r="U344" s="132">
        <v>0</v>
      </c>
      <c r="V344" s="132">
        <v>2.4029999999999999E-2</v>
      </c>
      <c r="W344" s="132">
        <v>1.285E-2</v>
      </c>
    </row>
    <row r="345" spans="1:23">
      <c r="A345" t="s">
        <v>1213</v>
      </c>
      <c r="B345" t="s">
        <v>1248</v>
      </c>
      <c r="C345" t="s">
        <v>4099</v>
      </c>
      <c r="D345" t="s">
        <v>4100</v>
      </c>
      <c r="E345" t="s">
        <v>80</v>
      </c>
      <c r="F345" t="s">
        <v>4272</v>
      </c>
      <c r="G345" t="s">
        <v>4273</v>
      </c>
      <c r="H345" t="s">
        <v>321</v>
      </c>
      <c r="I345" t="s">
        <v>965</v>
      </c>
      <c r="J345" t="s">
        <v>205</v>
      </c>
      <c r="K345" t="s">
        <v>224</v>
      </c>
      <c r="L345" t="s">
        <v>344</v>
      </c>
      <c r="M345" t="s">
        <v>735</v>
      </c>
      <c r="N345" t="s">
        <v>339</v>
      </c>
      <c r="O345" t="s">
        <v>1216</v>
      </c>
      <c r="P345" s="131">
        <v>16683</v>
      </c>
      <c r="Q345" s="131">
        <v>3.71</v>
      </c>
      <c r="R345" s="131">
        <v>8300</v>
      </c>
      <c r="T345" s="131">
        <v>5137.1959999999999</v>
      </c>
      <c r="U345" s="132">
        <v>0</v>
      </c>
      <c r="V345" s="132">
        <v>1.319E-2</v>
      </c>
      <c r="W345" s="132">
        <v>7.0600000000000003E-3</v>
      </c>
    </row>
    <row r="346" spans="1:23">
      <c r="A346" t="s">
        <v>1213</v>
      </c>
      <c r="B346" t="s">
        <v>1248</v>
      </c>
      <c r="C346" t="s">
        <v>4099</v>
      </c>
      <c r="D346" t="s">
        <v>4100</v>
      </c>
      <c r="E346" t="s">
        <v>80</v>
      </c>
      <c r="F346" t="s">
        <v>4388</v>
      </c>
      <c r="G346" t="s">
        <v>4389</v>
      </c>
      <c r="H346" t="s">
        <v>321</v>
      </c>
      <c r="I346" t="s">
        <v>965</v>
      </c>
      <c r="J346" t="s">
        <v>205</v>
      </c>
      <c r="K346" t="s">
        <v>224</v>
      </c>
      <c r="L346" t="s">
        <v>344</v>
      </c>
      <c r="M346" t="s">
        <v>735</v>
      </c>
      <c r="N346" t="s">
        <v>339</v>
      </c>
      <c r="O346" t="s">
        <v>1216</v>
      </c>
      <c r="P346" s="131">
        <v>28664</v>
      </c>
      <c r="Q346" s="131">
        <v>3.71</v>
      </c>
      <c r="R346" s="131">
        <v>4532</v>
      </c>
      <c r="T346" s="131">
        <v>4819.4849999999997</v>
      </c>
      <c r="U346" s="132">
        <v>0</v>
      </c>
      <c r="V346" s="132">
        <v>1.238E-2</v>
      </c>
      <c r="W346" s="132">
        <v>6.62E-3</v>
      </c>
    </row>
    <row r="347" spans="1:23">
      <c r="A347" t="s">
        <v>1213</v>
      </c>
      <c r="B347" t="s">
        <v>1248</v>
      </c>
      <c r="C347" t="s">
        <v>4099</v>
      </c>
      <c r="D347" t="s">
        <v>4100</v>
      </c>
      <c r="E347" t="s">
        <v>80</v>
      </c>
      <c r="F347" t="s">
        <v>4264</v>
      </c>
      <c r="G347" t="s">
        <v>4265</v>
      </c>
      <c r="H347" t="s">
        <v>321</v>
      </c>
      <c r="I347" t="s">
        <v>965</v>
      </c>
      <c r="J347" t="s">
        <v>205</v>
      </c>
      <c r="K347" t="s">
        <v>224</v>
      </c>
      <c r="L347" t="s">
        <v>344</v>
      </c>
      <c r="M347" t="s">
        <v>735</v>
      </c>
      <c r="N347" t="s">
        <v>339</v>
      </c>
      <c r="O347" t="s">
        <v>1216</v>
      </c>
      <c r="P347" s="131">
        <v>8419</v>
      </c>
      <c r="Q347" s="131">
        <v>3.71</v>
      </c>
      <c r="R347" s="131">
        <v>15402</v>
      </c>
      <c r="T347" s="131">
        <v>4810.7359999999999</v>
      </c>
      <c r="U347" s="132">
        <v>0</v>
      </c>
      <c r="V347" s="132">
        <v>1.235E-2</v>
      </c>
      <c r="W347" s="132">
        <v>6.6100000000000004E-3</v>
      </c>
    </row>
    <row r="348" spans="1:23">
      <c r="A348" t="s">
        <v>1213</v>
      </c>
      <c r="B348" t="s">
        <v>1248</v>
      </c>
      <c r="C348" t="s">
        <v>4390</v>
      </c>
      <c r="D348" t="s">
        <v>4391</v>
      </c>
      <c r="E348" t="s">
        <v>80</v>
      </c>
      <c r="F348" t="s">
        <v>4392</v>
      </c>
      <c r="G348" t="s">
        <v>4393</v>
      </c>
      <c r="H348" t="s">
        <v>321</v>
      </c>
      <c r="I348" t="s">
        <v>965</v>
      </c>
      <c r="J348" t="s">
        <v>205</v>
      </c>
      <c r="K348" t="s">
        <v>224</v>
      </c>
      <c r="L348" t="s">
        <v>344</v>
      </c>
      <c r="M348" t="s">
        <v>735</v>
      </c>
      <c r="N348" t="s">
        <v>339</v>
      </c>
      <c r="O348" t="s">
        <v>1216</v>
      </c>
      <c r="P348" s="131">
        <v>6558</v>
      </c>
      <c r="Q348" s="131">
        <v>3.71</v>
      </c>
      <c r="R348" s="131">
        <v>9880</v>
      </c>
      <c r="T348" s="131">
        <v>2403.8220000000001</v>
      </c>
      <c r="U348" s="132">
        <v>0</v>
      </c>
      <c r="V348" s="132">
        <v>6.1700000000000001E-3</v>
      </c>
      <c r="W348" s="132">
        <v>3.3E-3</v>
      </c>
    </row>
    <row r="349" spans="1:23">
      <c r="A349" t="s">
        <v>1213</v>
      </c>
      <c r="B349" t="s">
        <v>1250</v>
      </c>
      <c r="C349" t="s">
        <v>4123</v>
      </c>
      <c r="D349" t="s">
        <v>4124</v>
      </c>
      <c r="E349" t="s">
        <v>309</v>
      </c>
      <c r="F349" t="s">
        <v>4382</v>
      </c>
      <c r="G349" t="s">
        <v>4383</v>
      </c>
      <c r="H349" t="s">
        <v>321</v>
      </c>
      <c r="I349" t="s">
        <v>965</v>
      </c>
      <c r="J349" t="s">
        <v>204</v>
      </c>
      <c r="K349" t="s">
        <v>204</v>
      </c>
      <c r="L349" t="s">
        <v>340</v>
      </c>
      <c r="M349" t="s">
        <v>597</v>
      </c>
      <c r="N349" t="s">
        <v>339</v>
      </c>
      <c r="O349" t="s">
        <v>1212</v>
      </c>
      <c r="P349" s="131">
        <v>85595</v>
      </c>
      <c r="Q349" s="131">
        <v>1</v>
      </c>
      <c r="R349" s="131">
        <v>38730</v>
      </c>
      <c r="T349" s="131">
        <v>33150.944000000003</v>
      </c>
      <c r="U349" s="132">
        <v>5.0400000000000002E-3</v>
      </c>
      <c r="V349" s="132">
        <v>6.5490000000000007E-2</v>
      </c>
      <c r="W349" s="132">
        <v>9.92E-3</v>
      </c>
    </row>
    <row r="350" spans="1:23">
      <c r="A350" t="s">
        <v>1213</v>
      </c>
      <c r="B350" t="s">
        <v>1250</v>
      </c>
      <c r="C350" t="s">
        <v>4107</v>
      </c>
      <c r="D350" t="s">
        <v>4108</v>
      </c>
      <c r="E350" t="s">
        <v>309</v>
      </c>
      <c r="F350" t="s">
        <v>4121</v>
      </c>
      <c r="G350" t="s">
        <v>4122</v>
      </c>
      <c r="H350" t="s">
        <v>321</v>
      </c>
      <c r="I350" t="s">
        <v>965</v>
      </c>
      <c r="J350" t="s">
        <v>204</v>
      </c>
      <c r="K350" t="s">
        <v>204</v>
      </c>
      <c r="L350" t="s">
        <v>340</v>
      </c>
      <c r="M350" t="s">
        <v>604</v>
      </c>
      <c r="N350" t="s">
        <v>339</v>
      </c>
      <c r="O350" t="s">
        <v>1212</v>
      </c>
      <c r="P350" s="131">
        <v>317061</v>
      </c>
      <c r="Q350" s="131">
        <v>1</v>
      </c>
      <c r="R350" s="131">
        <v>9106</v>
      </c>
      <c r="T350" s="131">
        <v>28871.575000000001</v>
      </c>
      <c r="U350" s="132">
        <v>3.63E-3</v>
      </c>
      <c r="V350" s="132">
        <v>5.704E-2</v>
      </c>
      <c r="W350" s="132">
        <v>8.6400000000000001E-3</v>
      </c>
    </row>
    <row r="351" spans="1:23">
      <c r="A351" t="s">
        <v>1213</v>
      </c>
      <c r="B351" t="s">
        <v>1250</v>
      </c>
      <c r="C351" t="s">
        <v>4123</v>
      </c>
      <c r="D351" t="s">
        <v>4124</v>
      </c>
      <c r="E351" t="s">
        <v>309</v>
      </c>
      <c r="F351" t="s">
        <v>4143</v>
      </c>
      <c r="G351" t="s">
        <v>4144</v>
      </c>
      <c r="H351" t="s">
        <v>321</v>
      </c>
      <c r="I351" t="s">
        <v>965</v>
      </c>
      <c r="J351" t="s">
        <v>204</v>
      </c>
      <c r="K351" t="s">
        <v>204</v>
      </c>
      <c r="L351" t="s">
        <v>340</v>
      </c>
      <c r="M351" t="s">
        <v>604</v>
      </c>
      <c r="N351" t="s">
        <v>339</v>
      </c>
      <c r="O351" t="s">
        <v>1212</v>
      </c>
      <c r="P351" s="131">
        <v>107202</v>
      </c>
      <c r="Q351" s="131">
        <v>1</v>
      </c>
      <c r="R351" s="131">
        <v>24940</v>
      </c>
      <c r="T351" s="131">
        <v>26736.179</v>
      </c>
      <c r="U351" s="132">
        <v>3.1199999999999999E-3</v>
      </c>
      <c r="V351" s="132">
        <v>5.2819999999999999E-2</v>
      </c>
      <c r="W351" s="132">
        <v>8.0000000000000002E-3</v>
      </c>
    </row>
    <row r="352" spans="1:23">
      <c r="A352" t="s">
        <v>1213</v>
      </c>
      <c r="B352" t="s">
        <v>1250</v>
      </c>
      <c r="C352" t="s">
        <v>4107</v>
      </c>
      <c r="D352" t="s">
        <v>4108</v>
      </c>
      <c r="E352" t="s">
        <v>309</v>
      </c>
      <c r="F352" t="s">
        <v>4376</v>
      </c>
      <c r="G352" t="s">
        <v>4377</v>
      </c>
      <c r="H352" t="s">
        <v>321</v>
      </c>
      <c r="I352" t="s">
        <v>965</v>
      </c>
      <c r="J352" t="s">
        <v>204</v>
      </c>
      <c r="K352" t="s">
        <v>204</v>
      </c>
      <c r="L352" t="s">
        <v>340</v>
      </c>
      <c r="M352" t="s">
        <v>602</v>
      </c>
      <c r="N352" t="s">
        <v>339</v>
      </c>
      <c r="O352" t="s">
        <v>1212</v>
      </c>
      <c r="P352" s="131">
        <v>289750</v>
      </c>
      <c r="Q352" s="131">
        <v>1</v>
      </c>
      <c r="R352" s="131">
        <v>7312</v>
      </c>
      <c r="T352" s="131">
        <v>21186.52</v>
      </c>
      <c r="U352" s="132">
        <v>6.4390000000000003E-2</v>
      </c>
      <c r="V352" s="132">
        <v>4.1860000000000001E-2</v>
      </c>
      <c r="W352" s="132">
        <v>6.3400000000000001E-3</v>
      </c>
    </row>
    <row r="353" spans="1:23">
      <c r="A353" t="s">
        <v>1213</v>
      </c>
      <c r="B353" t="s">
        <v>1250</v>
      </c>
      <c r="C353" t="s">
        <v>4123</v>
      </c>
      <c r="D353" t="s">
        <v>4124</v>
      </c>
      <c r="E353" t="s">
        <v>309</v>
      </c>
      <c r="F353" t="s">
        <v>4380</v>
      </c>
      <c r="G353" t="s">
        <v>4381</v>
      </c>
      <c r="H353" t="s">
        <v>321</v>
      </c>
      <c r="I353" t="s">
        <v>965</v>
      </c>
      <c r="J353" t="s">
        <v>204</v>
      </c>
      <c r="K353" t="s">
        <v>204</v>
      </c>
      <c r="L353" t="s">
        <v>340</v>
      </c>
      <c r="M353" t="s">
        <v>602</v>
      </c>
      <c r="N353" t="s">
        <v>339</v>
      </c>
      <c r="O353" t="s">
        <v>1212</v>
      </c>
      <c r="P353" s="131">
        <v>216947</v>
      </c>
      <c r="Q353" s="131">
        <v>1</v>
      </c>
      <c r="R353" s="131">
        <v>9039</v>
      </c>
      <c r="T353" s="131">
        <v>19609.839</v>
      </c>
      <c r="U353" s="132">
        <v>2.3189999999999999E-2</v>
      </c>
      <c r="V353" s="132">
        <v>3.8739999999999997E-2</v>
      </c>
      <c r="W353" s="132">
        <v>5.8700000000000002E-3</v>
      </c>
    </row>
    <row r="354" spans="1:23">
      <c r="A354" t="s">
        <v>1213</v>
      </c>
      <c r="B354" t="s">
        <v>1250</v>
      </c>
      <c r="C354" t="s">
        <v>4127</v>
      </c>
      <c r="D354" t="s">
        <v>4128</v>
      </c>
      <c r="E354" t="s">
        <v>309</v>
      </c>
      <c r="F354" t="s">
        <v>4378</v>
      </c>
      <c r="G354" t="s">
        <v>4379</v>
      </c>
      <c r="H354" t="s">
        <v>321</v>
      </c>
      <c r="I354" t="s">
        <v>965</v>
      </c>
      <c r="J354" t="s">
        <v>204</v>
      </c>
      <c r="K354" t="s">
        <v>204</v>
      </c>
      <c r="L354" t="s">
        <v>340</v>
      </c>
      <c r="M354" t="s">
        <v>703</v>
      </c>
      <c r="N354" t="s">
        <v>339</v>
      </c>
      <c r="O354" t="s">
        <v>1212</v>
      </c>
      <c r="P354" s="131">
        <v>59030</v>
      </c>
      <c r="Q354" s="131">
        <v>1</v>
      </c>
      <c r="R354" s="131">
        <v>18920</v>
      </c>
      <c r="T354" s="131">
        <v>11168.476000000001</v>
      </c>
      <c r="U354" s="132">
        <v>8.0099999999999998E-3</v>
      </c>
      <c r="V354" s="132">
        <v>2.206E-2</v>
      </c>
      <c r="W354" s="132">
        <v>3.3400000000000001E-3</v>
      </c>
    </row>
    <row r="355" spans="1:23">
      <c r="A355" t="s">
        <v>1213</v>
      </c>
      <c r="B355" t="s">
        <v>1250</v>
      </c>
      <c r="C355" t="s">
        <v>4107</v>
      </c>
      <c r="D355" t="s">
        <v>4108</v>
      </c>
      <c r="E355" t="s">
        <v>309</v>
      </c>
      <c r="F355" t="s">
        <v>4115</v>
      </c>
      <c r="G355" t="s">
        <v>4116</v>
      </c>
      <c r="H355" t="s">
        <v>321</v>
      </c>
      <c r="I355" t="s">
        <v>965</v>
      </c>
      <c r="J355" t="s">
        <v>204</v>
      </c>
      <c r="K355" t="s">
        <v>204</v>
      </c>
      <c r="L355" t="s">
        <v>340</v>
      </c>
      <c r="M355" t="s">
        <v>605</v>
      </c>
      <c r="N355" t="s">
        <v>339</v>
      </c>
      <c r="O355" t="s">
        <v>1212</v>
      </c>
      <c r="P355" s="131">
        <v>22529</v>
      </c>
      <c r="Q355" s="131">
        <v>1</v>
      </c>
      <c r="R355" s="131">
        <v>7341</v>
      </c>
      <c r="T355" s="131">
        <v>1653.854</v>
      </c>
      <c r="U355" s="132">
        <v>7.2999999999999996E-4</v>
      </c>
      <c r="V355" s="132">
        <v>3.2699999999999999E-3</v>
      </c>
      <c r="W355" s="132">
        <v>4.8999999999999998E-4</v>
      </c>
    </row>
    <row r="356" spans="1:23">
      <c r="A356" t="s">
        <v>1213</v>
      </c>
      <c r="B356" t="s">
        <v>1250</v>
      </c>
      <c r="C356" t="s">
        <v>4127</v>
      </c>
      <c r="D356" t="s">
        <v>4128</v>
      </c>
      <c r="E356" t="s">
        <v>309</v>
      </c>
      <c r="F356" t="s">
        <v>4187</v>
      </c>
      <c r="G356" t="s">
        <v>4188</v>
      </c>
      <c r="H356" t="s">
        <v>321</v>
      </c>
      <c r="I356" t="s">
        <v>965</v>
      </c>
      <c r="J356" t="s">
        <v>204</v>
      </c>
      <c r="K356" t="s">
        <v>204</v>
      </c>
      <c r="L356" t="s">
        <v>340</v>
      </c>
      <c r="M356" t="s">
        <v>598</v>
      </c>
      <c r="N356" t="s">
        <v>339</v>
      </c>
      <c r="O356" t="s">
        <v>1212</v>
      </c>
      <c r="P356" s="131">
        <v>6485</v>
      </c>
      <c r="Q356" s="131">
        <v>1</v>
      </c>
      <c r="R356" s="131">
        <v>17380</v>
      </c>
      <c r="T356" s="131">
        <v>1127.0930000000001</v>
      </c>
      <c r="U356" s="132">
        <v>7.2999999999999996E-4</v>
      </c>
      <c r="V356" s="132">
        <v>2.2300000000000002E-3</v>
      </c>
      <c r="W356" s="132">
        <v>3.4000000000000002E-4</v>
      </c>
    </row>
    <row r="357" spans="1:23">
      <c r="A357" t="s">
        <v>1213</v>
      </c>
      <c r="B357" t="s">
        <v>1250</v>
      </c>
      <c r="C357" t="s">
        <v>4095</v>
      </c>
      <c r="D357" t="s">
        <v>4096</v>
      </c>
      <c r="E357" t="s">
        <v>80</v>
      </c>
      <c r="F357" t="s">
        <v>4097</v>
      </c>
      <c r="G357" t="s">
        <v>4098</v>
      </c>
      <c r="H357" t="s">
        <v>321</v>
      </c>
      <c r="I357" t="s">
        <v>965</v>
      </c>
      <c r="J357" t="s">
        <v>205</v>
      </c>
      <c r="K357" t="s">
        <v>224</v>
      </c>
      <c r="L357" t="s">
        <v>346</v>
      </c>
      <c r="M357" t="s">
        <v>597</v>
      </c>
      <c r="N357" t="s">
        <v>339</v>
      </c>
      <c r="O357" t="s">
        <v>1216</v>
      </c>
      <c r="P357" s="131">
        <v>85671</v>
      </c>
      <c r="Q357" s="131">
        <v>3.71</v>
      </c>
      <c r="R357" s="131">
        <v>48807</v>
      </c>
      <c r="S357" s="131">
        <f>43.631+2783.39/1000/Q357</f>
        <v>44.381239892183288</v>
      </c>
      <c r="T357" s="131">
        <f>155289.752+2783.39/1000</f>
        <v>155292.53539</v>
      </c>
      <c r="U357" s="132">
        <v>0</v>
      </c>
      <c r="V357" s="132">
        <v>0.30687999999999999</v>
      </c>
      <c r="W357" s="132">
        <v>4.6460000000000001E-2</v>
      </c>
    </row>
    <row r="358" spans="1:23">
      <c r="A358" t="s">
        <v>1213</v>
      </c>
      <c r="B358" t="s">
        <v>1250</v>
      </c>
      <c r="C358" t="s">
        <v>4103</v>
      </c>
      <c r="D358" t="s">
        <v>4104</v>
      </c>
      <c r="E358" t="s">
        <v>80</v>
      </c>
      <c r="F358" t="s">
        <v>4105</v>
      </c>
      <c r="G358" t="s">
        <v>4106</v>
      </c>
      <c r="H358" t="s">
        <v>321</v>
      </c>
      <c r="I358" t="s">
        <v>965</v>
      </c>
      <c r="J358" t="s">
        <v>205</v>
      </c>
      <c r="K358" t="s">
        <v>224</v>
      </c>
      <c r="L358" t="s">
        <v>380</v>
      </c>
      <c r="M358" t="s">
        <v>604</v>
      </c>
      <c r="N358" t="s">
        <v>339</v>
      </c>
      <c r="O358" t="s">
        <v>1216</v>
      </c>
      <c r="P358" s="131">
        <v>10324</v>
      </c>
      <c r="Q358" s="131">
        <v>3.71</v>
      </c>
      <c r="R358" s="131">
        <v>112716</v>
      </c>
      <c r="T358" s="131">
        <v>43172.527000000002</v>
      </c>
      <c r="U358" s="132">
        <v>0</v>
      </c>
      <c r="V358" s="132">
        <v>8.5290000000000005E-2</v>
      </c>
      <c r="W358" s="132">
        <v>1.291E-2</v>
      </c>
    </row>
    <row r="359" spans="1:23">
      <c r="A359" t="s">
        <v>1213</v>
      </c>
      <c r="B359" t="s">
        <v>1250</v>
      </c>
      <c r="C359" t="s">
        <v>4298</v>
      </c>
      <c r="D359" t="s">
        <v>4299</v>
      </c>
      <c r="E359" t="s">
        <v>80</v>
      </c>
      <c r="F359" t="s">
        <v>4384</v>
      </c>
      <c r="G359" t="s">
        <v>4385</v>
      </c>
      <c r="H359" t="s">
        <v>321</v>
      </c>
      <c r="I359" t="s">
        <v>965</v>
      </c>
      <c r="J359" t="s">
        <v>205</v>
      </c>
      <c r="K359" t="s">
        <v>281</v>
      </c>
      <c r="L359" t="s">
        <v>314</v>
      </c>
      <c r="M359" t="s">
        <v>735</v>
      </c>
      <c r="N359" t="s">
        <v>339</v>
      </c>
      <c r="O359" t="s">
        <v>1218</v>
      </c>
      <c r="P359" s="131">
        <v>42592</v>
      </c>
      <c r="Q359" s="131">
        <v>4.1524000000000001</v>
      </c>
      <c r="R359" s="131">
        <v>24366</v>
      </c>
      <c r="T359" s="131">
        <v>43093.468999999997</v>
      </c>
      <c r="U359" s="132">
        <v>0</v>
      </c>
      <c r="V359" s="132">
        <v>8.5139999999999993E-2</v>
      </c>
      <c r="W359" s="132">
        <v>1.289E-2</v>
      </c>
    </row>
    <row r="360" spans="1:23">
      <c r="A360" t="s">
        <v>1213</v>
      </c>
      <c r="B360" t="s">
        <v>1250</v>
      </c>
      <c r="C360" t="s">
        <v>4238</v>
      </c>
      <c r="D360" t="s">
        <v>4239</v>
      </c>
      <c r="E360" t="s">
        <v>80</v>
      </c>
      <c r="F360" t="s">
        <v>4386</v>
      </c>
      <c r="G360" t="s">
        <v>4387</v>
      </c>
      <c r="H360" t="s">
        <v>321</v>
      </c>
      <c r="I360" t="s">
        <v>965</v>
      </c>
      <c r="J360" t="s">
        <v>205</v>
      </c>
      <c r="K360" t="s">
        <v>224</v>
      </c>
      <c r="L360" t="s">
        <v>314</v>
      </c>
      <c r="M360" t="s">
        <v>596</v>
      </c>
      <c r="N360" t="s">
        <v>339</v>
      </c>
      <c r="O360" t="s">
        <v>1216</v>
      </c>
      <c r="P360" s="131">
        <v>234245</v>
      </c>
      <c r="Q360" s="131">
        <v>3.71</v>
      </c>
      <c r="R360" s="131">
        <v>3689</v>
      </c>
      <c r="T360" s="131">
        <v>32059.216</v>
      </c>
      <c r="U360" s="132">
        <v>1.0000000000000001E-5</v>
      </c>
      <c r="V360" s="132">
        <v>6.3339999999999994E-2</v>
      </c>
      <c r="W360" s="132">
        <v>9.5899999999999996E-3</v>
      </c>
    </row>
    <row r="361" spans="1:23">
      <c r="A361" t="s">
        <v>1213</v>
      </c>
      <c r="B361" t="s">
        <v>1250</v>
      </c>
      <c r="C361" t="s">
        <v>4250</v>
      </c>
      <c r="D361" t="s">
        <v>4251</v>
      </c>
      <c r="E361" t="s">
        <v>80</v>
      </c>
      <c r="F361" t="s">
        <v>4252</v>
      </c>
      <c r="G361" t="s">
        <v>4253</v>
      </c>
      <c r="H361" t="s">
        <v>321</v>
      </c>
      <c r="I361" t="s">
        <v>965</v>
      </c>
      <c r="J361" t="s">
        <v>205</v>
      </c>
      <c r="K361" t="s">
        <v>224</v>
      </c>
      <c r="L361" t="s">
        <v>314</v>
      </c>
      <c r="M361" t="s">
        <v>597</v>
      </c>
      <c r="N361" t="s">
        <v>339</v>
      </c>
      <c r="O361" t="s">
        <v>1216</v>
      </c>
      <c r="P361" s="131">
        <v>42859</v>
      </c>
      <c r="Q361" s="131">
        <v>3.71</v>
      </c>
      <c r="R361" s="131">
        <v>20085</v>
      </c>
      <c r="T361" s="131">
        <v>31936.534</v>
      </c>
      <c r="U361" s="132">
        <v>0</v>
      </c>
      <c r="V361" s="132">
        <v>6.3089999999999993E-2</v>
      </c>
      <c r="W361" s="132">
        <v>9.5499999999999995E-3</v>
      </c>
    </row>
    <row r="362" spans="1:23">
      <c r="A362" t="s">
        <v>1213</v>
      </c>
      <c r="B362" t="s">
        <v>1250</v>
      </c>
      <c r="C362" t="s">
        <v>4298</v>
      </c>
      <c r="D362" t="s">
        <v>4299</v>
      </c>
      <c r="E362" t="s">
        <v>80</v>
      </c>
      <c r="F362" t="s">
        <v>4368</v>
      </c>
      <c r="G362" t="s">
        <v>4369</v>
      </c>
      <c r="H362" t="s">
        <v>321</v>
      </c>
      <c r="I362" t="s">
        <v>965</v>
      </c>
      <c r="J362" t="s">
        <v>205</v>
      </c>
      <c r="K362" t="s">
        <v>281</v>
      </c>
      <c r="L362" t="s">
        <v>380</v>
      </c>
      <c r="M362" t="s">
        <v>604</v>
      </c>
      <c r="N362" t="s">
        <v>339</v>
      </c>
      <c r="O362" t="s">
        <v>1216</v>
      </c>
      <c r="P362" s="131">
        <v>10891</v>
      </c>
      <c r="Q362" s="131">
        <v>3.71</v>
      </c>
      <c r="R362" s="131">
        <v>40841</v>
      </c>
      <c r="T362" s="131">
        <v>16502.055</v>
      </c>
      <c r="U362" s="132">
        <v>0</v>
      </c>
      <c r="V362" s="132">
        <v>3.2599999999999997E-2</v>
      </c>
      <c r="W362" s="132">
        <v>4.9399999999999999E-3</v>
      </c>
    </row>
    <row r="363" spans="1:23">
      <c r="A363" t="s">
        <v>1213</v>
      </c>
      <c r="B363" t="s">
        <v>1250</v>
      </c>
      <c r="C363" t="s">
        <v>4099</v>
      </c>
      <c r="D363" t="s">
        <v>4100</v>
      </c>
      <c r="E363" t="s">
        <v>80</v>
      </c>
      <c r="F363" t="s">
        <v>4272</v>
      </c>
      <c r="G363" t="s">
        <v>4273</v>
      </c>
      <c r="H363" t="s">
        <v>321</v>
      </c>
      <c r="I363" t="s">
        <v>965</v>
      </c>
      <c r="J363" t="s">
        <v>205</v>
      </c>
      <c r="K363" t="s">
        <v>224</v>
      </c>
      <c r="L363" t="s">
        <v>344</v>
      </c>
      <c r="M363" t="s">
        <v>735</v>
      </c>
      <c r="N363" t="s">
        <v>339</v>
      </c>
      <c r="O363" t="s">
        <v>1216</v>
      </c>
      <c r="P363" s="131">
        <v>41376</v>
      </c>
      <c r="Q363" s="131">
        <v>3.71</v>
      </c>
      <c r="R363" s="131">
        <v>8300</v>
      </c>
      <c r="T363" s="131">
        <v>12740.912</v>
      </c>
      <c r="U363" s="132">
        <v>0</v>
      </c>
      <c r="V363" s="132">
        <v>2.5170000000000001E-2</v>
      </c>
      <c r="W363" s="132">
        <v>3.81E-3</v>
      </c>
    </row>
    <row r="364" spans="1:23">
      <c r="A364" t="s">
        <v>1213</v>
      </c>
      <c r="B364" t="s">
        <v>1250</v>
      </c>
      <c r="C364" t="s">
        <v>4099</v>
      </c>
      <c r="D364" t="s">
        <v>4100</v>
      </c>
      <c r="E364" t="s">
        <v>80</v>
      </c>
      <c r="F364" t="s">
        <v>4388</v>
      </c>
      <c r="G364" t="s">
        <v>4389</v>
      </c>
      <c r="H364" t="s">
        <v>321</v>
      </c>
      <c r="I364" t="s">
        <v>965</v>
      </c>
      <c r="J364" t="s">
        <v>205</v>
      </c>
      <c r="K364" t="s">
        <v>224</v>
      </c>
      <c r="L364" t="s">
        <v>344</v>
      </c>
      <c r="M364" t="s">
        <v>735</v>
      </c>
      <c r="N364" t="s">
        <v>339</v>
      </c>
      <c r="O364" t="s">
        <v>1216</v>
      </c>
      <c r="P364" s="131">
        <v>72569</v>
      </c>
      <c r="Q364" s="131">
        <v>3.71</v>
      </c>
      <c r="R364" s="131">
        <v>4532</v>
      </c>
      <c r="T364" s="131">
        <v>12201.548000000001</v>
      </c>
      <c r="U364" s="132">
        <v>0</v>
      </c>
      <c r="V364" s="132">
        <v>2.4109999999999999E-2</v>
      </c>
      <c r="W364" s="132">
        <v>3.65E-3</v>
      </c>
    </row>
    <row r="365" spans="1:23">
      <c r="A365" t="s">
        <v>1213</v>
      </c>
      <c r="B365" t="s">
        <v>1250</v>
      </c>
      <c r="C365" t="s">
        <v>4099</v>
      </c>
      <c r="D365" t="s">
        <v>4100</v>
      </c>
      <c r="E365" t="s">
        <v>80</v>
      </c>
      <c r="F365" t="s">
        <v>4264</v>
      </c>
      <c r="G365" t="s">
        <v>4265</v>
      </c>
      <c r="H365" t="s">
        <v>321</v>
      </c>
      <c r="I365" t="s">
        <v>965</v>
      </c>
      <c r="J365" t="s">
        <v>205</v>
      </c>
      <c r="K365" t="s">
        <v>224</v>
      </c>
      <c r="L365" t="s">
        <v>344</v>
      </c>
      <c r="M365" t="s">
        <v>735</v>
      </c>
      <c r="N365" t="s">
        <v>339</v>
      </c>
      <c r="O365" t="s">
        <v>1216</v>
      </c>
      <c r="P365" s="131">
        <v>19860</v>
      </c>
      <c r="Q365" s="131">
        <v>3.71</v>
      </c>
      <c r="R365" s="131">
        <v>15402</v>
      </c>
      <c r="T365" s="131">
        <v>11348.286</v>
      </c>
      <c r="U365" s="132">
        <v>0</v>
      </c>
      <c r="V365" s="132">
        <v>2.2419999999999999E-2</v>
      </c>
      <c r="W365" s="132">
        <v>3.3899999999999998E-3</v>
      </c>
    </row>
    <row r="366" spans="1:23">
      <c r="A366" t="s">
        <v>1213</v>
      </c>
      <c r="B366" t="s">
        <v>1250</v>
      </c>
      <c r="C366" t="s">
        <v>4390</v>
      </c>
      <c r="D366" t="s">
        <v>4391</v>
      </c>
      <c r="E366" t="s">
        <v>80</v>
      </c>
      <c r="F366" t="s">
        <v>4392</v>
      </c>
      <c r="G366" t="s">
        <v>4393</v>
      </c>
      <c r="H366" t="s">
        <v>321</v>
      </c>
      <c r="I366" t="s">
        <v>965</v>
      </c>
      <c r="J366" t="s">
        <v>205</v>
      </c>
      <c r="K366" t="s">
        <v>224</v>
      </c>
      <c r="L366" t="s">
        <v>344</v>
      </c>
      <c r="M366" t="s">
        <v>735</v>
      </c>
      <c r="N366" t="s">
        <v>339</v>
      </c>
      <c r="O366" t="s">
        <v>1216</v>
      </c>
      <c r="P366" s="131">
        <v>11802</v>
      </c>
      <c r="Q366" s="131">
        <v>3.71</v>
      </c>
      <c r="R366" s="131">
        <v>9880</v>
      </c>
      <c r="T366" s="131">
        <v>4325.9989999999998</v>
      </c>
      <c r="U366" s="132">
        <v>0</v>
      </c>
      <c r="V366" s="132">
        <v>8.5500000000000003E-3</v>
      </c>
      <c r="W366" s="132">
        <v>1.2899999999999999E-3</v>
      </c>
    </row>
    <row r="367" spans="1:23">
      <c r="A367" t="s">
        <v>1213</v>
      </c>
      <c r="B367" t="s">
        <v>1251</v>
      </c>
      <c r="C367" t="s">
        <v>4111</v>
      </c>
      <c r="D367" t="s">
        <v>4112</v>
      </c>
      <c r="E367" t="s">
        <v>309</v>
      </c>
      <c r="F367" t="s">
        <v>4197</v>
      </c>
      <c r="G367" t="s">
        <v>4198</v>
      </c>
      <c r="H367" t="s">
        <v>321</v>
      </c>
      <c r="I367" t="s">
        <v>965</v>
      </c>
      <c r="J367" t="s">
        <v>204</v>
      </c>
      <c r="K367" t="s">
        <v>204</v>
      </c>
      <c r="L367" t="s">
        <v>340</v>
      </c>
      <c r="M367" t="s">
        <v>598</v>
      </c>
      <c r="N367" t="s">
        <v>339</v>
      </c>
      <c r="O367" t="s">
        <v>1212</v>
      </c>
      <c r="P367" s="131">
        <v>26606</v>
      </c>
      <c r="Q367" s="131">
        <v>1</v>
      </c>
      <c r="R367" s="131">
        <v>16780</v>
      </c>
      <c r="T367" s="131">
        <v>4464.4870000000001</v>
      </c>
      <c r="U367" s="132">
        <v>2.7000000000000001E-3</v>
      </c>
      <c r="V367" s="132">
        <v>8.7840000000000001E-2</v>
      </c>
      <c r="W367" s="132">
        <v>1.609E-2</v>
      </c>
    </row>
    <row r="368" spans="1:23">
      <c r="A368" t="s">
        <v>1213</v>
      </c>
      <c r="B368" t="s">
        <v>1251</v>
      </c>
      <c r="C368" t="s">
        <v>4123</v>
      </c>
      <c r="D368" t="s">
        <v>4124</v>
      </c>
      <c r="E368" t="s">
        <v>309</v>
      </c>
      <c r="F368" t="s">
        <v>4205</v>
      </c>
      <c r="G368" t="s">
        <v>4206</v>
      </c>
      <c r="H368" t="s">
        <v>321</v>
      </c>
      <c r="I368" t="s">
        <v>964</v>
      </c>
      <c r="J368" t="s">
        <v>204</v>
      </c>
      <c r="K368" t="s">
        <v>204</v>
      </c>
      <c r="L368" t="s">
        <v>340</v>
      </c>
      <c r="M368" t="s">
        <v>577</v>
      </c>
      <c r="N368" t="s">
        <v>339</v>
      </c>
      <c r="O368" t="s">
        <v>1212</v>
      </c>
      <c r="P368" s="131">
        <v>86346</v>
      </c>
      <c r="Q368" s="131">
        <v>1</v>
      </c>
      <c r="R368" s="131">
        <v>2003</v>
      </c>
      <c r="T368" s="131">
        <v>1729.51</v>
      </c>
      <c r="U368" s="132">
        <v>2.1000000000000001E-4</v>
      </c>
      <c r="V368" s="132">
        <v>3.4029999999999998E-2</v>
      </c>
      <c r="W368" s="132">
        <v>6.2300000000000003E-3</v>
      </c>
    </row>
    <row r="369" spans="1:23">
      <c r="A369" t="s">
        <v>1213</v>
      </c>
      <c r="B369" t="s">
        <v>1251</v>
      </c>
      <c r="C369" t="s">
        <v>4111</v>
      </c>
      <c r="D369" t="s">
        <v>4112</v>
      </c>
      <c r="E369" t="s">
        <v>309</v>
      </c>
      <c r="F369" t="s">
        <v>4133</v>
      </c>
      <c r="G369" t="s">
        <v>4134</v>
      </c>
      <c r="H369" t="s">
        <v>321</v>
      </c>
      <c r="I369" t="s">
        <v>964</v>
      </c>
      <c r="J369" t="s">
        <v>204</v>
      </c>
      <c r="K369" t="s">
        <v>204</v>
      </c>
      <c r="L369" t="s">
        <v>340</v>
      </c>
      <c r="M369" t="s">
        <v>572</v>
      </c>
      <c r="N369" t="s">
        <v>339</v>
      </c>
      <c r="O369" t="s">
        <v>1212</v>
      </c>
      <c r="P369" s="131">
        <v>7840</v>
      </c>
      <c r="Q369" s="131">
        <v>1</v>
      </c>
      <c r="R369" s="131">
        <v>20710</v>
      </c>
      <c r="T369" s="131">
        <v>1623.664</v>
      </c>
      <c r="U369" s="132">
        <v>2.2000000000000001E-4</v>
      </c>
      <c r="V369" s="132">
        <v>3.1949999999999999E-2</v>
      </c>
      <c r="W369" s="132">
        <v>5.8500000000000002E-3</v>
      </c>
    </row>
    <row r="370" spans="1:23">
      <c r="A370" t="s">
        <v>1213</v>
      </c>
      <c r="B370" t="s">
        <v>1251</v>
      </c>
      <c r="C370" t="s">
        <v>4123</v>
      </c>
      <c r="D370" t="s">
        <v>4124</v>
      </c>
      <c r="E370" t="s">
        <v>309</v>
      </c>
      <c r="F370" t="s">
        <v>4135</v>
      </c>
      <c r="G370" t="s">
        <v>4136</v>
      </c>
      <c r="H370" t="s">
        <v>321</v>
      </c>
      <c r="I370" t="s">
        <v>965</v>
      </c>
      <c r="J370" t="s">
        <v>204</v>
      </c>
      <c r="K370" t="s">
        <v>204</v>
      </c>
      <c r="L370" t="s">
        <v>340</v>
      </c>
      <c r="M370" t="s">
        <v>605</v>
      </c>
      <c r="N370" t="s">
        <v>339</v>
      </c>
      <c r="O370" t="s">
        <v>1212</v>
      </c>
      <c r="P370" s="131">
        <v>24607</v>
      </c>
      <c r="Q370" s="131">
        <v>1</v>
      </c>
      <c r="R370" s="131">
        <v>5069</v>
      </c>
      <c r="T370" s="131">
        <v>1247.329</v>
      </c>
      <c r="U370" s="132">
        <v>1.9000000000000001E-4</v>
      </c>
      <c r="V370" s="132">
        <v>2.4539999999999999E-2</v>
      </c>
      <c r="W370" s="132">
        <v>4.4999999999999997E-3</v>
      </c>
    </row>
    <row r="371" spans="1:23">
      <c r="A371" t="s">
        <v>1213</v>
      </c>
      <c r="B371" t="s">
        <v>1251</v>
      </c>
      <c r="C371" t="s">
        <v>4111</v>
      </c>
      <c r="D371" t="s">
        <v>4112</v>
      </c>
      <c r="E371" t="s">
        <v>309</v>
      </c>
      <c r="F371" t="s">
        <v>4354</v>
      </c>
      <c r="G371" t="s">
        <v>4355</v>
      </c>
      <c r="H371" t="s">
        <v>321</v>
      </c>
      <c r="I371" t="s">
        <v>964</v>
      </c>
      <c r="J371" t="s">
        <v>204</v>
      </c>
      <c r="K371" t="s">
        <v>204</v>
      </c>
      <c r="L371" t="s">
        <v>340</v>
      </c>
      <c r="M371" t="s">
        <v>697</v>
      </c>
      <c r="N371" t="s">
        <v>339</v>
      </c>
      <c r="O371" t="s">
        <v>1212</v>
      </c>
      <c r="P371" s="131">
        <v>2786</v>
      </c>
      <c r="Q371" s="131">
        <v>1</v>
      </c>
      <c r="R371" s="131">
        <v>38300</v>
      </c>
      <c r="T371" s="131">
        <v>1067.038</v>
      </c>
      <c r="U371" s="132">
        <v>1.2E-4</v>
      </c>
      <c r="V371" s="132">
        <v>2.0990000000000002E-2</v>
      </c>
      <c r="W371" s="132">
        <v>3.8500000000000001E-3</v>
      </c>
    </row>
    <row r="372" spans="1:23">
      <c r="A372" t="s">
        <v>1213</v>
      </c>
      <c r="B372" t="s">
        <v>1251</v>
      </c>
      <c r="C372" t="s">
        <v>4117</v>
      </c>
      <c r="D372" t="s">
        <v>4118</v>
      </c>
      <c r="E372" t="s">
        <v>309</v>
      </c>
      <c r="F372" t="s">
        <v>4213</v>
      </c>
      <c r="G372" t="s">
        <v>4214</v>
      </c>
      <c r="H372" t="s">
        <v>321</v>
      </c>
      <c r="I372" t="s">
        <v>965</v>
      </c>
      <c r="J372" t="s">
        <v>204</v>
      </c>
      <c r="K372" t="s">
        <v>204</v>
      </c>
      <c r="L372" t="s">
        <v>340</v>
      </c>
      <c r="M372" t="s">
        <v>582</v>
      </c>
      <c r="N372" t="s">
        <v>339</v>
      </c>
      <c r="O372" t="s">
        <v>1212</v>
      </c>
      <c r="P372" s="131">
        <v>3676</v>
      </c>
      <c r="Q372" s="131">
        <v>1</v>
      </c>
      <c r="R372" s="131">
        <v>16570</v>
      </c>
      <c r="T372" s="131">
        <v>609.11300000000006</v>
      </c>
      <c r="U372" s="132">
        <v>1.6000000000000001E-4</v>
      </c>
      <c r="V372" s="132">
        <v>1.1979999999999999E-2</v>
      </c>
      <c r="W372" s="132">
        <v>2.2000000000000001E-3</v>
      </c>
    </row>
    <row r="373" spans="1:23">
      <c r="A373" t="s">
        <v>1213</v>
      </c>
      <c r="B373" t="s">
        <v>1251</v>
      </c>
      <c r="C373" t="s">
        <v>4111</v>
      </c>
      <c r="D373" t="s">
        <v>4112</v>
      </c>
      <c r="E373" t="s">
        <v>309</v>
      </c>
      <c r="F373" t="s">
        <v>4342</v>
      </c>
      <c r="G373" t="s">
        <v>4343</v>
      </c>
      <c r="H373" t="s">
        <v>321</v>
      </c>
      <c r="I373" t="s">
        <v>965</v>
      </c>
      <c r="J373" t="s">
        <v>204</v>
      </c>
      <c r="K373" t="s">
        <v>204</v>
      </c>
      <c r="L373" t="s">
        <v>340</v>
      </c>
      <c r="M373" t="s">
        <v>588</v>
      </c>
      <c r="N373" t="s">
        <v>339</v>
      </c>
      <c r="O373" t="s">
        <v>1212</v>
      </c>
      <c r="P373" s="131">
        <v>7699</v>
      </c>
      <c r="Q373" s="131">
        <v>1</v>
      </c>
      <c r="R373" s="131">
        <v>6911</v>
      </c>
      <c r="T373" s="131">
        <v>532.07799999999997</v>
      </c>
      <c r="U373" s="132">
        <v>8.0000000000000004E-4</v>
      </c>
      <c r="V373" s="132">
        <v>1.047E-2</v>
      </c>
      <c r="W373" s="132">
        <v>1.92E-3</v>
      </c>
    </row>
    <row r="374" spans="1:23">
      <c r="A374" t="s">
        <v>1213</v>
      </c>
      <c r="B374" t="s">
        <v>1251</v>
      </c>
      <c r="C374" t="s">
        <v>4123</v>
      </c>
      <c r="D374" t="s">
        <v>4124</v>
      </c>
      <c r="E374" t="s">
        <v>309</v>
      </c>
      <c r="F374" t="s">
        <v>4125</v>
      </c>
      <c r="G374" t="s">
        <v>4126</v>
      </c>
      <c r="H374" t="s">
        <v>321</v>
      </c>
      <c r="I374" t="s">
        <v>964</v>
      </c>
      <c r="J374" t="s">
        <v>204</v>
      </c>
      <c r="K374" t="s">
        <v>204</v>
      </c>
      <c r="L374" t="s">
        <v>340</v>
      </c>
      <c r="M374" t="s">
        <v>572</v>
      </c>
      <c r="N374" t="s">
        <v>339</v>
      </c>
      <c r="O374" t="s">
        <v>1212</v>
      </c>
      <c r="P374" s="131">
        <v>22404</v>
      </c>
      <c r="Q374" s="131">
        <v>1</v>
      </c>
      <c r="R374" s="131">
        <v>2081</v>
      </c>
      <c r="T374" s="131">
        <v>466.22699999999998</v>
      </c>
      <c r="U374" s="132">
        <v>5.0000000000000002E-5</v>
      </c>
      <c r="V374" s="132">
        <v>9.1699999999999993E-3</v>
      </c>
      <c r="W374" s="132">
        <v>1.6800000000000001E-3</v>
      </c>
    </row>
    <row r="375" spans="1:23">
      <c r="A375" t="s">
        <v>1213</v>
      </c>
      <c r="B375" t="s">
        <v>1251</v>
      </c>
      <c r="C375" t="s">
        <v>4107</v>
      </c>
      <c r="D375" t="s">
        <v>4108</v>
      </c>
      <c r="E375" t="s">
        <v>309</v>
      </c>
      <c r="F375" t="s">
        <v>4288</v>
      </c>
      <c r="G375" t="s">
        <v>4289</v>
      </c>
      <c r="H375" t="s">
        <v>321</v>
      </c>
      <c r="I375" t="s">
        <v>965</v>
      </c>
      <c r="J375" t="s">
        <v>204</v>
      </c>
      <c r="K375" t="s">
        <v>204</v>
      </c>
      <c r="L375" t="s">
        <v>340</v>
      </c>
      <c r="M375" t="s">
        <v>582</v>
      </c>
      <c r="N375" t="s">
        <v>339</v>
      </c>
      <c r="O375" t="s">
        <v>1212</v>
      </c>
      <c r="P375" s="131">
        <v>9331</v>
      </c>
      <c r="Q375" s="131">
        <v>1</v>
      </c>
      <c r="R375" s="131">
        <v>4602</v>
      </c>
      <c r="T375" s="131">
        <v>429.41300000000001</v>
      </c>
      <c r="U375" s="132">
        <v>1.34E-3</v>
      </c>
      <c r="V375" s="132">
        <v>8.4499999999999992E-3</v>
      </c>
      <c r="W375" s="132">
        <v>1.5499999999999999E-3</v>
      </c>
    </row>
    <row r="376" spans="1:23">
      <c r="A376" t="s">
        <v>1213</v>
      </c>
      <c r="B376" t="s">
        <v>1251</v>
      </c>
      <c r="C376" t="s">
        <v>4111</v>
      </c>
      <c r="D376" t="s">
        <v>4112</v>
      </c>
      <c r="E376" t="s">
        <v>309</v>
      </c>
      <c r="F376" t="s">
        <v>4344</v>
      </c>
      <c r="G376" t="s">
        <v>4345</v>
      </c>
      <c r="H376" t="s">
        <v>321</v>
      </c>
      <c r="I376" t="s">
        <v>965</v>
      </c>
      <c r="J376" t="s">
        <v>204</v>
      </c>
      <c r="K376" t="s">
        <v>204</v>
      </c>
      <c r="L376" t="s">
        <v>340</v>
      </c>
      <c r="M376" t="s">
        <v>707</v>
      </c>
      <c r="N376" t="s">
        <v>339</v>
      </c>
      <c r="O376" t="s">
        <v>1212</v>
      </c>
      <c r="P376" s="131">
        <v>5977</v>
      </c>
      <c r="Q376" s="131">
        <v>1</v>
      </c>
      <c r="R376" s="131">
        <v>5159</v>
      </c>
      <c r="T376" s="131">
        <v>308.35300000000001</v>
      </c>
      <c r="U376" s="132">
        <v>1.7099999999999999E-3</v>
      </c>
      <c r="V376" s="132">
        <v>6.0699999999999999E-3</v>
      </c>
      <c r="W376" s="132">
        <v>1.1100000000000001E-3</v>
      </c>
    </row>
    <row r="377" spans="1:23">
      <c r="A377" t="s">
        <v>1213</v>
      </c>
      <c r="B377" t="s">
        <v>1251</v>
      </c>
      <c r="C377" t="s">
        <v>4095</v>
      </c>
      <c r="D377" t="s">
        <v>4096</v>
      </c>
      <c r="E377" t="s">
        <v>80</v>
      </c>
      <c r="F377" t="s">
        <v>4097</v>
      </c>
      <c r="G377" t="s">
        <v>4098</v>
      </c>
      <c r="H377" t="s">
        <v>321</v>
      </c>
      <c r="I377" t="s">
        <v>965</v>
      </c>
      <c r="J377" t="s">
        <v>205</v>
      </c>
      <c r="K377" t="s">
        <v>224</v>
      </c>
      <c r="L377" t="s">
        <v>346</v>
      </c>
      <c r="M377" t="s">
        <v>597</v>
      </c>
      <c r="N377" t="s">
        <v>339</v>
      </c>
      <c r="O377" t="s">
        <v>1216</v>
      </c>
      <c r="P377" s="131">
        <v>6968</v>
      </c>
      <c r="Q377" s="131">
        <v>3.71</v>
      </c>
      <c r="R377" s="131">
        <v>48807</v>
      </c>
      <c r="S377" s="131">
        <f>3.549+226.38/1000/Q377</f>
        <v>3.6100188679245284</v>
      </c>
      <c r="T377" s="131">
        <f>12630.4+226.38/1000</f>
        <v>12630.62638</v>
      </c>
      <c r="U377" s="132">
        <v>0</v>
      </c>
      <c r="V377" s="132">
        <v>0.24859000000000001</v>
      </c>
      <c r="W377" s="132">
        <v>4.5539999999999997E-2</v>
      </c>
    </row>
    <row r="378" spans="1:23">
      <c r="A378" t="s">
        <v>1213</v>
      </c>
      <c r="B378" t="s">
        <v>1251</v>
      </c>
      <c r="C378" t="s">
        <v>4099</v>
      </c>
      <c r="D378" t="s">
        <v>4100</v>
      </c>
      <c r="E378" t="s">
        <v>80</v>
      </c>
      <c r="F378" t="s">
        <v>4101</v>
      </c>
      <c r="G378" t="s">
        <v>4102</v>
      </c>
      <c r="H378" t="s">
        <v>321</v>
      </c>
      <c r="I378" t="s">
        <v>965</v>
      </c>
      <c r="J378" t="s">
        <v>205</v>
      </c>
      <c r="K378" t="s">
        <v>224</v>
      </c>
      <c r="L378" t="s">
        <v>344</v>
      </c>
      <c r="M378" t="s">
        <v>604</v>
      </c>
      <c r="N378" t="s">
        <v>339</v>
      </c>
      <c r="O378" t="s">
        <v>1216</v>
      </c>
      <c r="P378" s="131">
        <v>3886</v>
      </c>
      <c r="Q378" s="131">
        <v>3.71</v>
      </c>
      <c r="R378" s="131">
        <v>57376</v>
      </c>
      <c r="S378" s="131">
        <f>5.104+325.59/1000/Q378</f>
        <v>5.1917601078167115</v>
      </c>
      <c r="T378" s="131">
        <f>8290.867+325.59/1000</f>
        <v>8291.1925900000006</v>
      </c>
      <c r="U378" s="132">
        <v>0</v>
      </c>
      <c r="V378" s="132">
        <v>0.16322999999999999</v>
      </c>
      <c r="W378" s="132">
        <v>2.9909999999999999E-2</v>
      </c>
    </row>
    <row r="379" spans="1:23">
      <c r="A379" t="s">
        <v>1213</v>
      </c>
      <c r="B379" t="s">
        <v>1251</v>
      </c>
      <c r="C379" t="s">
        <v>4238</v>
      </c>
      <c r="D379" t="s">
        <v>4239</v>
      </c>
      <c r="E379" t="s">
        <v>80</v>
      </c>
      <c r="F379" t="s">
        <v>4240</v>
      </c>
      <c r="G379" t="s">
        <v>4241</v>
      </c>
      <c r="H379" t="s">
        <v>321</v>
      </c>
      <c r="I379" t="s">
        <v>965</v>
      </c>
      <c r="J379" t="s">
        <v>205</v>
      </c>
      <c r="K379" t="s">
        <v>224</v>
      </c>
      <c r="L379" t="s">
        <v>368</v>
      </c>
      <c r="M379" t="s">
        <v>735</v>
      </c>
      <c r="N379" t="s">
        <v>339</v>
      </c>
      <c r="O379" t="s">
        <v>1218</v>
      </c>
      <c r="P379" s="131">
        <v>6107</v>
      </c>
      <c r="Q379" s="131">
        <v>4.1524000000000001</v>
      </c>
      <c r="R379" s="131">
        <v>16098</v>
      </c>
      <c r="T379" s="131">
        <v>4082.2449999999999</v>
      </c>
      <c r="U379" s="132">
        <v>0</v>
      </c>
      <c r="V379" s="132">
        <v>8.0320000000000003E-2</v>
      </c>
      <c r="W379" s="132">
        <v>1.472E-2</v>
      </c>
    </row>
    <row r="380" spans="1:23">
      <c r="A380" t="s">
        <v>1213</v>
      </c>
      <c r="B380" t="s">
        <v>1251</v>
      </c>
      <c r="C380" t="s">
        <v>4250</v>
      </c>
      <c r="D380" t="s">
        <v>4251</v>
      </c>
      <c r="E380" t="s">
        <v>80</v>
      </c>
      <c r="F380" t="s">
        <v>4252</v>
      </c>
      <c r="G380" t="s">
        <v>4253</v>
      </c>
      <c r="H380" t="s">
        <v>321</v>
      </c>
      <c r="I380" t="s">
        <v>965</v>
      </c>
      <c r="J380" t="s">
        <v>205</v>
      </c>
      <c r="K380" t="s">
        <v>224</v>
      </c>
      <c r="L380" t="s">
        <v>314</v>
      </c>
      <c r="M380" t="s">
        <v>597</v>
      </c>
      <c r="N380" t="s">
        <v>339</v>
      </c>
      <c r="O380" t="s">
        <v>1216</v>
      </c>
      <c r="P380" s="131">
        <v>4967</v>
      </c>
      <c r="Q380" s="131">
        <v>3.71</v>
      </c>
      <c r="R380" s="131">
        <v>20085</v>
      </c>
      <c r="T380" s="131">
        <v>3701.1770000000001</v>
      </c>
      <c r="U380" s="132">
        <v>0</v>
      </c>
      <c r="V380" s="132">
        <v>7.2819999999999996E-2</v>
      </c>
      <c r="W380" s="132">
        <v>1.3339999999999999E-2</v>
      </c>
    </row>
    <row r="381" spans="1:23">
      <c r="A381" t="s">
        <v>1213</v>
      </c>
      <c r="B381" t="s">
        <v>1251</v>
      </c>
      <c r="C381" t="s">
        <v>4238</v>
      </c>
      <c r="D381" t="s">
        <v>4239</v>
      </c>
      <c r="E381" t="s">
        <v>80</v>
      </c>
      <c r="F381" t="s">
        <v>4242</v>
      </c>
      <c r="G381" t="s">
        <v>4243</v>
      </c>
      <c r="H381" t="s">
        <v>321</v>
      </c>
      <c r="I381" t="s">
        <v>965</v>
      </c>
      <c r="J381" t="s">
        <v>205</v>
      </c>
      <c r="K381" t="s">
        <v>224</v>
      </c>
      <c r="L381" t="s">
        <v>344</v>
      </c>
      <c r="M381" t="s">
        <v>602</v>
      </c>
      <c r="N381" t="s">
        <v>339</v>
      </c>
      <c r="O381" t="s">
        <v>1216</v>
      </c>
      <c r="P381" s="131">
        <v>1997</v>
      </c>
      <c r="Q381" s="131">
        <v>3.71</v>
      </c>
      <c r="R381" s="131">
        <v>22089</v>
      </c>
      <c r="T381" s="131">
        <v>1636.5450000000001</v>
      </c>
      <c r="U381" s="132">
        <v>0</v>
      </c>
      <c r="V381" s="132">
        <v>3.2199999999999999E-2</v>
      </c>
      <c r="W381" s="132">
        <v>5.8999999999999999E-3</v>
      </c>
    </row>
    <row r="382" spans="1:23">
      <c r="A382" t="s">
        <v>1213</v>
      </c>
      <c r="B382" t="s">
        <v>1251</v>
      </c>
      <c r="C382" t="s">
        <v>4238</v>
      </c>
      <c r="D382" t="s">
        <v>4239</v>
      </c>
      <c r="E382" t="s">
        <v>80</v>
      </c>
      <c r="F382" t="s">
        <v>4346</v>
      </c>
      <c r="G382" t="s">
        <v>4347</v>
      </c>
      <c r="H382" t="s">
        <v>321</v>
      </c>
      <c r="I382" t="s">
        <v>965</v>
      </c>
      <c r="J382" t="s">
        <v>205</v>
      </c>
      <c r="K382" t="s">
        <v>224</v>
      </c>
      <c r="L382" t="s">
        <v>344</v>
      </c>
      <c r="M382" t="s">
        <v>735</v>
      </c>
      <c r="N382" t="s">
        <v>339</v>
      </c>
      <c r="O382" t="s">
        <v>1216</v>
      </c>
      <c r="P382" s="131">
        <v>4932</v>
      </c>
      <c r="Q382" s="131">
        <v>3.71</v>
      </c>
      <c r="R382" s="131">
        <v>7154</v>
      </c>
      <c r="T382" s="131">
        <v>1309.019</v>
      </c>
      <c r="U382" s="132">
        <v>0</v>
      </c>
      <c r="V382" s="132">
        <v>2.5760000000000002E-2</v>
      </c>
      <c r="W382" s="132">
        <v>4.7200000000000002E-3</v>
      </c>
    </row>
    <row r="383" spans="1:23">
      <c r="A383" t="s">
        <v>1213</v>
      </c>
      <c r="B383" t="s">
        <v>1251</v>
      </c>
      <c r="C383" t="s">
        <v>4091</v>
      </c>
      <c r="D383" t="s">
        <v>4092</v>
      </c>
      <c r="E383" t="s">
        <v>80</v>
      </c>
      <c r="F383" t="s">
        <v>4093</v>
      </c>
      <c r="G383" t="s">
        <v>4094</v>
      </c>
      <c r="H383" t="s">
        <v>321</v>
      </c>
      <c r="I383" t="s">
        <v>965</v>
      </c>
      <c r="J383" t="s">
        <v>205</v>
      </c>
      <c r="K383" t="s">
        <v>224</v>
      </c>
      <c r="L383" t="s">
        <v>344</v>
      </c>
      <c r="M383" t="s">
        <v>604</v>
      </c>
      <c r="N383" t="s">
        <v>339</v>
      </c>
      <c r="O383" t="s">
        <v>1216</v>
      </c>
      <c r="P383" s="131">
        <v>605</v>
      </c>
      <c r="Q383" s="131">
        <v>3.71</v>
      </c>
      <c r="R383" s="131">
        <v>52767</v>
      </c>
      <c r="S383" s="131">
        <v>0.99099999999999999</v>
      </c>
      <c r="T383" s="131">
        <v>1188.06</v>
      </c>
      <c r="U383" s="132">
        <v>0</v>
      </c>
      <c r="V383" s="132">
        <v>2.3400000000000001E-2</v>
      </c>
      <c r="W383" s="132">
        <v>4.2900000000000004E-3</v>
      </c>
    </row>
    <row r="384" spans="1:23">
      <c r="A384" t="s">
        <v>1213</v>
      </c>
      <c r="B384" t="s">
        <v>1251</v>
      </c>
      <c r="C384" t="s">
        <v>4238</v>
      </c>
      <c r="D384" t="s">
        <v>4239</v>
      </c>
      <c r="E384" t="s">
        <v>80</v>
      </c>
      <c r="F384" t="s">
        <v>4338</v>
      </c>
      <c r="G384" t="s">
        <v>4339</v>
      </c>
      <c r="H384" t="s">
        <v>321</v>
      </c>
      <c r="I384" t="s">
        <v>967</v>
      </c>
      <c r="J384" t="s">
        <v>205</v>
      </c>
      <c r="K384" t="s">
        <v>224</v>
      </c>
      <c r="L384" t="s">
        <v>344</v>
      </c>
      <c r="M384" t="s">
        <v>732</v>
      </c>
      <c r="N384" t="s">
        <v>339</v>
      </c>
      <c r="O384" t="s">
        <v>1216</v>
      </c>
      <c r="P384" s="131">
        <v>2642</v>
      </c>
      <c r="Q384" s="131">
        <v>3.71</v>
      </c>
      <c r="R384" s="131">
        <v>11298</v>
      </c>
      <c r="T384" s="131">
        <v>1107.4100000000001</v>
      </c>
      <c r="U384" s="132">
        <v>0</v>
      </c>
      <c r="V384" s="132">
        <v>2.179E-2</v>
      </c>
      <c r="W384" s="132">
        <v>3.9899999999999996E-3</v>
      </c>
    </row>
    <row r="385" spans="1:23">
      <c r="A385" t="s">
        <v>1213</v>
      </c>
      <c r="B385" t="s">
        <v>1251</v>
      </c>
      <c r="C385" t="s">
        <v>4107</v>
      </c>
      <c r="D385" t="s">
        <v>4108</v>
      </c>
      <c r="E385" t="s">
        <v>309</v>
      </c>
      <c r="F385" t="s">
        <v>4348</v>
      </c>
      <c r="G385" t="s">
        <v>4349</v>
      </c>
      <c r="H385" t="s">
        <v>321</v>
      </c>
      <c r="I385" t="s">
        <v>965</v>
      </c>
      <c r="J385" t="s">
        <v>205</v>
      </c>
      <c r="K385" t="s">
        <v>204</v>
      </c>
      <c r="L385" t="s">
        <v>340</v>
      </c>
      <c r="M385" t="s">
        <v>716</v>
      </c>
      <c r="N385" t="s">
        <v>339</v>
      </c>
      <c r="O385" t="s">
        <v>1212</v>
      </c>
      <c r="P385" s="131">
        <v>42341</v>
      </c>
      <c r="Q385" s="131">
        <v>1</v>
      </c>
      <c r="R385" s="131">
        <v>2544</v>
      </c>
      <c r="T385" s="131">
        <v>1077.155</v>
      </c>
      <c r="U385" s="132">
        <v>9.41E-3</v>
      </c>
      <c r="V385" s="132">
        <v>2.1190000000000001E-2</v>
      </c>
      <c r="W385" s="132">
        <v>3.8800000000000002E-3</v>
      </c>
    </row>
    <row r="386" spans="1:23">
      <c r="A386" t="s">
        <v>1213</v>
      </c>
      <c r="B386" t="s">
        <v>1251</v>
      </c>
      <c r="C386" t="s">
        <v>4260</v>
      </c>
      <c r="D386" t="s">
        <v>4261</v>
      </c>
      <c r="E386" t="s">
        <v>80</v>
      </c>
      <c r="F386" t="s">
        <v>4262</v>
      </c>
      <c r="G386" t="s">
        <v>4263</v>
      </c>
      <c r="H386" t="s">
        <v>321</v>
      </c>
      <c r="I386" t="s">
        <v>965</v>
      </c>
      <c r="J386" t="s">
        <v>205</v>
      </c>
      <c r="K386" t="s">
        <v>224</v>
      </c>
      <c r="L386" t="s">
        <v>344</v>
      </c>
      <c r="M386" t="s">
        <v>735</v>
      </c>
      <c r="N386" t="s">
        <v>339</v>
      </c>
      <c r="O386" t="s">
        <v>1216</v>
      </c>
      <c r="P386" s="131">
        <v>1123</v>
      </c>
      <c r="Q386" s="131">
        <v>3.71</v>
      </c>
      <c r="R386" s="131">
        <v>23059</v>
      </c>
      <c r="T386" s="131">
        <v>960.71400000000006</v>
      </c>
      <c r="U386" s="132">
        <v>0</v>
      </c>
      <c r="V386" s="132">
        <v>1.89E-2</v>
      </c>
      <c r="W386" s="132">
        <v>3.46E-3</v>
      </c>
    </row>
    <row r="387" spans="1:23">
      <c r="A387" t="s">
        <v>1213</v>
      </c>
      <c r="B387" t="s">
        <v>1251</v>
      </c>
      <c r="C387" t="s">
        <v>4298</v>
      </c>
      <c r="D387" t="s">
        <v>4299</v>
      </c>
      <c r="E387" t="s">
        <v>80</v>
      </c>
      <c r="F387" t="s">
        <v>4300</v>
      </c>
      <c r="G387" t="s">
        <v>4301</v>
      </c>
      <c r="H387" t="s">
        <v>321</v>
      </c>
      <c r="I387" t="s">
        <v>965</v>
      </c>
      <c r="J387" t="s">
        <v>205</v>
      </c>
      <c r="K387" t="s">
        <v>281</v>
      </c>
      <c r="L387" t="s">
        <v>314</v>
      </c>
      <c r="M387" t="s">
        <v>735</v>
      </c>
      <c r="N387" t="s">
        <v>339</v>
      </c>
      <c r="O387" t="s">
        <v>1218</v>
      </c>
      <c r="P387" s="131">
        <v>6540</v>
      </c>
      <c r="Q387" s="131">
        <v>4.1524000000000001</v>
      </c>
      <c r="R387" s="131">
        <v>3230</v>
      </c>
      <c r="T387" s="131">
        <v>877.16099999999994</v>
      </c>
      <c r="U387" s="132">
        <v>1.0000000000000001E-5</v>
      </c>
      <c r="V387" s="132">
        <v>1.7260000000000001E-2</v>
      </c>
      <c r="W387" s="132">
        <v>3.16E-3</v>
      </c>
    </row>
    <row r="388" spans="1:23">
      <c r="A388" t="s">
        <v>1213</v>
      </c>
      <c r="B388" t="s">
        <v>1251</v>
      </c>
      <c r="C388" t="s">
        <v>4302</v>
      </c>
      <c r="D388" t="s">
        <v>4303</v>
      </c>
      <c r="E388" t="s">
        <v>80</v>
      </c>
      <c r="F388" t="s">
        <v>4304</v>
      </c>
      <c r="G388" t="s">
        <v>4305</v>
      </c>
      <c r="H388" t="s">
        <v>321</v>
      </c>
      <c r="I388" t="s">
        <v>965</v>
      </c>
      <c r="J388" t="s">
        <v>205</v>
      </c>
      <c r="K388" t="s">
        <v>224</v>
      </c>
      <c r="L388" t="s">
        <v>344</v>
      </c>
      <c r="M388" t="s">
        <v>735</v>
      </c>
      <c r="N388" t="s">
        <v>339</v>
      </c>
      <c r="O388" t="s">
        <v>1216</v>
      </c>
      <c r="P388" s="131">
        <v>3912</v>
      </c>
      <c r="Q388" s="131">
        <v>3.71</v>
      </c>
      <c r="R388" s="131">
        <v>4727</v>
      </c>
      <c r="T388" s="131">
        <v>686.05399999999997</v>
      </c>
      <c r="U388" s="132">
        <v>0</v>
      </c>
      <c r="V388" s="132">
        <v>1.35E-2</v>
      </c>
      <c r="W388" s="132">
        <v>2.47E-3</v>
      </c>
    </row>
    <row r="389" spans="1:23">
      <c r="A389" t="s">
        <v>1213</v>
      </c>
      <c r="B389" t="s">
        <v>1251</v>
      </c>
      <c r="C389" t="s">
        <v>4238</v>
      </c>
      <c r="D389" t="s">
        <v>4239</v>
      </c>
      <c r="E389" t="s">
        <v>80</v>
      </c>
      <c r="F389" t="s">
        <v>4350</v>
      </c>
      <c r="G389" t="s">
        <v>4351</v>
      </c>
      <c r="H389" t="s">
        <v>321</v>
      </c>
      <c r="I389" t="s">
        <v>967</v>
      </c>
      <c r="J389" t="s">
        <v>205</v>
      </c>
      <c r="K389" t="s">
        <v>224</v>
      </c>
      <c r="L389" t="s">
        <v>380</v>
      </c>
      <c r="M389" t="s">
        <v>732</v>
      </c>
      <c r="N389" t="s">
        <v>339</v>
      </c>
      <c r="O389" t="s">
        <v>1216</v>
      </c>
      <c r="P389" s="131">
        <v>1709</v>
      </c>
      <c r="Q389" s="131">
        <v>3.71</v>
      </c>
      <c r="R389" s="131">
        <v>10046</v>
      </c>
      <c r="T389" s="131">
        <v>636.95600000000002</v>
      </c>
      <c r="U389" s="132">
        <v>0</v>
      </c>
      <c r="V389" s="132">
        <v>1.2529999999999999E-2</v>
      </c>
      <c r="W389" s="132">
        <v>2.3E-3</v>
      </c>
    </row>
    <row r="390" spans="1:23">
      <c r="A390" t="s">
        <v>1213</v>
      </c>
      <c r="B390" t="s">
        <v>1251</v>
      </c>
      <c r="C390" t="s">
        <v>4260</v>
      </c>
      <c r="D390" t="s">
        <v>4261</v>
      </c>
      <c r="E390" t="s">
        <v>80</v>
      </c>
      <c r="F390" t="s">
        <v>4352</v>
      </c>
      <c r="G390" t="s">
        <v>4353</v>
      </c>
      <c r="H390" t="s">
        <v>321</v>
      </c>
      <c r="I390" t="s">
        <v>965</v>
      </c>
      <c r="J390" t="s">
        <v>205</v>
      </c>
      <c r="K390" t="s">
        <v>224</v>
      </c>
      <c r="L390" t="s">
        <v>344</v>
      </c>
      <c r="M390" t="s">
        <v>735</v>
      </c>
      <c r="N390" t="s">
        <v>339</v>
      </c>
      <c r="O390" t="s">
        <v>1216</v>
      </c>
      <c r="P390" s="131">
        <v>490</v>
      </c>
      <c r="Q390" s="131">
        <v>3.71</v>
      </c>
      <c r="R390" s="131">
        <v>8937</v>
      </c>
      <c r="T390" s="131">
        <v>162.46600000000001</v>
      </c>
      <c r="U390" s="132">
        <v>0</v>
      </c>
      <c r="V390" s="132">
        <v>3.2000000000000002E-3</v>
      </c>
      <c r="W390" s="132">
        <v>5.9000000000000003E-4</v>
      </c>
    </row>
    <row r="391" spans="1:23">
      <c r="A391" t="s">
        <v>1213</v>
      </c>
      <c r="B391" t="s">
        <v>1252</v>
      </c>
      <c r="C391" t="s">
        <v>4181</v>
      </c>
      <c r="D391" t="s">
        <v>4182</v>
      </c>
      <c r="E391" t="s">
        <v>309</v>
      </c>
      <c r="F391" t="s">
        <v>4183</v>
      </c>
      <c r="G391" t="s">
        <v>4184</v>
      </c>
      <c r="H391" t="s">
        <v>321</v>
      </c>
      <c r="I391" t="s">
        <v>965</v>
      </c>
      <c r="J391" t="s">
        <v>204</v>
      </c>
      <c r="K391" t="s">
        <v>204</v>
      </c>
      <c r="L391" t="s">
        <v>340</v>
      </c>
      <c r="M391" t="s">
        <v>605</v>
      </c>
      <c r="N391" t="s">
        <v>339</v>
      </c>
      <c r="O391" t="s">
        <v>1212</v>
      </c>
      <c r="P391" s="131">
        <v>21593</v>
      </c>
      <c r="Q391" s="131">
        <v>1</v>
      </c>
      <c r="R391" s="131">
        <v>9006</v>
      </c>
      <c r="T391" s="131">
        <v>1944.6659999999999</v>
      </c>
      <c r="U391" s="132">
        <v>8.9999999999999998E-4</v>
      </c>
      <c r="V391" s="132">
        <v>4.4359999999999997E-2</v>
      </c>
      <c r="W391" s="132">
        <v>1.1089999999999999E-2</v>
      </c>
    </row>
    <row r="392" spans="1:23">
      <c r="A392" t="s">
        <v>1213</v>
      </c>
      <c r="B392" t="s">
        <v>1252</v>
      </c>
      <c r="C392" t="s">
        <v>4123</v>
      </c>
      <c r="D392" t="s">
        <v>4124</v>
      </c>
      <c r="E392" t="s">
        <v>309</v>
      </c>
      <c r="F392" t="s">
        <v>4159</v>
      </c>
      <c r="G392" t="s">
        <v>4160</v>
      </c>
      <c r="H392" t="s">
        <v>321</v>
      </c>
      <c r="I392" t="s">
        <v>964</v>
      </c>
      <c r="J392" t="s">
        <v>204</v>
      </c>
      <c r="K392" t="s">
        <v>204</v>
      </c>
      <c r="L392" t="s">
        <v>340</v>
      </c>
      <c r="M392" t="s">
        <v>574</v>
      </c>
      <c r="N392" t="s">
        <v>339</v>
      </c>
      <c r="O392" t="s">
        <v>1212</v>
      </c>
      <c r="P392" s="131">
        <v>81914</v>
      </c>
      <c r="Q392" s="131">
        <v>1</v>
      </c>
      <c r="R392" s="131">
        <v>2092</v>
      </c>
      <c r="T392" s="131">
        <v>1713.6410000000001</v>
      </c>
      <c r="U392" s="132">
        <v>3.2000000000000003E-4</v>
      </c>
      <c r="V392" s="132">
        <v>3.909E-2</v>
      </c>
      <c r="W392" s="132">
        <v>9.7699999999999992E-3</v>
      </c>
    </row>
    <row r="393" spans="1:23">
      <c r="A393" t="s">
        <v>1213</v>
      </c>
      <c r="B393" t="s">
        <v>1252</v>
      </c>
      <c r="C393" t="s">
        <v>4111</v>
      </c>
      <c r="D393" t="s">
        <v>4112</v>
      </c>
      <c r="E393" t="s">
        <v>309</v>
      </c>
      <c r="F393" t="s">
        <v>4310</v>
      </c>
      <c r="G393" t="s">
        <v>4311</v>
      </c>
      <c r="H393" t="s">
        <v>321</v>
      </c>
      <c r="I393" t="s">
        <v>966</v>
      </c>
      <c r="J393" t="s">
        <v>204</v>
      </c>
      <c r="K393" t="s">
        <v>204</v>
      </c>
      <c r="L393" t="s">
        <v>340</v>
      </c>
      <c r="M393" t="s">
        <v>573</v>
      </c>
      <c r="N393" t="s">
        <v>339</v>
      </c>
      <c r="O393" t="s">
        <v>1212</v>
      </c>
      <c r="P393" s="131">
        <v>45759</v>
      </c>
      <c r="Q393" s="131">
        <v>1</v>
      </c>
      <c r="R393" s="131">
        <v>3695.59</v>
      </c>
      <c r="T393" s="131">
        <v>1691.0650000000001</v>
      </c>
      <c r="U393" s="132">
        <v>5.8E-4</v>
      </c>
      <c r="V393" s="132">
        <v>3.8580000000000003E-2</v>
      </c>
      <c r="W393" s="132">
        <v>9.6399999999999993E-3</v>
      </c>
    </row>
    <row r="394" spans="1:23">
      <c r="A394" t="s">
        <v>1213</v>
      </c>
      <c r="B394" t="s">
        <v>1252</v>
      </c>
      <c r="C394" t="s">
        <v>4111</v>
      </c>
      <c r="D394" t="s">
        <v>4112</v>
      </c>
      <c r="E394" t="s">
        <v>309</v>
      </c>
      <c r="F394" t="s">
        <v>4197</v>
      </c>
      <c r="G394" t="s">
        <v>4198</v>
      </c>
      <c r="H394" t="s">
        <v>321</v>
      </c>
      <c r="I394" t="s">
        <v>965</v>
      </c>
      <c r="J394" t="s">
        <v>204</v>
      </c>
      <c r="K394" t="s">
        <v>204</v>
      </c>
      <c r="L394" t="s">
        <v>340</v>
      </c>
      <c r="M394" t="s">
        <v>598</v>
      </c>
      <c r="N394" t="s">
        <v>339</v>
      </c>
      <c r="O394" t="s">
        <v>1212</v>
      </c>
      <c r="P394" s="131">
        <v>10056</v>
      </c>
      <c r="Q394" s="131">
        <v>1</v>
      </c>
      <c r="R394" s="131">
        <v>16780</v>
      </c>
      <c r="T394" s="131">
        <v>1687.3969999999999</v>
      </c>
      <c r="U394" s="132">
        <v>1.0200000000000001E-3</v>
      </c>
      <c r="V394" s="132">
        <v>3.8490000000000003E-2</v>
      </c>
      <c r="W394" s="132">
        <v>9.6200000000000001E-3</v>
      </c>
    </row>
    <row r="395" spans="1:23">
      <c r="A395" t="s">
        <v>1213</v>
      </c>
      <c r="B395" t="s">
        <v>1252</v>
      </c>
      <c r="C395" t="s">
        <v>4117</v>
      </c>
      <c r="D395" t="s">
        <v>4118</v>
      </c>
      <c r="E395" t="s">
        <v>309</v>
      </c>
      <c r="F395" t="s">
        <v>4149</v>
      </c>
      <c r="G395" t="s">
        <v>4150</v>
      </c>
      <c r="H395" t="s">
        <v>321</v>
      </c>
      <c r="I395" t="s">
        <v>966</v>
      </c>
      <c r="J395" t="s">
        <v>204</v>
      </c>
      <c r="K395" t="s">
        <v>204</v>
      </c>
      <c r="L395" t="s">
        <v>340</v>
      </c>
      <c r="M395" t="s">
        <v>576</v>
      </c>
      <c r="N395" t="s">
        <v>339</v>
      </c>
      <c r="O395" t="s">
        <v>1212</v>
      </c>
      <c r="P395" s="131">
        <v>372024.02</v>
      </c>
      <c r="Q395" s="131">
        <v>1</v>
      </c>
      <c r="R395" s="131">
        <v>365.93</v>
      </c>
      <c r="T395" s="131">
        <v>1361.347</v>
      </c>
      <c r="U395" s="132">
        <v>2.7E-4</v>
      </c>
      <c r="V395" s="132">
        <v>3.1060000000000001E-2</v>
      </c>
      <c r="W395" s="132">
        <v>7.7600000000000004E-3</v>
      </c>
    </row>
    <row r="396" spans="1:23">
      <c r="A396" t="s">
        <v>1213</v>
      </c>
      <c r="B396" t="s">
        <v>1252</v>
      </c>
      <c r="C396" t="s">
        <v>4111</v>
      </c>
      <c r="D396" t="s">
        <v>4112</v>
      </c>
      <c r="E396" t="s">
        <v>309</v>
      </c>
      <c r="F396" t="s">
        <v>4113</v>
      </c>
      <c r="G396" t="s">
        <v>4114</v>
      </c>
      <c r="H396" t="s">
        <v>321</v>
      </c>
      <c r="I396" t="s">
        <v>965</v>
      </c>
      <c r="J396" t="s">
        <v>204</v>
      </c>
      <c r="K396" t="s">
        <v>204</v>
      </c>
      <c r="L396" t="s">
        <v>340</v>
      </c>
      <c r="M396" t="s">
        <v>605</v>
      </c>
      <c r="N396" t="s">
        <v>339</v>
      </c>
      <c r="O396" t="s">
        <v>1212</v>
      </c>
      <c r="P396" s="131">
        <v>19683</v>
      </c>
      <c r="Q396" s="131">
        <v>1</v>
      </c>
      <c r="R396" s="131">
        <v>5505</v>
      </c>
      <c r="T396" s="131">
        <v>1083.549</v>
      </c>
      <c r="U396" s="132">
        <v>2.5999999999999998E-4</v>
      </c>
      <c r="V396" s="132">
        <v>2.4719999999999999E-2</v>
      </c>
      <c r="W396" s="132">
        <v>6.1799999999999997E-3</v>
      </c>
    </row>
    <row r="397" spans="1:23">
      <c r="A397" t="s">
        <v>1213</v>
      </c>
      <c r="B397" t="s">
        <v>1252</v>
      </c>
      <c r="C397" t="s">
        <v>4123</v>
      </c>
      <c r="D397" t="s">
        <v>4124</v>
      </c>
      <c r="E397" t="s">
        <v>309</v>
      </c>
      <c r="F397" t="s">
        <v>4205</v>
      </c>
      <c r="G397" t="s">
        <v>4206</v>
      </c>
      <c r="H397" t="s">
        <v>321</v>
      </c>
      <c r="I397" t="s">
        <v>964</v>
      </c>
      <c r="J397" t="s">
        <v>204</v>
      </c>
      <c r="K397" t="s">
        <v>204</v>
      </c>
      <c r="L397" t="s">
        <v>340</v>
      </c>
      <c r="M397" t="s">
        <v>577</v>
      </c>
      <c r="N397" t="s">
        <v>339</v>
      </c>
      <c r="O397" t="s">
        <v>1212</v>
      </c>
      <c r="P397" s="131">
        <v>48599</v>
      </c>
      <c r="Q397" s="131">
        <v>1</v>
      </c>
      <c r="R397" s="131">
        <v>2003</v>
      </c>
      <c r="T397" s="131">
        <v>973.43799999999999</v>
      </c>
      <c r="U397" s="132">
        <v>1.2E-4</v>
      </c>
      <c r="V397" s="132">
        <v>2.2210000000000001E-2</v>
      </c>
      <c r="W397" s="132">
        <v>5.5500000000000002E-3</v>
      </c>
    </row>
    <row r="398" spans="1:23">
      <c r="A398" t="s">
        <v>1213</v>
      </c>
      <c r="B398" t="s">
        <v>1252</v>
      </c>
      <c r="C398" t="s">
        <v>4107</v>
      </c>
      <c r="D398" t="s">
        <v>4108</v>
      </c>
      <c r="E398" t="s">
        <v>309</v>
      </c>
      <c r="F398" t="s">
        <v>4115</v>
      </c>
      <c r="G398" t="s">
        <v>4116</v>
      </c>
      <c r="H398" t="s">
        <v>321</v>
      </c>
      <c r="I398" t="s">
        <v>965</v>
      </c>
      <c r="J398" t="s">
        <v>204</v>
      </c>
      <c r="K398" t="s">
        <v>204</v>
      </c>
      <c r="L398" t="s">
        <v>340</v>
      </c>
      <c r="M398" t="s">
        <v>605</v>
      </c>
      <c r="N398" t="s">
        <v>339</v>
      </c>
      <c r="O398" t="s">
        <v>1212</v>
      </c>
      <c r="P398" s="131">
        <v>13210</v>
      </c>
      <c r="Q398" s="131">
        <v>1</v>
      </c>
      <c r="R398" s="131">
        <v>7341</v>
      </c>
      <c r="T398" s="131">
        <v>969.74599999999998</v>
      </c>
      <c r="U398" s="132">
        <v>4.2999999999999999E-4</v>
      </c>
      <c r="V398" s="132">
        <v>2.2120000000000001E-2</v>
      </c>
      <c r="W398" s="132">
        <v>5.5300000000000002E-3</v>
      </c>
    </row>
    <row r="399" spans="1:23">
      <c r="A399" t="s">
        <v>1213</v>
      </c>
      <c r="B399" t="s">
        <v>1252</v>
      </c>
      <c r="C399" t="s">
        <v>4117</v>
      </c>
      <c r="D399" t="s">
        <v>4118</v>
      </c>
      <c r="E399" t="s">
        <v>309</v>
      </c>
      <c r="F399" t="s">
        <v>4213</v>
      </c>
      <c r="G399" t="s">
        <v>4214</v>
      </c>
      <c r="H399" t="s">
        <v>321</v>
      </c>
      <c r="I399" t="s">
        <v>965</v>
      </c>
      <c r="J399" t="s">
        <v>204</v>
      </c>
      <c r="K399" t="s">
        <v>204</v>
      </c>
      <c r="L399" t="s">
        <v>340</v>
      </c>
      <c r="M399" t="s">
        <v>582</v>
      </c>
      <c r="N399" t="s">
        <v>339</v>
      </c>
      <c r="O399" t="s">
        <v>1212</v>
      </c>
      <c r="P399" s="131">
        <v>5222</v>
      </c>
      <c r="Q399" s="131">
        <v>1</v>
      </c>
      <c r="R399" s="131">
        <v>16570</v>
      </c>
      <c r="T399" s="131">
        <v>865.28499999999997</v>
      </c>
      <c r="U399" s="132">
        <v>2.3000000000000001E-4</v>
      </c>
      <c r="V399" s="132">
        <v>1.9740000000000001E-2</v>
      </c>
      <c r="W399" s="132">
        <v>4.9300000000000004E-3</v>
      </c>
    </row>
    <row r="400" spans="1:23">
      <c r="A400" t="s">
        <v>1213</v>
      </c>
      <c r="B400" t="s">
        <v>1252</v>
      </c>
      <c r="C400" t="s">
        <v>4111</v>
      </c>
      <c r="D400" t="s">
        <v>4112</v>
      </c>
      <c r="E400" t="s">
        <v>309</v>
      </c>
      <c r="F400" t="s">
        <v>4332</v>
      </c>
      <c r="G400" t="s">
        <v>4333</v>
      </c>
      <c r="H400" t="s">
        <v>321</v>
      </c>
      <c r="I400" t="s">
        <v>964</v>
      </c>
      <c r="J400" t="s">
        <v>204</v>
      </c>
      <c r="K400" t="s">
        <v>204</v>
      </c>
      <c r="L400" t="s">
        <v>340</v>
      </c>
      <c r="M400" t="s">
        <v>574</v>
      </c>
      <c r="N400" t="s">
        <v>339</v>
      </c>
      <c r="O400" t="s">
        <v>1212</v>
      </c>
      <c r="P400" s="131">
        <v>3715</v>
      </c>
      <c r="Q400" s="131">
        <v>1</v>
      </c>
      <c r="R400" s="131">
        <v>20810</v>
      </c>
      <c r="T400" s="131">
        <v>773.09199999999998</v>
      </c>
      <c r="U400" s="132">
        <v>1.2E-4</v>
      </c>
      <c r="V400" s="132">
        <v>1.7639999999999999E-2</v>
      </c>
      <c r="W400" s="132">
        <v>4.4099999999999999E-3</v>
      </c>
    </row>
    <row r="401" spans="1:23">
      <c r="A401" t="s">
        <v>1213</v>
      </c>
      <c r="B401" t="s">
        <v>1252</v>
      </c>
      <c r="C401" t="s">
        <v>4123</v>
      </c>
      <c r="D401" t="s">
        <v>4124</v>
      </c>
      <c r="E401" t="s">
        <v>309</v>
      </c>
      <c r="F401" t="s">
        <v>4135</v>
      </c>
      <c r="G401" t="s">
        <v>4136</v>
      </c>
      <c r="H401" t="s">
        <v>321</v>
      </c>
      <c r="I401" t="s">
        <v>965</v>
      </c>
      <c r="J401" t="s">
        <v>204</v>
      </c>
      <c r="K401" t="s">
        <v>204</v>
      </c>
      <c r="L401" t="s">
        <v>340</v>
      </c>
      <c r="M401" t="s">
        <v>605</v>
      </c>
      <c r="N401" t="s">
        <v>339</v>
      </c>
      <c r="O401" t="s">
        <v>1212</v>
      </c>
      <c r="P401" s="131">
        <v>13777</v>
      </c>
      <c r="Q401" s="131">
        <v>1</v>
      </c>
      <c r="R401" s="131">
        <v>5069</v>
      </c>
      <c r="T401" s="131">
        <v>698.35599999999999</v>
      </c>
      <c r="U401" s="132">
        <v>1.1E-4</v>
      </c>
      <c r="V401" s="132">
        <v>1.593E-2</v>
      </c>
      <c r="W401" s="132">
        <v>3.98E-3</v>
      </c>
    </row>
    <row r="402" spans="1:23">
      <c r="A402" t="s">
        <v>1213</v>
      </c>
      <c r="B402" t="s">
        <v>1252</v>
      </c>
      <c r="C402" t="s">
        <v>4111</v>
      </c>
      <c r="D402" t="s">
        <v>4112</v>
      </c>
      <c r="E402" t="s">
        <v>309</v>
      </c>
      <c r="F402" t="s">
        <v>4354</v>
      </c>
      <c r="G402" t="s">
        <v>4355</v>
      </c>
      <c r="H402" t="s">
        <v>321</v>
      </c>
      <c r="I402" t="s">
        <v>964</v>
      </c>
      <c r="J402" t="s">
        <v>204</v>
      </c>
      <c r="K402" t="s">
        <v>204</v>
      </c>
      <c r="L402" t="s">
        <v>340</v>
      </c>
      <c r="M402" t="s">
        <v>697</v>
      </c>
      <c r="N402" t="s">
        <v>339</v>
      </c>
      <c r="O402" t="s">
        <v>1212</v>
      </c>
      <c r="P402" s="131">
        <v>1693</v>
      </c>
      <c r="Q402" s="131">
        <v>1</v>
      </c>
      <c r="R402" s="131">
        <v>38300</v>
      </c>
      <c r="T402" s="131">
        <v>648.41899999999998</v>
      </c>
      <c r="U402" s="132">
        <v>6.9999999999999994E-5</v>
      </c>
      <c r="V402" s="132">
        <v>1.4789999999999999E-2</v>
      </c>
      <c r="W402" s="132">
        <v>3.7000000000000002E-3</v>
      </c>
    </row>
    <row r="403" spans="1:23">
      <c r="A403" t="s">
        <v>1213</v>
      </c>
      <c r="B403" t="s">
        <v>1252</v>
      </c>
      <c r="C403" t="s">
        <v>4123</v>
      </c>
      <c r="D403" t="s">
        <v>4124</v>
      </c>
      <c r="E403" t="s">
        <v>309</v>
      </c>
      <c r="F403" t="s">
        <v>4394</v>
      </c>
      <c r="G403" t="s">
        <v>4395</v>
      </c>
      <c r="H403" t="s">
        <v>321</v>
      </c>
      <c r="I403" t="s">
        <v>966</v>
      </c>
      <c r="J403" t="s">
        <v>204</v>
      </c>
      <c r="K403" t="s">
        <v>204</v>
      </c>
      <c r="L403" t="s">
        <v>340</v>
      </c>
      <c r="M403" t="s">
        <v>624</v>
      </c>
      <c r="N403" t="s">
        <v>339</v>
      </c>
      <c r="O403" t="s">
        <v>1212</v>
      </c>
      <c r="P403" s="131">
        <v>14050</v>
      </c>
      <c r="Q403" s="131">
        <v>1</v>
      </c>
      <c r="R403" s="131">
        <v>3874.62</v>
      </c>
      <c r="T403" s="131">
        <v>544.38400000000001</v>
      </c>
      <c r="U403" s="132">
        <v>3.6999999999999999E-4</v>
      </c>
      <c r="V403" s="132">
        <v>1.242E-2</v>
      </c>
      <c r="W403" s="132">
        <v>3.0999999999999999E-3</v>
      </c>
    </row>
    <row r="404" spans="1:23">
      <c r="A404" t="s">
        <v>1213</v>
      </c>
      <c r="B404" t="s">
        <v>1252</v>
      </c>
      <c r="C404" t="s">
        <v>4107</v>
      </c>
      <c r="D404" t="s">
        <v>4108</v>
      </c>
      <c r="E404" t="s">
        <v>309</v>
      </c>
      <c r="F404" t="s">
        <v>4396</v>
      </c>
      <c r="G404" t="s">
        <v>4397</v>
      </c>
      <c r="H404" t="s">
        <v>321</v>
      </c>
      <c r="I404" t="s">
        <v>964</v>
      </c>
      <c r="J404" t="s">
        <v>204</v>
      </c>
      <c r="K404" t="s">
        <v>204</v>
      </c>
      <c r="L404" t="s">
        <v>340</v>
      </c>
      <c r="M404" t="s">
        <v>574</v>
      </c>
      <c r="N404" t="s">
        <v>339</v>
      </c>
      <c r="O404" t="s">
        <v>1212</v>
      </c>
      <c r="P404" s="131">
        <v>13518</v>
      </c>
      <c r="Q404" s="131">
        <v>1</v>
      </c>
      <c r="R404" s="131">
        <v>2849</v>
      </c>
      <c r="T404" s="131">
        <v>385.12799999999999</v>
      </c>
      <c r="U404" s="132">
        <v>1.9000000000000001E-4</v>
      </c>
      <c r="V404" s="132">
        <v>8.7899999999999992E-3</v>
      </c>
      <c r="W404" s="132">
        <v>2.2000000000000001E-3</v>
      </c>
    </row>
    <row r="405" spans="1:23">
      <c r="A405" t="s">
        <v>1213</v>
      </c>
      <c r="B405" t="s">
        <v>1252</v>
      </c>
      <c r="C405" t="s">
        <v>4107</v>
      </c>
      <c r="D405" t="s">
        <v>4108</v>
      </c>
      <c r="E405" t="s">
        <v>309</v>
      </c>
      <c r="F405" t="s">
        <v>4288</v>
      </c>
      <c r="G405" t="s">
        <v>4289</v>
      </c>
      <c r="H405" t="s">
        <v>321</v>
      </c>
      <c r="I405" t="s">
        <v>965</v>
      </c>
      <c r="J405" t="s">
        <v>204</v>
      </c>
      <c r="K405" t="s">
        <v>204</v>
      </c>
      <c r="L405" t="s">
        <v>340</v>
      </c>
      <c r="M405" t="s">
        <v>582</v>
      </c>
      <c r="N405" t="s">
        <v>339</v>
      </c>
      <c r="O405" t="s">
        <v>1212</v>
      </c>
      <c r="P405" s="131">
        <v>6217</v>
      </c>
      <c r="Q405" s="131">
        <v>1</v>
      </c>
      <c r="R405" s="131">
        <v>4602</v>
      </c>
      <c r="T405" s="131">
        <v>286.10599999999999</v>
      </c>
      <c r="U405" s="132">
        <v>8.8999999999999995E-4</v>
      </c>
      <c r="V405" s="132">
        <v>6.5300000000000002E-3</v>
      </c>
      <c r="W405" s="132">
        <v>1.6299999999999999E-3</v>
      </c>
    </row>
    <row r="406" spans="1:23">
      <c r="A406" t="s">
        <v>1213</v>
      </c>
      <c r="B406" t="s">
        <v>1252</v>
      </c>
      <c r="C406" t="s">
        <v>4111</v>
      </c>
      <c r="D406" t="s">
        <v>4112</v>
      </c>
      <c r="E406" t="s">
        <v>309</v>
      </c>
      <c r="F406" t="s">
        <v>4171</v>
      </c>
      <c r="G406" t="s">
        <v>4172</v>
      </c>
      <c r="H406" t="s">
        <v>321</v>
      </c>
      <c r="I406" t="s">
        <v>964</v>
      </c>
      <c r="J406" t="s">
        <v>204</v>
      </c>
      <c r="K406" t="s">
        <v>204</v>
      </c>
      <c r="L406" t="s">
        <v>340</v>
      </c>
      <c r="M406" t="s">
        <v>577</v>
      </c>
      <c r="N406" t="s">
        <v>339</v>
      </c>
      <c r="O406" t="s">
        <v>1212</v>
      </c>
      <c r="P406" s="131">
        <v>911</v>
      </c>
      <c r="Q406" s="131">
        <v>1</v>
      </c>
      <c r="R406" s="131">
        <v>19380</v>
      </c>
      <c r="T406" s="131">
        <v>176.55199999999999</v>
      </c>
      <c r="U406" s="132">
        <v>3.0000000000000001E-5</v>
      </c>
      <c r="V406" s="132">
        <v>4.0299999999999997E-3</v>
      </c>
      <c r="W406" s="132">
        <v>1.01E-3</v>
      </c>
    </row>
    <row r="407" spans="1:23">
      <c r="A407" t="s">
        <v>1213</v>
      </c>
      <c r="B407" t="s">
        <v>1252</v>
      </c>
      <c r="C407" t="s">
        <v>4111</v>
      </c>
      <c r="D407" t="s">
        <v>4112</v>
      </c>
      <c r="E407" t="s">
        <v>309</v>
      </c>
      <c r="F407" t="s">
        <v>4344</v>
      </c>
      <c r="G407" t="s">
        <v>4345</v>
      </c>
      <c r="H407" t="s">
        <v>321</v>
      </c>
      <c r="I407" t="s">
        <v>965</v>
      </c>
      <c r="J407" t="s">
        <v>204</v>
      </c>
      <c r="K407" t="s">
        <v>204</v>
      </c>
      <c r="L407" t="s">
        <v>340</v>
      </c>
      <c r="M407" t="s">
        <v>707</v>
      </c>
      <c r="N407" t="s">
        <v>339</v>
      </c>
      <c r="O407" t="s">
        <v>1212</v>
      </c>
      <c r="P407" s="131">
        <v>2129</v>
      </c>
      <c r="Q407" s="131">
        <v>1</v>
      </c>
      <c r="R407" s="131">
        <v>5159</v>
      </c>
      <c r="T407" s="131">
        <v>109.83499999999999</v>
      </c>
      <c r="U407" s="132">
        <v>6.0999999999999997E-4</v>
      </c>
      <c r="V407" s="132">
        <v>2.5100000000000001E-3</v>
      </c>
      <c r="W407" s="132">
        <v>6.3000000000000003E-4</v>
      </c>
    </row>
    <row r="408" spans="1:23">
      <c r="A408" t="s">
        <v>1213</v>
      </c>
      <c r="B408" t="s">
        <v>1252</v>
      </c>
      <c r="C408" t="s">
        <v>4111</v>
      </c>
      <c r="D408" t="s">
        <v>4112</v>
      </c>
      <c r="E408" t="s">
        <v>309</v>
      </c>
      <c r="F408" t="s">
        <v>4342</v>
      </c>
      <c r="G408" t="s">
        <v>4343</v>
      </c>
      <c r="H408" t="s">
        <v>321</v>
      </c>
      <c r="I408" t="s">
        <v>965</v>
      </c>
      <c r="J408" t="s">
        <v>204</v>
      </c>
      <c r="K408" t="s">
        <v>204</v>
      </c>
      <c r="L408" t="s">
        <v>340</v>
      </c>
      <c r="M408" t="s">
        <v>588</v>
      </c>
      <c r="N408" t="s">
        <v>339</v>
      </c>
      <c r="O408" t="s">
        <v>1212</v>
      </c>
      <c r="P408" s="131">
        <v>1252</v>
      </c>
      <c r="Q408" s="131">
        <v>1</v>
      </c>
      <c r="R408" s="131">
        <v>6911</v>
      </c>
      <c r="T408" s="131">
        <v>86.525999999999996</v>
      </c>
      <c r="U408" s="132">
        <v>1.2999999999999999E-4</v>
      </c>
      <c r="V408" s="132">
        <v>1.97E-3</v>
      </c>
      <c r="W408" s="132">
        <v>4.8999999999999998E-4</v>
      </c>
    </row>
    <row r="409" spans="1:23">
      <c r="A409" t="s">
        <v>1213</v>
      </c>
      <c r="B409" t="s">
        <v>1252</v>
      </c>
      <c r="C409" t="s">
        <v>4099</v>
      </c>
      <c r="D409" t="s">
        <v>4100</v>
      </c>
      <c r="E409" t="s">
        <v>80</v>
      </c>
      <c r="F409" t="s">
        <v>4101</v>
      </c>
      <c r="G409" t="s">
        <v>4102</v>
      </c>
      <c r="H409" t="s">
        <v>321</v>
      </c>
      <c r="I409" t="s">
        <v>965</v>
      </c>
      <c r="J409" t="s">
        <v>205</v>
      </c>
      <c r="K409" t="s">
        <v>224</v>
      </c>
      <c r="L409" t="s">
        <v>344</v>
      </c>
      <c r="M409" t="s">
        <v>604</v>
      </c>
      <c r="N409" t="s">
        <v>339</v>
      </c>
      <c r="O409" t="s">
        <v>1216</v>
      </c>
      <c r="P409" s="131">
        <v>4653</v>
      </c>
      <c r="Q409" s="131">
        <v>3.71</v>
      </c>
      <c r="R409" s="131">
        <v>57376</v>
      </c>
      <c r="S409" s="131">
        <f>6.111+389.86/1000/Q409</f>
        <v>6.2160835579514826</v>
      </c>
      <c r="T409" s="131">
        <f>9927.279+389.86/1000</f>
        <v>9927.6688599999998</v>
      </c>
      <c r="U409" s="132">
        <v>0</v>
      </c>
      <c r="V409" s="132">
        <v>0.22661000000000001</v>
      </c>
      <c r="W409" s="132">
        <v>5.6649999999999999E-2</v>
      </c>
    </row>
    <row r="410" spans="1:23">
      <c r="A410" t="s">
        <v>1213</v>
      </c>
      <c r="B410" t="s">
        <v>1252</v>
      </c>
      <c r="C410" t="s">
        <v>4095</v>
      </c>
      <c r="D410" t="s">
        <v>4096</v>
      </c>
      <c r="E410" t="s">
        <v>80</v>
      </c>
      <c r="F410" t="s">
        <v>4097</v>
      </c>
      <c r="G410" t="s">
        <v>4098</v>
      </c>
      <c r="H410" t="s">
        <v>321</v>
      </c>
      <c r="I410" t="s">
        <v>965</v>
      </c>
      <c r="J410" t="s">
        <v>205</v>
      </c>
      <c r="K410" t="s">
        <v>224</v>
      </c>
      <c r="L410" t="s">
        <v>346</v>
      </c>
      <c r="M410" t="s">
        <v>597</v>
      </c>
      <c r="N410" t="s">
        <v>339</v>
      </c>
      <c r="O410" t="s">
        <v>1216</v>
      </c>
      <c r="P410" s="131">
        <v>3791</v>
      </c>
      <c r="Q410" s="131">
        <v>3.71</v>
      </c>
      <c r="R410" s="131">
        <v>48807</v>
      </c>
      <c r="S410" s="131">
        <f>1.931+123.17/1000/Q410</f>
        <v>1.9641994609164422</v>
      </c>
      <c r="T410" s="131">
        <f>6871.677+123.17/1000</f>
        <v>6871.8001699999995</v>
      </c>
      <c r="U410" s="132">
        <v>0</v>
      </c>
      <c r="V410" s="132">
        <v>0.15679999999999999</v>
      </c>
      <c r="W410" s="132">
        <v>3.9199999999999999E-2</v>
      </c>
    </row>
    <row r="411" spans="1:23">
      <c r="A411" t="s">
        <v>1213</v>
      </c>
      <c r="B411" t="s">
        <v>1252</v>
      </c>
      <c r="C411" t="s">
        <v>4250</v>
      </c>
      <c r="D411" t="s">
        <v>4251</v>
      </c>
      <c r="E411" t="s">
        <v>80</v>
      </c>
      <c r="F411" t="s">
        <v>4252</v>
      </c>
      <c r="G411" t="s">
        <v>4253</v>
      </c>
      <c r="H411" t="s">
        <v>321</v>
      </c>
      <c r="I411" t="s">
        <v>965</v>
      </c>
      <c r="J411" t="s">
        <v>205</v>
      </c>
      <c r="K411" t="s">
        <v>224</v>
      </c>
      <c r="L411" t="s">
        <v>314</v>
      </c>
      <c r="M411" t="s">
        <v>597</v>
      </c>
      <c r="N411" t="s">
        <v>339</v>
      </c>
      <c r="O411" t="s">
        <v>1216</v>
      </c>
      <c r="P411" s="131">
        <v>2769</v>
      </c>
      <c r="Q411" s="131">
        <v>3.71</v>
      </c>
      <c r="R411" s="131">
        <v>20085</v>
      </c>
      <c r="T411" s="131">
        <v>2063.33</v>
      </c>
      <c r="U411" s="132">
        <v>0</v>
      </c>
      <c r="V411" s="132">
        <v>4.7070000000000001E-2</v>
      </c>
      <c r="W411" s="132">
        <v>1.1769999999999999E-2</v>
      </c>
    </row>
    <row r="412" spans="1:23">
      <c r="A412" t="s">
        <v>1213</v>
      </c>
      <c r="B412" t="s">
        <v>1252</v>
      </c>
      <c r="C412" t="s">
        <v>4091</v>
      </c>
      <c r="D412" t="s">
        <v>4092</v>
      </c>
      <c r="E412" t="s">
        <v>80</v>
      </c>
      <c r="F412" t="s">
        <v>4093</v>
      </c>
      <c r="G412" t="s">
        <v>4094</v>
      </c>
      <c r="H412" t="s">
        <v>321</v>
      </c>
      <c r="I412" t="s">
        <v>965</v>
      </c>
      <c r="J412" t="s">
        <v>205</v>
      </c>
      <c r="K412" t="s">
        <v>224</v>
      </c>
      <c r="L412" t="s">
        <v>344</v>
      </c>
      <c r="M412" t="s">
        <v>604</v>
      </c>
      <c r="N412" t="s">
        <v>339</v>
      </c>
      <c r="O412" t="s">
        <v>1216</v>
      </c>
      <c r="P412" s="131">
        <v>984</v>
      </c>
      <c r="Q412" s="131">
        <v>3.71</v>
      </c>
      <c r="R412" s="131">
        <v>52767</v>
      </c>
      <c r="S412" s="131">
        <v>1.6120000000000001</v>
      </c>
      <c r="T412" s="131">
        <v>1932.3150000000001</v>
      </c>
      <c r="U412" s="132">
        <v>0</v>
      </c>
      <c r="V412" s="132">
        <v>4.4119999999999999E-2</v>
      </c>
      <c r="W412" s="132">
        <v>1.103E-2</v>
      </c>
    </row>
    <row r="413" spans="1:23">
      <c r="A413" t="s">
        <v>1213</v>
      </c>
      <c r="B413" t="s">
        <v>1252</v>
      </c>
      <c r="C413" t="s">
        <v>4238</v>
      </c>
      <c r="D413" t="s">
        <v>4239</v>
      </c>
      <c r="E413" t="s">
        <v>80</v>
      </c>
      <c r="F413" t="s">
        <v>4242</v>
      </c>
      <c r="G413" t="s">
        <v>4243</v>
      </c>
      <c r="H413" t="s">
        <v>321</v>
      </c>
      <c r="I413" t="s">
        <v>965</v>
      </c>
      <c r="J413" t="s">
        <v>205</v>
      </c>
      <c r="K413" t="s">
        <v>224</v>
      </c>
      <c r="L413" t="s">
        <v>344</v>
      </c>
      <c r="M413" t="s">
        <v>602</v>
      </c>
      <c r="N413" t="s">
        <v>339</v>
      </c>
      <c r="O413" t="s">
        <v>1216</v>
      </c>
      <c r="P413" s="131">
        <v>2041</v>
      </c>
      <c r="Q413" s="131">
        <v>3.71</v>
      </c>
      <c r="R413" s="131">
        <v>22089</v>
      </c>
      <c r="T413" s="131">
        <v>1672.6030000000001</v>
      </c>
      <c r="U413" s="132">
        <v>0</v>
      </c>
      <c r="V413" s="132">
        <v>3.8159999999999999E-2</v>
      </c>
      <c r="W413" s="132">
        <v>9.5399999999999999E-3</v>
      </c>
    </row>
    <row r="414" spans="1:23">
      <c r="A414" t="s">
        <v>1213</v>
      </c>
      <c r="B414" t="s">
        <v>1252</v>
      </c>
      <c r="C414" t="s">
        <v>4238</v>
      </c>
      <c r="D414" t="s">
        <v>4239</v>
      </c>
      <c r="E414" t="s">
        <v>80</v>
      </c>
      <c r="F414" t="s">
        <v>4240</v>
      </c>
      <c r="G414" t="s">
        <v>4241</v>
      </c>
      <c r="H414" t="s">
        <v>321</v>
      </c>
      <c r="I414" t="s">
        <v>965</v>
      </c>
      <c r="J414" t="s">
        <v>205</v>
      </c>
      <c r="K414" t="s">
        <v>224</v>
      </c>
      <c r="L414" t="s">
        <v>368</v>
      </c>
      <c r="M414" t="s">
        <v>735</v>
      </c>
      <c r="N414" t="s">
        <v>339</v>
      </c>
      <c r="O414" t="s">
        <v>1218</v>
      </c>
      <c r="P414" s="131">
        <v>1931</v>
      </c>
      <c r="Q414" s="131">
        <v>4.1524000000000001</v>
      </c>
      <c r="R414" s="131">
        <v>16098</v>
      </c>
      <c r="T414" s="131">
        <v>1290.7829999999999</v>
      </c>
      <c r="U414" s="132">
        <v>0</v>
      </c>
      <c r="V414" s="132">
        <v>2.945E-2</v>
      </c>
      <c r="W414" s="132">
        <v>7.3600000000000002E-3</v>
      </c>
    </row>
    <row r="415" spans="1:23">
      <c r="A415" t="s">
        <v>1213</v>
      </c>
      <c r="B415" t="s">
        <v>1252</v>
      </c>
      <c r="C415" t="s">
        <v>4238</v>
      </c>
      <c r="D415" t="s">
        <v>4239</v>
      </c>
      <c r="E415" t="s">
        <v>80</v>
      </c>
      <c r="F415" t="s">
        <v>4338</v>
      </c>
      <c r="G415" t="s">
        <v>4339</v>
      </c>
      <c r="H415" t="s">
        <v>321</v>
      </c>
      <c r="I415" t="s">
        <v>967</v>
      </c>
      <c r="J415" t="s">
        <v>205</v>
      </c>
      <c r="K415" t="s">
        <v>224</v>
      </c>
      <c r="L415" t="s">
        <v>344</v>
      </c>
      <c r="M415" t="s">
        <v>732</v>
      </c>
      <c r="N415" t="s">
        <v>339</v>
      </c>
      <c r="O415" t="s">
        <v>1216</v>
      </c>
      <c r="P415" s="131">
        <v>1916</v>
      </c>
      <c r="Q415" s="131">
        <v>3.71</v>
      </c>
      <c r="R415" s="131">
        <v>11298</v>
      </c>
      <c r="T415" s="131">
        <v>803.10299999999995</v>
      </c>
      <c r="U415" s="132">
        <v>0</v>
      </c>
      <c r="V415" s="132">
        <v>1.8319999999999999E-2</v>
      </c>
      <c r="W415" s="132">
        <v>4.5799999999999999E-3</v>
      </c>
    </row>
    <row r="416" spans="1:23">
      <c r="A416" t="s">
        <v>1213</v>
      </c>
      <c r="B416" t="s">
        <v>1252</v>
      </c>
      <c r="C416" t="s">
        <v>4238</v>
      </c>
      <c r="D416" t="s">
        <v>4239</v>
      </c>
      <c r="E416" t="s">
        <v>80</v>
      </c>
      <c r="F416" t="s">
        <v>4346</v>
      </c>
      <c r="G416" t="s">
        <v>4347</v>
      </c>
      <c r="H416" t="s">
        <v>321</v>
      </c>
      <c r="I416" t="s">
        <v>965</v>
      </c>
      <c r="J416" t="s">
        <v>205</v>
      </c>
      <c r="K416" t="s">
        <v>224</v>
      </c>
      <c r="L416" t="s">
        <v>344</v>
      </c>
      <c r="M416" t="s">
        <v>735</v>
      </c>
      <c r="N416" t="s">
        <v>339</v>
      </c>
      <c r="O416" t="s">
        <v>1216</v>
      </c>
      <c r="P416" s="131">
        <v>2743</v>
      </c>
      <c r="Q416" s="131">
        <v>3.71</v>
      </c>
      <c r="R416" s="131">
        <v>7154</v>
      </c>
      <c r="T416" s="131">
        <v>728.029</v>
      </c>
      <c r="U416" s="132">
        <v>0</v>
      </c>
      <c r="V416" s="132">
        <v>1.661E-2</v>
      </c>
      <c r="W416" s="132">
        <v>4.15E-3</v>
      </c>
    </row>
    <row r="417" spans="1:23">
      <c r="A417" t="s">
        <v>1213</v>
      </c>
      <c r="B417" t="s">
        <v>1252</v>
      </c>
      <c r="C417" t="s">
        <v>4107</v>
      </c>
      <c r="D417" t="s">
        <v>4108</v>
      </c>
      <c r="E417" t="s">
        <v>309</v>
      </c>
      <c r="F417" t="s">
        <v>4348</v>
      </c>
      <c r="G417" t="s">
        <v>4349</v>
      </c>
      <c r="H417" t="s">
        <v>321</v>
      </c>
      <c r="I417" t="s">
        <v>965</v>
      </c>
      <c r="J417" t="s">
        <v>205</v>
      </c>
      <c r="K417" t="s">
        <v>204</v>
      </c>
      <c r="L417" t="s">
        <v>340</v>
      </c>
      <c r="M417" t="s">
        <v>716</v>
      </c>
      <c r="N417" t="s">
        <v>339</v>
      </c>
      <c r="O417" t="s">
        <v>1212</v>
      </c>
      <c r="P417" s="131">
        <v>23337</v>
      </c>
      <c r="Q417" s="131">
        <v>1</v>
      </c>
      <c r="R417" s="131">
        <v>2544</v>
      </c>
      <c r="T417" s="131">
        <v>593.69299999999998</v>
      </c>
      <c r="U417" s="132">
        <v>5.1900000000000002E-3</v>
      </c>
      <c r="V417" s="132">
        <v>1.354E-2</v>
      </c>
      <c r="W417" s="132">
        <v>3.3899999999999998E-3</v>
      </c>
    </row>
    <row r="418" spans="1:23">
      <c r="A418" t="s">
        <v>1213</v>
      </c>
      <c r="B418" t="s">
        <v>1252</v>
      </c>
      <c r="C418" t="s">
        <v>4260</v>
      </c>
      <c r="D418" t="s">
        <v>4261</v>
      </c>
      <c r="E418" t="s">
        <v>80</v>
      </c>
      <c r="F418" t="s">
        <v>4262</v>
      </c>
      <c r="G418" t="s">
        <v>4263</v>
      </c>
      <c r="H418" t="s">
        <v>321</v>
      </c>
      <c r="I418" t="s">
        <v>965</v>
      </c>
      <c r="J418" t="s">
        <v>205</v>
      </c>
      <c r="K418" t="s">
        <v>224</v>
      </c>
      <c r="L418" t="s">
        <v>344</v>
      </c>
      <c r="M418" t="s">
        <v>735</v>
      </c>
      <c r="N418" t="s">
        <v>339</v>
      </c>
      <c r="O418" t="s">
        <v>1216</v>
      </c>
      <c r="P418" s="131">
        <v>626</v>
      </c>
      <c r="Q418" s="131">
        <v>3.71</v>
      </c>
      <c r="R418" s="131">
        <v>23059</v>
      </c>
      <c r="T418" s="131">
        <v>535.53599999999994</v>
      </c>
      <c r="U418" s="132">
        <v>0</v>
      </c>
      <c r="V418" s="132">
        <v>1.222E-2</v>
      </c>
      <c r="W418" s="132">
        <v>3.0500000000000002E-3</v>
      </c>
    </row>
    <row r="419" spans="1:23">
      <c r="A419" t="s">
        <v>1213</v>
      </c>
      <c r="B419" t="s">
        <v>1252</v>
      </c>
      <c r="C419" t="s">
        <v>4298</v>
      </c>
      <c r="D419" t="s">
        <v>4299</v>
      </c>
      <c r="E419" t="s">
        <v>80</v>
      </c>
      <c r="F419" t="s">
        <v>4300</v>
      </c>
      <c r="G419" t="s">
        <v>4301</v>
      </c>
      <c r="H419" t="s">
        <v>321</v>
      </c>
      <c r="I419" t="s">
        <v>965</v>
      </c>
      <c r="J419" t="s">
        <v>205</v>
      </c>
      <c r="K419" t="s">
        <v>281</v>
      </c>
      <c r="L419" t="s">
        <v>314</v>
      </c>
      <c r="M419" t="s">
        <v>735</v>
      </c>
      <c r="N419" t="s">
        <v>339</v>
      </c>
      <c r="O419" t="s">
        <v>1218</v>
      </c>
      <c r="P419" s="131">
        <v>3641</v>
      </c>
      <c r="Q419" s="131">
        <v>4.1524000000000001</v>
      </c>
      <c r="R419" s="131">
        <v>3230</v>
      </c>
      <c r="T419" s="131">
        <v>488.34</v>
      </c>
      <c r="U419" s="132">
        <v>0</v>
      </c>
      <c r="V419" s="132">
        <v>1.1140000000000001E-2</v>
      </c>
      <c r="W419" s="132">
        <v>2.7799999999999999E-3</v>
      </c>
    </row>
    <row r="420" spans="1:23">
      <c r="A420" t="s">
        <v>1213</v>
      </c>
      <c r="B420" t="s">
        <v>1252</v>
      </c>
      <c r="C420" t="s">
        <v>4238</v>
      </c>
      <c r="D420" t="s">
        <v>4239</v>
      </c>
      <c r="E420" t="s">
        <v>80</v>
      </c>
      <c r="F420" t="s">
        <v>4350</v>
      </c>
      <c r="G420" t="s">
        <v>4351</v>
      </c>
      <c r="H420" t="s">
        <v>321</v>
      </c>
      <c r="I420" t="s">
        <v>967</v>
      </c>
      <c r="J420" t="s">
        <v>205</v>
      </c>
      <c r="K420" t="s">
        <v>224</v>
      </c>
      <c r="L420" t="s">
        <v>380</v>
      </c>
      <c r="M420" t="s">
        <v>732</v>
      </c>
      <c r="N420" t="s">
        <v>339</v>
      </c>
      <c r="O420" t="s">
        <v>1216</v>
      </c>
      <c r="P420" s="131">
        <v>1248</v>
      </c>
      <c r="Q420" s="131">
        <v>3.71</v>
      </c>
      <c r="R420" s="131">
        <v>10046</v>
      </c>
      <c r="T420" s="131">
        <v>465.13799999999998</v>
      </c>
      <c r="U420" s="132">
        <v>0</v>
      </c>
      <c r="V420" s="132">
        <v>1.061E-2</v>
      </c>
      <c r="W420" s="132">
        <v>2.65E-3</v>
      </c>
    </row>
    <row r="421" spans="1:23">
      <c r="A421" t="s">
        <v>1213</v>
      </c>
      <c r="B421" t="s">
        <v>1252</v>
      </c>
      <c r="C421" t="s">
        <v>4302</v>
      </c>
      <c r="D421" t="s">
        <v>4303</v>
      </c>
      <c r="E421" t="s">
        <v>80</v>
      </c>
      <c r="F421" t="s">
        <v>4304</v>
      </c>
      <c r="G421" t="s">
        <v>4305</v>
      </c>
      <c r="H421" t="s">
        <v>321</v>
      </c>
      <c r="I421" t="s">
        <v>965</v>
      </c>
      <c r="J421" t="s">
        <v>205</v>
      </c>
      <c r="K421" t="s">
        <v>224</v>
      </c>
      <c r="L421" t="s">
        <v>344</v>
      </c>
      <c r="M421" t="s">
        <v>735</v>
      </c>
      <c r="N421" t="s">
        <v>339</v>
      </c>
      <c r="O421" t="s">
        <v>1216</v>
      </c>
      <c r="P421" s="131">
        <v>2142</v>
      </c>
      <c r="Q421" s="131">
        <v>3.71</v>
      </c>
      <c r="R421" s="131">
        <v>4727</v>
      </c>
      <c r="T421" s="131">
        <v>375.64600000000002</v>
      </c>
      <c r="U421" s="132">
        <v>0</v>
      </c>
      <c r="V421" s="132">
        <v>8.5699999999999995E-3</v>
      </c>
      <c r="W421" s="132">
        <v>2.14E-3</v>
      </c>
    </row>
    <row r="422" spans="1:23">
      <c r="A422" t="s">
        <v>1213</v>
      </c>
      <c r="B422" t="s">
        <v>1252</v>
      </c>
      <c r="C422" t="s">
        <v>4260</v>
      </c>
      <c r="D422" t="s">
        <v>4261</v>
      </c>
      <c r="E422" t="s">
        <v>80</v>
      </c>
      <c r="F422" t="s">
        <v>4352</v>
      </c>
      <c r="G422" t="s">
        <v>4353</v>
      </c>
      <c r="H422" t="s">
        <v>321</v>
      </c>
      <c r="I422" t="s">
        <v>965</v>
      </c>
      <c r="J422" t="s">
        <v>205</v>
      </c>
      <c r="K422" t="s">
        <v>224</v>
      </c>
      <c r="L422" t="s">
        <v>344</v>
      </c>
      <c r="M422" t="s">
        <v>735</v>
      </c>
      <c r="N422" t="s">
        <v>339</v>
      </c>
      <c r="O422" t="s">
        <v>1216</v>
      </c>
      <c r="P422" s="131">
        <v>270</v>
      </c>
      <c r="Q422" s="131">
        <v>3.71</v>
      </c>
      <c r="R422" s="131">
        <v>8937</v>
      </c>
      <c r="T422" s="131">
        <v>89.522000000000006</v>
      </c>
      <c r="U422" s="132">
        <v>0</v>
      </c>
      <c r="V422" s="132">
        <v>2.0400000000000001E-3</v>
      </c>
      <c r="W422" s="132">
        <v>5.1000000000000004E-4</v>
      </c>
    </row>
    <row r="423" spans="1:23">
      <c r="A423" t="s">
        <v>1213</v>
      </c>
      <c r="B423" t="s">
        <v>1253</v>
      </c>
      <c r="C423" t="s">
        <v>4111</v>
      </c>
      <c r="D423" t="s">
        <v>4112</v>
      </c>
      <c r="E423" t="s">
        <v>309</v>
      </c>
      <c r="F423" t="s">
        <v>4398</v>
      </c>
      <c r="G423" t="s">
        <v>4399</v>
      </c>
      <c r="H423" t="s">
        <v>321</v>
      </c>
      <c r="I423" t="s">
        <v>966</v>
      </c>
      <c r="J423" t="s">
        <v>204</v>
      </c>
      <c r="K423" t="s">
        <v>204</v>
      </c>
      <c r="L423" t="s">
        <v>340</v>
      </c>
      <c r="M423" t="s">
        <v>628</v>
      </c>
      <c r="N423" t="s">
        <v>339</v>
      </c>
      <c r="O423" t="s">
        <v>1212</v>
      </c>
      <c r="P423" s="131">
        <v>37263</v>
      </c>
      <c r="Q423" s="131">
        <v>1</v>
      </c>
      <c r="R423" s="131">
        <v>3447.33</v>
      </c>
      <c r="T423" s="131">
        <v>1284.579</v>
      </c>
      <c r="U423" s="132">
        <v>1.8500000000000001E-3</v>
      </c>
      <c r="V423" s="132">
        <v>7.2800000000000004E-2</v>
      </c>
      <c r="W423" s="132">
        <v>1.0959999999999999E-2</v>
      </c>
    </row>
    <row r="424" spans="1:23">
      <c r="A424" t="s">
        <v>1213</v>
      </c>
      <c r="B424" t="s">
        <v>1253</v>
      </c>
      <c r="C424" t="s">
        <v>4111</v>
      </c>
      <c r="D424" t="s">
        <v>4112</v>
      </c>
      <c r="E424" t="s">
        <v>309</v>
      </c>
      <c r="F424" t="s">
        <v>4310</v>
      </c>
      <c r="G424" t="s">
        <v>4311</v>
      </c>
      <c r="H424" t="s">
        <v>321</v>
      </c>
      <c r="I424" t="s">
        <v>966</v>
      </c>
      <c r="J424" t="s">
        <v>204</v>
      </c>
      <c r="K424" t="s">
        <v>204</v>
      </c>
      <c r="L424" t="s">
        <v>340</v>
      </c>
      <c r="M424" t="s">
        <v>573</v>
      </c>
      <c r="N424" t="s">
        <v>339</v>
      </c>
      <c r="O424" t="s">
        <v>1212</v>
      </c>
      <c r="P424" s="131">
        <v>15849</v>
      </c>
      <c r="Q424" s="131">
        <v>1</v>
      </c>
      <c r="R424" s="131">
        <v>3695.59</v>
      </c>
      <c r="T424" s="131">
        <v>585.71400000000006</v>
      </c>
      <c r="U424" s="132">
        <v>2.0000000000000001E-4</v>
      </c>
      <c r="V424" s="132">
        <v>3.3189999999999997E-2</v>
      </c>
      <c r="W424" s="132">
        <v>5.0000000000000001E-3</v>
      </c>
    </row>
    <row r="425" spans="1:23">
      <c r="A425" t="s">
        <v>1213</v>
      </c>
      <c r="B425" t="s">
        <v>1253</v>
      </c>
      <c r="C425" t="s">
        <v>4117</v>
      </c>
      <c r="D425" t="s">
        <v>4118</v>
      </c>
      <c r="E425" t="s">
        <v>309</v>
      </c>
      <c r="F425" t="s">
        <v>4213</v>
      </c>
      <c r="G425" t="s">
        <v>4214</v>
      </c>
      <c r="H425" t="s">
        <v>321</v>
      </c>
      <c r="I425" t="s">
        <v>965</v>
      </c>
      <c r="J425" t="s">
        <v>204</v>
      </c>
      <c r="K425" t="s">
        <v>204</v>
      </c>
      <c r="L425" t="s">
        <v>340</v>
      </c>
      <c r="M425" t="s">
        <v>582</v>
      </c>
      <c r="N425" t="s">
        <v>339</v>
      </c>
      <c r="O425" t="s">
        <v>1212</v>
      </c>
      <c r="P425" s="131">
        <v>2717</v>
      </c>
      <c r="Q425" s="131">
        <v>1</v>
      </c>
      <c r="R425" s="131">
        <v>16570</v>
      </c>
      <c r="T425" s="131">
        <v>450.20699999999999</v>
      </c>
      <c r="U425" s="132">
        <v>1.2E-4</v>
      </c>
      <c r="V425" s="132">
        <v>2.5510000000000001E-2</v>
      </c>
      <c r="W425" s="132">
        <v>3.8400000000000001E-3</v>
      </c>
    </row>
    <row r="426" spans="1:23">
      <c r="A426" t="s">
        <v>1213</v>
      </c>
      <c r="B426" t="s">
        <v>1253</v>
      </c>
      <c r="C426" t="s">
        <v>4111</v>
      </c>
      <c r="D426" t="s">
        <v>4112</v>
      </c>
      <c r="E426" t="s">
        <v>309</v>
      </c>
      <c r="F426" t="s">
        <v>4197</v>
      </c>
      <c r="G426" t="s">
        <v>4198</v>
      </c>
      <c r="H426" t="s">
        <v>321</v>
      </c>
      <c r="I426" t="s">
        <v>965</v>
      </c>
      <c r="J426" t="s">
        <v>204</v>
      </c>
      <c r="K426" t="s">
        <v>204</v>
      </c>
      <c r="L426" t="s">
        <v>340</v>
      </c>
      <c r="M426" t="s">
        <v>598</v>
      </c>
      <c r="N426" t="s">
        <v>339</v>
      </c>
      <c r="O426" t="s">
        <v>1212</v>
      </c>
      <c r="P426" s="131">
        <v>2047</v>
      </c>
      <c r="Q426" s="131">
        <v>1</v>
      </c>
      <c r="R426" s="131">
        <v>16780</v>
      </c>
      <c r="T426" s="131">
        <v>343.48700000000002</v>
      </c>
      <c r="U426" s="132">
        <v>2.1000000000000001E-4</v>
      </c>
      <c r="V426" s="132">
        <v>1.9470000000000001E-2</v>
      </c>
      <c r="W426" s="132">
        <v>2.9299999999999999E-3</v>
      </c>
    </row>
    <row r="427" spans="1:23">
      <c r="A427" t="s">
        <v>1213</v>
      </c>
      <c r="B427" t="s">
        <v>1253</v>
      </c>
      <c r="C427" t="s">
        <v>4123</v>
      </c>
      <c r="D427" t="s">
        <v>4124</v>
      </c>
      <c r="E427" t="s">
        <v>309</v>
      </c>
      <c r="F427" t="s">
        <v>4135</v>
      </c>
      <c r="G427" t="s">
        <v>4136</v>
      </c>
      <c r="H427" t="s">
        <v>321</v>
      </c>
      <c r="I427" t="s">
        <v>965</v>
      </c>
      <c r="J427" t="s">
        <v>204</v>
      </c>
      <c r="K427" t="s">
        <v>204</v>
      </c>
      <c r="L427" t="s">
        <v>340</v>
      </c>
      <c r="M427" t="s">
        <v>605</v>
      </c>
      <c r="N427" t="s">
        <v>339</v>
      </c>
      <c r="O427" t="s">
        <v>1212</v>
      </c>
      <c r="P427" s="131">
        <v>6215</v>
      </c>
      <c r="Q427" s="131">
        <v>1</v>
      </c>
      <c r="R427" s="131">
        <v>5069</v>
      </c>
      <c r="T427" s="131">
        <v>315.03800000000001</v>
      </c>
      <c r="U427" s="132">
        <v>5.0000000000000002E-5</v>
      </c>
      <c r="V427" s="132">
        <v>1.7850000000000001E-2</v>
      </c>
      <c r="W427" s="132">
        <v>2.6900000000000001E-3</v>
      </c>
    </row>
    <row r="428" spans="1:23">
      <c r="A428" t="s">
        <v>1213</v>
      </c>
      <c r="B428" t="s">
        <v>1253</v>
      </c>
      <c r="C428" t="s">
        <v>4111</v>
      </c>
      <c r="D428" t="s">
        <v>4112</v>
      </c>
      <c r="E428" t="s">
        <v>309</v>
      </c>
      <c r="F428" t="s">
        <v>4354</v>
      </c>
      <c r="G428" t="s">
        <v>4355</v>
      </c>
      <c r="H428" t="s">
        <v>321</v>
      </c>
      <c r="I428" t="s">
        <v>964</v>
      </c>
      <c r="J428" t="s">
        <v>204</v>
      </c>
      <c r="K428" t="s">
        <v>204</v>
      </c>
      <c r="L428" t="s">
        <v>340</v>
      </c>
      <c r="M428" t="s">
        <v>697</v>
      </c>
      <c r="N428" t="s">
        <v>339</v>
      </c>
      <c r="O428" t="s">
        <v>1212</v>
      </c>
      <c r="P428" s="131">
        <v>790</v>
      </c>
      <c r="Q428" s="131">
        <v>1</v>
      </c>
      <c r="R428" s="131">
        <v>38300</v>
      </c>
      <c r="T428" s="131">
        <v>302.57</v>
      </c>
      <c r="U428" s="132">
        <v>3.0000000000000001E-5</v>
      </c>
      <c r="V428" s="132">
        <v>1.7149999999999999E-2</v>
      </c>
      <c r="W428" s="132">
        <v>2.5799999999999998E-3</v>
      </c>
    </row>
    <row r="429" spans="1:23">
      <c r="A429" t="s">
        <v>1213</v>
      </c>
      <c r="B429" t="s">
        <v>1253</v>
      </c>
      <c r="C429" t="s">
        <v>4107</v>
      </c>
      <c r="D429" t="s">
        <v>4108</v>
      </c>
      <c r="E429" t="s">
        <v>309</v>
      </c>
      <c r="F429" t="s">
        <v>4288</v>
      </c>
      <c r="G429" t="s">
        <v>4289</v>
      </c>
      <c r="H429" t="s">
        <v>321</v>
      </c>
      <c r="I429" t="s">
        <v>965</v>
      </c>
      <c r="J429" t="s">
        <v>204</v>
      </c>
      <c r="K429" t="s">
        <v>204</v>
      </c>
      <c r="L429" t="s">
        <v>340</v>
      </c>
      <c r="M429" t="s">
        <v>582</v>
      </c>
      <c r="N429" t="s">
        <v>339</v>
      </c>
      <c r="O429" t="s">
        <v>1212</v>
      </c>
      <c r="P429" s="131">
        <v>2648</v>
      </c>
      <c r="Q429" s="131">
        <v>1</v>
      </c>
      <c r="R429" s="131">
        <v>4602</v>
      </c>
      <c r="T429" s="131">
        <v>121.861</v>
      </c>
      <c r="U429" s="132">
        <v>3.8000000000000002E-4</v>
      </c>
      <c r="V429" s="132">
        <v>6.9100000000000003E-3</v>
      </c>
      <c r="W429" s="132">
        <v>1.0399999999999999E-3</v>
      </c>
    </row>
    <row r="430" spans="1:23">
      <c r="A430" t="s">
        <v>1213</v>
      </c>
      <c r="B430" t="s">
        <v>1253</v>
      </c>
      <c r="C430" t="s">
        <v>4123</v>
      </c>
      <c r="D430" t="s">
        <v>4124</v>
      </c>
      <c r="E430" t="s">
        <v>309</v>
      </c>
      <c r="F430" t="s">
        <v>4125</v>
      </c>
      <c r="G430" t="s">
        <v>4126</v>
      </c>
      <c r="H430" t="s">
        <v>321</v>
      </c>
      <c r="I430" t="s">
        <v>964</v>
      </c>
      <c r="J430" t="s">
        <v>204</v>
      </c>
      <c r="K430" t="s">
        <v>204</v>
      </c>
      <c r="L430" t="s">
        <v>340</v>
      </c>
      <c r="M430" t="s">
        <v>572</v>
      </c>
      <c r="N430" t="s">
        <v>339</v>
      </c>
      <c r="O430" t="s">
        <v>1212</v>
      </c>
      <c r="P430" s="131">
        <v>5425</v>
      </c>
      <c r="Q430" s="131">
        <v>1</v>
      </c>
      <c r="R430" s="131">
        <v>2081</v>
      </c>
      <c r="T430" s="131">
        <v>112.89400000000001</v>
      </c>
      <c r="U430" s="132">
        <v>1.0000000000000001E-5</v>
      </c>
      <c r="V430" s="132">
        <v>6.4000000000000003E-3</v>
      </c>
      <c r="W430" s="132">
        <v>9.6000000000000002E-4</v>
      </c>
    </row>
    <row r="431" spans="1:23">
      <c r="A431" t="s">
        <v>1213</v>
      </c>
      <c r="B431" t="s">
        <v>1253</v>
      </c>
      <c r="C431" t="s">
        <v>4111</v>
      </c>
      <c r="D431" t="s">
        <v>4112</v>
      </c>
      <c r="E431" t="s">
        <v>309</v>
      </c>
      <c r="F431" t="s">
        <v>4133</v>
      </c>
      <c r="G431" t="s">
        <v>4134</v>
      </c>
      <c r="H431" t="s">
        <v>321</v>
      </c>
      <c r="I431" t="s">
        <v>964</v>
      </c>
      <c r="J431" t="s">
        <v>204</v>
      </c>
      <c r="K431" t="s">
        <v>204</v>
      </c>
      <c r="L431" t="s">
        <v>340</v>
      </c>
      <c r="M431" t="s">
        <v>572</v>
      </c>
      <c r="N431" t="s">
        <v>339</v>
      </c>
      <c r="O431" t="s">
        <v>1212</v>
      </c>
      <c r="P431" s="131">
        <v>385</v>
      </c>
      <c r="Q431" s="131">
        <v>1</v>
      </c>
      <c r="R431" s="131">
        <v>20710</v>
      </c>
      <c r="T431" s="131">
        <v>79.733999999999995</v>
      </c>
      <c r="U431" s="132">
        <v>1.0000000000000001E-5</v>
      </c>
      <c r="V431" s="132">
        <v>4.5199999999999997E-3</v>
      </c>
      <c r="W431" s="132">
        <v>6.8000000000000005E-4</v>
      </c>
    </row>
    <row r="432" spans="1:23">
      <c r="A432" t="s">
        <v>1213</v>
      </c>
      <c r="B432" t="s">
        <v>1253</v>
      </c>
      <c r="C432" t="s">
        <v>4111</v>
      </c>
      <c r="D432" t="s">
        <v>4112</v>
      </c>
      <c r="E432" t="s">
        <v>309</v>
      </c>
      <c r="F432" t="s">
        <v>4344</v>
      </c>
      <c r="G432" t="s">
        <v>4345</v>
      </c>
      <c r="H432" t="s">
        <v>321</v>
      </c>
      <c r="I432" t="s">
        <v>965</v>
      </c>
      <c r="J432" t="s">
        <v>204</v>
      </c>
      <c r="K432" t="s">
        <v>204</v>
      </c>
      <c r="L432" t="s">
        <v>340</v>
      </c>
      <c r="M432" t="s">
        <v>707</v>
      </c>
      <c r="N432" t="s">
        <v>339</v>
      </c>
      <c r="O432" t="s">
        <v>1212</v>
      </c>
      <c r="P432" s="131">
        <v>962</v>
      </c>
      <c r="Q432" s="131">
        <v>1</v>
      </c>
      <c r="R432" s="131">
        <v>5159</v>
      </c>
      <c r="T432" s="131">
        <v>49.63</v>
      </c>
      <c r="U432" s="132">
        <v>2.7E-4</v>
      </c>
      <c r="V432" s="132">
        <v>2.81E-3</v>
      </c>
      <c r="W432" s="132">
        <v>4.2000000000000002E-4</v>
      </c>
    </row>
    <row r="433" spans="1:23">
      <c r="A433" t="s">
        <v>1213</v>
      </c>
      <c r="B433" t="s">
        <v>1253</v>
      </c>
      <c r="C433" t="s">
        <v>4111</v>
      </c>
      <c r="D433" t="s">
        <v>4112</v>
      </c>
      <c r="E433" t="s">
        <v>309</v>
      </c>
      <c r="F433" t="s">
        <v>4342</v>
      </c>
      <c r="G433" t="s">
        <v>4343</v>
      </c>
      <c r="H433" t="s">
        <v>321</v>
      </c>
      <c r="I433" t="s">
        <v>965</v>
      </c>
      <c r="J433" t="s">
        <v>204</v>
      </c>
      <c r="K433" t="s">
        <v>204</v>
      </c>
      <c r="L433" t="s">
        <v>340</v>
      </c>
      <c r="M433" t="s">
        <v>588</v>
      </c>
      <c r="N433" t="s">
        <v>339</v>
      </c>
      <c r="O433" t="s">
        <v>1212</v>
      </c>
      <c r="P433" s="131">
        <v>54</v>
      </c>
      <c r="Q433" s="131">
        <v>1</v>
      </c>
      <c r="R433" s="131">
        <v>6911</v>
      </c>
      <c r="T433" s="131">
        <v>3.7320000000000002</v>
      </c>
      <c r="U433" s="132">
        <v>1.0000000000000001E-5</v>
      </c>
      <c r="V433" s="132">
        <v>2.1000000000000001E-4</v>
      </c>
      <c r="W433" s="132">
        <v>3.0000000000000001E-5</v>
      </c>
    </row>
    <row r="434" spans="1:23">
      <c r="A434" t="s">
        <v>1213</v>
      </c>
      <c r="B434" t="s">
        <v>1253</v>
      </c>
      <c r="C434" t="s">
        <v>4095</v>
      </c>
      <c r="D434" t="s">
        <v>4096</v>
      </c>
      <c r="E434" t="s">
        <v>80</v>
      </c>
      <c r="F434" t="s">
        <v>4097</v>
      </c>
      <c r="G434" t="s">
        <v>4098</v>
      </c>
      <c r="H434" t="s">
        <v>321</v>
      </c>
      <c r="I434" t="s">
        <v>965</v>
      </c>
      <c r="J434" t="s">
        <v>205</v>
      </c>
      <c r="K434" t="s">
        <v>224</v>
      </c>
      <c r="L434" t="s">
        <v>346</v>
      </c>
      <c r="M434" t="s">
        <v>597</v>
      </c>
      <c r="N434" t="s">
        <v>339</v>
      </c>
      <c r="O434" t="s">
        <v>1216</v>
      </c>
      <c r="P434" s="131">
        <v>2440</v>
      </c>
      <c r="Q434" s="131">
        <v>3.71</v>
      </c>
      <c r="R434" s="131">
        <v>48807</v>
      </c>
      <c r="S434" s="131">
        <f>1.243+79.27/1000/Q434</f>
        <v>1.264366576819407</v>
      </c>
      <c r="T434" s="131">
        <f>4422.815+79.27/1000</f>
        <v>4422.8942699999998</v>
      </c>
      <c r="U434" s="132">
        <v>0</v>
      </c>
      <c r="V434" s="132">
        <v>0.25073000000000001</v>
      </c>
      <c r="W434" s="132">
        <v>3.7740000000000003E-2</v>
      </c>
    </row>
    <row r="435" spans="1:23">
      <c r="A435" t="s">
        <v>1213</v>
      </c>
      <c r="B435" t="s">
        <v>1253</v>
      </c>
      <c r="C435" t="s">
        <v>4099</v>
      </c>
      <c r="D435" t="s">
        <v>4100</v>
      </c>
      <c r="E435" t="s">
        <v>80</v>
      </c>
      <c r="F435" t="s">
        <v>4101</v>
      </c>
      <c r="G435" t="s">
        <v>4102</v>
      </c>
      <c r="H435" t="s">
        <v>321</v>
      </c>
      <c r="I435" t="s">
        <v>965</v>
      </c>
      <c r="J435" t="s">
        <v>205</v>
      </c>
      <c r="K435" t="s">
        <v>224</v>
      </c>
      <c r="L435" t="s">
        <v>344</v>
      </c>
      <c r="M435" t="s">
        <v>604</v>
      </c>
      <c r="N435" t="s">
        <v>339</v>
      </c>
      <c r="O435" t="s">
        <v>1216</v>
      </c>
      <c r="P435" s="131">
        <v>1972</v>
      </c>
      <c r="Q435" s="131">
        <v>3.71</v>
      </c>
      <c r="R435" s="131">
        <v>57376</v>
      </c>
      <c r="S435" s="131">
        <f>2.59+165.23/1000/Q435</f>
        <v>2.6345363881401616</v>
      </c>
      <c r="T435" s="131">
        <f>4207.306+165.23/1000</f>
        <v>4207.4712299999992</v>
      </c>
      <c r="U435" s="132">
        <v>0</v>
      </c>
      <c r="V435" s="132">
        <v>0.23859</v>
      </c>
      <c r="W435" s="132">
        <v>3.5920000000000001E-2</v>
      </c>
    </row>
    <row r="436" spans="1:23">
      <c r="A436" t="s">
        <v>1213</v>
      </c>
      <c r="B436" t="s">
        <v>1253</v>
      </c>
      <c r="C436" t="s">
        <v>4091</v>
      </c>
      <c r="D436" t="s">
        <v>4092</v>
      </c>
      <c r="E436" t="s">
        <v>80</v>
      </c>
      <c r="F436" t="s">
        <v>4093</v>
      </c>
      <c r="G436" t="s">
        <v>4094</v>
      </c>
      <c r="H436" t="s">
        <v>321</v>
      </c>
      <c r="I436" t="s">
        <v>965</v>
      </c>
      <c r="J436" t="s">
        <v>205</v>
      </c>
      <c r="K436" t="s">
        <v>224</v>
      </c>
      <c r="L436" t="s">
        <v>344</v>
      </c>
      <c r="M436" t="s">
        <v>604</v>
      </c>
      <c r="N436" t="s">
        <v>339</v>
      </c>
      <c r="O436" t="s">
        <v>1216</v>
      </c>
      <c r="P436" s="131">
        <v>524</v>
      </c>
      <c r="Q436" s="131">
        <v>3.71</v>
      </c>
      <c r="R436" s="131">
        <v>52767</v>
      </c>
      <c r="S436" s="131">
        <v>0.85899999999999999</v>
      </c>
      <c r="T436" s="131">
        <v>1028.9970000000001</v>
      </c>
      <c r="U436" s="132">
        <v>0</v>
      </c>
      <c r="V436" s="132">
        <v>5.8369999999999998E-2</v>
      </c>
      <c r="W436" s="132">
        <v>8.7899999999999992E-3</v>
      </c>
    </row>
    <row r="437" spans="1:23">
      <c r="A437" t="s">
        <v>1213</v>
      </c>
      <c r="B437" t="s">
        <v>1253</v>
      </c>
      <c r="C437" t="s">
        <v>4250</v>
      </c>
      <c r="D437" t="s">
        <v>4251</v>
      </c>
      <c r="E437" t="s">
        <v>80</v>
      </c>
      <c r="F437" t="s">
        <v>4252</v>
      </c>
      <c r="G437" t="s">
        <v>4253</v>
      </c>
      <c r="H437" t="s">
        <v>321</v>
      </c>
      <c r="I437" t="s">
        <v>965</v>
      </c>
      <c r="J437" t="s">
        <v>205</v>
      </c>
      <c r="K437" t="s">
        <v>224</v>
      </c>
      <c r="L437" t="s">
        <v>314</v>
      </c>
      <c r="M437" t="s">
        <v>597</v>
      </c>
      <c r="N437" t="s">
        <v>339</v>
      </c>
      <c r="O437" t="s">
        <v>1216</v>
      </c>
      <c r="P437" s="131">
        <v>1346</v>
      </c>
      <c r="Q437" s="131">
        <v>3.71</v>
      </c>
      <c r="R437" s="131">
        <v>20085</v>
      </c>
      <c r="T437" s="131">
        <v>1002.977</v>
      </c>
      <c r="U437" s="132">
        <v>0</v>
      </c>
      <c r="V437" s="132">
        <v>5.6840000000000002E-2</v>
      </c>
      <c r="W437" s="132">
        <v>8.5599999999999999E-3</v>
      </c>
    </row>
    <row r="438" spans="1:23">
      <c r="A438" t="s">
        <v>1213</v>
      </c>
      <c r="B438" t="s">
        <v>1253</v>
      </c>
      <c r="C438" t="s">
        <v>4238</v>
      </c>
      <c r="D438" t="s">
        <v>4239</v>
      </c>
      <c r="E438" t="s">
        <v>80</v>
      </c>
      <c r="F438" t="s">
        <v>4242</v>
      </c>
      <c r="G438" t="s">
        <v>4243</v>
      </c>
      <c r="H438" t="s">
        <v>321</v>
      </c>
      <c r="I438" t="s">
        <v>965</v>
      </c>
      <c r="J438" t="s">
        <v>205</v>
      </c>
      <c r="K438" t="s">
        <v>224</v>
      </c>
      <c r="L438" t="s">
        <v>344</v>
      </c>
      <c r="M438" t="s">
        <v>602</v>
      </c>
      <c r="N438" t="s">
        <v>339</v>
      </c>
      <c r="O438" t="s">
        <v>1216</v>
      </c>
      <c r="P438" s="131">
        <v>985</v>
      </c>
      <c r="Q438" s="131">
        <v>3.71</v>
      </c>
      <c r="R438" s="131">
        <v>22089</v>
      </c>
      <c r="T438" s="131">
        <v>807.20899999999995</v>
      </c>
      <c r="U438" s="132">
        <v>0</v>
      </c>
      <c r="V438" s="132">
        <v>4.5749999999999999E-2</v>
      </c>
      <c r="W438" s="132">
        <v>6.8900000000000003E-3</v>
      </c>
    </row>
    <row r="439" spans="1:23">
      <c r="A439" t="s">
        <v>1213</v>
      </c>
      <c r="B439" t="s">
        <v>1253</v>
      </c>
      <c r="C439" t="s">
        <v>4238</v>
      </c>
      <c r="D439" t="s">
        <v>4239</v>
      </c>
      <c r="E439" t="s">
        <v>80</v>
      </c>
      <c r="F439" t="s">
        <v>4338</v>
      </c>
      <c r="G439" t="s">
        <v>4339</v>
      </c>
      <c r="H439" t="s">
        <v>321</v>
      </c>
      <c r="I439" t="s">
        <v>967</v>
      </c>
      <c r="J439" t="s">
        <v>205</v>
      </c>
      <c r="K439" t="s">
        <v>224</v>
      </c>
      <c r="L439" t="s">
        <v>344</v>
      </c>
      <c r="M439" t="s">
        <v>732</v>
      </c>
      <c r="N439" t="s">
        <v>339</v>
      </c>
      <c r="O439" t="s">
        <v>1216</v>
      </c>
      <c r="P439" s="131">
        <v>1471</v>
      </c>
      <c r="Q439" s="131">
        <v>3.71</v>
      </c>
      <c r="R439" s="131">
        <v>11298</v>
      </c>
      <c r="T439" s="131">
        <v>616.57799999999997</v>
      </c>
      <c r="U439" s="132">
        <v>0</v>
      </c>
      <c r="V439" s="132">
        <v>3.4939999999999999E-2</v>
      </c>
      <c r="W439" s="132">
        <v>5.2599999999999999E-3</v>
      </c>
    </row>
    <row r="440" spans="1:23">
      <c r="A440" t="s">
        <v>1213</v>
      </c>
      <c r="B440" t="s">
        <v>1253</v>
      </c>
      <c r="C440" t="s">
        <v>4238</v>
      </c>
      <c r="D440" t="s">
        <v>4239</v>
      </c>
      <c r="E440" t="s">
        <v>80</v>
      </c>
      <c r="F440" t="s">
        <v>4350</v>
      </c>
      <c r="G440" t="s">
        <v>4351</v>
      </c>
      <c r="H440" t="s">
        <v>321</v>
      </c>
      <c r="I440" t="s">
        <v>967</v>
      </c>
      <c r="J440" t="s">
        <v>205</v>
      </c>
      <c r="K440" t="s">
        <v>224</v>
      </c>
      <c r="L440" t="s">
        <v>380</v>
      </c>
      <c r="M440" t="s">
        <v>732</v>
      </c>
      <c r="N440" t="s">
        <v>339</v>
      </c>
      <c r="O440" t="s">
        <v>1216</v>
      </c>
      <c r="P440" s="131">
        <v>1030</v>
      </c>
      <c r="Q440" s="131">
        <v>3.71</v>
      </c>
      <c r="R440" s="131">
        <v>10046</v>
      </c>
      <c r="T440" s="131">
        <v>383.88799999999998</v>
      </c>
      <c r="U440" s="132">
        <v>0</v>
      </c>
      <c r="V440" s="132">
        <v>2.1760000000000002E-2</v>
      </c>
      <c r="W440" s="132">
        <v>3.2799999999999999E-3</v>
      </c>
    </row>
    <row r="441" spans="1:23">
      <c r="A441" t="s">
        <v>1213</v>
      </c>
      <c r="B441" t="s">
        <v>1253</v>
      </c>
      <c r="C441" t="s">
        <v>4238</v>
      </c>
      <c r="D441" t="s">
        <v>4239</v>
      </c>
      <c r="E441" t="s">
        <v>80</v>
      </c>
      <c r="F441" t="s">
        <v>4346</v>
      </c>
      <c r="G441" t="s">
        <v>4347</v>
      </c>
      <c r="H441" t="s">
        <v>321</v>
      </c>
      <c r="I441" t="s">
        <v>965</v>
      </c>
      <c r="J441" t="s">
        <v>205</v>
      </c>
      <c r="K441" t="s">
        <v>224</v>
      </c>
      <c r="L441" t="s">
        <v>344</v>
      </c>
      <c r="M441" t="s">
        <v>735</v>
      </c>
      <c r="N441" t="s">
        <v>339</v>
      </c>
      <c r="O441" t="s">
        <v>1216</v>
      </c>
      <c r="P441" s="131">
        <v>1280</v>
      </c>
      <c r="Q441" s="131">
        <v>3.71</v>
      </c>
      <c r="R441" s="131">
        <v>7154</v>
      </c>
      <c r="T441" s="131">
        <v>339.72899999999998</v>
      </c>
      <c r="U441" s="132">
        <v>0</v>
      </c>
      <c r="V441" s="132">
        <v>1.925E-2</v>
      </c>
      <c r="W441" s="132">
        <v>2.8999999999999998E-3</v>
      </c>
    </row>
    <row r="442" spans="1:23">
      <c r="A442" t="s">
        <v>1213</v>
      </c>
      <c r="B442" t="s">
        <v>1253</v>
      </c>
      <c r="C442" t="s">
        <v>4107</v>
      </c>
      <c r="D442" t="s">
        <v>4108</v>
      </c>
      <c r="E442" t="s">
        <v>309</v>
      </c>
      <c r="F442" t="s">
        <v>4348</v>
      </c>
      <c r="G442" t="s">
        <v>4349</v>
      </c>
      <c r="H442" t="s">
        <v>321</v>
      </c>
      <c r="I442" t="s">
        <v>965</v>
      </c>
      <c r="J442" t="s">
        <v>205</v>
      </c>
      <c r="K442" t="s">
        <v>204</v>
      </c>
      <c r="L442" t="s">
        <v>340</v>
      </c>
      <c r="M442" t="s">
        <v>716</v>
      </c>
      <c r="N442" t="s">
        <v>339</v>
      </c>
      <c r="O442" t="s">
        <v>1212</v>
      </c>
      <c r="P442" s="131">
        <v>10911</v>
      </c>
      <c r="Q442" s="131">
        <v>1</v>
      </c>
      <c r="R442" s="131">
        <v>2544</v>
      </c>
      <c r="T442" s="131">
        <v>277.57600000000002</v>
      </c>
      <c r="U442" s="132">
        <v>2.4199999999999998E-3</v>
      </c>
      <c r="V442" s="132">
        <v>1.5730000000000001E-2</v>
      </c>
      <c r="W442" s="132">
        <v>2.3700000000000001E-3</v>
      </c>
    </row>
    <row r="443" spans="1:23">
      <c r="A443" t="s">
        <v>1213</v>
      </c>
      <c r="B443" t="s">
        <v>1253</v>
      </c>
      <c r="C443" t="s">
        <v>4260</v>
      </c>
      <c r="D443" t="s">
        <v>4261</v>
      </c>
      <c r="E443" t="s">
        <v>80</v>
      </c>
      <c r="F443" t="s">
        <v>4262</v>
      </c>
      <c r="G443" t="s">
        <v>4263</v>
      </c>
      <c r="H443" t="s">
        <v>321</v>
      </c>
      <c r="I443" t="s">
        <v>965</v>
      </c>
      <c r="J443" t="s">
        <v>205</v>
      </c>
      <c r="K443" t="s">
        <v>224</v>
      </c>
      <c r="L443" t="s">
        <v>344</v>
      </c>
      <c r="M443" t="s">
        <v>735</v>
      </c>
      <c r="N443" t="s">
        <v>339</v>
      </c>
      <c r="O443" t="s">
        <v>1216</v>
      </c>
      <c r="P443" s="131">
        <v>293</v>
      </c>
      <c r="Q443" s="131">
        <v>3.71</v>
      </c>
      <c r="R443" s="131">
        <v>23059</v>
      </c>
      <c r="T443" s="131">
        <v>250.65799999999999</v>
      </c>
      <c r="U443" s="132">
        <v>0</v>
      </c>
      <c r="V443" s="132">
        <v>1.421E-2</v>
      </c>
      <c r="W443" s="132">
        <v>2.14E-3</v>
      </c>
    </row>
    <row r="444" spans="1:23">
      <c r="A444" t="s">
        <v>1213</v>
      </c>
      <c r="B444" t="s">
        <v>1253</v>
      </c>
      <c r="C444" t="s">
        <v>4298</v>
      </c>
      <c r="D444" t="s">
        <v>4299</v>
      </c>
      <c r="E444" t="s">
        <v>80</v>
      </c>
      <c r="F444" t="s">
        <v>4300</v>
      </c>
      <c r="G444" t="s">
        <v>4301</v>
      </c>
      <c r="H444" t="s">
        <v>321</v>
      </c>
      <c r="I444" t="s">
        <v>965</v>
      </c>
      <c r="J444" t="s">
        <v>205</v>
      </c>
      <c r="K444" t="s">
        <v>281</v>
      </c>
      <c r="L444" t="s">
        <v>314</v>
      </c>
      <c r="M444" t="s">
        <v>735</v>
      </c>
      <c r="N444" t="s">
        <v>339</v>
      </c>
      <c r="O444" t="s">
        <v>1218</v>
      </c>
      <c r="P444" s="131">
        <v>1712</v>
      </c>
      <c r="Q444" s="131">
        <v>4.1524000000000001</v>
      </c>
      <c r="R444" s="131">
        <v>3230</v>
      </c>
      <c r="T444" s="131">
        <v>229.61799999999999</v>
      </c>
      <c r="U444" s="132">
        <v>0</v>
      </c>
      <c r="V444" s="132">
        <v>1.3010000000000001E-2</v>
      </c>
      <c r="W444" s="132">
        <v>1.9599999999999999E-3</v>
      </c>
    </row>
    <row r="445" spans="1:23">
      <c r="A445" t="s">
        <v>1213</v>
      </c>
      <c r="B445" t="s">
        <v>1253</v>
      </c>
      <c r="C445" t="s">
        <v>4238</v>
      </c>
      <c r="D445" t="s">
        <v>4239</v>
      </c>
      <c r="E445" t="s">
        <v>80</v>
      </c>
      <c r="F445" t="s">
        <v>4240</v>
      </c>
      <c r="G445" t="s">
        <v>4241</v>
      </c>
      <c r="H445" t="s">
        <v>321</v>
      </c>
      <c r="I445" t="s">
        <v>965</v>
      </c>
      <c r="J445" t="s">
        <v>205</v>
      </c>
      <c r="K445" t="s">
        <v>224</v>
      </c>
      <c r="L445" t="s">
        <v>368</v>
      </c>
      <c r="M445" t="s">
        <v>735</v>
      </c>
      <c r="N445" t="s">
        <v>339</v>
      </c>
      <c r="O445" t="s">
        <v>1218</v>
      </c>
      <c r="P445" s="131">
        <v>307</v>
      </c>
      <c r="Q445" s="131">
        <v>4.1524000000000001</v>
      </c>
      <c r="R445" s="131">
        <v>16098</v>
      </c>
      <c r="T445" s="131">
        <v>205.215</v>
      </c>
      <c r="U445" s="132">
        <v>0</v>
      </c>
      <c r="V445" s="132">
        <v>1.163E-2</v>
      </c>
      <c r="W445" s="132">
        <v>1.75E-3</v>
      </c>
    </row>
    <row r="446" spans="1:23">
      <c r="A446" t="s">
        <v>1213</v>
      </c>
      <c r="B446" t="s">
        <v>1253</v>
      </c>
      <c r="C446" t="s">
        <v>4302</v>
      </c>
      <c r="D446" t="s">
        <v>4303</v>
      </c>
      <c r="E446" t="s">
        <v>80</v>
      </c>
      <c r="F446" t="s">
        <v>4304</v>
      </c>
      <c r="G446" t="s">
        <v>4305</v>
      </c>
      <c r="H446" t="s">
        <v>321</v>
      </c>
      <c r="I446" t="s">
        <v>965</v>
      </c>
      <c r="J446" t="s">
        <v>205</v>
      </c>
      <c r="K446" t="s">
        <v>224</v>
      </c>
      <c r="L446" t="s">
        <v>344</v>
      </c>
      <c r="M446" t="s">
        <v>735</v>
      </c>
      <c r="N446" t="s">
        <v>339</v>
      </c>
      <c r="O446" t="s">
        <v>1216</v>
      </c>
      <c r="P446" s="131">
        <v>1037</v>
      </c>
      <c r="Q446" s="131">
        <v>3.71</v>
      </c>
      <c r="R446" s="131">
        <v>4727</v>
      </c>
      <c r="T446" s="131">
        <v>181.86</v>
      </c>
      <c r="U446" s="132">
        <v>0</v>
      </c>
      <c r="V446" s="132">
        <v>1.031E-2</v>
      </c>
      <c r="W446" s="132">
        <v>1.5499999999999999E-3</v>
      </c>
    </row>
    <row r="447" spans="1:23">
      <c r="A447" t="s">
        <v>1213</v>
      </c>
      <c r="B447" t="s">
        <v>1253</v>
      </c>
      <c r="C447" t="s">
        <v>4260</v>
      </c>
      <c r="D447" t="s">
        <v>4261</v>
      </c>
      <c r="E447" t="s">
        <v>80</v>
      </c>
      <c r="F447" t="s">
        <v>4352</v>
      </c>
      <c r="G447" t="s">
        <v>4353</v>
      </c>
      <c r="H447" t="s">
        <v>321</v>
      </c>
      <c r="I447" t="s">
        <v>965</v>
      </c>
      <c r="J447" t="s">
        <v>205</v>
      </c>
      <c r="K447" t="s">
        <v>224</v>
      </c>
      <c r="L447" t="s">
        <v>344</v>
      </c>
      <c r="M447" t="s">
        <v>735</v>
      </c>
      <c r="N447" t="s">
        <v>339</v>
      </c>
      <c r="O447" t="s">
        <v>1216</v>
      </c>
      <c r="P447" s="131">
        <v>124</v>
      </c>
      <c r="Q447" s="131">
        <v>3.71</v>
      </c>
      <c r="R447" s="131">
        <v>8937</v>
      </c>
      <c r="T447" s="131">
        <v>41.113999999999997</v>
      </c>
      <c r="U447" s="132">
        <v>0</v>
      </c>
      <c r="V447" s="132">
        <v>2.33E-3</v>
      </c>
      <c r="W447" s="132">
        <v>3.5E-4</v>
      </c>
    </row>
    <row r="448" spans="1:23">
      <c r="A448" t="s">
        <v>1213</v>
      </c>
      <c r="B448" t="s">
        <v>1254</v>
      </c>
      <c r="C448" t="s">
        <v>4107</v>
      </c>
      <c r="D448" t="s">
        <v>4108</v>
      </c>
      <c r="E448" t="s">
        <v>309</v>
      </c>
      <c r="F448" t="s">
        <v>4115</v>
      </c>
      <c r="G448" t="s">
        <v>4116</v>
      </c>
      <c r="H448" t="s">
        <v>321</v>
      </c>
      <c r="I448" t="s">
        <v>965</v>
      </c>
      <c r="J448" t="s">
        <v>204</v>
      </c>
      <c r="K448" t="s">
        <v>204</v>
      </c>
      <c r="L448" t="s">
        <v>340</v>
      </c>
      <c r="M448" t="s">
        <v>605</v>
      </c>
      <c r="N448" t="s">
        <v>339</v>
      </c>
      <c r="O448" t="s">
        <v>1212</v>
      </c>
      <c r="P448" s="131">
        <v>1030000</v>
      </c>
      <c r="Q448" s="131">
        <v>1</v>
      </c>
      <c r="R448" s="131">
        <v>7341</v>
      </c>
      <c r="T448" s="131">
        <v>75612.3</v>
      </c>
      <c r="U448" s="132">
        <v>3.3230000000000003E-2</v>
      </c>
      <c r="V448" s="132">
        <v>6.8400000000000002E-2</v>
      </c>
      <c r="W448" s="132">
        <v>2.4969999999999999E-2</v>
      </c>
    </row>
    <row r="449" spans="1:23">
      <c r="A449" t="s">
        <v>1213</v>
      </c>
      <c r="B449" t="s">
        <v>1254</v>
      </c>
      <c r="C449" t="s">
        <v>4181</v>
      </c>
      <c r="D449" t="s">
        <v>4182</v>
      </c>
      <c r="E449" t="s">
        <v>309</v>
      </c>
      <c r="F449" t="s">
        <v>4183</v>
      </c>
      <c r="G449" t="s">
        <v>4184</v>
      </c>
      <c r="H449" t="s">
        <v>321</v>
      </c>
      <c r="I449" t="s">
        <v>965</v>
      </c>
      <c r="J449" t="s">
        <v>204</v>
      </c>
      <c r="K449" t="s">
        <v>204</v>
      </c>
      <c r="L449" t="s">
        <v>340</v>
      </c>
      <c r="M449" t="s">
        <v>605</v>
      </c>
      <c r="N449" t="s">
        <v>339</v>
      </c>
      <c r="O449" t="s">
        <v>1212</v>
      </c>
      <c r="P449" s="131">
        <v>720771</v>
      </c>
      <c r="Q449" s="131">
        <v>1</v>
      </c>
      <c r="R449" s="131">
        <v>9006</v>
      </c>
      <c r="T449" s="131">
        <v>64912.635999999999</v>
      </c>
      <c r="U449" s="132">
        <v>3.0030000000000001E-2</v>
      </c>
      <c r="V449" s="132">
        <v>5.8720000000000001E-2</v>
      </c>
      <c r="W449" s="132">
        <v>2.1440000000000001E-2</v>
      </c>
    </row>
    <row r="450" spans="1:23">
      <c r="A450" t="s">
        <v>1213</v>
      </c>
      <c r="B450" t="s">
        <v>1254</v>
      </c>
      <c r="C450" t="s">
        <v>4127</v>
      </c>
      <c r="D450" t="s">
        <v>4128</v>
      </c>
      <c r="E450" t="s">
        <v>309</v>
      </c>
      <c r="F450" t="s">
        <v>4131</v>
      </c>
      <c r="G450" t="s">
        <v>4132</v>
      </c>
      <c r="H450" t="s">
        <v>321</v>
      </c>
      <c r="I450" t="s">
        <v>965</v>
      </c>
      <c r="J450" t="s">
        <v>204</v>
      </c>
      <c r="K450" t="s">
        <v>204</v>
      </c>
      <c r="L450" t="s">
        <v>340</v>
      </c>
      <c r="M450" t="s">
        <v>605</v>
      </c>
      <c r="N450" t="s">
        <v>339</v>
      </c>
      <c r="O450" t="s">
        <v>1212</v>
      </c>
      <c r="P450" s="131">
        <v>1091707</v>
      </c>
      <c r="Q450" s="131">
        <v>1</v>
      </c>
      <c r="R450" s="131">
        <v>5590</v>
      </c>
      <c r="T450" s="131">
        <v>61026.421000000002</v>
      </c>
      <c r="U450" s="132">
        <v>8.9899999999999997E-3</v>
      </c>
      <c r="V450" s="132">
        <v>5.5199999999999999E-2</v>
      </c>
      <c r="W450" s="132">
        <v>2.0150000000000001E-2</v>
      </c>
    </row>
    <row r="451" spans="1:23">
      <c r="A451" t="s">
        <v>1213</v>
      </c>
      <c r="B451" t="s">
        <v>1254</v>
      </c>
      <c r="C451" t="s">
        <v>4117</v>
      </c>
      <c r="D451" t="s">
        <v>4118</v>
      </c>
      <c r="E451" t="s">
        <v>309</v>
      </c>
      <c r="F451" t="s">
        <v>4149</v>
      </c>
      <c r="G451" t="s">
        <v>4150</v>
      </c>
      <c r="H451" t="s">
        <v>321</v>
      </c>
      <c r="I451" t="s">
        <v>966</v>
      </c>
      <c r="J451" t="s">
        <v>204</v>
      </c>
      <c r="K451" t="s">
        <v>204</v>
      </c>
      <c r="L451" t="s">
        <v>340</v>
      </c>
      <c r="M451" t="s">
        <v>576</v>
      </c>
      <c r="N451" t="s">
        <v>339</v>
      </c>
      <c r="O451" t="s">
        <v>1212</v>
      </c>
      <c r="P451" s="131">
        <v>15016769</v>
      </c>
      <c r="Q451" s="131">
        <v>1</v>
      </c>
      <c r="R451" s="131">
        <v>365.93</v>
      </c>
      <c r="T451" s="131">
        <v>54950.862999999998</v>
      </c>
      <c r="U451" s="132">
        <v>1.0919999999999999E-2</v>
      </c>
      <c r="V451" s="132">
        <v>4.9709999999999997E-2</v>
      </c>
      <c r="W451" s="132">
        <v>1.8149999999999999E-2</v>
      </c>
    </row>
    <row r="452" spans="1:23">
      <c r="A452" t="s">
        <v>1213</v>
      </c>
      <c r="B452" t="s">
        <v>1254</v>
      </c>
      <c r="C452" t="s">
        <v>4127</v>
      </c>
      <c r="D452" t="s">
        <v>4128</v>
      </c>
      <c r="E452" t="s">
        <v>309</v>
      </c>
      <c r="F452" t="s">
        <v>4187</v>
      </c>
      <c r="G452" t="s">
        <v>4188</v>
      </c>
      <c r="H452" t="s">
        <v>321</v>
      </c>
      <c r="I452" t="s">
        <v>965</v>
      </c>
      <c r="J452" t="s">
        <v>204</v>
      </c>
      <c r="K452" t="s">
        <v>204</v>
      </c>
      <c r="L452" t="s">
        <v>340</v>
      </c>
      <c r="M452" t="s">
        <v>598</v>
      </c>
      <c r="N452" t="s">
        <v>339</v>
      </c>
      <c r="O452" t="s">
        <v>1212</v>
      </c>
      <c r="P452" s="131">
        <v>257320</v>
      </c>
      <c r="Q452" s="131">
        <v>1</v>
      </c>
      <c r="R452" s="131">
        <v>17380</v>
      </c>
      <c r="T452" s="131">
        <v>44722.216</v>
      </c>
      <c r="U452" s="132">
        <v>2.9069999999999999E-2</v>
      </c>
      <c r="V452" s="132">
        <v>4.045E-2</v>
      </c>
      <c r="W452" s="132">
        <v>1.477E-2</v>
      </c>
    </row>
    <row r="453" spans="1:23">
      <c r="A453" t="s">
        <v>1213</v>
      </c>
      <c r="B453" t="s">
        <v>1254</v>
      </c>
      <c r="C453" t="s">
        <v>4111</v>
      </c>
      <c r="D453" t="s">
        <v>4112</v>
      </c>
      <c r="E453" t="s">
        <v>309</v>
      </c>
      <c r="F453" t="s">
        <v>4139</v>
      </c>
      <c r="G453" t="s">
        <v>4140</v>
      </c>
      <c r="H453" t="s">
        <v>321</v>
      </c>
      <c r="I453" t="s">
        <v>966</v>
      </c>
      <c r="J453" t="s">
        <v>204</v>
      </c>
      <c r="K453" t="s">
        <v>204</v>
      </c>
      <c r="L453" t="s">
        <v>340</v>
      </c>
      <c r="M453" t="s">
        <v>576</v>
      </c>
      <c r="N453" t="s">
        <v>339</v>
      </c>
      <c r="O453" t="s">
        <v>1212</v>
      </c>
      <c r="P453" s="131">
        <v>1225802</v>
      </c>
      <c r="Q453" s="131">
        <v>1</v>
      </c>
      <c r="R453" s="131">
        <v>3637.39</v>
      </c>
      <c r="T453" s="131">
        <v>44587.199000000001</v>
      </c>
      <c r="U453" s="132">
        <v>8.7600000000000004E-3</v>
      </c>
      <c r="V453" s="132">
        <v>4.0329999999999998E-2</v>
      </c>
      <c r="W453" s="132">
        <v>1.472E-2</v>
      </c>
    </row>
    <row r="454" spans="1:23">
      <c r="A454" t="s">
        <v>1213</v>
      </c>
      <c r="B454" t="s">
        <v>1254</v>
      </c>
      <c r="C454" t="s">
        <v>4181</v>
      </c>
      <c r="D454" t="s">
        <v>4182</v>
      </c>
      <c r="E454" t="s">
        <v>309</v>
      </c>
      <c r="F454" t="s">
        <v>4400</v>
      </c>
      <c r="G454" t="s">
        <v>4401</v>
      </c>
      <c r="H454" t="s">
        <v>321</v>
      </c>
      <c r="I454" t="s">
        <v>966</v>
      </c>
      <c r="J454" t="s">
        <v>204</v>
      </c>
      <c r="K454" t="s">
        <v>204</v>
      </c>
      <c r="L454" t="s">
        <v>340</v>
      </c>
      <c r="M454" t="s">
        <v>576</v>
      </c>
      <c r="N454" t="s">
        <v>339</v>
      </c>
      <c r="O454" t="s">
        <v>1212</v>
      </c>
      <c r="P454" s="131">
        <v>699000</v>
      </c>
      <c r="Q454" s="131">
        <v>1</v>
      </c>
      <c r="R454" s="131">
        <v>5333.58</v>
      </c>
      <c r="T454" s="131">
        <v>37281.724000000002</v>
      </c>
      <c r="U454" s="132">
        <v>0.11650000000000001</v>
      </c>
      <c r="V454" s="132">
        <v>3.372E-2</v>
      </c>
      <c r="W454" s="132">
        <v>1.231E-2</v>
      </c>
    </row>
    <row r="455" spans="1:23">
      <c r="A455" t="s">
        <v>1213</v>
      </c>
      <c r="B455" t="s">
        <v>1254</v>
      </c>
      <c r="C455" t="s">
        <v>4111</v>
      </c>
      <c r="D455" t="s">
        <v>4112</v>
      </c>
      <c r="E455" t="s">
        <v>309</v>
      </c>
      <c r="F455" t="s">
        <v>4157</v>
      </c>
      <c r="G455" t="s">
        <v>4158</v>
      </c>
      <c r="H455" t="s">
        <v>321</v>
      </c>
      <c r="I455" t="s">
        <v>966</v>
      </c>
      <c r="J455" t="s">
        <v>204</v>
      </c>
      <c r="K455" t="s">
        <v>204</v>
      </c>
      <c r="L455" t="s">
        <v>340</v>
      </c>
      <c r="M455" t="s">
        <v>630</v>
      </c>
      <c r="N455" t="s">
        <v>339</v>
      </c>
      <c r="O455" t="s">
        <v>1212</v>
      </c>
      <c r="P455" s="131">
        <v>950000</v>
      </c>
      <c r="Q455" s="131">
        <v>1</v>
      </c>
      <c r="R455" s="131">
        <v>3902.52</v>
      </c>
      <c r="T455" s="131">
        <v>37073.94</v>
      </c>
      <c r="U455" s="132">
        <v>2.435E-2</v>
      </c>
      <c r="V455" s="132">
        <v>3.354E-2</v>
      </c>
      <c r="W455" s="132">
        <v>1.2239999999999999E-2</v>
      </c>
    </row>
    <row r="456" spans="1:23">
      <c r="A456" t="s">
        <v>1213</v>
      </c>
      <c r="B456" t="s">
        <v>1254</v>
      </c>
      <c r="C456" t="s">
        <v>4107</v>
      </c>
      <c r="D456" t="s">
        <v>4108</v>
      </c>
      <c r="E456" t="s">
        <v>309</v>
      </c>
      <c r="F456" t="s">
        <v>4177</v>
      </c>
      <c r="G456" t="s">
        <v>4178</v>
      </c>
      <c r="H456" t="s">
        <v>321</v>
      </c>
      <c r="I456" t="s">
        <v>965</v>
      </c>
      <c r="J456" t="s">
        <v>204</v>
      </c>
      <c r="K456" t="s">
        <v>204</v>
      </c>
      <c r="L456" t="s">
        <v>340</v>
      </c>
      <c r="M456" t="s">
        <v>598</v>
      </c>
      <c r="N456" t="s">
        <v>339</v>
      </c>
      <c r="O456" t="s">
        <v>1212</v>
      </c>
      <c r="P456" s="131">
        <v>454000</v>
      </c>
      <c r="Q456" s="131">
        <v>1</v>
      </c>
      <c r="R456" s="131">
        <v>7969</v>
      </c>
      <c r="T456" s="131">
        <v>36179.26</v>
      </c>
      <c r="U456" s="132">
        <v>3.4049999999999997E-2</v>
      </c>
      <c r="V456" s="132">
        <v>3.2730000000000002E-2</v>
      </c>
      <c r="W456" s="132">
        <v>1.1950000000000001E-2</v>
      </c>
    </row>
    <row r="457" spans="1:23">
      <c r="A457" t="s">
        <v>1213</v>
      </c>
      <c r="B457" t="s">
        <v>1254</v>
      </c>
      <c r="C457" t="s">
        <v>4181</v>
      </c>
      <c r="D457" t="s">
        <v>4182</v>
      </c>
      <c r="E457" t="s">
        <v>309</v>
      </c>
      <c r="F457" t="s">
        <v>4225</v>
      </c>
      <c r="G457" t="s">
        <v>4226</v>
      </c>
      <c r="H457" t="s">
        <v>321</v>
      </c>
      <c r="I457" t="s">
        <v>965</v>
      </c>
      <c r="J457" t="s">
        <v>204</v>
      </c>
      <c r="K457" t="s">
        <v>204</v>
      </c>
      <c r="L457" t="s">
        <v>340</v>
      </c>
      <c r="M457" t="s">
        <v>597</v>
      </c>
      <c r="N457" t="s">
        <v>339</v>
      </c>
      <c r="O457" t="s">
        <v>1212</v>
      </c>
      <c r="P457" s="131">
        <v>260000</v>
      </c>
      <c r="Q457" s="131">
        <v>1</v>
      </c>
      <c r="R457" s="131">
        <v>11220</v>
      </c>
      <c r="T457" s="131">
        <v>29172</v>
      </c>
      <c r="U457" s="132">
        <v>2.7369999999999998E-2</v>
      </c>
      <c r="V457" s="132">
        <v>2.639E-2</v>
      </c>
      <c r="W457" s="132">
        <v>9.6299999999999997E-3</v>
      </c>
    </row>
    <row r="458" spans="1:23">
      <c r="A458" t="s">
        <v>1213</v>
      </c>
      <c r="B458" t="s">
        <v>1254</v>
      </c>
      <c r="C458" t="s">
        <v>4181</v>
      </c>
      <c r="D458" t="s">
        <v>4182</v>
      </c>
      <c r="E458" t="s">
        <v>309</v>
      </c>
      <c r="F458" t="s">
        <v>4209</v>
      </c>
      <c r="G458" t="s">
        <v>4210</v>
      </c>
      <c r="H458" t="s">
        <v>321</v>
      </c>
      <c r="I458" t="s">
        <v>965</v>
      </c>
      <c r="J458" t="s">
        <v>204</v>
      </c>
      <c r="K458" t="s">
        <v>204</v>
      </c>
      <c r="L458" t="s">
        <v>340</v>
      </c>
      <c r="M458" t="s">
        <v>598</v>
      </c>
      <c r="N458" t="s">
        <v>339</v>
      </c>
      <c r="O458" t="s">
        <v>1212</v>
      </c>
      <c r="P458" s="131">
        <v>300000</v>
      </c>
      <c r="Q458" s="131">
        <v>1</v>
      </c>
      <c r="R458" s="131">
        <v>9469</v>
      </c>
      <c r="T458" s="131">
        <v>28407</v>
      </c>
      <c r="U458" s="132">
        <v>1.4420000000000001E-2</v>
      </c>
      <c r="V458" s="132">
        <v>2.5700000000000001E-2</v>
      </c>
      <c r="W458" s="132">
        <v>9.3799999999999994E-3</v>
      </c>
    </row>
    <row r="459" spans="1:23">
      <c r="A459" t="s">
        <v>1213</v>
      </c>
      <c r="B459" t="s">
        <v>1254</v>
      </c>
      <c r="C459" t="s">
        <v>4117</v>
      </c>
      <c r="D459" t="s">
        <v>4118</v>
      </c>
      <c r="E459" t="s">
        <v>309</v>
      </c>
      <c r="F459" t="s">
        <v>4151</v>
      </c>
      <c r="G459" t="s">
        <v>4152</v>
      </c>
      <c r="H459" t="s">
        <v>321</v>
      </c>
      <c r="I459" t="s">
        <v>965</v>
      </c>
      <c r="J459" t="s">
        <v>204</v>
      </c>
      <c r="K459" t="s">
        <v>204</v>
      </c>
      <c r="L459" t="s">
        <v>340</v>
      </c>
      <c r="M459" t="s">
        <v>604</v>
      </c>
      <c r="N459" t="s">
        <v>339</v>
      </c>
      <c r="O459" t="s">
        <v>1212</v>
      </c>
      <c r="P459" s="131">
        <v>118667</v>
      </c>
      <c r="Q459" s="131">
        <v>1</v>
      </c>
      <c r="R459" s="131">
        <v>21020</v>
      </c>
      <c r="T459" s="131">
        <v>24943.803</v>
      </c>
      <c r="U459" s="132">
        <v>1.1900000000000001E-3</v>
      </c>
      <c r="V459" s="132">
        <v>2.256E-2</v>
      </c>
      <c r="W459" s="132">
        <v>8.2400000000000008E-3</v>
      </c>
    </row>
    <row r="460" spans="1:23">
      <c r="A460" t="s">
        <v>1213</v>
      </c>
      <c r="B460" t="s">
        <v>1254</v>
      </c>
      <c r="C460" t="s">
        <v>4111</v>
      </c>
      <c r="D460" t="s">
        <v>4112</v>
      </c>
      <c r="E460" t="s">
        <v>309</v>
      </c>
      <c r="F460" t="s">
        <v>4113</v>
      </c>
      <c r="G460" t="s">
        <v>4114</v>
      </c>
      <c r="H460" t="s">
        <v>321</v>
      </c>
      <c r="I460" t="s">
        <v>965</v>
      </c>
      <c r="J460" t="s">
        <v>204</v>
      </c>
      <c r="K460" t="s">
        <v>204</v>
      </c>
      <c r="L460" t="s">
        <v>340</v>
      </c>
      <c r="M460" t="s">
        <v>605</v>
      </c>
      <c r="N460" t="s">
        <v>339</v>
      </c>
      <c r="O460" t="s">
        <v>1212</v>
      </c>
      <c r="P460" s="131">
        <v>444037</v>
      </c>
      <c r="Q460" s="131">
        <v>1</v>
      </c>
      <c r="R460" s="131">
        <v>5505</v>
      </c>
      <c r="T460" s="131">
        <v>24444.237000000001</v>
      </c>
      <c r="U460" s="132">
        <v>5.8500000000000002E-3</v>
      </c>
      <c r="V460" s="132">
        <v>2.2110000000000001E-2</v>
      </c>
      <c r="W460" s="132">
        <v>8.0700000000000008E-3</v>
      </c>
    </row>
    <row r="461" spans="1:23">
      <c r="A461" t="s">
        <v>1213</v>
      </c>
      <c r="B461" t="s">
        <v>1254</v>
      </c>
      <c r="C461" t="s">
        <v>4107</v>
      </c>
      <c r="D461" t="s">
        <v>4108</v>
      </c>
      <c r="E461" t="s">
        <v>309</v>
      </c>
      <c r="F461" t="s">
        <v>4316</v>
      </c>
      <c r="G461" t="s">
        <v>4317</v>
      </c>
      <c r="H461" t="s">
        <v>321</v>
      </c>
      <c r="I461" t="s">
        <v>966</v>
      </c>
      <c r="J461" t="s">
        <v>204</v>
      </c>
      <c r="K461" t="s">
        <v>204</v>
      </c>
      <c r="L461" t="s">
        <v>340</v>
      </c>
      <c r="M461" t="s">
        <v>573</v>
      </c>
      <c r="N461" t="s">
        <v>339</v>
      </c>
      <c r="O461" t="s">
        <v>1212</v>
      </c>
      <c r="P461" s="131">
        <v>4980000</v>
      </c>
      <c r="Q461" s="131">
        <v>1</v>
      </c>
      <c r="R461" s="131">
        <v>461.48</v>
      </c>
      <c r="T461" s="131">
        <v>22981.704000000002</v>
      </c>
      <c r="U461" s="132">
        <v>2.0840000000000001E-2</v>
      </c>
      <c r="V461" s="132">
        <v>2.0789999999999999E-2</v>
      </c>
      <c r="W461" s="132">
        <v>7.5900000000000004E-3</v>
      </c>
    </row>
    <row r="462" spans="1:23">
      <c r="A462" t="s">
        <v>1213</v>
      </c>
      <c r="B462" t="s">
        <v>1254</v>
      </c>
      <c r="C462" t="s">
        <v>4127</v>
      </c>
      <c r="D462" t="s">
        <v>4128</v>
      </c>
      <c r="E462" t="s">
        <v>309</v>
      </c>
      <c r="F462" t="s">
        <v>4402</v>
      </c>
      <c r="G462" t="s">
        <v>4403</v>
      </c>
      <c r="H462" t="s">
        <v>321</v>
      </c>
      <c r="I462" t="s">
        <v>966</v>
      </c>
      <c r="J462" t="s">
        <v>204</v>
      </c>
      <c r="K462" t="s">
        <v>204</v>
      </c>
      <c r="L462" t="s">
        <v>340</v>
      </c>
      <c r="M462" t="s">
        <v>630</v>
      </c>
      <c r="N462" t="s">
        <v>339</v>
      </c>
      <c r="O462" t="s">
        <v>1212</v>
      </c>
      <c r="P462" s="131">
        <v>5630737</v>
      </c>
      <c r="Q462" s="131">
        <v>1</v>
      </c>
      <c r="R462" s="131">
        <v>388.28</v>
      </c>
      <c r="T462" s="131">
        <v>21863.026000000002</v>
      </c>
      <c r="U462" s="132">
        <v>4.2200000000000001E-2</v>
      </c>
      <c r="V462" s="132">
        <v>1.9779999999999999E-2</v>
      </c>
      <c r="W462" s="132">
        <v>7.2199999999999999E-3</v>
      </c>
    </row>
    <row r="463" spans="1:23">
      <c r="A463" t="s">
        <v>1213</v>
      </c>
      <c r="B463" t="s">
        <v>1254</v>
      </c>
      <c r="C463" t="s">
        <v>4127</v>
      </c>
      <c r="D463" t="s">
        <v>4128</v>
      </c>
      <c r="E463" t="s">
        <v>309</v>
      </c>
      <c r="F463" t="s">
        <v>4404</v>
      </c>
      <c r="G463" t="s">
        <v>4405</v>
      </c>
      <c r="H463" t="s">
        <v>321</v>
      </c>
      <c r="I463" t="s">
        <v>965</v>
      </c>
      <c r="J463" t="s">
        <v>204</v>
      </c>
      <c r="K463" t="s">
        <v>204</v>
      </c>
      <c r="L463" t="s">
        <v>340</v>
      </c>
      <c r="M463" t="s">
        <v>721</v>
      </c>
      <c r="N463" t="s">
        <v>339</v>
      </c>
      <c r="O463" t="s">
        <v>1212</v>
      </c>
      <c r="P463" s="131">
        <v>326745</v>
      </c>
      <c r="Q463" s="131">
        <v>1</v>
      </c>
      <c r="R463" s="131">
        <v>6310</v>
      </c>
      <c r="T463" s="131">
        <v>20617.61</v>
      </c>
      <c r="U463" s="132">
        <v>8.7200000000000003E-3</v>
      </c>
      <c r="V463" s="132">
        <v>1.865E-2</v>
      </c>
      <c r="W463" s="132">
        <v>6.8100000000000001E-3</v>
      </c>
    </row>
    <row r="464" spans="1:23">
      <c r="A464" t="s">
        <v>1213</v>
      </c>
      <c r="B464" t="s">
        <v>1254</v>
      </c>
      <c r="C464" t="s">
        <v>4111</v>
      </c>
      <c r="D464" t="s">
        <v>4112</v>
      </c>
      <c r="E464" t="s">
        <v>309</v>
      </c>
      <c r="F464" t="s">
        <v>4406</v>
      </c>
      <c r="G464" t="s">
        <v>4407</v>
      </c>
      <c r="H464" t="s">
        <v>321</v>
      </c>
      <c r="I464" t="s">
        <v>965</v>
      </c>
      <c r="J464" t="s">
        <v>204</v>
      </c>
      <c r="L464" t="s">
        <v>340</v>
      </c>
      <c r="M464" t="s">
        <v>597</v>
      </c>
      <c r="N464" t="s">
        <v>339</v>
      </c>
      <c r="O464" t="s">
        <v>1212</v>
      </c>
      <c r="P464" s="131">
        <v>28645</v>
      </c>
      <c r="Q464" s="131">
        <v>1</v>
      </c>
      <c r="R464" s="131">
        <v>71080</v>
      </c>
      <c r="T464" s="131">
        <v>20360.866000000002</v>
      </c>
      <c r="U464" s="132">
        <v>6.77E-3</v>
      </c>
      <c r="V464" s="132">
        <v>1.8419999999999999E-2</v>
      </c>
      <c r="W464" s="132">
        <v>6.7200000000000003E-3</v>
      </c>
    </row>
    <row r="465" spans="1:23">
      <c r="A465" t="s">
        <v>1213</v>
      </c>
      <c r="B465" t="s">
        <v>1254</v>
      </c>
      <c r="C465" t="s">
        <v>4107</v>
      </c>
      <c r="D465" t="s">
        <v>4108</v>
      </c>
      <c r="E465" t="s">
        <v>309</v>
      </c>
      <c r="F465" t="s">
        <v>4408</v>
      </c>
      <c r="G465" t="s">
        <v>4409</v>
      </c>
      <c r="H465" t="s">
        <v>321</v>
      </c>
      <c r="I465" t="s">
        <v>964</v>
      </c>
      <c r="J465" t="s">
        <v>204</v>
      </c>
      <c r="K465" t="s">
        <v>204</v>
      </c>
      <c r="L465" t="s">
        <v>340</v>
      </c>
      <c r="M465" t="s">
        <v>572</v>
      </c>
      <c r="N465" t="s">
        <v>339</v>
      </c>
      <c r="O465" t="s">
        <v>1212</v>
      </c>
      <c r="P465" s="131">
        <v>620000</v>
      </c>
      <c r="Q465" s="131">
        <v>1</v>
      </c>
      <c r="R465" s="131">
        <v>3243</v>
      </c>
      <c r="T465" s="131">
        <v>20106.599999999999</v>
      </c>
      <c r="U465" s="132">
        <v>6.8890000000000007E-2</v>
      </c>
      <c r="V465" s="132">
        <v>1.8190000000000001E-2</v>
      </c>
      <c r="W465" s="132">
        <v>6.6400000000000001E-3</v>
      </c>
    </row>
    <row r="466" spans="1:23">
      <c r="A466" t="s">
        <v>1213</v>
      </c>
      <c r="B466" t="s">
        <v>1254</v>
      </c>
      <c r="C466" t="s">
        <v>4127</v>
      </c>
      <c r="D466" t="s">
        <v>4128</v>
      </c>
      <c r="E466" t="s">
        <v>309</v>
      </c>
      <c r="F466" t="s">
        <v>4167</v>
      </c>
      <c r="G466" t="s">
        <v>4168</v>
      </c>
      <c r="H466" t="s">
        <v>321</v>
      </c>
      <c r="I466" t="s">
        <v>966</v>
      </c>
      <c r="J466" t="s">
        <v>204</v>
      </c>
      <c r="K466" t="s">
        <v>204</v>
      </c>
      <c r="L466" t="s">
        <v>340</v>
      </c>
      <c r="M466" t="s">
        <v>630</v>
      </c>
      <c r="N466" t="s">
        <v>339</v>
      </c>
      <c r="O466" t="s">
        <v>1212</v>
      </c>
      <c r="P466" s="131">
        <v>4800000</v>
      </c>
      <c r="Q466" s="131">
        <v>1</v>
      </c>
      <c r="R466" s="131">
        <v>389.18</v>
      </c>
      <c r="T466" s="131">
        <v>18680.64</v>
      </c>
      <c r="U466" s="132">
        <v>1.7590000000000001E-2</v>
      </c>
      <c r="V466" s="132">
        <v>1.6899999999999998E-2</v>
      </c>
      <c r="W466" s="132">
        <v>6.1700000000000001E-3</v>
      </c>
    </row>
    <row r="467" spans="1:23">
      <c r="A467" t="s">
        <v>1213</v>
      </c>
      <c r="B467" t="s">
        <v>1254</v>
      </c>
      <c r="C467" t="s">
        <v>4127</v>
      </c>
      <c r="D467" t="s">
        <v>4128</v>
      </c>
      <c r="E467" t="s">
        <v>309</v>
      </c>
      <c r="F467" t="s">
        <v>4141</v>
      </c>
      <c r="G467" t="s">
        <v>4142</v>
      </c>
      <c r="H467" t="s">
        <v>321</v>
      </c>
      <c r="I467" t="s">
        <v>966</v>
      </c>
      <c r="J467" t="s">
        <v>204</v>
      </c>
      <c r="K467" t="s">
        <v>204</v>
      </c>
      <c r="L467" t="s">
        <v>340</v>
      </c>
      <c r="M467" t="s">
        <v>576</v>
      </c>
      <c r="N467" t="s">
        <v>339</v>
      </c>
      <c r="O467" t="s">
        <v>1212</v>
      </c>
      <c r="P467" s="131">
        <v>5000000</v>
      </c>
      <c r="Q467" s="131">
        <v>1</v>
      </c>
      <c r="R467" s="131">
        <v>364.41</v>
      </c>
      <c r="T467" s="131">
        <v>18220.5</v>
      </c>
      <c r="U467" s="132">
        <v>1.618E-2</v>
      </c>
      <c r="V467" s="132">
        <v>1.6480000000000002E-2</v>
      </c>
      <c r="W467" s="132">
        <v>6.0200000000000002E-3</v>
      </c>
    </row>
    <row r="468" spans="1:23">
      <c r="A468" t="s">
        <v>1213</v>
      </c>
      <c r="B468" t="s">
        <v>1254</v>
      </c>
      <c r="C468" t="s">
        <v>4111</v>
      </c>
      <c r="D468" t="s">
        <v>4112</v>
      </c>
      <c r="E468" t="s">
        <v>309</v>
      </c>
      <c r="F468" t="s">
        <v>4410</v>
      </c>
      <c r="G468" t="s">
        <v>4411</v>
      </c>
      <c r="H468" t="s">
        <v>321</v>
      </c>
      <c r="I468" t="s">
        <v>965</v>
      </c>
      <c r="J468" t="s">
        <v>204</v>
      </c>
      <c r="K468" t="s">
        <v>204</v>
      </c>
      <c r="L468" t="s">
        <v>340</v>
      </c>
      <c r="M468" t="s">
        <v>720</v>
      </c>
      <c r="N468" t="s">
        <v>339</v>
      </c>
      <c r="O468" t="s">
        <v>1212</v>
      </c>
      <c r="P468" s="131">
        <v>33000</v>
      </c>
      <c r="Q468" s="131">
        <v>1</v>
      </c>
      <c r="R468" s="131">
        <v>54060</v>
      </c>
      <c r="T468" s="131">
        <v>17839.8</v>
      </c>
      <c r="U468" s="132">
        <v>1.558E-2</v>
      </c>
      <c r="V468" s="132">
        <v>1.6140000000000002E-2</v>
      </c>
      <c r="W468" s="132">
        <v>5.8900000000000003E-3</v>
      </c>
    </row>
    <row r="469" spans="1:23">
      <c r="A469" t="s">
        <v>1213</v>
      </c>
      <c r="B469" t="s">
        <v>1254</v>
      </c>
      <c r="C469" t="s">
        <v>4107</v>
      </c>
      <c r="D469" t="s">
        <v>4108</v>
      </c>
      <c r="E469" t="s">
        <v>309</v>
      </c>
      <c r="F469" t="s">
        <v>4189</v>
      </c>
      <c r="G469" t="s">
        <v>4190</v>
      </c>
      <c r="H469" t="s">
        <v>321</v>
      </c>
      <c r="I469" t="s">
        <v>966</v>
      </c>
      <c r="J469" t="s">
        <v>204</v>
      </c>
      <c r="K469" t="s">
        <v>204</v>
      </c>
      <c r="L469" t="s">
        <v>340</v>
      </c>
      <c r="M469" t="s">
        <v>576</v>
      </c>
      <c r="N469" t="s">
        <v>339</v>
      </c>
      <c r="O469" t="s">
        <v>1212</v>
      </c>
      <c r="P469" s="131">
        <v>3824749</v>
      </c>
      <c r="Q469" s="131">
        <v>1</v>
      </c>
      <c r="R469" s="131">
        <v>465.93</v>
      </c>
      <c r="T469" s="131">
        <v>17820.652999999998</v>
      </c>
      <c r="U469" s="132">
        <v>2.6409999999999999E-2</v>
      </c>
      <c r="V469" s="132">
        <v>1.6119999999999999E-2</v>
      </c>
      <c r="W469" s="132">
        <v>5.8799999999999998E-3</v>
      </c>
    </row>
    <row r="470" spans="1:23">
      <c r="A470" t="s">
        <v>1213</v>
      </c>
      <c r="B470" t="s">
        <v>1254</v>
      </c>
      <c r="C470" t="s">
        <v>4127</v>
      </c>
      <c r="D470" t="s">
        <v>4128</v>
      </c>
      <c r="E470" t="s">
        <v>309</v>
      </c>
      <c r="F470" t="s">
        <v>4129</v>
      </c>
      <c r="G470" t="s">
        <v>4130</v>
      </c>
      <c r="H470" t="s">
        <v>321</v>
      </c>
      <c r="I470" t="s">
        <v>965</v>
      </c>
      <c r="J470" t="s">
        <v>204</v>
      </c>
      <c r="K470" t="s">
        <v>204</v>
      </c>
      <c r="L470" t="s">
        <v>340</v>
      </c>
      <c r="M470" t="s">
        <v>604</v>
      </c>
      <c r="N470" t="s">
        <v>339</v>
      </c>
      <c r="O470" t="s">
        <v>1212</v>
      </c>
      <c r="P470" s="131">
        <v>577000</v>
      </c>
      <c r="Q470" s="131">
        <v>1</v>
      </c>
      <c r="R470" s="131">
        <v>2470</v>
      </c>
      <c r="T470" s="131">
        <v>14251.9</v>
      </c>
      <c r="U470" s="132">
        <v>1.5200000000000001E-3</v>
      </c>
      <c r="V470" s="132">
        <v>1.289E-2</v>
      </c>
      <c r="W470" s="132">
        <v>4.7099999999999998E-3</v>
      </c>
    </row>
    <row r="471" spans="1:23">
      <c r="A471" t="s">
        <v>1213</v>
      </c>
      <c r="B471" t="s">
        <v>1254</v>
      </c>
      <c r="C471" t="s">
        <v>4111</v>
      </c>
      <c r="D471" t="s">
        <v>4112</v>
      </c>
      <c r="E471" t="s">
        <v>309</v>
      </c>
      <c r="F471" t="s">
        <v>4147</v>
      </c>
      <c r="G471" t="s">
        <v>4148</v>
      </c>
      <c r="H471" t="s">
        <v>321</v>
      </c>
      <c r="I471" t="s">
        <v>965</v>
      </c>
      <c r="J471" t="s">
        <v>204</v>
      </c>
      <c r="K471" t="s">
        <v>204</v>
      </c>
      <c r="L471" t="s">
        <v>340</v>
      </c>
      <c r="M471" t="s">
        <v>604</v>
      </c>
      <c r="N471" t="s">
        <v>339</v>
      </c>
      <c r="O471" t="s">
        <v>1212</v>
      </c>
      <c r="P471" s="131">
        <v>51847</v>
      </c>
      <c r="Q471" s="131">
        <v>1</v>
      </c>
      <c r="R471" s="131">
        <v>23280</v>
      </c>
      <c r="T471" s="131">
        <v>12069.982</v>
      </c>
      <c r="U471" s="132">
        <v>1.8699999999999999E-3</v>
      </c>
      <c r="V471" s="132">
        <v>1.0919999999999999E-2</v>
      </c>
      <c r="W471" s="132">
        <v>3.9899999999999996E-3</v>
      </c>
    </row>
    <row r="472" spans="1:23">
      <c r="A472" t="s">
        <v>1213</v>
      </c>
      <c r="B472" t="s">
        <v>1254</v>
      </c>
      <c r="C472" t="s">
        <v>4181</v>
      </c>
      <c r="D472" t="s">
        <v>4182</v>
      </c>
      <c r="E472" t="s">
        <v>309</v>
      </c>
      <c r="F472" t="s">
        <v>4215</v>
      </c>
      <c r="G472" t="s">
        <v>4216</v>
      </c>
      <c r="H472" t="s">
        <v>321</v>
      </c>
      <c r="I472" t="s">
        <v>965</v>
      </c>
      <c r="J472" t="s">
        <v>204</v>
      </c>
      <c r="K472" t="s">
        <v>204</v>
      </c>
      <c r="L472" t="s">
        <v>340</v>
      </c>
      <c r="M472" t="s">
        <v>604</v>
      </c>
      <c r="N472" t="s">
        <v>339</v>
      </c>
      <c r="O472" t="s">
        <v>1212</v>
      </c>
      <c r="P472" s="131">
        <v>101919</v>
      </c>
      <c r="Q472" s="131">
        <v>1</v>
      </c>
      <c r="R472" s="131">
        <v>10530</v>
      </c>
      <c r="T472" s="131">
        <v>10732.071</v>
      </c>
      <c r="U472" s="132">
        <v>1.5100000000000001E-3</v>
      </c>
      <c r="V472" s="132">
        <v>9.7099999999999999E-3</v>
      </c>
      <c r="W472" s="132">
        <v>3.5400000000000002E-3</v>
      </c>
    </row>
    <row r="473" spans="1:23">
      <c r="A473" t="s">
        <v>1213</v>
      </c>
      <c r="B473" t="s">
        <v>1254</v>
      </c>
      <c r="C473" t="s">
        <v>4107</v>
      </c>
      <c r="D473" t="s">
        <v>4108</v>
      </c>
      <c r="E473" t="s">
        <v>309</v>
      </c>
      <c r="F473" t="s">
        <v>4288</v>
      </c>
      <c r="G473" t="s">
        <v>4289</v>
      </c>
      <c r="H473" t="s">
        <v>321</v>
      </c>
      <c r="I473" t="s">
        <v>965</v>
      </c>
      <c r="J473" t="s">
        <v>204</v>
      </c>
      <c r="K473" t="s">
        <v>204</v>
      </c>
      <c r="L473" t="s">
        <v>340</v>
      </c>
      <c r="M473" t="s">
        <v>582</v>
      </c>
      <c r="N473" t="s">
        <v>339</v>
      </c>
      <c r="O473" t="s">
        <v>1212</v>
      </c>
      <c r="P473" s="131">
        <v>218000</v>
      </c>
      <c r="Q473" s="131">
        <v>1</v>
      </c>
      <c r="R473" s="131">
        <v>4602</v>
      </c>
      <c r="T473" s="131">
        <v>10032.36</v>
      </c>
      <c r="U473" s="132">
        <v>3.1379999999999998E-2</v>
      </c>
      <c r="V473" s="132">
        <v>9.0699999999999999E-3</v>
      </c>
      <c r="W473" s="132">
        <v>3.31E-3</v>
      </c>
    </row>
    <row r="474" spans="1:23">
      <c r="A474" t="s">
        <v>1213</v>
      </c>
      <c r="B474" t="s">
        <v>1254</v>
      </c>
      <c r="C474" t="s">
        <v>4111</v>
      </c>
      <c r="D474" t="s">
        <v>4112</v>
      </c>
      <c r="E474" t="s">
        <v>309</v>
      </c>
      <c r="F474" t="s">
        <v>4133</v>
      </c>
      <c r="G474" t="s">
        <v>4134</v>
      </c>
      <c r="H474" t="s">
        <v>321</v>
      </c>
      <c r="I474" t="s">
        <v>964</v>
      </c>
      <c r="J474" t="s">
        <v>204</v>
      </c>
      <c r="K474" t="s">
        <v>204</v>
      </c>
      <c r="L474" t="s">
        <v>340</v>
      </c>
      <c r="M474" t="s">
        <v>572</v>
      </c>
      <c r="N474" t="s">
        <v>339</v>
      </c>
      <c r="O474" t="s">
        <v>1212</v>
      </c>
      <c r="P474" s="131">
        <v>44000</v>
      </c>
      <c r="Q474" s="131">
        <v>1</v>
      </c>
      <c r="R474" s="131">
        <v>20710</v>
      </c>
      <c r="T474" s="131">
        <v>9112.4</v>
      </c>
      <c r="U474" s="132">
        <v>1.24E-3</v>
      </c>
      <c r="V474" s="132">
        <v>8.2400000000000008E-3</v>
      </c>
      <c r="W474" s="132">
        <v>3.0100000000000001E-3</v>
      </c>
    </row>
    <row r="475" spans="1:23">
      <c r="A475" t="s">
        <v>1213</v>
      </c>
      <c r="B475" t="s">
        <v>1254</v>
      </c>
      <c r="C475" t="s">
        <v>4107</v>
      </c>
      <c r="D475" t="s">
        <v>4108</v>
      </c>
      <c r="E475" t="s">
        <v>309</v>
      </c>
      <c r="F475" t="s">
        <v>4412</v>
      </c>
      <c r="G475" t="s">
        <v>4413</v>
      </c>
      <c r="H475" t="s">
        <v>321</v>
      </c>
      <c r="I475" t="s">
        <v>966</v>
      </c>
      <c r="J475" t="s">
        <v>204</v>
      </c>
      <c r="K475" t="s">
        <v>204</v>
      </c>
      <c r="L475" t="s">
        <v>340</v>
      </c>
      <c r="M475" t="s">
        <v>630</v>
      </c>
      <c r="N475" t="s">
        <v>339</v>
      </c>
      <c r="O475" t="s">
        <v>1212</v>
      </c>
      <c r="P475" s="131">
        <v>1400000</v>
      </c>
      <c r="Q475" s="131">
        <v>1</v>
      </c>
      <c r="R475" s="131">
        <v>452.06</v>
      </c>
      <c r="T475" s="131">
        <v>6328.84</v>
      </c>
      <c r="U475" s="132">
        <v>5.6899999999999997E-3</v>
      </c>
      <c r="V475" s="132">
        <v>5.7200000000000003E-3</v>
      </c>
      <c r="W475" s="132">
        <v>2.0899999999999998E-3</v>
      </c>
    </row>
    <row r="476" spans="1:23">
      <c r="A476" t="s">
        <v>1213</v>
      </c>
      <c r="B476" t="s">
        <v>1254</v>
      </c>
      <c r="C476" t="s">
        <v>4103</v>
      </c>
      <c r="D476" t="s">
        <v>4104</v>
      </c>
      <c r="E476" t="s">
        <v>80</v>
      </c>
      <c r="F476" t="s">
        <v>4105</v>
      </c>
      <c r="G476" t="s">
        <v>4106</v>
      </c>
      <c r="H476" t="s">
        <v>321</v>
      </c>
      <c r="I476" t="s">
        <v>965</v>
      </c>
      <c r="J476" t="s">
        <v>205</v>
      </c>
      <c r="K476" t="s">
        <v>224</v>
      </c>
      <c r="L476" t="s">
        <v>380</v>
      </c>
      <c r="M476" t="s">
        <v>604</v>
      </c>
      <c r="N476" t="s">
        <v>339</v>
      </c>
      <c r="O476" t="s">
        <v>1216</v>
      </c>
      <c r="P476" s="131">
        <v>32470</v>
      </c>
      <c r="Q476" s="131">
        <v>3.71</v>
      </c>
      <c r="R476" s="131">
        <v>112716</v>
      </c>
      <c r="T476" s="131">
        <v>135781.864</v>
      </c>
      <c r="U476" s="132">
        <v>0</v>
      </c>
      <c r="V476" s="132">
        <v>0.12282</v>
      </c>
      <c r="W476" s="132">
        <v>4.4839999999999998E-2</v>
      </c>
    </row>
    <row r="477" spans="1:23">
      <c r="A477" t="s">
        <v>1213</v>
      </c>
      <c r="B477" t="s">
        <v>1254</v>
      </c>
      <c r="C477" t="s">
        <v>4099</v>
      </c>
      <c r="D477" t="s">
        <v>4100</v>
      </c>
      <c r="E477" t="s">
        <v>80</v>
      </c>
      <c r="F477" t="s">
        <v>4101</v>
      </c>
      <c r="G477" t="s">
        <v>4102</v>
      </c>
      <c r="H477" t="s">
        <v>321</v>
      </c>
      <c r="I477" t="s">
        <v>965</v>
      </c>
      <c r="J477" t="s">
        <v>205</v>
      </c>
      <c r="K477" t="s">
        <v>224</v>
      </c>
      <c r="L477" t="s">
        <v>344</v>
      </c>
      <c r="M477" t="s">
        <v>604</v>
      </c>
      <c r="N477" t="s">
        <v>339</v>
      </c>
      <c r="O477" t="s">
        <v>1216</v>
      </c>
      <c r="P477" s="131">
        <v>42780</v>
      </c>
      <c r="Q477" s="131">
        <v>3.71</v>
      </c>
      <c r="R477" s="131">
        <v>57376</v>
      </c>
      <c r="S477" s="131">
        <f>56.187+3584.34/1000/Q477</f>
        <v>57.153129380053905</v>
      </c>
      <c r="T477" s="131">
        <f>91272.082+3584.34/1000</f>
        <v>91275.666339999996</v>
      </c>
      <c r="U477" s="132">
        <v>0</v>
      </c>
      <c r="V477" s="132">
        <v>8.2610000000000003E-2</v>
      </c>
      <c r="W477" s="132">
        <v>3.0159999999999999E-2</v>
      </c>
    </row>
    <row r="478" spans="1:23">
      <c r="A478" t="s">
        <v>1213</v>
      </c>
      <c r="B478" t="s">
        <v>1254</v>
      </c>
      <c r="C478" t="s">
        <v>4238</v>
      </c>
      <c r="D478" t="s">
        <v>4239</v>
      </c>
      <c r="E478" t="s">
        <v>80</v>
      </c>
      <c r="F478" t="s">
        <v>4414</v>
      </c>
      <c r="G478" t="s">
        <v>4415</v>
      </c>
      <c r="H478" t="s">
        <v>321</v>
      </c>
      <c r="I478" t="s">
        <v>965</v>
      </c>
      <c r="J478" t="s">
        <v>205</v>
      </c>
      <c r="K478" t="s">
        <v>224</v>
      </c>
      <c r="L478" t="s">
        <v>380</v>
      </c>
      <c r="M478" t="s">
        <v>604</v>
      </c>
      <c r="N478" t="s">
        <v>339</v>
      </c>
      <c r="O478" t="s">
        <v>1216</v>
      </c>
      <c r="P478" s="131">
        <v>10217</v>
      </c>
      <c r="Q478" s="131">
        <v>3.71</v>
      </c>
      <c r="R478" s="131">
        <v>60718</v>
      </c>
      <c r="T478" s="131">
        <v>23015.200000000001</v>
      </c>
      <c r="U478" s="132">
        <v>0</v>
      </c>
      <c r="V478" s="132">
        <v>2.0820000000000002E-2</v>
      </c>
      <c r="W478" s="132">
        <v>7.6E-3</v>
      </c>
    </row>
    <row r="479" spans="1:23">
      <c r="A479" t="s">
        <v>1213</v>
      </c>
      <c r="B479" t="s">
        <v>1254</v>
      </c>
      <c r="C479" t="s">
        <v>4107</v>
      </c>
      <c r="D479" t="s">
        <v>4108</v>
      </c>
      <c r="E479" t="s">
        <v>309</v>
      </c>
      <c r="F479" t="s">
        <v>4348</v>
      </c>
      <c r="G479" t="s">
        <v>4349</v>
      </c>
      <c r="H479" t="s">
        <v>321</v>
      </c>
      <c r="I479" t="s">
        <v>965</v>
      </c>
      <c r="J479" t="s">
        <v>205</v>
      </c>
      <c r="K479" t="s">
        <v>204</v>
      </c>
      <c r="L479" t="s">
        <v>340</v>
      </c>
      <c r="M479" t="s">
        <v>716</v>
      </c>
      <c r="N479" t="s">
        <v>339</v>
      </c>
      <c r="O479" t="s">
        <v>1212</v>
      </c>
      <c r="P479" s="131">
        <v>590000</v>
      </c>
      <c r="Q479" s="131">
        <v>1</v>
      </c>
      <c r="R479" s="131">
        <v>2544</v>
      </c>
      <c r="T479" s="131">
        <v>15009.6</v>
      </c>
      <c r="U479" s="132">
        <v>0.13111</v>
      </c>
      <c r="V479" s="132">
        <v>1.358E-2</v>
      </c>
      <c r="W479" s="132">
        <v>4.96E-3</v>
      </c>
    </row>
    <row r="480" spans="1:23">
      <c r="A480" t="s">
        <v>1213</v>
      </c>
      <c r="B480" t="s">
        <v>1254</v>
      </c>
      <c r="C480" t="s">
        <v>4260</v>
      </c>
      <c r="D480" t="s">
        <v>4261</v>
      </c>
      <c r="E480" t="s">
        <v>80</v>
      </c>
      <c r="F480" t="s">
        <v>4352</v>
      </c>
      <c r="G480" t="s">
        <v>4353</v>
      </c>
      <c r="H480" t="s">
        <v>321</v>
      </c>
      <c r="I480" t="s">
        <v>965</v>
      </c>
      <c r="J480" t="s">
        <v>205</v>
      </c>
      <c r="K480" t="s">
        <v>224</v>
      </c>
      <c r="L480" t="s">
        <v>344</v>
      </c>
      <c r="M480" t="s">
        <v>735</v>
      </c>
      <c r="N480" t="s">
        <v>339</v>
      </c>
      <c r="O480" t="s">
        <v>1216</v>
      </c>
      <c r="P480" s="131">
        <v>44650</v>
      </c>
      <c r="Q480" s="131">
        <v>3.71</v>
      </c>
      <c r="R480" s="131">
        <v>8937</v>
      </c>
      <c r="T480" s="131">
        <v>14804.275</v>
      </c>
      <c r="U480" s="132">
        <v>1.0000000000000001E-5</v>
      </c>
      <c r="V480" s="132">
        <v>1.3390000000000001E-2</v>
      </c>
      <c r="W480" s="132">
        <v>4.8900000000000002E-3</v>
      </c>
    </row>
    <row r="481" spans="1:23">
      <c r="A481" t="s">
        <v>1213</v>
      </c>
      <c r="B481" t="s">
        <v>1254</v>
      </c>
      <c r="C481" t="s">
        <v>4274</v>
      </c>
      <c r="D481" t="s">
        <v>4275</v>
      </c>
      <c r="E481" t="s">
        <v>80</v>
      </c>
      <c r="F481" t="s">
        <v>4416</v>
      </c>
      <c r="G481" t="s">
        <v>4417</v>
      </c>
      <c r="H481" t="s">
        <v>321</v>
      </c>
      <c r="I481" t="s">
        <v>965</v>
      </c>
      <c r="J481" t="s">
        <v>205</v>
      </c>
      <c r="K481" t="s">
        <v>224</v>
      </c>
      <c r="L481" t="s">
        <v>380</v>
      </c>
      <c r="M481" t="s">
        <v>604</v>
      </c>
      <c r="N481" t="s">
        <v>339</v>
      </c>
      <c r="O481" t="s">
        <v>1216</v>
      </c>
      <c r="P481" s="131">
        <v>31600</v>
      </c>
      <c r="Q481" s="131">
        <v>3.71</v>
      </c>
      <c r="R481" s="131">
        <v>9726</v>
      </c>
      <c r="T481" s="131">
        <v>11402.373</v>
      </c>
      <c r="U481" s="132">
        <v>0</v>
      </c>
      <c r="V481" s="132">
        <v>1.031E-2</v>
      </c>
      <c r="W481" s="132">
        <v>3.7699999999999999E-3</v>
      </c>
    </row>
    <row r="482" spans="1:23">
      <c r="A482" t="s">
        <v>1213</v>
      </c>
      <c r="B482" t="s">
        <v>1254</v>
      </c>
      <c r="C482" t="s">
        <v>4390</v>
      </c>
      <c r="D482" t="s">
        <v>4391</v>
      </c>
      <c r="E482" t="s">
        <v>80</v>
      </c>
      <c r="F482" t="s">
        <v>4392</v>
      </c>
      <c r="G482" t="s">
        <v>4393</v>
      </c>
      <c r="H482" t="s">
        <v>321</v>
      </c>
      <c r="I482" t="s">
        <v>965</v>
      </c>
      <c r="J482" t="s">
        <v>205</v>
      </c>
      <c r="K482" t="s">
        <v>224</v>
      </c>
      <c r="L482" t="s">
        <v>344</v>
      </c>
      <c r="M482" t="s">
        <v>735</v>
      </c>
      <c r="N482" t="s">
        <v>339</v>
      </c>
      <c r="O482" t="s">
        <v>1216</v>
      </c>
      <c r="P482" s="131">
        <v>16960</v>
      </c>
      <c r="Q482" s="131">
        <v>3.71</v>
      </c>
      <c r="R482" s="131">
        <v>9880</v>
      </c>
      <c r="T482" s="131">
        <v>6216.6540000000005</v>
      </c>
      <c r="U482" s="132">
        <v>0</v>
      </c>
      <c r="V482" s="132">
        <v>5.62E-3</v>
      </c>
      <c r="W482" s="132">
        <v>2.0500000000000002E-3</v>
      </c>
    </row>
    <row r="483" spans="1:23">
      <c r="A483" t="s">
        <v>1213</v>
      </c>
      <c r="B483" t="s">
        <v>1254</v>
      </c>
      <c r="C483" t="s">
        <v>4418</v>
      </c>
      <c r="D483" t="s">
        <v>4419</v>
      </c>
      <c r="E483" t="s">
        <v>80</v>
      </c>
      <c r="F483" t="s">
        <v>4420</v>
      </c>
      <c r="G483" t="s">
        <v>4421</v>
      </c>
      <c r="H483" t="s">
        <v>321</v>
      </c>
      <c r="I483" t="s">
        <v>965</v>
      </c>
      <c r="J483" t="s">
        <v>205</v>
      </c>
      <c r="K483" t="s">
        <v>224</v>
      </c>
      <c r="L483" t="s">
        <v>344</v>
      </c>
      <c r="M483" t="s">
        <v>735</v>
      </c>
      <c r="N483" t="s">
        <v>339</v>
      </c>
      <c r="O483" t="s">
        <v>1216</v>
      </c>
      <c r="P483" s="131">
        <v>11760</v>
      </c>
      <c r="Q483" s="131">
        <v>3.71</v>
      </c>
      <c r="R483" s="131">
        <v>8453</v>
      </c>
      <c r="T483" s="131">
        <v>3688.01</v>
      </c>
      <c r="U483" s="132">
        <v>0</v>
      </c>
      <c r="V483" s="132">
        <v>3.3400000000000001E-3</v>
      </c>
      <c r="W483" s="132">
        <v>1.2199999999999999E-3</v>
      </c>
    </row>
    <row r="484" spans="1:23">
      <c r="A484" t="s">
        <v>1213</v>
      </c>
      <c r="B484" t="s">
        <v>1255</v>
      </c>
      <c r="C484" t="s">
        <v>4127</v>
      </c>
      <c r="D484" t="s">
        <v>4128</v>
      </c>
      <c r="E484" t="s">
        <v>309</v>
      </c>
      <c r="F484" t="s">
        <v>4131</v>
      </c>
      <c r="G484" t="s">
        <v>4132</v>
      </c>
      <c r="H484" t="s">
        <v>321</v>
      </c>
      <c r="I484" t="s">
        <v>965</v>
      </c>
      <c r="J484" t="s">
        <v>204</v>
      </c>
      <c r="K484" t="s">
        <v>204</v>
      </c>
      <c r="L484" t="s">
        <v>340</v>
      </c>
      <c r="M484" t="s">
        <v>605</v>
      </c>
      <c r="N484" t="s">
        <v>339</v>
      </c>
      <c r="O484" t="s">
        <v>1212</v>
      </c>
      <c r="P484" s="131">
        <v>1198346</v>
      </c>
      <c r="Q484" s="131">
        <v>1</v>
      </c>
      <c r="R484" s="131">
        <v>5590</v>
      </c>
      <c r="T484" s="131">
        <v>66987.540999999997</v>
      </c>
      <c r="U484" s="132">
        <v>9.8600000000000007E-3</v>
      </c>
      <c r="V484" s="132">
        <v>0.12382</v>
      </c>
      <c r="W484" s="132">
        <v>6.7610000000000003E-2</v>
      </c>
    </row>
    <row r="485" spans="1:23">
      <c r="A485" t="s">
        <v>1213</v>
      </c>
      <c r="B485" t="s">
        <v>1255</v>
      </c>
      <c r="C485" t="s">
        <v>4181</v>
      </c>
      <c r="D485" t="s">
        <v>4182</v>
      </c>
      <c r="E485" t="s">
        <v>309</v>
      </c>
      <c r="F485" t="s">
        <v>4183</v>
      </c>
      <c r="G485" t="s">
        <v>4184</v>
      </c>
      <c r="H485" t="s">
        <v>321</v>
      </c>
      <c r="I485" t="s">
        <v>965</v>
      </c>
      <c r="J485" t="s">
        <v>204</v>
      </c>
      <c r="K485" t="s">
        <v>204</v>
      </c>
      <c r="L485" t="s">
        <v>340</v>
      </c>
      <c r="M485" t="s">
        <v>605</v>
      </c>
      <c r="N485" t="s">
        <v>339</v>
      </c>
      <c r="O485" t="s">
        <v>1212</v>
      </c>
      <c r="P485" s="131">
        <v>665402</v>
      </c>
      <c r="Q485" s="131">
        <v>1</v>
      </c>
      <c r="R485" s="131">
        <v>9006</v>
      </c>
      <c r="T485" s="131">
        <v>59926.103999999999</v>
      </c>
      <c r="U485" s="132">
        <v>2.7730000000000001E-2</v>
      </c>
      <c r="V485" s="132">
        <v>0.11076999999999999</v>
      </c>
      <c r="W485" s="132">
        <v>6.0479999999999999E-2</v>
      </c>
    </row>
    <row r="486" spans="1:23">
      <c r="A486" t="s">
        <v>1213</v>
      </c>
      <c r="B486" t="s">
        <v>1255</v>
      </c>
      <c r="C486" t="s">
        <v>4107</v>
      </c>
      <c r="D486" t="s">
        <v>4108</v>
      </c>
      <c r="E486" t="s">
        <v>309</v>
      </c>
      <c r="F486" t="s">
        <v>4115</v>
      </c>
      <c r="G486" t="s">
        <v>4116</v>
      </c>
      <c r="H486" t="s">
        <v>321</v>
      </c>
      <c r="I486" t="s">
        <v>965</v>
      </c>
      <c r="J486" t="s">
        <v>204</v>
      </c>
      <c r="K486" t="s">
        <v>204</v>
      </c>
      <c r="L486" t="s">
        <v>340</v>
      </c>
      <c r="M486" t="s">
        <v>605</v>
      </c>
      <c r="N486" t="s">
        <v>339</v>
      </c>
      <c r="O486" t="s">
        <v>1212</v>
      </c>
      <c r="P486" s="131">
        <v>711112</v>
      </c>
      <c r="Q486" s="131">
        <v>1</v>
      </c>
      <c r="R486" s="131">
        <v>7341</v>
      </c>
      <c r="T486" s="131">
        <v>52202.732000000004</v>
      </c>
      <c r="U486" s="132">
        <v>2.2939999999999999E-2</v>
      </c>
      <c r="V486" s="132">
        <v>9.6490000000000006E-2</v>
      </c>
      <c r="W486" s="132">
        <v>5.2690000000000001E-2</v>
      </c>
    </row>
    <row r="487" spans="1:23">
      <c r="A487" t="s">
        <v>1213</v>
      </c>
      <c r="B487" t="s">
        <v>1255</v>
      </c>
      <c r="C487" t="s">
        <v>4111</v>
      </c>
      <c r="D487" t="s">
        <v>4112</v>
      </c>
      <c r="E487" t="s">
        <v>309</v>
      </c>
      <c r="F487" t="s">
        <v>4147</v>
      </c>
      <c r="G487" t="s">
        <v>4148</v>
      </c>
      <c r="H487" t="s">
        <v>321</v>
      </c>
      <c r="I487" t="s">
        <v>965</v>
      </c>
      <c r="J487" t="s">
        <v>204</v>
      </c>
      <c r="K487" t="s">
        <v>204</v>
      </c>
      <c r="L487" t="s">
        <v>340</v>
      </c>
      <c r="M487" t="s">
        <v>604</v>
      </c>
      <c r="N487" t="s">
        <v>339</v>
      </c>
      <c r="O487" t="s">
        <v>1212</v>
      </c>
      <c r="P487" s="131">
        <v>139684</v>
      </c>
      <c r="Q487" s="131">
        <v>1</v>
      </c>
      <c r="R487" s="131">
        <v>23280</v>
      </c>
      <c r="T487" s="131">
        <v>32518.435000000001</v>
      </c>
      <c r="U487" s="132">
        <v>5.0499999999999998E-3</v>
      </c>
      <c r="V487" s="132">
        <v>6.0109999999999997E-2</v>
      </c>
      <c r="W487" s="132">
        <v>3.2820000000000002E-2</v>
      </c>
    </row>
    <row r="488" spans="1:23">
      <c r="A488" t="s">
        <v>1213</v>
      </c>
      <c r="B488" t="s">
        <v>1255</v>
      </c>
      <c r="C488" t="s">
        <v>4111</v>
      </c>
      <c r="D488" t="s">
        <v>4112</v>
      </c>
      <c r="E488" t="s">
        <v>309</v>
      </c>
      <c r="F488" t="s">
        <v>4197</v>
      </c>
      <c r="G488" t="s">
        <v>4198</v>
      </c>
      <c r="H488" t="s">
        <v>321</v>
      </c>
      <c r="I488" t="s">
        <v>965</v>
      </c>
      <c r="J488" t="s">
        <v>204</v>
      </c>
      <c r="K488" t="s">
        <v>204</v>
      </c>
      <c r="L488" t="s">
        <v>340</v>
      </c>
      <c r="M488" t="s">
        <v>598</v>
      </c>
      <c r="N488" t="s">
        <v>339</v>
      </c>
      <c r="O488" t="s">
        <v>1212</v>
      </c>
      <c r="P488" s="131">
        <v>150599</v>
      </c>
      <c r="Q488" s="131">
        <v>1</v>
      </c>
      <c r="R488" s="131">
        <v>16780</v>
      </c>
      <c r="T488" s="131">
        <v>25270.511999999999</v>
      </c>
      <c r="U488" s="132">
        <v>1.5299999999999999E-2</v>
      </c>
      <c r="V488" s="132">
        <v>4.6710000000000002E-2</v>
      </c>
      <c r="W488" s="132">
        <v>2.5499999999999998E-2</v>
      </c>
    </row>
    <row r="489" spans="1:23">
      <c r="A489" t="s">
        <v>1213</v>
      </c>
      <c r="B489" t="s">
        <v>1255</v>
      </c>
      <c r="C489" t="s">
        <v>4127</v>
      </c>
      <c r="D489" t="s">
        <v>4128</v>
      </c>
      <c r="E489" t="s">
        <v>309</v>
      </c>
      <c r="F489" t="s">
        <v>4187</v>
      </c>
      <c r="G489" t="s">
        <v>4188</v>
      </c>
      <c r="H489" t="s">
        <v>321</v>
      </c>
      <c r="I489" t="s">
        <v>965</v>
      </c>
      <c r="J489" t="s">
        <v>204</v>
      </c>
      <c r="K489" t="s">
        <v>204</v>
      </c>
      <c r="L489" t="s">
        <v>340</v>
      </c>
      <c r="M489" t="s">
        <v>598</v>
      </c>
      <c r="N489" t="s">
        <v>339</v>
      </c>
      <c r="O489" t="s">
        <v>1212</v>
      </c>
      <c r="P489" s="131">
        <v>96231</v>
      </c>
      <c r="Q489" s="131">
        <v>1</v>
      </c>
      <c r="R489" s="131">
        <v>17380</v>
      </c>
      <c r="T489" s="131">
        <v>16724.948</v>
      </c>
      <c r="U489" s="132">
        <v>1.0869999999999999E-2</v>
      </c>
      <c r="V489" s="132">
        <v>3.091E-2</v>
      </c>
      <c r="W489" s="132">
        <v>1.6879999999999999E-2</v>
      </c>
    </row>
    <row r="490" spans="1:23">
      <c r="A490" t="s">
        <v>1213</v>
      </c>
      <c r="B490" t="s">
        <v>1255</v>
      </c>
      <c r="C490" t="s">
        <v>4107</v>
      </c>
      <c r="D490" t="s">
        <v>4108</v>
      </c>
      <c r="E490" t="s">
        <v>309</v>
      </c>
      <c r="F490" t="s">
        <v>4121</v>
      </c>
      <c r="G490" t="s">
        <v>4122</v>
      </c>
      <c r="H490" t="s">
        <v>321</v>
      </c>
      <c r="I490" t="s">
        <v>965</v>
      </c>
      <c r="J490" t="s">
        <v>204</v>
      </c>
      <c r="K490" t="s">
        <v>204</v>
      </c>
      <c r="L490" t="s">
        <v>340</v>
      </c>
      <c r="M490" t="s">
        <v>604</v>
      </c>
      <c r="N490" t="s">
        <v>339</v>
      </c>
      <c r="O490" t="s">
        <v>1212</v>
      </c>
      <c r="P490" s="131">
        <v>160640</v>
      </c>
      <c r="Q490" s="131">
        <v>1</v>
      </c>
      <c r="R490" s="131">
        <v>9106</v>
      </c>
      <c r="T490" s="131">
        <v>14627.878000000001</v>
      </c>
      <c r="U490" s="132">
        <v>1.8400000000000001E-3</v>
      </c>
      <c r="V490" s="132">
        <v>2.7040000000000002E-2</v>
      </c>
      <c r="W490" s="132">
        <v>1.4760000000000001E-2</v>
      </c>
    </row>
    <row r="491" spans="1:23">
      <c r="A491" t="s">
        <v>1213</v>
      </c>
      <c r="B491" t="s">
        <v>1255</v>
      </c>
      <c r="C491" t="s">
        <v>4111</v>
      </c>
      <c r="D491" t="s">
        <v>4112</v>
      </c>
      <c r="E491" t="s">
        <v>309</v>
      </c>
      <c r="F491" t="s">
        <v>4113</v>
      </c>
      <c r="G491" t="s">
        <v>4114</v>
      </c>
      <c r="H491" t="s">
        <v>321</v>
      </c>
      <c r="I491" t="s">
        <v>965</v>
      </c>
      <c r="J491" t="s">
        <v>204</v>
      </c>
      <c r="K491" t="s">
        <v>204</v>
      </c>
      <c r="L491" t="s">
        <v>340</v>
      </c>
      <c r="M491" t="s">
        <v>605</v>
      </c>
      <c r="N491" t="s">
        <v>339</v>
      </c>
      <c r="O491" t="s">
        <v>1212</v>
      </c>
      <c r="P491" s="131">
        <v>183570.21</v>
      </c>
      <c r="Q491" s="131">
        <v>1</v>
      </c>
      <c r="R491" s="131">
        <v>5505</v>
      </c>
      <c r="T491" s="131">
        <v>10105.540000000001</v>
      </c>
      <c r="U491" s="132">
        <v>2.4199999999999998E-3</v>
      </c>
      <c r="V491" s="132">
        <v>1.8679999999999999E-2</v>
      </c>
      <c r="W491" s="132">
        <v>1.0200000000000001E-2</v>
      </c>
    </row>
    <row r="492" spans="1:23">
      <c r="A492" t="s">
        <v>1213</v>
      </c>
      <c r="B492" t="s">
        <v>1255</v>
      </c>
      <c r="C492" t="s">
        <v>4091</v>
      </c>
      <c r="D492" t="s">
        <v>4092</v>
      </c>
      <c r="E492" t="s">
        <v>80</v>
      </c>
      <c r="F492" t="s">
        <v>4093</v>
      </c>
      <c r="G492" t="s">
        <v>4094</v>
      </c>
      <c r="H492" t="s">
        <v>321</v>
      </c>
      <c r="I492" t="s">
        <v>965</v>
      </c>
      <c r="J492" t="s">
        <v>205</v>
      </c>
      <c r="K492" t="s">
        <v>224</v>
      </c>
      <c r="L492" t="s">
        <v>344</v>
      </c>
      <c r="M492" t="s">
        <v>604</v>
      </c>
      <c r="N492" t="s">
        <v>339</v>
      </c>
      <c r="O492" t="s">
        <v>1216</v>
      </c>
      <c r="P492" s="131">
        <v>45226</v>
      </c>
      <c r="Q492" s="131">
        <v>3.71</v>
      </c>
      <c r="R492" s="131">
        <v>52767</v>
      </c>
      <c r="S492" s="131">
        <v>74.106999999999999</v>
      </c>
      <c r="T492" s="131">
        <v>88811.875</v>
      </c>
      <c r="U492" s="132">
        <v>0</v>
      </c>
      <c r="V492" s="132">
        <v>0.1643</v>
      </c>
      <c r="W492" s="132">
        <v>8.9709999999999998E-2</v>
      </c>
    </row>
    <row r="493" spans="1:23">
      <c r="A493" t="s">
        <v>1213</v>
      </c>
      <c r="B493" t="s">
        <v>1255</v>
      </c>
      <c r="C493" t="s">
        <v>4099</v>
      </c>
      <c r="D493" t="s">
        <v>4100</v>
      </c>
      <c r="E493" t="s">
        <v>80</v>
      </c>
      <c r="F493" t="s">
        <v>4101</v>
      </c>
      <c r="G493" t="s">
        <v>4102</v>
      </c>
      <c r="H493" t="s">
        <v>321</v>
      </c>
      <c r="I493" t="s">
        <v>965</v>
      </c>
      <c r="J493" t="s">
        <v>205</v>
      </c>
      <c r="K493" t="s">
        <v>224</v>
      </c>
      <c r="L493" t="s">
        <v>344</v>
      </c>
      <c r="M493" t="s">
        <v>604</v>
      </c>
      <c r="N493" t="s">
        <v>339</v>
      </c>
      <c r="O493" t="s">
        <v>1216</v>
      </c>
      <c r="P493" s="131">
        <v>38352</v>
      </c>
      <c r="Q493" s="131">
        <v>3.71</v>
      </c>
      <c r="R493" s="131">
        <v>57376</v>
      </c>
      <c r="S493" s="131">
        <f>50.371+3213.34/1000/Q493</f>
        <v>51.237129380053908</v>
      </c>
      <c r="T493" s="131">
        <f>81824.845+3213.34/1000</f>
        <v>81828.058340000003</v>
      </c>
      <c r="U493" s="132">
        <v>0</v>
      </c>
      <c r="V493" s="132">
        <v>0.15134</v>
      </c>
      <c r="W493" s="132">
        <v>8.2629999999999995E-2</v>
      </c>
    </row>
    <row r="494" spans="1:23">
      <c r="A494" t="s">
        <v>1213</v>
      </c>
      <c r="B494" t="s">
        <v>1255</v>
      </c>
      <c r="C494" t="s">
        <v>4103</v>
      </c>
      <c r="D494" t="s">
        <v>4104</v>
      </c>
      <c r="E494" t="s">
        <v>80</v>
      </c>
      <c r="F494" t="s">
        <v>4105</v>
      </c>
      <c r="G494" t="s">
        <v>4106</v>
      </c>
      <c r="H494" t="s">
        <v>321</v>
      </c>
      <c r="I494" t="s">
        <v>965</v>
      </c>
      <c r="J494" t="s">
        <v>205</v>
      </c>
      <c r="K494" t="s">
        <v>224</v>
      </c>
      <c r="L494" t="s">
        <v>380</v>
      </c>
      <c r="M494" t="s">
        <v>604</v>
      </c>
      <c r="N494" t="s">
        <v>339</v>
      </c>
      <c r="O494" t="s">
        <v>1216</v>
      </c>
      <c r="P494" s="131">
        <v>7995</v>
      </c>
      <c r="Q494" s="131">
        <v>3.71</v>
      </c>
      <c r="R494" s="131">
        <v>112716</v>
      </c>
      <c r="T494" s="131">
        <v>33433.199999999997</v>
      </c>
      <c r="U494" s="132">
        <v>0</v>
      </c>
      <c r="V494" s="132">
        <v>6.1800000000000001E-2</v>
      </c>
      <c r="W494" s="132">
        <v>3.3739999999999999E-2</v>
      </c>
    </row>
    <row r="495" spans="1:23">
      <c r="A495" t="s">
        <v>1213</v>
      </c>
      <c r="B495" t="s">
        <v>1255</v>
      </c>
      <c r="C495" t="s">
        <v>4238</v>
      </c>
      <c r="D495" t="s">
        <v>4239</v>
      </c>
      <c r="E495" t="s">
        <v>80</v>
      </c>
      <c r="F495" t="s">
        <v>4414</v>
      </c>
      <c r="G495" t="s">
        <v>4415</v>
      </c>
      <c r="H495" t="s">
        <v>321</v>
      </c>
      <c r="I495" t="s">
        <v>965</v>
      </c>
      <c r="J495" t="s">
        <v>205</v>
      </c>
      <c r="K495" t="s">
        <v>224</v>
      </c>
      <c r="L495" t="s">
        <v>380</v>
      </c>
      <c r="M495" t="s">
        <v>604</v>
      </c>
      <c r="N495" t="s">
        <v>339</v>
      </c>
      <c r="O495" t="s">
        <v>1216</v>
      </c>
      <c r="P495" s="131">
        <v>7483</v>
      </c>
      <c r="Q495" s="131">
        <v>3.71</v>
      </c>
      <c r="R495" s="131">
        <v>60718</v>
      </c>
      <c r="T495" s="131">
        <v>16856.489000000001</v>
      </c>
      <c r="U495" s="132">
        <v>0</v>
      </c>
      <c r="V495" s="132">
        <v>3.116E-2</v>
      </c>
      <c r="W495" s="132">
        <v>1.7010000000000001E-2</v>
      </c>
    </row>
    <row r="496" spans="1:23">
      <c r="A496" t="s">
        <v>1213</v>
      </c>
      <c r="B496" t="s">
        <v>1255</v>
      </c>
      <c r="C496" t="s">
        <v>4302</v>
      </c>
      <c r="D496" t="s">
        <v>4303</v>
      </c>
      <c r="E496" t="s">
        <v>80</v>
      </c>
      <c r="F496" t="s">
        <v>4422</v>
      </c>
      <c r="G496" t="s">
        <v>4423</v>
      </c>
      <c r="H496" t="s">
        <v>321</v>
      </c>
      <c r="I496" t="s">
        <v>967</v>
      </c>
      <c r="J496" t="s">
        <v>205</v>
      </c>
      <c r="K496" t="s">
        <v>224</v>
      </c>
      <c r="L496" t="s">
        <v>344</v>
      </c>
      <c r="M496" t="s">
        <v>732</v>
      </c>
      <c r="N496" t="s">
        <v>339</v>
      </c>
      <c r="O496" t="s">
        <v>1216</v>
      </c>
      <c r="P496" s="131">
        <v>30619</v>
      </c>
      <c r="Q496" s="131">
        <v>3.71</v>
      </c>
      <c r="R496" s="131">
        <v>10050</v>
      </c>
      <c r="T496" s="131">
        <v>11416.447</v>
      </c>
      <c r="U496" s="132">
        <v>4.0000000000000003E-5</v>
      </c>
      <c r="V496" s="132">
        <v>2.1100000000000001E-2</v>
      </c>
      <c r="W496" s="132">
        <v>1.1520000000000001E-2</v>
      </c>
    </row>
    <row r="497" spans="1:23">
      <c r="A497" t="s">
        <v>1213</v>
      </c>
      <c r="B497" t="s">
        <v>1255</v>
      </c>
      <c r="C497" t="s">
        <v>4238</v>
      </c>
      <c r="D497" t="s">
        <v>4239</v>
      </c>
      <c r="E497" t="s">
        <v>80</v>
      </c>
      <c r="F497" t="s">
        <v>4362</v>
      </c>
      <c r="G497" t="s">
        <v>4363</v>
      </c>
      <c r="H497" t="s">
        <v>321</v>
      </c>
      <c r="I497" t="s">
        <v>965</v>
      </c>
      <c r="J497" t="s">
        <v>205</v>
      </c>
      <c r="K497" t="s">
        <v>293</v>
      </c>
      <c r="L497" t="s">
        <v>368</v>
      </c>
      <c r="M497" t="s">
        <v>584</v>
      </c>
      <c r="N497" t="s">
        <v>339</v>
      </c>
      <c r="O497" t="s">
        <v>1218</v>
      </c>
      <c r="P497" s="131">
        <v>53850</v>
      </c>
      <c r="Q497" s="131">
        <v>4.1524000000000001</v>
      </c>
      <c r="R497" s="131">
        <v>5031</v>
      </c>
      <c r="T497" s="131">
        <v>11249.655000000001</v>
      </c>
      <c r="U497" s="132">
        <v>1.0000000000000001E-5</v>
      </c>
      <c r="V497" s="132">
        <v>2.0789999999999999E-2</v>
      </c>
      <c r="W497" s="132">
        <v>1.1350000000000001E-2</v>
      </c>
    </row>
    <row r="498" spans="1:23">
      <c r="A498" t="s">
        <v>1213</v>
      </c>
      <c r="B498" t="s">
        <v>1255</v>
      </c>
      <c r="C498" t="s">
        <v>4099</v>
      </c>
      <c r="D498" t="s">
        <v>4100</v>
      </c>
      <c r="E498" t="s">
        <v>80</v>
      </c>
      <c r="F498" t="s">
        <v>4424</v>
      </c>
      <c r="G498" t="s">
        <v>4425</v>
      </c>
      <c r="H498" t="s">
        <v>321</v>
      </c>
      <c r="I498" t="s">
        <v>965</v>
      </c>
      <c r="J498" t="s">
        <v>205</v>
      </c>
      <c r="K498" t="s">
        <v>224</v>
      </c>
      <c r="L498" t="s">
        <v>344</v>
      </c>
      <c r="M498" t="s">
        <v>735</v>
      </c>
      <c r="N498" t="s">
        <v>339</v>
      </c>
      <c r="O498" t="s">
        <v>1216</v>
      </c>
      <c r="P498" s="131">
        <v>3700</v>
      </c>
      <c r="Q498" s="131">
        <v>3.71</v>
      </c>
      <c r="R498" s="131">
        <v>42312</v>
      </c>
      <c r="S498" s="131">
        <f>3.474+221.6/1000/Q498</f>
        <v>3.5337304582210245</v>
      </c>
      <c r="T498" s="131">
        <f>5821.056+221.6/1000</f>
        <v>5821.2775999999994</v>
      </c>
      <c r="U498" s="132">
        <v>0</v>
      </c>
      <c r="V498" s="132">
        <v>1.077E-2</v>
      </c>
      <c r="W498" s="132">
        <v>5.8799999999999998E-3</v>
      </c>
    </row>
    <row r="499" spans="1:23">
      <c r="A499" t="s">
        <v>1213</v>
      </c>
      <c r="B499" t="s">
        <v>1255</v>
      </c>
      <c r="C499" t="s">
        <v>4390</v>
      </c>
      <c r="D499" t="s">
        <v>4391</v>
      </c>
      <c r="E499" t="s">
        <v>80</v>
      </c>
      <c r="F499" t="s">
        <v>4392</v>
      </c>
      <c r="G499" t="s">
        <v>4393</v>
      </c>
      <c r="H499" t="s">
        <v>321</v>
      </c>
      <c r="I499" t="s">
        <v>965</v>
      </c>
      <c r="J499" t="s">
        <v>205</v>
      </c>
      <c r="K499" t="s">
        <v>224</v>
      </c>
      <c r="L499" t="s">
        <v>344</v>
      </c>
      <c r="M499" t="s">
        <v>735</v>
      </c>
      <c r="N499" t="s">
        <v>339</v>
      </c>
      <c r="O499" t="s">
        <v>1216</v>
      </c>
      <c r="P499" s="131">
        <v>15000</v>
      </c>
      <c r="Q499" s="131">
        <v>3.71</v>
      </c>
      <c r="R499" s="131">
        <v>9880</v>
      </c>
      <c r="T499" s="131">
        <v>5498.22</v>
      </c>
      <c r="U499" s="132">
        <v>0</v>
      </c>
      <c r="V499" s="132">
        <v>1.0160000000000001E-2</v>
      </c>
      <c r="W499" s="132">
        <v>5.5500000000000002E-3</v>
      </c>
    </row>
    <row r="500" spans="1:23">
      <c r="A500" t="s">
        <v>1213</v>
      </c>
      <c r="B500" t="s">
        <v>1255</v>
      </c>
      <c r="C500" t="s">
        <v>4302</v>
      </c>
      <c r="D500" t="s">
        <v>4303</v>
      </c>
      <c r="E500" t="s">
        <v>80</v>
      </c>
      <c r="F500" t="s">
        <v>4304</v>
      </c>
      <c r="G500" t="s">
        <v>4305</v>
      </c>
      <c r="H500" t="s">
        <v>321</v>
      </c>
      <c r="I500" t="s">
        <v>965</v>
      </c>
      <c r="J500" t="s">
        <v>205</v>
      </c>
      <c r="K500" t="s">
        <v>224</v>
      </c>
      <c r="L500" t="s">
        <v>344</v>
      </c>
      <c r="M500" t="s">
        <v>735</v>
      </c>
      <c r="N500" t="s">
        <v>339</v>
      </c>
      <c r="O500" t="s">
        <v>1216</v>
      </c>
      <c r="P500" s="131">
        <v>22500</v>
      </c>
      <c r="Q500" s="131">
        <v>3.71</v>
      </c>
      <c r="R500" s="131">
        <v>4727</v>
      </c>
      <c r="T500" s="131">
        <v>3945.8629999999998</v>
      </c>
      <c r="U500" s="132">
        <v>1.0000000000000001E-5</v>
      </c>
      <c r="V500" s="132">
        <v>7.2899999999999996E-3</v>
      </c>
      <c r="W500" s="132">
        <v>3.98E-3</v>
      </c>
    </row>
    <row r="501" spans="1:23">
      <c r="A501" t="s">
        <v>1213</v>
      </c>
      <c r="B501" t="s">
        <v>1255</v>
      </c>
      <c r="C501" t="s">
        <v>4095</v>
      </c>
      <c r="D501" t="s">
        <v>4096</v>
      </c>
      <c r="E501" t="s">
        <v>80</v>
      </c>
      <c r="F501" t="s">
        <v>4097</v>
      </c>
      <c r="G501" t="s">
        <v>4098</v>
      </c>
      <c r="H501" t="s">
        <v>321</v>
      </c>
      <c r="I501" t="s">
        <v>965</v>
      </c>
      <c r="J501" t="s">
        <v>205</v>
      </c>
      <c r="K501" t="s">
        <v>224</v>
      </c>
      <c r="L501" t="s">
        <v>346</v>
      </c>
      <c r="M501" t="s">
        <v>597</v>
      </c>
      <c r="N501" t="s">
        <v>339</v>
      </c>
      <c r="O501" t="s">
        <v>1216</v>
      </c>
      <c r="P501" s="131">
        <v>2090</v>
      </c>
      <c r="Q501" s="131">
        <v>3.71</v>
      </c>
      <c r="R501" s="131">
        <v>48807</v>
      </c>
      <c r="S501" s="131">
        <f>1.064+67.9/1000/Q501</f>
        <v>1.082301886792453</v>
      </c>
      <c r="T501" s="131">
        <f>3788.395+67.9/1000</f>
        <v>3788.4629</v>
      </c>
      <c r="U501" s="132">
        <v>0</v>
      </c>
      <c r="V501" s="132">
        <v>7.0000000000000001E-3</v>
      </c>
      <c r="W501" s="132">
        <v>3.82E-3</v>
      </c>
    </row>
    <row r="502" spans="1:23">
      <c r="A502" t="s">
        <v>1213</v>
      </c>
      <c r="B502" t="s">
        <v>1256</v>
      </c>
      <c r="C502" t="s">
        <v>4111</v>
      </c>
      <c r="D502" t="s">
        <v>4112</v>
      </c>
      <c r="E502" t="s">
        <v>309</v>
      </c>
      <c r="F502" t="s">
        <v>4139</v>
      </c>
      <c r="G502" t="s">
        <v>4140</v>
      </c>
      <c r="H502" t="s">
        <v>321</v>
      </c>
      <c r="I502" t="s">
        <v>966</v>
      </c>
      <c r="J502" t="s">
        <v>204</v>
      </c>
      <c r="K502" t="s">
        <v>204</v>
      </c>
      <c r="L502" t="s">
        <v>340</v>
      </c>
      <c r="M502" t="s">
        <v>576</v>
      </c>
      <c r="N502" t="s">
        <v>339</v>
      </c>
      <c r="O502" t="s">
        <v>1212</v>
      </c>
      <c r="P502" s="131">
        <v>140966</v>
      </c>
      <c r="Q502" s="131">
        <v>1</v>
      </c>
      <c r="R502" s="131">
        <v>3637.39</v>
      </c>
      <c r="T502" s="131">
        <v>5127.4830000000002</v>
      </c>
      <c r="U502" s="132">
        <v>1.01E-3</v>
      </c>
      <c r="V502" s="132">
        <v>0.60374000000000005</v>
      </c>
      <c r="W502" s="132">
        <v>2.6429999999999999E-2</v>
      </c>
    </row>
    <row r="503" spans="1:23">
      <c r="A503" t="s">
        <v>1213</v>
      </c>
      <c r="B503" t="s">
        <v>1256</v>
      </c>
      <c r="C503" t="s">
        <v>4107</v>
      </c>
      <c r="D503" t="s">
        <v>4108</v>
      </c>
      <c r="E503" t="s">
        <v>309</v>
      </c>
      <c r="F503" t="s">
        <v>4316</v>
      </c>
      <c r="G503" t="s">
        <v>4317</v>
      </c>
      <c r="H503" t="s">
        <v>321</v>
      </c>
      <c r="I503" t="s">
        <v>966</v>
      </c>
      <c r="J503" t="s">
        <v>204</v>
      </c>
      <c r="K503" t="s">
        <v>204</v>
      </c>
      <c r="L503" t="s">
        <v>340</v>
      </c>
      <c r="M503" t="s">
        <v>573</v>
      </c>
      <c r="N503" t="s">
        <v>339</v>
      </c>
      <c r="O503" t="s">
        <v>1212</v>
      </c>
      <c r="P503" s="131">
        <v>487000</v>
      </c>
      <c r="Q503" s="131">
        <v>1</v>
      </c>
      <c r="R503" s="131">
        <v>461.48</v>
      </c>
      <c r="T503" s="131">
        <v>2247.4079999999999</v>
      </c>
      <c r="U503" s="132">
        <v>2.0400000000000001E-3</v>
      </c>
      <c r="V503" s="132">
        <v>0.26462000000000002</v>
      </c>
      <c r="W503" s="132">
        <v>1.158E-2</v>
      </c>
    </row>
    <row r="504" spans="1:23">
      <c r="A504" t="s">
        <v>1213</v>
      </c>
      <c r="B504" t="s">
        <v>1256</v>
      </c>
      <c r="C504" t="s">
        <v>4127</v>
      </c>
      <c r="D504" t="s">
        <v>4128</v>
      </c>
      <c r="E504" t="s">
        <v>309</v>
      </c>
      <c r="F504" t="s">
        <v>4131</v>
      </c>
      <c r="G504" t="s">
        <v>4132</v>
      </c>
      <c r="H504" t="s">
        <v>321</v>
      </c>
      <c r="I504" t="s">
        <v>965</v>
      </c>
      <c r="J504" t="s">
        <v>204</v>
      </c>
      <c r="K504" t="s">
        <v>204</v>
      </c>
      <c r="L504" t="s">
        <v>340</v>
      </c>
      <c r="M504" t="s">
        <v>605</v>
      </c>
      <c r="N504" t="s">
        <v>339</v>
      </c>
      <c r="O504" t="s">
        <v>1212</v>
      </c>
      <c r="P504" s="131">
        <v>20000</v>
      </c>
      <c r="Q504" s="131">
        <v>1</v>
      </c>
      <c r="R504" s="131">
        <v>5590</v>
      </c>
      <c r="T504" s="131">
        <v>1118</v>
      </c>
      <c r="U504" s="132">
        <v>1.6000000000000001E-4</v>
      </c>
      <c r="V504" s="132">
        <v>0.13164000000000001</v>
      </c>
      <c r="W504" s="132">
        <v>5.7600000000000004E-3</v>
      </c>
    </row>
    <row r="505" spans="1:23">
      <c r="A505" t="s">
        <v>1213</v>
      </c>
      <c r="B505" t="s">
        <v>1257</v>
      </c>
      <c r="C505" t="s">
        <v>4111</v>
      </c>
      <c r="D505" t="s">
        <v>4112</v>
      </c>
      <c r="E505" t="s">
        <v>309</v>
      </c>
      <c r="F505" t="s">
        <v>4113</v>
      </c>
      <c r="G505" t="s">
        <v>4114</v>
      </c>
      <c r="H505" t="s">
        <v>321</v>
      </c>
      <c r="I505" t="s">
        <v>965</v>
      </c>
      <c r="J505" t="s">
        <v>204</v>
      </c>
      <c r="K505" t="s">
        <v>204</v>
      </c>
      <c r="L505" t="s">
        <v>340</v>
      </c>
      <c r="M505" t="s">
        <v>605</v>
      </c>
      <c r="N505" t="s">
        <v>339</v>
      </c>
      <c r="O505" t="s">
        <v>1212</v>
      </c>
      <c r="P505" s="131">
        <v>59421.760000000002</v>
      </c>
      <c r="Q505" s="131">
        <v>1</v>
      </c>
      <c r="R505" s="131">
        <v>5505</v>
      </c>
      <c r="T505" s="131">
        <v>3271.1680000000001</v>
      </c>
      <c r="U505" s="132">
        <v>7.7999999999999999E-4</v>
      </c>
      <c r="V505" s="132">
        <v>8.2549999999999998E-2</v>
      </c>
      <c r="W505" s="132">
        <v>1.201E-2</v>
      </c>
    </row>
    <row r="506" spans="1:23">
      <c r="A506" t="s">
        <v>1213</v>
      </c>
      <c r="B506" t="s">
        <v>1257</v>
      </c>
      <c r="C506" t="s">
        <v>4127</v>
      </c>
      <c r="D506" t="s">
        <v>4128</v>
      </c>
      <c r="E506" t="s">
        <v>309</v>
      </c>
      <c r="F506" t="s">
        <v>4167</v>
      </c>
      <c r="G506" t="s">
        <v>4168</v>
      </c>
      <c r="H506" t="s">
        <v>321</v>
      </c>
      <c r="I506" t="s">
        <v>966</v>
      </c>
      <c r="J506" t="s">
        <v>204</v>
      </c>
      <c r="K506" t="s">
        <v>204</v>
      </c>
      <c r="L506" t="s">
        <v>340</v>
      </c>
      <c r="M506" t="s">
        <v>630</v>
      </c>
      <c r="N506" t="s">
        <v>339</v>
      </c>
      <c r="O506" t="s">
        <v>1212</v>
      </c>
      <c r="P506" s="131">
        <v>814187</v>
      </c>
      <c r="Q506" s="131">
        <v>1</v>
      </c>
      <c r="R506" s="131">
        <v>389.18</v>
      </c>
      <c r="T506" s="131">
        <v>3168.6529999999998</v>
      </c>
      <c r="U506" s="132">
        <v>2.98E-3</v>
      </c>
      <c r="V506" s="132">
        <v>7.9960000000000003E-2</v>
      </c>
      <c r="W506" s="132">
        <v>1.163E-2</v>
      </c>
    </row>
    <row r="507" spans="1:23">
      <c r="A507" t="s">
        <v>1213</v>
      </c>
      <c r="B507" t="s">
        <v>1257</v>
      </c>
      <c r="C507" t="s">
        <v>4111</v>
      </c>
      <c r="D507" t="s">
        <v>4112</v>
      </c>
      <c r="E507" t="s">
        <v>309</v>
      </c>
      <c r="F507" t="s">
        <v>4310</v>
      </c>
      <c r="G507" t="s">
        <v>4311</v>
      </c>
      <c r="H507" t="s">
        <v>321</v>
      </c>
      <c r="I507" t="s">
        <v>966</v>
      </c>
      <c r="J507" t="s">
        <v>204</v>
      </c>
      <c r="K507" t="s">
        <v>204</v>
      </c>
      <c r="L507" t="s">
        <v>340</v>
      </c>
      <c r="M507" t="s">
        <v>573</v>
      </c>
      <c r="N507" t="s">
        <v>339</v>
      </c>
      <c r="O507" t="s">
        <v>1212</v>
      </c>
      <c r="P507" s="131">
        <v>58694.77</v>
      </c>
      <c r="Q507" s="131">
        <v>1</v>
      </c>
      <c r="R507" s="131">
        <v>3695.59</v>
      </c>
      <c r="T507" s="131">
        <v>2169.1179999999999</v>
      </c>
      <c r="U507" s="132">
        <v>7.3999999999999999E-4</v>
      </c>
      <c r="V507" s="132">
        <v>5.4739999999999997E-2</v>
      </c>
      <c r="W507" s="132">
        <v>7.9600000000000001E-3</v>
      </c>
    </row>
    <row r="508" spans="1:23">
      <c r="A508" t="s">
        <v>1213</v>
      </c>
      <c r="B508" t="s">
        <v>1257</v>
      </c>
      <c r="C508" t="s">
        <v>4107</v>
      </c>
      <c r="D508" t="s">
        <v>4108</v>
      </c>
      <c r="E508" t="s">
        <v>309</v>
      </c>
      <c r="F508" t="s">
        <v>4115</v>
      </c>
      <c r="G508" t="s">
        <v>4116</v>
      </c>
      <c r="H508" t="s">
        <v>321</v>
      </c>
      <c r="I508" t="s">
        <v>965</v>
      </c>
      <c r="J508" t="s">
        <v>204</v>
      </c>
      <c r="K508" t="s">
        <v>204</v>
      </c>
      <c r="L508" t="s">
        <v>340</v>
      </c>
      <c r="M508" t="s">
        <v>605</v>
      </c>
      <c r="N508" t="s">
        <v>339</v>
      </c>
      <c r="O508" t="s">
        <v>1212</v>
      </c>
      <c r="P508" s="131">
        <v>26158</v>
      </c>
      <c r="Q508" s="131">
        <v>1</v>
      </c>
      <c r="R508" s="131">
        <v>7341</v>
      </c>
      <c r="T508" s="131">
        <v>1920.259</v>
      </c>
      <c r="U508" s="132">
        <v>8.4000000000000003E-4</v>
      </c>
      <c r="V508" s="132">
        <v>4.8460000000000003E-2</v>
      </c>
      <c r="W508" s="132">
        <v>7.0499999999999998E-3</v>
      </c>
    </row>
    <row r="509" spans="1:23">
      <c r="A509" t="s">
        <v>1213</v>
      </c>
      <c r="B509" t="s">
        <v>1257</v>
      </c>
      <c r="C509" t="s">
        <v>4111</v>
      </c>
      <c r="D509" t="s">
        <v>4112</v>
      </c>
      <c r="E509" t="s">
        <v>309</v>
      </c>
      <c r="F509" t="s">
        <v>4197</v>
      </c>
      <c r="G509" t="s">
        <v>4198</v>
      </c>
      <c r="H509" t="s">
        <v>321</v>
      </c>
      <c r="I509" t="s">
        <v>965</v>
      </c>
      <c r="J509" t="s">
        <v>204</v>
      </c>
      <c r="K509" t="s">
        <v>204</v>
      </c>
      <c r="L509" t="s">
        <v>340</v>
      </c>
      <c r="M509" t="s">
        <v>598</v>
      </c>
      <c r="N509" t="s">
        <v>339</v>
      </c>
      <c r="O509" t="s">
        <v>1212</v>
      </c>
      <c r="P509" s="131">
        <v>11204</v>
      </c>
      <c r="Q509" s="131">
        <v>1</v>
      </c>
      <c r="R509" s="131">
        <v>16780</v>
      </c>
      <c r="T509" s="131">
        <v>1880.0309999999999</v>
      </c>
      <c r="U509" s="132">
        <v>1.14E-3</v>
      </c>
      <c r="V509" s="132">
        <v>4.7440000000000003E-2</v>
      </c>
      <c r="W509" s="132">
        <v>6.8999999999999999E-3</v>
      </c>
    </row>
    <row r="510" spans="1:23">
      <c r="A510" t="s">
        <v>1213</v>
      </c>
      <c r="B510" t="s">
        <v>1257</v>
      </c>
      <c r="C510" t="s">
        <v>4111</v>
      </c>
      <c r="D510" t="s">
        <v>4112</v>
      </c>
      <c r="E510" t="s">
        <v>309</v>
      </c>
      <c r="F510" t="s">
        <v>4139</v>
      </c>
      <c r="G510" t="s">
        <v>4140</v>
      </c>
      <c r="H510" t="s">
        <v>321</v>
      </c>
      <c r="I510" t="s">
        <v>966</v>
      </c>
      <c r="J510" t="s">
        <v>204</v>
      </c>
      <c r="K510" t="s">
        <v>204</v>
      </c>
      <c r="L510" t="s">
        <v>340</v>
      </c>
      <c r="M510" t="s">
        <v>576</v>
      </c>
      <c r="N510" t="s">
        <v>339</v>
      </c>
      <c r="O510" t="s">
        <v>1212</v>
      </c>
      <c r="P510" s="131">
        <v>35640</v>
      </c>
      <c r="Q510" s="131">
        <v>1</v>
      </c>
      <c r="R510" s="131">
        <v>3637.39</v>
      </c>
      <c r="T510" s="131">
        <v>1296.366</v>
      </c>
      <c r="U510" s="132">
        <v>2.5000000000000001E-4</v>
      </c>
      <c r="V510" s="132">
        <v>3.2710000000000003E-2</v>
      </c>
      <c r="W510" s="132">
        <v>4.7600000000000003E-3</v>
      </c>
    </row>
    <row r="511" spans="1:23">
      <c r="A511" t="s">
        <v>1213</v>
      </c>
      <c r="B511" t="s">
        <v>1257</v>
      </c>
      <c r="C511" t="s">
        <v>4123</v>
      </c>
      <c r="D511" t="s">
        <v>4124</v>
      </c>
      <c r="E511" t="s">
        <v>309</v>
      </c>
      <c r="F511" t="s">
        <v>4205</v>
      </c>
      <c r="G511" t="s">
        <v>4206</v>
      </c>
      <c r="H511" t="s">
        <v>321</v>
      </c>
      <c r="I511" t="s">
        <v>964</v>
      </c>
      <c r="J511" t="s">
        <v>204</v>
      </c>
      <c r="K511" t="s">
        <v>204</v>
      </c>
      <c r="L511" t="s">
        <v>340</v>
      </c>
      <c r="M511" t="s">
        <v>577</v>
      </c>
      <c r="N511" t="s">
        <v>339</v>
      </c>
      <c r="O511" t="s">
        <v>1212</v>
      </c>
      <c r="P511" s="131">
        <v>45405</v>
      </c>
      <c r="Q511" s="131">
        <v>1</v>
      </c>
      <c r="R511" s="131">
        <v>2003</v>
      </c>
      <c r="T511" s="131">
        <v>909.46199999999999</v>
      </c>
      <c r="U511" s="132">
        <v>1.1E-4</v>
      </c>
      <c r="V511" s="132">
        <v>2.2950000000000002E-2</v>
      </c>
      <c r="W511" s="132">
        <v>3.3400000000000001E-3</v>
      </c>
    </row>
    <row r="512" spans="1:23">
      <c r="A512" t="s">
        <v>1213</v>
      </c>
      <c r="B512" t="s">
        <v>1257</v>
      </c>
      <c r="C512" t="s">
        <v>4111</v>
      </c>
      <c r="D512" t="s">
        <v>4112</v>
      </c>
      <c r="E512" t="s">
        <v>309</v>
      </c>
      <c r="F512" t="s">
        <v>4171</v>
      </c>
      <c r="G512" t="s">
        <v>4172</v>
      </c>
      <c r="H512" t="s">
        <v>321</v>
      </c>
      <c r="I512" t="s">
        <v>964</v>
      </c>
      <c r="J512" t="s">
        <v>204</v>
      </c>
      <c r="K512" t="s">
        <v>204</v>
      </c>
      <c r="L512" t="s">
        <v>340</v>
      </c>
      <c r="M512" t="s">
        <v>577</v>
      </c>
      <c r="N512" t="s">
        <v>339</v>
      </c>
      <c r="O512" t="s">
        <v>1212</v>
      </c>
      <c r="P512" s="131">
        <v>4409</v>
      </c>
      <c r="Q512" s="131">
        <v>1</v>
      </c>
      <c r="R512" s="131">
        <v>19380</v>
      </c>
      <c r="T512" s="131">
        <v>854.46400000000006</v>
      </c>
      <c r="U512" s="132">
        <v>1.2999999999999999E-4</v>
      </c>
      <c r="V512" s="132">
        <v>2.1559999999999999E-2</v>
      </c>
      <c r="W512" s="132">
        <v>3.14E-3</v>
      </c>
    </row>
    <row r="513" spans="1:23">
      <c r="A513" t="s">
        <v>1213</v>
      </c>
      <c r="B513" t="s">
        <v>1257</v>
      </c>
      <c r="C513" t="s">
        <v>4117</v>
      </c>
      <c r="D513" t="s">
        <v>4118</v>
      </c>
      <c r="E513" t="s">
        <v>309</v>
      </c>
      <c r="F513" t="s">
        <v>4149</v>
      </c>
      <c r="G513" t="s">
        <v>4150</v>
      </c>
      <c r="H513" t="s">
        <v>321</v>
      </c>
      <c r="I513" t="s">
        <v>966</v>
      </c>
      <c r="J513" t="s">
        <v>204</v>
      </c>
      <c r="K513" t="s">
        <v>204</v>
      </c>
      <c r="L513" t="s">
        <v>340</v>
      </c>
      <c r="M513" t="s">
        <v>576</v>
      </c>
      <c r="N513" t="s">
        <v>339</v>
      </c>
      <c r="O513" t="s">
        <v>1212</v>
      </c>
      <c r="P513" s="131">
        <v>233281.88</v>
      </c>
      <c r="Q513" s="131">
        <v>1</v>
      </c>
      <c r="R513" s="131">
        <v>365.93</v>
      </c>
      <c r="T513" s="131">
        <v>853.64800000000002</v>
      </c>
      <c r="U513" s="132">
        <v>1.7000000000000001E-4</v>
      </c>
      <c r="V513" s="132">
        <v>2.154E-2</v>
      </c>
      <c r="W513" s="132">
        <v>3.13E-3</v>
      </c>
    </row>
    <row r="514" spans="1:23">
      <c r="A514" t="s">
        <v>1213</v>
      </c>
      <c r="B514" t="s">
        <v>1257</v>
      </c>
      <c r="C514" t="s">
        <v>4123</v>
      </c>
      <c r="D514" t="s">
        <v>4124</v>
      </c>
      <c r="E514" t="s">
        <v>309</v>
      </c>
      <c r="F514" t="s">
        <v>4135</v>
      </c>
      <c r="G514" t="s">
        <v>4136</v>
      </c>
      <c r="H514" t="s">
        <v>321</v>
      </c>
      <c r="I514" t="s">
        <v>965</v>
      </c>
      <c r="J514" t="s">
        <v>204</v>
      </c>
      <c r="K514" t="s">
        <v>204</v>
      </c>
      <c r="L514" t="s">
        <v>340</v>
      </c>
      <c r="M514" t="s">
        <v>605</v>
      </c>
      <c r="N514" t="s">
        <v>339</v>
      </c>
      <c r="O514" t="s">
        <v>1212</v>
      </c>
      <c r="P514" s="131">
        <v>14306</v>
      </c>
      <c r="Q514" s="131">
        <v>1</v>
      </c>
      <c r="R514" s="131">
        <v>5069</v>
      </c>
      <c r="T514" s="131">
        <v>725.17100000000005</v>
      </c>
      <c r="U514" s="132">
        <v>1.1E-4</v>
      </c>
      <c r="V514" s="132">
        <v>1.83E-2</v>
      </c>
      <c r="W514" s="132">
        <v>2.66E-3</v>
      </c>
    </row>
    <row r="515" spans="1:23">
      <c r="A515" t="s">
        <v>1213</v>
      </c>
      <c r="B515" t="s">
        <v>1257</v>
      </c>
      <c r="C515" t="s">
        <v>4111</v>
      </c>
      <c r="D515" t="s">
        <v>4112</v>
      </c>
      <c r="E515" t="s">
        <v>309</v>
      </c>
      <c r="F515" t="s">
        <v>4354</v>
      </c>
      <c r="G515" t="s">
        <v>4355</v>
      </c>
      <c r="H515" t="s">
        <v>321</v>
      </c>
      <c r="I515" t="s">
        <v>964</v>
      </c>
      <c r="J515" t="s">
        <v>204</v>
      </c>
      <c r="K515" t="s">
        <v>204</v>
      </c>
      <c r="L515" t="s">
        <v>340</v>
      </c>
      <c r="M515" t="s">
        <v>697</v>
      </c>
      <c r="N515" t="s">
        <v>339</v>
      </c>
      <c r="O515" t="s">
        <v>1212</v>
      </c>
      <c r="P515" s="131">
        <v>1641</v>
      </c>
      <c r="Q515" s="131">
        <v>1</v>
      </c>
      <c r="R515" s="131">
        <v>38300</v>
      </c>
      <c r="T515" s="131">
        <v>628.50300000000004</v>
      </c>
      <c r="U515" s="132">
        <v>6.9999999999999994E-5</v>
      </c>
      <c r="V515" s="132">
        <v>1.5859999999999999E-2</v>
      </c>
      <c r="W515" s="132">
        <v>2.31E-3</v>
      </c>
    </row>
    <row r="516" spans="1:23">
      <c r="A516" t="s">
        <v>1213</v>
      </c>
      <c r="B516" t="s">
        <v>1257</v>
      </c>
      <c r="C516" t="s">
        <v>4123</v>
      </c>
      <c r="D516" t="s">
        <v>4124</v>
      </c>
      <c r="E516" t="s">
        <v>309</v>
      </c>
      <c r="F516" t="s">
        <v>4173</v>
      </c>
      <c r="G516" t="s">
        <v>4174</v>
      </c>
      <c r="H516" t="s">
        <v>321</v>
      </c>
      <c r="I516" t="s">
        <v>966</v>
      </c>
      <c r="J516" t="s">
        <v>204</v>
      </c>
      <c r="K516" t="s">
        <v>204</v>
      </c>
      <c r="L516" t="s">
        <v>340</v>
      </c>
      <c r="M516" t="s">
        <v>630</v>
      </c>
      <c r="N516" t="s">
        <v>339</v>
      </c>
      <c r="O516" t="s">
        <v>1212</v>
      </c>
      <c r="P516" s="131">
        <v>152079</v>
      </c>
      <c r="Q516" s="131">
        <v>1</v>
      </c>
      <c r="R516" s="131">
        <v>390.51</v>
      </c>
      <c r="T516" s="131">
        <v>593.88400000000001</v>
      </c>
      <c r="U516" s="132">
        <v>2.1000000000000001E-4</v>
      </c>
      <c r="V516" s="132">
        <v>1.499E-2</v>
      </c>
      <c r="W516" s="132">
        <v>2.1800000000000001E-3</v>
      </c>
    </row>
    <row r="517" spans="1:23">
      <c r="A517" t="s">
        <v>1213</v>
      </c>
      <c r="B517" t="s">
        <v>1257</v>
      </c>
      <c r="C517" t="s">
        <v>4181</v>
      </c>
      <c r="D517" t="s">
        <v>4182</v>
      </c>
      <c r="E517" t="s">
        <v>309</v>
      </c>
      <c r="F517" t="s">
        <v>4183</v>
      </c>
      <c r="G517" t="s">
        <v>4184</v>
      </c>
      <c r="H517" t="s">
        <v>321</v>
      </c>
      <c r="I517" t="s">
        <v>965</v>
      </c>
      <c r="J517" t="s">
        <v>204</v>
      </c>
      <c r="K517" t="s">
        <v>204</v>
      </c>
      <c r="L517" t="s">
        <v>340</v>
      </c>
      <c r="M517" t="s">
        <v>605</v>
      </c>
      <c r="N517" t="s">
        <v>339</v>
      </c>
      <c r="O517" t="s">
        <v>1212</v>
      </c>
      <c r="P517" s="131">
        <v>5699</v>
      </c>
      <c r="Q517" s="131">
        <v>1</v>
      </c>
      <c r="R517" s="131">
        <v>9006</v>
      </c>
      <c r="T517" s="131">
        <v>513.25199999999995</v>
      </c>
      <c r="U517" s="132">
        <v>2.4000000000000001E-4</v>
      </c>
      <c r="V517" s="132">
        <v>1.295E-2</v>
      </c>
      <c r="W517" s="132">
        <v>1.8799999999999999E-3</v>
      </c>
    </row>
    <row r="518" spans="1:23">
      <c r="A518" t="s">
        <v>1213</v>
      </c>
      <c r="B518" t="s">
        <v>1257</v>
      </c>
      <c r="C518" t="s">
        <v>4107</v>
      </c>
      <c r="D518" t="s">
        <v>4108</v>
      </c>
      <c r="E518" t="s">
        <v>309</v>
      </c>
      <c r="F518" t="s">
        <v>4396</v>
      </c>
      <c r="G518" t="s">
        <v>4397</v>
      </c>
      <c r="H518" t="s">
        <v>321</v>
      </c>
      <c r="I518" t="s">
        <v>964</v>
      </c>
      <c r="J518" t="s">
        <v>204</v>
      </c>
      <c r="K518" t="s">
        <v>204</v>
      </c>
      <c r="L518" t="s">
        <v>340</v>
      </c>
      <c r="M518" t="s">
        <v>574</v>
      </c>
      <c r="N518" t="s">
        <v>339</v>
      </c>
      <c r="O518" t="s">
        <v>1212</v>
      </c>
      <c r="P518" s="131">
        <v>15202</v>
      </c>
      <c r="Q518" s="131">
        <v>1</v>
      </c>
      <c r="R518" s="131">
        <v>2849</v>
      </c>
      <c r="T518" s="131">
        <v>433.10500000000002</v>
      </c>
      <c r="U518" s="132">
        <v>2.2000000000000001E-4</v>
      </c>
      <c r="V518" s="132">
        <v>1.093E-2</v>
      </c>
      <c r="W518" s="132">
        <v>1.5900000000000001E-3</v>
      </c>
    </row>
    <row r="519" spans="1:23">
      <c r="A519" t="s">
        <v>1213</v>
      </c>
      <c r="B519" t="s">
        <v>1257</v>
      </c>
      <c r="C519" t="s">
        <v>4111</v>
      </c>
      <c r="D519" t="s">
        <v>4112</v>
      </c>
      <c r="E519" t="s">
        <v>309</v>
      </c>
      <c r="F519" t="s">
        <v>4398</v>
      </c>
      <c r="G519" t="s">
        <v>4399</v>
      </c>
      <c r="H519" t="s">
        <v>321</v>
      </c>
      <c r="I519" t="s">
        <v>966</v>
      </c>
      <c r="J519" t="s">
        <v>204</v>
      </c>
      <c r="K519" t="s">
        <v>204</v>
      </c>
      <c r="L519" t="s">
        <v>340</v>
      </c>
      <c r="M519" t="s">
        <v>628</v>
      </c>
      <c r="N519" t="s">
        <v>339</v>
      </c>
      <c r="O519" t="s">
        <v>1212</v>
      </c>
      <c r="P519" s="131">
        <v>11142</v>
      </c>
      <c r="Q519" s="131">
        <v>1</v>
      </c>
      <c r="R519" s="131">
        <v>3447.33</v>
      </c>
      <c r="T519" s="131">
        <v>384.10199999999998</v>
      </c>
      <c r="U519" s="132">
        <v>5.5000000000000003E-4</v>
      </c>
      <c r="V519" s="132">
        <v>9.6900000000000007E-3</v>
      </c>
      <c r="W519" s="132">
        <v>1.41E-3</v>
      </c>
    </row>
    <row r="520" spans="1:23">
      <c r="A520" t="s">
        <v>1213</v>
      </c>
      <c r="B520" t="s">
        <v>1257</v>
      </c>
      <c r="C520" t="s">
        <v>4123</v>
      </c>
      <c r="D520" t="s">
        <v>4124</v>
      </c>
      <c r="E520" t="s">
        <v>309</v>
      </c>
      <c r="F520" t="s">
        <v>4125</v>
      </c>
      <c r="G520" t="s">
        <v>4126</v>
      </c>
      <c r="H520" t="s">
        <v>321</v>
      </c>
      <c r="I520" t="s">
        <v>964</v>
      </c>
      <c r="J520" t="s">
        <v>204</v>
      </c>
      <c r="K520" t="s">
        <v>204</v>
      </c>
      <c r="L520" t="s">
        <v>340</v>
      </c>
      <c r="M520" t="s">
        <v>572</v>
      </c>
      <c r="N520" t="s">
        <v>339</v>
      </c>
      <c r="O520" t="s">
        <v>1212</v>
      </c>
      <c r="P520" s="131">
        <v>16291</v>
      </c>
      <c r="Q520" s="131">
        <v>1</v>
      </c>
      <c r="R520" s="131">
        <v>2081</v>
      </c>
      <c r="T520" s="131">
        <v>339.01600000000002</v>
      </c>
      <c r="U520" s="132">
        <v>4.0000000000000003E-5</v>
      </c>
      <c r="V520" s="132">
        <v>8.5599999999999999E-3</v>
      </c>
      <c r="W520" s="132">
        <v>1.24E-3</v>
      </c>
    </row>
    <row r="521" spans="1:23">
      <c r="A521" t="s">
        <v>1213</v>
      </c>
      <c r="B521" t="s">
        <v>1257</v>
      </c>
      <c r="C521" t="s">
        <v>4107</v>
      </c>
      <c r="D521" t="s">
        <v>4108</v>
      </c>
      <c r="E521" t="s">
        <v>309</v>
      </c>
      <c r="F521" t="s">
        <v>4288</v>
      </c>
      <c r="G521" t="s">
        <v>4289</v>
      </c>
      <c r="H521" t="s">
        <v>321</v>
      </c>
      <c r="I521" t="s">
        <v>965</v>
      </c>
      <c r="J521" t="s">
        <v>204</v>
      </c>
      <c r="K521" t="s">
        <v>204</v>
      </c>
      <c r="L521" t="s">
        <v>340</v>
      </c>
      <c r="M521" t="s">
        <v>582</v>
      </c>
      <c r="N521" t="s">
        <v>339</v>
      </c>
      <c r="O521" t="s">
        <v>1212</v>
      </c>
      <c r="P521" s="131">
        <v>5379</v>
      </c>
      <c r="Q521" s="131">
        <v>1</v>
      </c>
      <c r="R521" s="131">
        <v>4602</v>
      </c>
      <c r="T521" s="131">
        <v>247.542</v>
      </c>
      <c r="U521" s="132">
        <v>7.6999999999999996E-4</v>
      </c>
      <c r="V521" s="132">
        <v>6.2500000000000003E-3</v>
      </c>
      <c r="W521" s="132">
        <v>9.1E-4</v>
      </c>
    </row>
    <row r="522" spans="1:23">
      <c r="A522" t="s">
        <v>1213</v>
      </c>
      <c r="B522" t="s">
        <v>1257</v>
      </c>
      <c r="C522" t="s">
        <v>4117</v>
      </c>
      <c r="D522" t="s">
        <v>4118</v>
      </c>
      <c r="E522" t="s">
        <v>309</v>
      </c>
      <c r="F522" t="s">
        <v>4213</v>
      </c>
      <c r="G522" t="s">
        <v>4214</v>
      </c>
      <c r="H522" t="s">
        <v>321</v>
      </c>
      <c r="I522" t="s">
        <v>965</v>
      </c>
      <c r="J522" t="s">
        <v>204</v>
      </c>
      <c r="K522" t="s">
        <v>204</v>
      </c>
      <c r="L522" t="s">
        <v>340</v>
      </c>
      <c r="M522" t="s">
        <v>582</v>
      </c>
      <c r="N522" t="s">
        <v>339</v>
      </c>
      <c r="O522" t="s">
        <v>1212</v>
      </c>
      <c r="P522" s="131">
        <v>1456</v>
      </c>
      <c r="Q522" s="131">
        <v>1</v>
      </c>
      <c r="R522" s="131">
        <v>16570</v>
      </c>
      <c r="T522" s="131">
        <v>241.25899999999999</v>
      </c>
      <c r="U522" s="132">
        <v>6.0000000000000002E-5</v>
      </c>
      <c r="V522" s="132">
        <v>6.0899999999999999E-3</v>
      </c>
      <c r="W522" s="132">
        <v>8.8999999999999995E-4</v>
      </c>
    </row>
    <row r="523" spans="1:23">
      <c r="A523" t="s">
        <v>1213</v>
      </c>
      <c r="B523" t="s">
        <v>1257</v>
      </c>
      <c r="C523" t="s">
        <v>4123</v>
      </c>
      <c r="D523" t="s">
        <v>4124</v>
      </c>
      <c r="E523" t="s">
        <v>309</v>
      </c>
      <c r="F523" t="s">
        <v>4143</v>
      </c>
      <c r="G523" t="s">
        <v>4144</v>
      </c>
      <c r="H523" t="s">
        <v>321</v>
      </c>
      <c r="I523" t="s">
        <v>965</v>
      </c>
      <c r="J523" t="s">
        <v>204</v>
      </c>
      <c r="K523" t="s">
        <v>204</v>
      </c>
      <c r="L523" t="s">
        <v>340</v>
      </c>
      <c r="M523" t="s">
        <v>604</v>
      </c>
      <c r="N523" t="s">
        <v>339</v>
      </c>
      <c r="O523" t="s">
        <v>1212</v>
      </c>
      <c r="P523" s="131">
        <v>921</v>
      </c>
      <c r="Q523" s="131">
        <v>1</v>
      </c>
      <c r="R523" s="131">
        <v>24940</v>
      </c>
      <c r="T523" s="131">
        <v>229.697</v>
      </c>
      <c r="U523" s="132">
        <v>3.0000000000000001E-5</v>
      </c>
      <c r="V523" s="132">
        <v>5.7999999999999996E-3</v>
      </c>
      <c r="W523" s="132">
        <v>8.4000000000000003E-4</v>
      </c>
    </row>
    <row r="524" spans="1:23">
      <c r="A524" t="s">
        <v>1213</v>
      </c>
      <c r="B524" t="s">
        <v>1257</v>
      </c>
      <c r="C524" t="s">
        <v>4111</v>
      </c>
      <c r="D524" t="s">
        <v>4112</v>
      </c>
      <c r="E524" t="s">
        <v>309</v>
      </c>
      <c r="F524" t="s">
        <v>4133</v>
      </c>
      <c r="G524" t="s">
        <v>4134</v>
      </c>
      <c r="H524" t="s">
        <v>321</v>
      </c>
      <c r="I524" t="s">
        <v>964</v>
      </c>
      <c r="J524" t="s">
        <v>204</v>
      </c>
      <c r="K524" t="s">
        <v>204</v>
      </c>
      <c r="L524" t="s">
        <v>340</v>
      </c>
      <c r="M524" t="s">
        <v>572</v>
      </c>
      <c r="N524" t="s">
        <v>339</v>
      </c>
      <c r="O524" t="s">
        <v>1212</v>
      </c>
      <c r="P524" s="131">
        <v>862</v>
      </c>
      <c r="Q524" s="131">
        <v>1</v>
      </c>
      <c r="R524" s="131">
        <v>20710</v>
      </c>
      <c r="T524" s="131">
        <v>178.52</v>
      </c>
      <c r="U524" s="132">
        <v>2.0000000000000002E-5</v>
      </c>
      <c r="V524" s="132">
        <v>4.5100000000000001E-3</v>
      </c>
      <c r="W524" s="132">
        <v>6.6E-4</v>
      </c>
    </row>
    <row r="525" spans="1:23">
      <c r="A525" t="s">
        <v>1213</v>
      </c>
      <c r="B525" t="s">
        <v>1257</v>
      </c>
      <c r="C525" t="s">
        <v>4111</v>
      </c>
      <c r="D525" t="s">
        <v>4112</v>
      </c>
      <c r="E525" t="s">
        <v>309</v>
      </c>
      <c r="F525" t="s">
        <v>4344</v>
      </c>
      <c r="G525" t="s">
        <v>4345</v>
      </c>
      <c r="H525" t="s">
        <v>321</v>
      </c>
      <c r="I525" t="s">
        <v>965</v>
      </c>
      <c r="J525" t="s">
        <v>204</v>
      </c>
      <c r="K525" t="s">
        <v>204</v>
      </c>
      <c r="L525" t="s">
        <v>340</v>
      </c>
      <c r="M525" t="s">
        <v>707</v>
      </c>
      <c r="N525" t="s">
        <v>339</v>
      </c>
      <c r="O525" t="s">
        <v>1212</v>
      </c>
      <c r="P525" s="131">
        <v>1703</v>
      </c>
      <c r="Q525" s="131">
        <v>1</v>
      </c>
      <c r="R525" s="131">
        <v>5159</v>
      </c>
      <c r="T525" s="131">
        <v>87.858000000000004</v>
      </c>
      <c r="U525" s="132">
        <v>4.8999999999999998E-4</v>
      </c>
      <c r="V525" s="132">
        <v>2.2200000000000002E-3</v>
      </c>
      <c r="W525" s="132">
        <v>3.2000000000000003E-4</v>
      </c>
    </row>
    <row r="526" spans="1:23">
      <c r="A526" t="s">
        <v>1213</v>
      </c>
      <c r="B526" t="s">
        <v>1257</v>
      </c>
      <c r="C526" t="s">
        <v>4111</v>
      </c>
      <c r="D526" t="s">
        <v>4112</v>
      </c>
      <c r="E526" t="s">
        <v>309</v>
      </c>
      <c r="F526" t="s">
        <v>4342</v>
      </c>
      <c r="G526" t="s">
        <v>4343</v>
      </c>
      <c r="H526" t="s">
        <v>321</v>
      </c>
      <c r="I526" t="s">
        <v>965</v>
      </c>
      <c r="J526" t="s">
        <v>204</v>
      </c>
      <c r="K526" t="s">
        <v>204</v>
      </c>
      <c r="L526" t="s">
        <v>340</v>
      </c>
      <c r="M526" t="s">
        <v>588</v>
      </c>
      <c r="N526" t="s">
        <v>339</v>
      </c>
      <c r="O526" t="s">
        <v>1212</v>
      </c>
      <c r="P526" s="131">
        <v>17</v>
      </c>
      <c r="Q526" s="131">
        <v>1</v>
      </c>
      <c r="R526" s="131">
        <v>6911</v>
      </c>
      <c r="T526" s="131">
        <v>1.175</v>
      </c>
      <c r="U526" s="132">
        <v>0</v>
      </c>
      <c r="V526" s="132">
        <v>3.0000000000000001E-5</v>
      </c>
      <c r="W526" s="132">
        <v>0</v>
      </c>
    </row>
    <row r="527" spans="1:23">
      <c r="A527" t="s">
        <v>1213</v>
      </c>
      <c r="B527" t="s">
        <v>1257</v>
      </c>
      <c r="C527" t="s">
        <v>4095</v>
      </c>
      <c r="D527" t="s">
        <v>4096</v>
      </c>
      <c r="E527" t="s">
        <v>80</v>
      </c>
      <c r="F527" t="s">
        <v>4097</v>
      </c>
      <c r="G527" t="s">
        <v>4098</v>
      </c>
      <c r="H527" t="s">
        <v>321</v>
      </c>
      <c r="I527" t="s">
        <v>965</v>
      </c>
      <c r="J527" t="s">
        <v>205</v>
      </c>
      <c r="K527" t="s">
        <v>224</v>
      </c>
      <c r="L527" t="s">
        <v>346</v>
      </c>
      <c r="M527" t="s">
        <v>597</v>
      </c>
      <c r="N527" t="s">
        <v>339</v>
      </c>
      <c r="O527" t="s">
        <v>1216</v>
      </c>
      <c r="P527" s="131">
        <v>3943</v>
      </c>
      <c r="Q527" s="131">
        <v>3.71</v>
      </c>
      <c r="R527" s="131">
        <v>48807</v>
      </c>
      <c r="S527" s="131">
        <f>2.008+128.11/1000/Q527</f>
        <v>2.0425309973045822</v>
      </c>
      <c r="T527" s="131">
        <f>7147.197+128.11/1000</f>
        <v>7147.3251099999998</v>
      </c>
      <c r="U527" s="132">
        <v>0</v>
      </c>
      <c r="V527" s="132">
        <v>0.18042</v>
      </c>
      <c r="W527" s="132">
        <v>2.6249999999999999E-2</v>
      </c>
    </row>
    <row r="528" spans="1:23">
      <c r="A528" t="s">
        <v>1213</v>
      </c>
      <c r="B528" t="s">
        <v>1257</v>
      </c>
      <c r="C528" t="s">
        <v>4099</v>
      </c>
      <c r="D528" t="s">
        <v>4100</v>
      </c>
      <c r="E528" t="s">
        <v>80</v>
      </c>
      <c r="F528" t="s">
        <v>4101</v>
      </c>
      <c r="G528" t="s">
        <v>4102</v>
      </c>
      <c r="H528" t="s">
        <v>321</v>
      </c>
      <c r="I528" t="s">
        <v>965</v>
      </c>
      <c r="J528" t="s">
        <v>205</v>
      </c>
      <c r="K528" t="s">
        <v>224</v>
      </c>
      <c r="L528" t="s">
        <v>344</v>
      </c>
      <c r="M528" t="s">
        <v>604</v>
      </c>
      <c r="N528" t="s">
        <v>339</v>
      </c>
      <c r="O528" t="s">
        <v>1216</v>
      </c>
      <c r="P528" s="131">
        <v>1275</v>
      </c>
      <c r="Q528" s="131">
        <v>3.71</v>
      </c>
      <c r="R528" s="131">
        <v>57376</v>
      </c>
      <c r="S528" s="131">
        <f>1.675+106.83/1000/Q528</f>
        <v>1.7037951482479785</v>
      </c>
      <c r="T528" s="131">
        <f>2720.241+106.83/1000</f>
        <v>2720.3478300000002</v>
      </c>
      <c r="U528" s="132">
        <v>0</v>
      </c>
      <c r="V528" s="132">
        <v>6.8690000000000001E-2</v>
      </c>
      <c r="W528" s="132">
        <v>9.9900000000000006E-3</v>
      </c>
    </row>
    <row r="529" spans="1:23">
      <c r="A529" t="s">
        <v>1213</v>
      </c>
      <c r="B529" t="s">
        <v>1257</v>
      </c>
      <c r="C529" t="s">
        <v>4238</v>
      </c>
      <c r="D529" t="s">
        <v>4239</v>
      </c>
      <c r="E529" t="s">
        <v>80</v>
      </c>
      <c r="F529" t="s">
        <v>4242</v>
      </c>
      <c r="G529" t="s">
        <v>4243</v>
      </c>
      <c r="H529" t="s">
        <v>321</v>
      </c>
      <c r="I529" t="s">
        <v>965</v>
      </c>
      <c r="J529" t="s">
        <v>205</v>
      </c>
      <c r="K529" t="s">
        <v>224</v>
      </c>
      <c r="L529" t="s">
        <v>344</v>
      </c>
      <c r="M529" t="s">
        <v>602</v>
      </c>
      <c r="N529" t="s">
        <v>339</v>
      </c>
      <c r="O529" t="s">
        <v>1216</v>
      </c>
      <c r="P529" s="131">
        <v>1977</v>
      </c>
      <c r="Q529" s="131">
        <v>3.71</v>
      </c>
      <c r="R529" s="131">
        <v>22089</v>
      </c>
      <c r="T529" s="131">
        <v>1620.155</v>
      </c>
      <c r="U529" s="132">
        <v>0</v>
      </c>
      <c r="V529" s="132">
        <v>4.0890000000000003E-2</v>
      </c>
      <c r="W529" s="132">
        <v>5.9500000000000004E-3</v>
      </c>
    </row>
    <row r="530" spans="1:23">
      <c r="A530" t="s">
        <v>1213</v>
      </c>
      <c r="B530" t="s">
        <v>1257</v>
      </c>
      <c r="C530" t="s">
        <v>4238</v>
      </c>
      <c r="D530" t="s">
        <v>4239</v>
      </c>
      <c r="E530" t="s">
        <v>80</v>
      </c>
      <c r="F530" t="s">
        <v>4338</v>
      </c>
      <c r="G530" t="s">
        <v>4339</v>
      </c>
      <c r="H530" t="s">
        <v>321</v>
      </c>
      <c r="I530" t="s">
        <v>967</v>
      </c>
      <c r="J530" t="s">
        <v>205</v>
      </c>
      <c r="K530" t="s">
        <v>224</v>
      </c>
      <c r="L530" t="s">
        <v>344</v>
      </c>
      <c r="M530" t="s">
        <v>732</v>
      </c>
      <c r="N530" t="s">
        <v>339</v>
      </c>
      <c r="O530" t="s">
        <v>1216</v>
      </c>
      <c r="P530" s="131">
        <v>2942</v>
      </c>
      <c r="Q530" s="131">
        <v>3.71</v>
      </c>
      <c r="R530" s="131">
        <v>11298</v>
      </c>
      <c r="T530" s="131">
        <v>1233.1559999999999</v>
      </c>
      <c r="U530" s="132">
        <v>0</v>
      </c>
      <c r="V530" s="132">
        <v>3.1119999999999998E-2</v>
      </c>
      <c r="W530" s="132">
        <v>4.5300000000000002E-3</v>
      </c>
    </row>
    <row r="531" spans="1:23">
      <c r="A531" t="s">
        <v>1213</v>
      </c>
      <c r="B531" t="s">
        <v>1257</v>
      </c>
      <c r="C531" t="s">
        <v>4091</v>
      </c>
      <c r="D531" t="s">
        <v>4092</v>
      </c>
      <c r="E531" t="s">
        <v>80</v>
      </c>
      <c r="F531" t="s">
        <v>4093</v>
      </c>
      <c r="G531" t="s">
        <v>4094</v>
      </c>
      <c r="H531" t="s">
        <v>321</v>
      </c>
      <c r="I531" t="s">
        <v>965</v>
      </c>
      <c r="J531" t="s">
        <v>205</v>
      </c>
      <c r="K531" t="s">
        <v>224</v>
      </c>
      <c r="L531" t="s">
        <v>344</v>
      </c>
      <c r="M531" t="s">
        <v>604</v>
      </c>
      <c r="N531" t="s">
        <v>339</v>
      </c>
      <c r="O531" t="s">
        <v>1216</v>
      </c>
      <c r="P531" s="131">
        <v>492</v>
      </c>
      <c r="Q531" s="131">
        <v>3.71</v>
      </c>
      <c r="R531" s="131">
        <v>52767</v>
      </c>
      <c r="S531" s="131">
        <v>0.80600000000000005</v>
      </c>
      <c r="T531" s="131">
        <v>966.15800000000002</v>
      </c>
      <c r="U531" s="132">
        <v>0</v>
      </c>
      <c r="V531" s="132">
        <v>2.4400000000000002E-2</v>
      </c>
      <c r="W531" s="132">
        <v>3.5500000000000002E-3</v>
      </c>
    </row>
    <row r="532" spans="1:23">
      <c r="A532" t="s">
        <v>1213</v>
      </c>
      <c r="B532" t="s">
        <v>1257</v>
      </c>
      <c r="C532" t="s">
        <v>4111</v>
      </c>
      <c r="D532" t="s">
        <v>4112</v>
      </c>
      <c r="E532" t="s">
        <v>309</v>
      </c>
      <c r="F532" t="s">
        <v>4254</v>
      </c>
      <c r="G532" t="s">
        <v>4255</v>
      </c>
      <c r="H532" t="s">
        <v>321</v>
      </c>
      <c r="I532" t="s">
        <v>965</v>
      </c>
      <c r="J532" t="s">
        <v>205</v>
      </c>
      <c r="K532" t="s">
        <v>204</v>
      </c>
      <c r="L532" t="s">
        <v>340</v>
      </c>
      <c r="M532" t="s">
        <v>581</v>
      </c>
      <c r="N532" t="s">
        <v>339</v>
      </c>
      <c r="O532" t="s">
        <v>1212</v>
      </c>
      <c r="P532" s="131">
        <v>13439</v>
      </c>
      <c r="Q532" s="131">
        <v>1</v>
      </c>
      <c r="R532" s="131">
        <v>6991</v>
      </c>
      <c r="T532" s="131">
        <v>939.52</v>
      </c>
      <c r="U532" s="132">
        <v>9.5E-4</v>
      </c>
      <c r="V532" s="132">
        <v>2.3709999999999998E-2</v>
      </c>
      <c r="W532" s="132">
        <v>3.4499999999999999E-3</v>
      </c>
    </row>
    <row r="533" spans="1:23">
      <c r="A533" t="s">
        <v>1213</v>
      </c>
      <c r="B533" t="s">
        <v>1257</v>
      </c>
      <c r="C533" t="s">
        <v>4238</v>
      </c>
      <c r="D533" t="s">
        <v>4239</v>
      </c>
      <c r="E533" t="s">
        <v>80</v>
      </c>
      <c r="F533" t="s">
        <v>4350</v>
      </c>
      <c r="G533" t="s">
        <v>4351</v>
      </c>
      <c r="H533" t="s">
        <v>321</v>
      </c>
      <c r="I533" t="s">
        <v>967</v>
      </c>
      <c r="J533" t="s">
        <v>205</v>
      </c>
      <c r="K533" t="s">
        <v>224</v>
      </c>
      <c r="L533" t="s">
        <v>380</v>
      </c>
      <c r="M533" t="s">
        <v>732</v>
      </c>
      <c r="N533" t="s">
        <v>339</v>
      </c>
      <c r="O533" t="s">
        <v>1216</v>
      </c>
      <c r="P533" s="131">
        <v>1943</v>
      </c>
      <c r="Q533" s="131">
        <v>3.71</v>
      </c>
      <c r="R533" s="131">
        <v>10046</v>
      </c>
      <c r="T533" s="131">
        <v>724.16899999999998</v>
      </c>
      <c r="U533" s="132">
        <v>0</v>
      </c>
      <c r="V533" s="132">
        <v>1.8280000000000001E-2</v>
      </c>
      <c r="W533" s="132">
        <v>2.66E-3</v>
      </c>
    </row>
    <row r="534" spans="1:23">
      <c r="A534" t="s">
        <v>1213</v>
      </c>
      <c r="B534" t="s">
        <v>1257</v>
      </c>
      <c r="C534" t="s">
        <v>4238</v>
      </c>
      <c r="D534" t="s">
        <v>4239</v>
      </c>
      <c r="E534" t="s">
        <v>80</v>
      </c>
      <c r="F534" t="s">
        <v>4240</v>
      </c>
      <c r="G534" t="s">
        <v>4241</v>
      </c>
      <c r="H534" t="s">
        <v>321</v>
      </c>
      <c r="I534" t="s">
        <v>965</v>
      </c>
      <c r="J534" t="s">
        <v>205</v>
      </c>
      <c r="K534" t="s">
        <v>224</v>
      </c>
      <c r="L534" t="s">
        <v>368</v>
      </c>
      <c r="M534" t="s">
        <v>735</v>
      </c>
      <c r="N534" t="s">
        <v>339</v>
      </c>
      <c r="O534" t="s">
        <v>1218</v>
      </c>
      <c r="P534" s="131">
        <v>1048</v>
      </c>
      <c r="Q534" s="131">
        <v>4.1524000000000001</v>
      </c>
      <c r="R534" s="131">
        <v>16098</v>
      </c>
      <c r="T534" s="131">
        <v>700.53899999999999</v>
      </c>
      <c r="U534" s="132">
        <v>0</v>
      </c>
      <c r="V534" s="132">
        <v>1.7680000000000001E-2</v>
      </c>
      <c r="W534" s="132">
        <v>2.5699999999999998E-3</v>
      </c>
    </row>
    <row r="535" spans="1:23">
      <c r="A535" t="s">
        <v>1213</v>
      </c>
      <c r="B535" t="s">
        <v>1257</v>
      </c>
      <c r="C535" t="s">
        <v>4238</v>
      </c>
      <c r="D535" t="s">
        <v>4239</v>
      </c>
      <c r="E535" t="s">
        <v>80</v>
      </c>
      <c r="F535" t="s">
        <v>4346</v>
      </c>
      <c r="G535" t="s">
        <v>4347</v>
      </c>
      <c r="H535" t="s">
        <v>321</v>
      </c>
      <c r="I535" t="s">
        <v>965</v>
      </c>
      <c r="J535" t="s">
        <v>205</v>
      </c>
      <c r="K535" t="s">
        <v>224</v>
      </c>
      <c r="L535" t="s">
        <v>344</v>
      </c>
      <c r="M535" t="s">
        <v>735</v>
      </c>
      <c r="N535" t="s">
        <v>339</v>
      </c>
      <c r="O535" t="s">
        <v>1216</v>
      </c>
      <c r="P535" s="131">
        <v>2555</v>
      </c>
      <c r="Q535" s="131">
        <v>3.71</v>
      </c>
      <c r="R535" s="131">
        <v>7154</v>
      </c>
      <c r="T535" s="131">
        <v>678.13099999999997</v>
      </c>
      <c r="U535" s="132">
        <v>0</v>
      </c>
      <c r="V535" s="132">
        <v>1.711E-2</v>
      </c>
      <c r="W535" s="132">
        <v>2.49E-3</v>
      </c>
    </row>
    <row r="536" spans="1:23">
      <c r="A536" t="s">
        <v>1213</v>
      </c>
      <c r="B536" t="s">
        <v>1257</v>
      </c>
      <c r="C536" t="s">
        <v>4107</v>
      </c>
      <c r="D536" t="s">
        <v>4108</v>
      </c>
      <c r="E536" t="s">
        <v>309</v>
      </c>
      <c r="F536" t="s">
        <v>4348</v>
      </c>
      <c r="G536" t="s">
        <v>4349</v>
      </c>
      <c r="H536" t="s">
        <v>321</v>
      </c>
      <c r="I536" t="s">
        <v>965</v>
      </c>
      <c r="J536" t="s">
        <v>205</v>
      </c>
      <c r="K536" t="s">
        <v>204</v>
      </c>
      <c r="L536" t="s">
        <v>340</v>
      </c>
      <c r="M536" t="s">
        <v>716</v>
      </c>
      <c r="N536" t="s">
        <v>339</v>
      </c>
      <c r="O536" t="s">
        <v>1212</v>
      </c>
      <c r="P536" s="131">
        <v>22688</v>
      </c>
      <c r="Q536" s="131">
        <v>1</v>
      </c>
      <c r="R536" s="131">
        <v>2544</v>
      </c>
      <c r="T536" s="131">
        <v>577.18299999999999</v>
      </c>
      <c r="U536" s="132">
        <v>5.0400000000000002E-3</v>
      </c>
      <c r="V536" s="132">
        <v>1.457E-2</v>
      </c>
      <c r="W536" s="132">
        <v>2.1199999999999999E-3</v>
      </c>
    </row>
    <row r="537" spans="1:23">
      <c r="A537" t="s">
        <v>1213</v>
      </c>
      <c r="B537" t="s">
        <v>1257</v>
      </c>
      <c r="C537" t="s">
        <v>4260</v>
      </c>
      <c r="D537" t="s">
        <v>4261</v>
      </c>
      <c r="E537" t="s">
        <v>80</v>
      </c>
      <c r="F537" t="s">
        <v>4262</v>
      </c>
      <c r="G537" t="s">
        <v>4263</v>
      </c>
      <c r="H537" t="s">
        <v>321</v>
      </c>
      <c r="I537" t="s">
        <v>965</v>
      </c>
      <c r="J537" t="s">
        <v>205</v>
      </c>
      <c r="K537" t="s">
        <v>224</v>
      </c>
      <c r="L537" t="s">
        <v>344</v>
      </c>
      <c r="M537" t="s">
        <v>735</v>
      </c>
      <c r="N537" t="s">
        <v>339</v>
      </c>
      <c r="O537" t="s">
        <v>1216</v>
      </c>
      <c r="P537" s="131">
        <v>587</v>
      </c>
      <c r="Q537" s="131">
        <v>3.71</v>
      </c>
      <c r="R537" s="131">
        <v>23059</v>
      </c>
      <c r="T537" s="131">
        <v>502.17200000000003</v>
      </c>
      <c r="U537" s="132">
        <v>0</v>
      </c>
      <c r="V537" s="132">
        <v>1.2670000000000001E-2</v>
      </c>
      <c r="W537" s="132">
        <v>1.8400000000000001E-3</v>
      </c>
    </row>
    <row r="538" spans="1:23">
      <c r="A538" t="s">
        <v>1213</v>
      </c>
      <c r="B538" t="s">
        <v>1257</v>
      </c>
      <c r="C538" t="s">
        <v>4298</v>
      </c>
      <c r="D538" t="s">
        <v>4299</v>
      </c>
      <c r="E538" t="s">
        <v>80</v>
      </c>
      <c r="F538" t="s">
        <v>4300</v>
      </c>
      <c r="G538" t="s">
        <v>4301</v>
      </c>
      <c r="H538" t="s">
        <v>321</v>
      </c>
      <c r="I538" t="s">
        <v>965</v>
      </c>
      <c r="J538" t="s">
        <v>205</v>
      </c>
      <c r="K538" t="s">
        <v>281</v>
      </c>
      <c r="L538" t="s">
        <v>314</v>
      </c>
      <c r="M538" t="s">
        <v>735</v>
      </c>
      <c r="N538" t="s">
        <v>339</v>
      </c>
      <c r="O538" t="s">
        <v>1218</v>
      </c>
      <c r="P538" s="131">
        <v>3451</v>
      </c>
      <c r="Q538" s="131">
        <v>4.1524000000000001</v>
      </c>
      <c r="R538" s="131">
        <v>3230</v>
      </c>
      <c r="T538" s="131">
        <v>462.85700000000003</v>
      </c>
      <c r="U538" s="132">
        <v>0</v>
      </c>
      <c r="V538" s="132">
        <v>1.1679999999999999E-2</v>
      </c>
      <c r="W538" s="132">
        <v>1.6999999999999999E-3</v>
      </c>
    </row>
    <row r="539" spans="1:23">
      <c r="A539" t="s">
        <v>1213</v>
      </c>
      <c r="B539" t="s">
        <v>1257</v>
      </c>
      <c r="C539" t="s">
        <v>4302</v>
      </c>
      <c r="D539" t="s">
        <v>4303</v>
      </c>
      <c r="E539" t="s">
        <v>80</v>
      </c>
      <c r="F539" t="s">
        <v>4304</v>
      </c>
      <c r="G539" t="s">
        <v>4305</v>
      </c>
      <c r="H539" t="s">
        <v>321</v>
      </c>
      <c r="I539" t="s">
        <v>965</v>
      </c>
      <c r="J539" t="s">
        <v>205</v>
      </c>
      <c r="K539" t="s">
        <v>224</v>
      </c>
      <c r="L539" t="s">
        <v>344</v>
      </c>
      <c r="M539" t="s">
        <v>735</v>
      </c>
      <c r="N539" t="s">
        <v>339</v>
      </c>
      <c r="O539" t="s">
        <v>1216</v>
      </c>
      <c r="P539" s="131">
        <v>1930</v>
      </c>
      <c r="Q539" s="131">
        <v>3.71</v>
      </c>
      <c r="R539" s="131">
        <v>4727</v>
      </c>
      <c r="T539" s="131">
        <v>338.46699999999998</v>
      </c>
      <c r="U539" s="132">
        <v>0</v>
      </c>
      <c r="V539" s="132">
        <v>8.5400000000000007E-3</v>
      </c>
      <c r="W539" s="132">
        <v>1.24E-3</v>
      </c>
    </row>
    <row r="540" spans="1:23">
      <c r="A540" t="s">
        <v>1213</v>
      </c>
      <c r="B540" t="s">
        <v>1257</v>
      </c>
      <c r="C540" t="s">
        <v>4260</v>
      </c>
      <c r="D540" t="s">
        <v>4261</v>
      </c>
      <c r="E540" t="s">
        <v>80</v>
      </c>
      <c r="F540" t="s">
        <v>4352</v>
      </c>
      <c r="G540" t="s">
        <v>4353</v>
      </c>
      <c r="H540" t="s">
        <v>321</v>
      </c>
      <c r="I540" t="s">
        <v>965</v>
      </c>
      <c r="J540" t="s">
        <v>205</v>
      </c>
      <c r="K540" t="s">
        <v>224</v>
      </c>
      <c r="L540" t="s">
        <v>344</v>
      </c>
      <c r="M540" t="s">
        <v>735</v>
      </c>
      <c r="N540" t="s">
        <v>339</v>
      </c>
      <c r="O540" t="s">
        <v>1216</v>
      </c>
      <c r="P540" s="131">
        <v>271</v>
      </c>
      <c r="Q540" s="131">
        <v>3.71</v>
      </c>
      <c r="R540" s="131">
        <v>8937</v>
      </c>
      <c r="T540" s="131">
        <v>89.852999999999994</v>
      </c>
      <c r="U540" s="132">
        <v>0</v>
      </c>
      <c r="V540" s="132">
        <v>2.2699999999999999E-3</v>
      </c>
      <c r="W540" s="132">
        <v>3.3E-4</v>
      </c>
    </row>
    <row r="541" spans="1:23">
      <c r="A541" t="s">
        <v>1213</v>
      </c>
      <c r="B541" t="s">
        <v>1214</v>
      </c>
    </row>
    <row r="542" spans="1:23">
      <c r="A542" t="s">
        <v>1213</v>
      </c>
      <c r="B542" t="s">
        <v>1224</v>
      </c>
    </row>
    <row r="543" spans="1:23">
      <c r="A543" t="s">
        <v>1213</v>
      </c>
      <c r="B543" t="s">
        <v>1244</v>
      </c>
    </row>
    <row r="544" spans="1:23">
      <c r="A544" t="s">
        <v>1213</v>
      </c>
      <c r="B544" t="s">
        <v>1247</v>
      </c>
    </row>
    <row r="545" spans="19:19">
      <c r="S545" s="151"/>
    </row>
  </sheetData>
  <sheetProtection formatColumns="0"/>
  <autoFilter ref="A1:X544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3"/>
  <sheetViews>
    <sheetView rightToLeft="1" topLeftCell="K1" workbookViewId="0">
      <selection activeCell="AB18" sqref="AB18"/>
    </sheetView>
  </sheetViews>
  <sheetFormatPr defaultColWidth="9" defaultRowHeight="14.25"/>
  <cols>
    <col min="1" max="12" width="11.625" style="4" customWidth="1"/>
    <col min="13" max="13" width="11.625" style="2"/>
    <col min="14" max="24" width="11.625" style="4" customWidth="1"/>
    <col min="25" max="16384" width="9" style="4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91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90</v>
      </c>
      <c r="O1" s="17" t="s">
        <v>56</v>
      </c>
      <c r="P1" s="17" t="s">
        <v>59</v>
      </c>
      <c r="Q1" s="17" t="s">
        <v>76</v>
      </c>
      <c r="R1" s="17" t="s">
        <v>61</v>
      </c>
      <c r="S1" s="17" t="s">
        <v>77</v>
      </c>
      <c r="T1" s="17" t="s">
        <v>63</v>
      </c>
      <c r="U1" s="17" t="s">
        <v>79</v>
      </c>
      <c r="V1" s="17" t="s">
        <v>64</v>
      </c>
      <c r="W1" s="17" t="s">
        <v>65</v>
      </c>
    </row>
    <row r="2" spans="1:23">
      <c r="A2" t="s">
        <v>1213</v>
      </c>
      <c r="B2" t="s">
        <v>1217</v>
      </c>
      <c r="C2" t="s">
        <v>4111</v>
      </c>
      <c r="D2" t="s">
        <v>4112</v>
      </c>
      <c r="E2" t="s">
        <v>309</v>
      </c>
      <c r="F2" t="s">
        <v>4426</v>
      </c>
      <c r="G2" t="s">
        <v>4427</v>
      </c>
      <c r="H2" t="s">
        <v>321</v>
      </c>
      <c r="I2" t="s">
        <v>917</v>
      </c>
      <c r="J2" t="s">
        <v>204</v>
      </c>
      <c r="K2" t="s">
        <v>204</v>
      </c>
      <c r="L2" t="s">
        <v>325</v>
      </c>
      <c r="M2" t="s">
        <v>340</v>
      </c>
      <c r="N2" t="s">
        <v>605</v>
      </c>
      <c r="O2" t="s">
        <v>339</v>
      </c>
      <c r="P2" t="s">
        <v>1212</v>
      </c>
      <c r="Q2" s="131">
        <v>19000000</v>
      </c>
      <c r="R2" s="131">
        <v>1</v>
      </c>
      <c r="S2" s="131">
        <v>265.31</v>
      </c>
      <c r="T2" s="131">
        <v>50408.9</v>
      </c>
      <c r="U2" s="132">
        <v>2.6509999999999999E-2</v>
      </c>
      <c r="V2" s="132">
        <v>0.44046000000000002</v>
      </c>
      <c r="W2" s="132">
        <v>4.6629999999999998E-2</v>
      </c>
    </row>
    <row r="3" spans="1:23">
      <c r="A3" t="s">
        <v>1213</v>
      </c>
      <c r="B3" t="s">
        <v>1217</v>
      </c>
      <c r="C3" t="s">
        <v>4107</v>
      </c>
      <c r="D3" t="s">
        <v>4108</v>
      </c>
      <c r="E3" t="s">
        <v>309</v>
      </c>
      <c r="F3" t="s">
        <v>4428</v>
      </c>
      <c r="G3" t="s">
        <v>4429</v>
      </c>
      <c r="H3" t="s">
        <v>321</v>
      </c>
      <c r="I3" t="s">
        <v>917</v>
      </c>
      <c r="J3" t="s">
        <v>204</v>
      </c>
      <c r="K3" t="s">
        <v>204</v>
      </c>
      <c r="L3" t="s">
        <v>325</v>
      </c>
      <c r="M3" t="s">
        <v>340</v>
      </c>
      <c r="N3" t="s">
        <v>605</v>
      </c>
      <c r="O3" t="s">
        <v>339</v>
      </c>
      <c r="P3" t="s">
        <v>1212</v>
      </c>
      <c r="Q3" s="131">
        <v>16700000</v>
      </c>
      <c r="R3" s="131">
        <v>1</v>
      </c>
      <c r="S3" s="131">
        <v>200.08</v>
      </c>
      <c r="T3" s="131">
        <v>33413.360000000001</v>
      </c>
      <c r="U3" s="132">
        <v>3.2370000000000003E-2</v>
      </c>
      <c r="V3" s="132">
        <v>0.29196</v>
      </c>
      <c r="W3" s="132">
        <v>3.091E-2</v>
      </c>
    </row>
    <row r="4" spans="1:23">
      <c r="A4" t="s">
        <v>1213</v>
      </c>
      <c r="B4" t="s">
        <v>1217</v>
      </c>
      <c r="C4" t="s">
        <v>4127</v>
      </c>
      <c r="D4" t="s">
        <v>4128</v>
      </c>
      <c r="E4" t="s">
        <v>309</v>
      </c>
      <c r="F4" t="s">
        <v>4430</v>
      </c>
      <c r="G4" t="s">
        <v>4431</v>
      </c>
      <c r="H4" t="s">
        <v>321</v>
      </c>
      <c r="I4" t="s">
        <v>917</v>
      </c>
      <c r="J4" t="s">
        <v>204</v>
      </c>
      <c r="K4" t="s">
        <v>204</v>
      </c>
      <c r="L4" t="s">
        <v>325</v>
      </c>
      <c r="M4" t="s">
        <v>340</v>
      </c>
      <c r="N4" t="s">
        <v>605</v>
      </c>
      <c r="O4" t="s">
        <v>339</v>
      </c>
      <c r="P4" t="s">
        <v>1212</v>
      </c>
      <c r="Q4" s="131">
        <v>2000000</v>
      </c>
      <c r="R4" s="131">
        <v>1</v>
      </c>
      <c r="S4" s="131">
        <v>198.52</v>
      </c>
      <c r="T4" s="131">
        <v>3970.4</v>
      </c>
      <c r="U4" s="132">
        <v>4.4999999999999997E-3</v>
      </c>
      <c r="V4" s="132">
        <v>3.4689999999999999E-2</v>
      </c>
      <c r="W4" s="132">
        <v>3.6700000000000001E-3</v>
      </c>
    </row>
    <row r="5" spans="1:23">
      <c r="A5" t="s">
        <v>1213</v>
      </c>
      <c r="B5" t="s">
        <v>1217</v>
      </c>
      <c r="C5" t="s">
        <v>4107</v>
      </c>
      <c r="D5" t="s">
        <v>4108</v>
      </c>
      <c r="E5" t="s">
        <v>309</v>
      </c>
      <c r="F5" t="s">
        <v>4432</v>
      </c>
      <c r="G5" t="s">
        <v>4433</v>
      </c>
      <c r="H5" t="s">
        <v>312</v>
      </c>
      <c r="I5" t="s">
        <v>917</v>
      </c>
      <c r="J5" t="s">
        <v>204</v>
      </c>
      <c r="K5" t="s">
        <v>204</v>
      </c>
      <c r="L5" t="s">
        <v>325</v>
      </c>
      <c r="M5" t="s">
        <v>340</v>
      </c>
      <c r="N5" t="s">
        <v>604</v>
      </c>
      <c r="O5" t="s">
        <v>339</v>
      </c>
      <c r="P5" t="s">
        <v>1212</v>
      </c>
      <c r="Q5" s="131">
        <v>8907000</v>
      </c>
      <c r="R5" s="131">
        <v>1</v>
      </c>
      <c r="S5" s="131">
        <v>299.24</v>
      </c>
      <c r="T5" s="131">
        <v>26653.307000000001</v>
      </c>
      <c r="U5" s="132">
        <v>1.076E-2</v>
      </c>
      <c r="V5" s="132">
        <v>0.23289000000000001</v>
      </c>
      <c r="W5" s="132">
        <v>2.4660000000000001E-2</v>
      </c>
    </row>
    <row r="6" spans="1:23">
      <c r="A6" t="s">
        <v>1213</v>
      </c>
      <c r="B6" t="s">
        <v>1220</v>
      </c>
      <c r="C6" t="s">
        <v>4111</v>
      </c>
      <c r="D6" t="s">
        <v>4112</v>
      </c>
      <c r="E6" t="s">
        <v>309</v>
      </c>
      <c r="F6" t="s">
        <v>4426</v>
      </c>
      <c r="G6" t="s">
        <v>4427</v>
      </c>
      <c r="H6" t="s">
        <v>321</v>
      </c>
      <c r="I6" t="s">
        <v>917</v>
      </c>
      <c r="J6" t="s">
        <v>204</v>
      </c>
      <c r="K6" t="s">
        <v>204</v>
      </c>
      <c r="L6" t="s">
        <v>325</v>
      </c>
      <c r="M6" t="s">
        <v>340</v>
      </c>
      <c r="N6" t="s">
        <v>605</v>
      </c>
      <c r="O6" t="s">
        <v>339</v>
      </c>
      <c r="P6" t="s">
        <v>1212</v>
      </c>
      <c r="Q6" s="131">
        <v>6250000</v>
      </c>
      <c r="R6" s="131">
        <v>1</v>
      </c>
      <c r="S6" s="131">
        <v>265.31</v>
      </c>
      <c r="T6" s="131">
        <v>16581.875</v>
      </c>
      <c r="U6" s="132">
        <v>8.7200000000000003E-3</v>
      </c>
      <c r="V6" s="132">
        <v>0.22938</v>
      </c>
      <c r="W6" s="132">
        <v>7.2980000000000003E-2</v>
      </c>
    </row>
    <row r="7" spans="1:23">
      <c r="A7" t="s">
        <v>1213</v>
      </c>
      <c r="B7" t="s">
        <v>1220</v>
      </c>
      <c r="C7" t="s">
        <v>4127</v>
      </c>
      <c r="D7" t="s">
        <v>4128</v>
      </c>
      <c r="E7" t="s">
        <v>309</v>
      </c>
      <c r="F7" t="s">
        <v>4430</v>
      </c>
      <c r="G7" t="s">
        <v>4431</v>
      </c>
      <c r="H7" t="s">
        <v>321</v>
      </c>
      <c r="I7" t="s">
        <v>917</v>
      </c>
      <c r="J7" t="s">
        <v>204</v>
      </c>
      <c r="K7" t="s">
        <v>204</v>
      </c>
      <c r="L7" t="s">
        <v>325</v>
      </c>
      <c r="M7" t="s">
        <v>340</v>
      </c>
      <c r="N7" t="s">
        <v>605</v>
      </c>
      <c r="O7" t="s">
        <v>339</v>
      </c>
      <c r="P7" t="s">
        <v>1212</v>
      </c>
      <c r="Q7" s="131">
        <v>4956000</v>
      </c>
      <c r="R7" s="131">
        <v>1</v>
      </c>
      <c r="S7" s="131">
        <v>198.52</v>
      </c>
      <c r="T7" s="131">
        <v>9838.6509999999998</v>
      </c>
      <c r="U7" s="132">
        <v>1.115E-2</v>
      </c>
      <c r="V7" s="132">
        <v>0.1361</v>
      </c>
      <c r="W7" s="132">
        <v>4.3299999999999998E-2</v>
      </c>
    </row>
    <row r="8" spans="1:23">
      <c r="A8" t="s">
        <v>1213</v>
      </c>
      <c r="B8" t="s">
        <v>1220</v>
      </c>
      <c r="C8" t="s">
        <v>4107</v>
      </c>
      <c r="D8" t="s">
        <v>4108</v>
      </c>
      <c r="E8" t="s">
        <v>309</v>
      </c>
      <c r="F8" t="s">
        <v>4428</v>
      </c>
      <c r="G8" t="s">
        <v>4429</v>
      </c>
      <c r="H8" t="s">
        <v>321</v>
      </c>
      <c r="I8" t="s">
        <v>917</v>
      </c>
      <c r="J8" t="s">
        <v>204</v>
      </c>
      <c r="K8" t="s">
        <v>204</v>
      </c>
      <c r="L8" t="s">
        <v>325</v>
      </c>
      <c r="M8" t="s">
        <v>340</v>
      </c>
      <c r="N8" t="s">
        <v>605</v>
      </c>
      <c r="O8" t="s">
        <v>339</v>
      </c>
      <c r="P8" t="s">
        <v>1212</v>
      </c>
      <c r="Q8" s="131">
        <v>3591000</v>
      </c>
      <c r="R8" s="131">
        <v>1</v>
      </c>
      <c r="S8" s="131">
        <v>200.08</v>
      </c>
      <c r="T8" s="131">
        <v>7184.8729999999996</v>
      </c>
      <c r="U8" s="132">
        <v>6.96E-3</v>
      </c>
      <c r="V8" s="132">
        <v>9.9390000000000006E-2</v>
      </c>
      <c r="W8" s="132">
        <v>3.1620000000000002E-2</v>
      </c>
    </row>
    <row r="9" spans="1:23">
      <c r="A9" t="s">
        <v>1213</v>
      </c>
      <c r="B9" t="s">
        <v>1220</v>
      </c>
      <c r="C9" t="s">
        <v>4123</v>
      </c>
      <c r="D9" t="s">
        <v>4124</v>
      </c>
      <c r="E9" t="s">
        <v>309</v>
      </c>
      <c r="F9" t="s">
        <v>4434</v>
      </c>
      <c r="G9" t="s">
        <v>4435</v>
      </c>
      <c r="H9" t="s">
        <v>312</v>
      </c>
      <c r="I9" t="s">
        <v>917</v>
      </c>
      <c r="J9" t="s">
        <v>204</v>
      </c>
      <c r="K9" t="s">
        <v>204</v>
      </c>
      <c r="L9" t="s">
        <v>325</v>
      </c>
      <c r="M9" t="s">
        <v>340</v>
      </c>
      <c r="N9" t="s">
        <v>605</v>
      </c>
      <c r="O9" t="s">
        <v>339</v>
      </c>
      <c r="P9" t="s">
        <v>1212</v>
      </c>
      <c r="Q9" s="131">
        <v>6250000</v>
      </c>
      <c r="R9" s="131">
        <v>1</v>
      </c>
      <c r="S9" s="131">
        <v>263.41000000000003</v>
      </c>
      <c r="T9" s="131">
        <v>16463.125</v>
      </c>
      <c r="U9" s="132">
        <v>1.2659999999999999E-2</v>
      </c>
      <c r="V9" s="132">
        <v>0.22774</v>
      </c>
      <c r="W9" s="132">
        <v>7.2459999999999997E-2</v>
      </c>
    </row>
    <row r="10" spans="1:23">
      <c r="A10" t="s">
        <v>1213</v>
      </c>
      <c r="B10" t="s">
        <v>1220</v>
      </c>
      <c r="C10" t="s">
        <v>4107</v>
      </c>
      <c r="D10" t="s">
        <v>4108</v>
      </c>
      <c r="E10" t="s">
        <v>309</v>
      </c>
      <c r="F10" t="s">
        <v>4432</v>
      </c>
      <c r="G10" t="s">
        <v>4433</v>
      </c>
      <c r="H10" t="s">
        <v>312</v>
      </c>
      <c r="I10" t="s">
        <v>917</v>
      </c>
      <c r="J10" t="s">
        <v>204</v>
      </c>
      <c r="K10" t="s">
        <v>204</v>
      </c>
      <c r="L10" t="s">
        <v>325</v>
      </c>
      <c r="M10" t="s">
        <v>340</v>
      </c>
      <c r="N10" t="s">
        <v>604</v>
      </c>
      <c r="O10" t="s">
        <v>339</v>
      </c>
      <c r="P10" t="s">
        <v>1212</v>
      </c>
      <c r="Q10" s="131">
        <v>3973000</v>
      </c>
      <c r="R10" s="131">
        <v>1</v>
      </c>
      <c r="S10" s="131">
        <v>299.24</v>
      </c>
      <c r="T10" s="131">
        <v>11888.805</v>
      </c>
      <c r="U10" s="132">
        <v>4.7999999999999996E-3</v>
      </c>
      <c r="V10" s="132">
        <v>0.16446</v>
      </c>
      <c r="W10" s="132">
        <v>5.2330000000000002E-2</v>
      </c>
    </row>
    <row r="11" spans="1:23">
      <c r="A11" t="s">
        <v>1213</v>
      </c>
      <c r="B11" t="s">
        <v>1220</v>
      </c>
      <c r="C11" t="s">
        <v>4127</v>
      </c>
      <c r="D11" t="s">
        <v>4128</v>
      </c>
      <c r="E11" t="s">
        <v>309</v>
      </c>
      <c r="F11" t="s">
        <v>4436</v>
      </c>
      <c r="G11" t="s">
        <v>4437</v>
      </c>
      <c r="H11" t="s">
        <v>312</v>
      </c>
      <c r="I11" t="s">
        <v>917</v>
      </c>
      <c r="J11" t="s">
        <v>204</v>
      </c>
      <c r="K11" t="s">
        <v>204</v>
      </c>
      <c r="L11" t="s">
        <v>325</v>
      </c>
      <c r="M11" t="s">
        <v>340</v>
      </c>
      <c r="N11" t="s">
        <v>604</v>
      </c>
      <c r="O11" t="s">
        <v>339</v>
      </c>
      <c r="P11" t="s">
        <v>1212</v>
      </c>
      <c r="Q11" s="131">
        <v>4500000</v>
      </c>
      <c r="R11" s="131">
        <v>1</v>
      </c>
      <c r="S11" s="131">
        <v>229.58</v>
      </c>
      <c r="T11" s="131">
        <v>10331.1</v>
      </c>
      <c r="U11" s="132">
        <v>3.4199999999999999E-3</v>
      </c>
      <c r="V11" s="132">
        <v>0.14291000000000001</v>
      </c>
      <c r="W11" s="132">
        <v>4.5469999999999997E-2</v>
      </c>
    </row>
    <row r="12" spans="1:23">
      <c r="A12" t="s">
        <v>1213</v>
      </c>
      <c r="B12" t="s">
        <v>1225</v>
      </c>
      <c r="C12" t="s">
        <v>4111</v>
      </c>
      <c r="D12" t="s">
        <v>4112</v>
      </c>
      <c r="E12" t="s">
        <v>309</v>
      </c>
      <c r="F12" t="s">
        <v>4426</v>
      </c>
      <c r="G12" t="s">
        <v>4427</v>
      </c>
      <c r="H12" t="s">
        <v>321</v>
      </c>
      <c r="I12" t="s">
        <v>917</v>
      </c>
      <c r="J12" t="s">
        <v>204</v>
      </c>
      <c r="K12" t="s">
        <v>204</v>
      </c>
      <c r="L12" t="s">
        <v>325</v>
      </c>
      <c r="M12" t="s">
        <v>340</v>
      </c>
      <c r="N12" t="s">
        <v>605</v>
      </c>
      <c r="O12" t="s">
        <v>339</v>
      </c>
      <c r="P12" t="s">
        <v>1212</v>
      </c>
      <c r="Q12" s="131">
        <v>10450000</v>
      </c>
      <c r="R12" s="131">
        <v>1</v>
      </c>
      <c r="S12" s="131">
        <v>265.31</v>
      </c>
      <c r="T12" s="131">
        <v>27724.895</v>
      </c>
      <c r="U12" s="132">
        <v>1.4579999999999999E-2</v>
      </c>
      <c r="V12" s="132">
        <v>0.41165000000000002</v>
      </c>
      <c r="W12" s="132">
        <v>4.2459999999999998E-2</v>
      </c>
    </row>
    <row r="13" spans="1:23">
      <c r="A13" t="s">
        <v>1213</v>
      </c>
      <c r="B13" t="s">
        <v>1225</v>
      </c>
      <c r="C13" t="s">
        <v>4107</v>
      </c>
      <c r="D13" t="s">
        <v>4108</v>
      </c>
      <c r="E13" t="s">
        <v>309</v>
      </c>
      <c r="F13" t="s">
        <v>4438</v>
      </c>
      <c r="G13" t="s">
        <v>4439</v>
      </c>
      <c r="H13" t="s">
        <v>321</v>
      </c>
      <c r="I13" t="s">
        <v>917</v>
      </c>
      <c r="J13" t="s">
        <v>204</v>
      </c>
      <c r="K13" t="s">
        <v>204</v>
      </c>
      <c r="L13" t="s">
        <v>325</v>
      </c>
      <c r="M13" t="s">
        <v>340</v>
      </c>
      <c r="N13" t="s">
        <v>598</v>
      </c>
      <c r="O13" t="s">
        <v>339</v>
      </c>
      <c r="P13" t="s">
        <v>1212</v>
      </c>
      <c r="Q13" s="131">
        <v>7925000</v>
      </c>
      <c r="R13" s="131">
        <v>1</v>
      </c>
      <c r="S13" s="131">
        <v>124.84</v>
      </c>
      <c r="T13" s="131">
        <v>9893.57</v>
      </c>
      <c r="U13" s="132">
        <v>2.375E-2</v>
      </c>
      <c r="V13" s="132">
        <v>0.1469</v>
      </c>
      <c r="W13" s="132">
        <v>1.515E-2</v>
      </c>
    </row>
    <row r="14" spans="1:23">
      <c r="A14" t="s">
        <v>1213</v>
      </c>
      <c r="B14" t="s">
        <v>1225</v>
      </c>
      <c r="C14" t="s">
        <v>4440</v>
      </c>
      <c r="D14" t="s">
        <v>4441</v>
      </c>
      <c r="E14" t="s">
        <v>80</v>
      </c>
      <c r="F14" t="s">
        <v>4442</v>
      </c>
      <c r="G14" t="s">
        <v>4443</v>
      </c>
      <c r="H14" t="s">
        <v>321</v>
      </c>
      <c r="I14" t="s">
        <v>917</v>
      </c>
      <c r="J14" t="s">
        <v>205</v>
      </c>
      <c r="K14" t="s">
        <v>224</v>
      </c>
      <c r="L14" t="s">
        <v>325</v>
      </c>
      <c r="M14" t="s">
        <v>314</v>
      </c>
      <c r="N14" t="s">
        <v>580</v>
      </c>
      <c r="O14" t="s">
        <v>339</v>
      </c>
      <c r="P14" t="s">
        <v>1216</v>
      </c>
      <c r="Q14" s="131">
        <v>35250.67</v>
      </c>
      <c r="R14" s="131">
        <v>3.71</v>
      </c>
      <c r="S14" s="131">
        <v>3704.89</v>
      </c>
      <c r="T14" s="131">
        <v>4845.2550000000001</v>
      </c>
      <c r="U14" s="132">
        <v>1.0000000000000001E-5</v>
      </c>
      <c r="V14" s="132">
        <v>7.1940000000000004E-2</v>
      </c>
      <c r="W14" s="132">
        <v>7.4200000000000004E-3</v>
      </c>
    </row>
    <row r="15" spans="1:23">
      <c r="A15" t="s">
        <v>1213</v>
      </c>
      <c r="B15" t="s">
        <v>1225</v>
      </c>
      <c r="C15" t="s">
        <v>4444</v>
      </c>
      <c r="D15" t="s">
        <v>4445</v>
      </c>
      <c r="E15" t="s">
        <v>80</v>
      </c>
      <c r="F15" t="s">
        <v>4446</v>
      </c>
      <c r="G15" t="s">
        <v>4447</v>
      </c>
      <c r="H15" t="s">
        <v>321</v>
      </c>
      <c r="I15" t="s">
        <v>917</v>
      </c>
      <c r="J15" t="s">
        <v>205</v>
      </c>
      <c r="K15" t="s">
        <v>244</v>
      </c>
      <c r="L15" t="s">
        <v>325</v>
      </c>
      <c r="M15" t="s">
        <v>314</v>
      </c>
      <c r="N15" t="s">
        <v>580</v>
      </c>
      <c r="O15" t="s">
        <v>339</v>
      </c>
      <c r="P15" t="s">
        <v>1216</v>
      </c>
      <c r="Q15" s="131">
        <v>4350</v>
      </c>
      <c r="R15" s="131">
        <v>3.71</v>
      </c>
      <c r="S15" s="131">
        <v>29150</v>
      </c>
      <c r="T15" s="131">
        <v>4704.3729999999996</v>
      </c>
      <c r="U15" s="132">
        <v>0</v>
      </c>
      <c r="V15" s="132">
        <v>6.9849999999999995E-2</v>
      </c>
      <c r="W15" s="132">
        <v>7.2100000000000003E-3</v>
      </c>
    </row>
    <row r="16" spans="1:23">
      <c r="A16" t="s">
        <v>1213</v>
      </c>
      <c r="B16" t="s">
        <v>1225</v>
      </c>
      <c r="C16" t="s">
        <v>4448</v>
      </c>
      <c r="D16" t="s">
        <v>4449</v>
      </c>
      <c r="E16" t="s">
        <v>80</v>
      </c>
      <c r="F16" t="s">
        <v>4450</v>
      </c>
      <c r="G16" t="s">
        <v>4451</v>
      </c>
      <c r="H16" t="s">
        <v>321</v>
      </c>
      <c r="I16" t="s">
        <v>917</v>
      </c>
      <c r="J16" t="s">
        <v>205</v>
      </c>
      <c r="K16" t="s">
        <v>244</v>
      </c>
      <c r="L16" t="s">
        <v>325</v>
      </c>
      <c r="M16" t="s">
        <v>314</v>
      </c>
      <c r="N16" t="s">
        <v>580</v>
      </c>
      <c r="O16" t="s">
        <v>339</v>
      </c>
      <c r="P16" t="s">
        <v>1216</v>
      </c>
      <c r="Q16" s="131">
        <v>41500.28</v>
      </c>
      <c r="R16" s="131">
        <v>3.71</v>
      </c>
      <c r="S16" s="131">
        <v>2643.11</v>
      </c>
      <c r="T16" s="131">
        <v>4069.4920000000002</v>
      </c>
      <c r="U16" s="132">
        <v>4.0000000000000003E-5</v>
      </c>
      <c r="V16" s="132">
        <v>6.0420000000000001E-2</v>
      </c>
      <c r="W16" s="132">
        <v>6.2300000000000003E-3</v>
      </c>
    </row>
    <row r="17" spans="1:23">
      <c r="A17" t="s">
        <v>1213</v>
      </c>
      <c r="B17" t="s">
        <v>1225</v>
      </c>
      <c r="C17" t="s">
        <v>4452</v>
      </c>
      <c r="D17" t="s">
        <v>4453</v>
      </c>
      <c r="E17" t="s">
        <v>80</v>
      </c>
      <c r="F17" t="s">
        <v>4454</v>
      </c>
      <c r="G17" t="s">
        <v>4455</v>
      </c>
      <c r="H17" t="s">
        <v>321</v>
      </c>
      <c r="I17" t="s">
        <v>917</v>
      </c>
      <c r="J17" t="s">
        <v>205</v>
      </c>
      <c r="K17" t="s">
        <v>293</v>
      </c>
      <c r="L17" t="s">
        <v>325</v>
      </c>
      <c r="M17" t="s">
        <v>314</v>
      </c>
      <c r="N17" t="s">
        <v>580</v>
      </c>
      <c r="O17" t="s">
        <v>339</v>
      </c>
      <c r="P17" t="s">
        <v>1216</v>
      </c>
      <c r="Q17" s="131">
        <v>3870</v>
      </c>
      <c r="R17" s="131">
        <v>3.71</v>
      </c>
      <c r="S17" s="131">
        <v>26066.18</v>
      </c>
      <c r="T17" s="131">
        <v>3742.5039999999999</v>
      </c>
      <c r="U17" s="132">
        <v>0</v>
      </c>
      <c r="V17" s="132">
        <v>5.5570000000000001E-2</v>
      </c>
      <c r="W17" s="132">
        <v>5.7299999999999999E-3</v>
      </c>
    </row>
    <row r="18" spans="1:23">
      <c r="A18" t="s">
        <v>1213</v>
      </c>
      <c r="B18" t="s">
        <v>1225</v>
      </c>
      <c r="C18" t="s">
        <v>4456</v>
      </c>
      <c r="D18" t="s">
        <v>4457</v>
      </c>
      <c r="E18" t="s">
        <v>80</v>
      </c>
      <c r="F18" t="s">
        <v>4458</v>
      </c>
      <c r="G18" t="s">
        <v>4459</v>
      </c>
      <c r="H18" t="s">
        <v>321</v>
      </c>
      <c r="I18" t="s">
        <v>917</v>
      </c>
      <c r="J18" t="s">
        <v>205</v>
      </c>
      <c r="K18" t="s">
        <v>293</v>
      </c>
      <c r="L18" t="s">
        <v>325</v>
      </c>
      <c r="M18" t="s">
        <v>314</v>
      </c>
      <c r="N18" t="s">
        <v>720</v>
      </c>
      <c r="O18" t="s">
        <v>339</v>
      </c>
      <c r="P18" t="s">
        <v>1216</v>
      </c>
      <c r="Q18" s="131">
        <v>28500</v>
      </c>
      <c r="R18" s="131">
        <v>3.71</v>
      </c>
      <c r="S18" s="131">
        <v>2273.25</v>
      </c>
      <c r="T18" s="131">
        <v>2403.6210000000001</v>
      </c>
      <c r="U18" s="132">
        <v>3.0000000000000001E-5</v>
      </c>
      <c r="V18" s="132">
        <v>3.569E-2</v>
      </c>
      <c r="W18" s="132">
        <v>3.6800000000000001E-3</v>
      </c>
    </row>
    <row r="19" spans="1:23">
      <c r="A19" t="s">
        <v>1213</v>
      </c>
      <c r="B19" t="s">
        <v>1225</v>
      </c>
      <c r="C19" t="s">
        <v>4460</v>
      </c>
      <c r="D19" t="s">
        <v>4461</v>
      </c>
      <c r="E19" t="s">
        <v>80</v>
      </c>
      <c r="F19" t="s">
        <v>4462</v>
      </c>
      <c r="G19" t="s">
        <v>4463</v>
      </c>
      <c r="H19" t="s">
        <v>321</v>
      </c>
      <c r="I19" t="s">
        <v>917</v>
      </c>
      <c r="J19" t="s">
        <v>205</v>
      </c>
      <c r="K19" t="s">
        <v>293</v>
      </c>
      <c r="L19" t="s">
        <v>325</v>
      </c>
      <c r="M19" t="s">
        <v>314</v>
      </c>
      <c r="N19" t="s">
        <v>735</v>
      </c>
      <c r="O19" t="s">
        <v>339</v>
      </c>
      <c r="P19" t="s">
        <v>1218</v>
      </c>
      <c r="Q19" s="131">
        <v>9500</v>
      </c>
      <c r="R19" s="131">
        <v>4.1524000000000001</v>
      </c>
      <c r="S19" s="131">
        <v>4933</v>
      </c>
      <c r="T19" s="131">
        <v>1945.96</v>
      </c>
      <c r="U19" s="132">
        <v>0</v>
      </c>
      <c r="V19" s="132">
        <v>2.8889999999999999E-2</v>
      </c>
      <c r="W19" s="132">
        <v>2.98E-3</v>
      </c>
    </row>
    <row r="20" spans="1:23">
      <c r="A20" t="s">
        <v>1213</v>
      </c>
      <c r="B20" t="s">
        <v>1225</v>
      </c>
      <c r="C20" t="s">
        <v>4464</v>
      </c>
      <c r="D20" t="s">
        <v>4465</v>
      </c>
      <c r="E20" t="s">
        <v>80</v>
      </c>
      <c r="F20" t="s">
        <v>4466</v>
      </c>
      <c r="G20" t="s">
        <v>4467</v>
      </c>
      <c r="H20" t="s">
        <v>321</v>
      </c>
      <c r="I20" t="s">
        <v>917</v>
      </c>
      <c r="J20" t="s">
        <v>205</v>
      </c>
      <c r="K20" t="s">
        <v>233</v>
      </c>
      <c r="L20" t="s">
        <v>325</v>
      </c>
      <c r="M20" t="s">
        <v>314</v>
      </c>
      <c r="N20" t="s">
        <v>735</v>
      </c>
      <c r="O20" t="s">
        <v>339</v>
      </c>
      <c r="P20" t="s">
        <v>1227</v>
      </c>
      <c r="Q20" s="131">
        <v>292000</v>
      </c>
      <c r="R20" s="131">
        <v>4.9748000000000001</v>
      </c>
      <c r="S20" s="131">
        <v>132.29</v>
      </c>
      <c r="T20" s="131">
        <v>1921.7</v>
      </c>
      <c r="U20" s="132">
        <v>1.9000000000000001E-4</v>
      </c>
      <c r="V20" s="132">
        <v>2.853E-2</v>
      </c>
      <c r="W20" s="132">
        <v>2.9399999999999999E-3</v>
      </c>
    </row>
    <row r="21" spans="1:23">
      <c r="A21" t="s">
        <v>1213</v>
      </c>
      <c r="B21" t="s">
        <v>1225</v>
      </c>
      <c r="C21" t="s">
        <v>4468</v>
      </c>
      <c r="D21" t="s">
        <v>4469</v>
      </c>
      <c r="E21" t="s">
        <v>80</v>
      </c>
      <c r="F21" t="s">
        <v>4470</v>
      </c>
      <c r="G21" t="s">
        <v>4471</v>
      </c>
      <c r="H21" t="s">
        <v>321</v>
      </c>
      <c r="I21" t="s">
        <v>917</v>
      </c>
      <c r="J21" t="s">
        <v>205</v>
      </c>
      <c r="K21" t="s">
        <v>293</v>
      </c>
      <c r="L21" t="s">
        <v>325</v>
      </c>
      <c r="M21" t="s">
        <v>314</v>
      </c>
      <c r="N21" t="s">
        <v>735</v>
      </c>
      <c r="O21" t="s">
        <v>339</v>
      </c>
      <c r="P21" t="s">
        <v>1216</v>
      </c>
      <c r="Q21" s="131">
        <v>235</v>
      </c>
      <c r="R21" s="131">
        <v>3.71</v>
      </c>
      <c r="S21" s="131">
        <v>174618</v>
      </c>
      <c r="T21" s="131">
        <v>1522.4069999999999</v>
      </c>
      <c r="U21" s="132">
        <v>0</v>
      </c>
      <c r="V21" s="132">
        <v>2.2599999999999999E-2</v>
      </c>
      <c r="W21" s="132">
        <v>2.33E-3</v>
      </c>
    </row>
    <row r="22" spans="1:23">
      <c r="A22" t="s">
        <v>1213</v>
      </c>
      <c r="B22" t="s">
        <v>1225</v>
      </c>
      <c r="C22" t="s">
        <v>4472</v>
      </c>
      <c r="D22" t="s">
        <v>4473</v>
      </c>
      <c r="E22" t="s">
        <v>80</v>
      </c>
      <c r="F22" t="s">
        <v>4474</v>
      </c>
      <c r="G22" t="s">
        <v>4475</v>
      </c>
      <c r="H22" t="s">
        <v>321</v>
      </c>
      <c r="I22" t="s">
        <v>917</v>
      </c>
      <c r="J22" t="s">
        <v>205</v>
      </c>
      <c r="K22" t="s">
        <v>293</v>
      </c>
      <c r="L22" t="s">
        <v>325</v>
      </c>
      <c r="M22" t="s">
        <v>314</v>
      </c>
      <c r="N22" t="s">
        <v>735</v>
      </c>
      <c r="O22" t="s">
        <v>339</v>
      </c>
      <c r="P22" t="s">
        <v>1218</v>
      </c>
      <c r="Q22" s="131">
        <v>1675</v>
      </c>
      <c r="R22" s="131">
        <v>4.1524000000000001</v>
      </c>
      <c r="S22" s="131">
        <v>19588</v>
      </c>
      <c r="T22" s="131">
        <v>1362.3979999999999</v>
      </c>
      <c r="U22" s="132">
        <v>0</v>
      </c>
      <c r="V22" s="132">
        <v>2.0230000000000001E-2</v>
      </c>
      <c r="W22" s="132">
        <v>2.0899999999999998E-3</v>
      </c>
    </row>
    <row r="23" spans="1:23">
      <c r="A23" t="s">
        <v>1213</v>
      </c>
      <c r="B23" t="s">
        <v>1225</v>
      </c>
      <c r="C23" t="s">
        <v>4476</v>
      </c>
      <c r="D23" t="s">
        <v>4477</v>
      </c>
      <c r="E23" t="s">
        <v>80</v>
      </c>
      <c r="F23" t="s">
        <v>4476</v>
      </c>
      <c r="G23" t="s">
        <v>4478</v>
      </c>
      <c r="H23" t="s">
        <v>321</v>
      </c>
      <c r="I23" t="s">
        <v>917</v>
      </c>
      <c r="J23" t="s">
        <v>205</v>
      </c>
      <c r="K23" t="s">
        <v>287</v>
      </c>
      <c r="L23" t="s">
        <v>325</v>
      </c>
      <c r="M23" t="s">
        <v>344</v>
      </c>
      <c r="N23" t="s">
        <v>735</v>
      </c>
      <c r="O23" t="s">
        <v>339</v>
      </c>
      <c r="P23" t="s">
        <v>1219</v>
      </c>
      <c r="Q23" s="131">
        <v>1395</v>
      </c>
      <c r="R23" s="131">
        <v>4.3964999999999996</v>
      </c>
      <c r="S23" s="131">
        <v>18940</v>
      </c>
      <c r="T23" s="131">
        <v>1161.6120000000001</v>
      </c>
      <c r="U23" s="132">
        <v>0</v>
      </c>
      <c r="V23" s="132">
        <v>1.7250000000000001E-2</v>
      </c>
      <c r="W23" s="132">
        <v>1.7799999999999999E-3</v>
      </c>
    </row>
    <row r="24" spans="1:23">
      <c r="A24" t="s">
        <v>1213</v>
      </c>
      <c r="B24" t="s">
        <v>1225</v>
      </c>
      <c r="C24" t="s">
        <v>4479</v>
      </c>
      <c r="D24" t="s">
        <v>4480</v>
      </c>
      <c r="E24" t="s">
        <v>80</v>
      </c>
      <c r="F24" t="s">
        <v>4481</v>
      </c>
      <c r="G24" t="s">
        <v>4482</v>
      </c>
      <c r="H24" t="s">
        <v>321</v>
      </c>
      <c r="I24" t="s">
        <v>917</v>
      </c>
      <c r="J24" t="s">
        <v>205</v>
      </c>
      <c r="K24" t="s">
        <v>281</v>
      </c>
      <c r="L24" t="s">
        <v>325</v>
      </c>
      <c r="M24" t="s">
        <v>314</v>
      </c>
      <c r="N24" t="s">
        <v>735</v>
      </c>
      <c r="O24" t="s">
        <v>339</v>
      </c>
      <c r="P24" t="s">
        <v>1228</v>
      </c>
      <c r="Q24" s="131">
        <v>2100</v>
      </c>
      <c r="R24" s="131">
        <v>2.6029E-2</v>
      </c>
      <c r="S24" s="131">
        <v>1627608</v>
      </c>
      <c r="T24" s="131">
        <v>889.66499999999996</v>
      </c>
      <c r="U24" s="132">
        <v>0</v>
      </c>
      <c r="V24" s="132">
        <v>1.321E-2</v>
      </c>
      <c r="W24" s="132">
        <v>1.3600000000000001E-3</v>
      </c>
    </row>
    <row r="25" spans="1:23">
      <c r="A25" t="s">
        <v>1213</v>
      </c>
      <c r="B25" t="s">
        <v>1225</v>
      </c>
      <c r="C25" t="s">
        <v>4483</v>
      </c>
      <c r="D25" t="s">
        <v>4484</v>
      </c>
      <c r="E25" t="s">
        <v>80</v>
      </c>
      <c r="F25" t="s">
        <v>4485</v>
      </c>
      <c r="G25" t="s">
        <v>4486</v>
      </c>
      <c r="H25" t="s">
        <v>321</v>
      </c>
      <c r="I25" t="s">
        <v>917</v>
      </c>
      <c r="J25" t="s">
        <v>205</v>
      </c>
      <c r="K25" t="s">
        <v>293</v>
      </c>
      <c r="L25" t="s">
        <v>325</v>
      </c>
      <c r="M25" t="s">
        <v>314</v>
      </c>
      <c r="N25" t="s">
        <v>735</v>
      </c>
      <c r="O25" t="s">
        <v>339</v>
      </c>
      <c r="P25" t="s">
        <v>1216</v>
      </c>
      <c r="Q25" s="131">
        <v>725</v>
      </c>
      <c r="R25" s="131">
        <v>3.71</v>
      </c>
      <c r="S25" s="131">
        <v>25032.080000000002</v>
      </c>
      <c r="T25" s="131">
        <v>673.3</v>
      </c>
      <c r="U25" s="132">
        <v>1.0000000000000001E-5</v>
      </c>
      <c r="V25" s="132">
        <v>0.01</v>
      </c>
      <c r="W25" s="132">
        <v>1.0300000000000001E-3</v>
      </c>
    </row>
    <row r="26" spans="1:23">
      <c r="A26" t="s">
        <v>1213</v>
      </c>
      <c r="B26" t="s">
        <v>1225</v>
      </c>
      <c r="C26" t="s">
        <v>4487</v>
      </c>
      <c r="D26" t="s">
        <v>4488</v>
      </c>
      <c r="E26" t="s">
        <v>80</v>
      </c>
      <c r="F26" t="s">
        <v>4489</v>
      </c>
      <c r="G26" t="s">
        <v>4490</v>
      </c>
      <c r="H26" t="s">
        <v>321</v>
      </c>
      <c r="I26" t="s">
        <v>917</v>
      </c>
      <c r="J26" t="s">
        <v>205</v>
      </c>
      <c r="K26" t="s">
        <v>293</v>
      </c>
      <c r="L26" t="s">
        <v>325</v>
      </c>
      <c r="M26" t="s">
        <v>314</v>
      </c>
      <c r="N26" t="s">
        <v>735</v>
      </c>
      <c r="O26" t="s">
        <v>339</v>
      </c>
      <c r="P26" t="s">
        <v>1228</v>
      </c>
      <c r="Q26" s="131">
        <v>465</v>
      </c>
      <c r="R26" s="131">
        <v>2.6029E-2</v>
      </c>
      <c r="S26" s="131">
        <v>4047300</v>
      </c>
      <c r="T26" s="131">
        <v>489.86399999999998</v>
      </c>
      <c r="U26" s="132">
        <v>0</v>
      </c>
      <c r="V26" s="132">
        <v>7.2700000000000004E-3</v>
      </c>
      <c r="W26" s="132">
        <v>7.5000000000000002E-4</v>
      </c>
    </row>
    <row r="27" spans="1:23">
      <c r="A27" t="s">
        <v>1213</v>
      </c>
      <c r="B27" t="s">
        <v>1230</v>
      </c>
      <c r="C27" t="s">
        <v>4111</v>
      </c>
      <c r="D27" t="s">
        <v>4112</v>
      </c>
      <c r="E27" t="s">
        <v>309</v>
      </c>
      <c r="F27" t="s">
        <v>4426</v>
      </c>
      <c r="G27" t="s">
        <v>4427</v>
      </c>
      <c r="H27" t="s">
        <v>321</v>
      </c>
      <c r="I27" t="s">
        <v>917</v>
      </c>
      <c r="J27" t="s">
        <v>204</v>
      </c>
      <c r="K27" t="s">
        <v>204</v>
      </c>
      <c r="L27" t="s">
        <v>325</v>
      </c>
      <c r="M27" t="s">
        <v>340</v>
      </c>
      <c r="N27" t="s">
        <v>605</v>
      </c>
      <c r="O27" t="s">
        <v>339</v>
      </c>
      <c r="P27" t="s">
        <v>1212</v>
      </c>
      <c r="Q27" s="131">
        <v>39550000</v>
      </c>
      <c r="R27" s="131">
        <v>1</v>
      </c>
      <c r="S27" s="131">
        <v>265.31</v>
      </c>
      <c r="T27" s="131">
        <v>104930.105</v>
      </c>
      <c r="U27" s="132">
        <v>5.518E-2</v>
      </c>
      <c r="V27" s="132">
        <v>0.59450999999999998</v>
      </c>
      <c r="W27" s="132">
        <v>3.7429999999999998E-2</v>
      </c>
    </row>
    <row r="28" spans="1:23">
      <c r="A28" t="s">
        <v>1213</v>
      </c>
      <c r="B28" t="s">
        <v>1230</v>
      </c>
      <c r="C28" t="s">
        <v>4440</v>
      </c>
      <c r="D28" t="s">
        <v>4441</v>
      </c>
      <c r="E28" t="s">
        <v>80</v>
      </c>
      <c r="F28" t="s">
        <v>4442</v>
      </c>
      <c r="G28" t="s">
        <v>4443</v>
      </c>
      <c r="H28" t="s">
        <v>321</v>
      </c>
      <c r="I28" t="s">
        <v>917</v>
      </c>
      <c r="J28" t="s">
        <v>205</v>
      </c>
      <c r="K28" t="s">
        <v>224</v>
      </c>
      <c r="L28" t="s">
        <v>325</v>
      </c>
      <c r="M28" t="s">
        <v>314</v>
      </c>
      <c r="N28" t="s">
        <v>580</v>
      </c>
      <c r="O28" t="s">
        <v>339</v>
      </c>
      <c r="P28" t="s">
        <v>1216</v>
      </c>
      <c r="Q28" s="131">
        <v>83500.14</v>
      </c>
      <c r="R28" s="131">
        <v>3.71</v>
      </c>
      <c r="S28" s="131">
        <v>3704.89</v>
      </c>
      <c r="T28" s="131">
        <v>11477.213</v>
      </c>
      <c r="U28" s="132">
        <v>2.0000000000000002E-5</v>
      </c>
      <c r="V28" s="132">
        <v>6.5030000000000004E-2</v>
      </c>
      <c r="W28" s="132">
        <v>4.0899999999999999E-3</v>
      </c>
    </row>
    <row r="29" spans="1:23">
      <c r="A29" t="s">
        <v>1213</v>
      </c>
      <c r="B29" t="s">
        <v>1230</v>
      </c>
      <c r="C29" t="s">
        <v>4444</v>
      </c>
      <c r="D29" t="s">
        <v>4445</v>
      </c>
      <c r="E29" t="s">
        <v>80</v>
      </c>
      <c r="F29" t="s">
        <v>4446</v>
      </c>
      <c r="G29" t="s">
        <v>4447</v>
      </c>
      <c r="H29" t="s">
        <v>321</v>
      </c>
      <c r="I29" t="s">
        <v>917</v>
      </c>
      <c r="J29" t="s">
        <v>205</v>
      </c>
      <c r="K29" t="s">
        <v>244</v>
      </c>
      <c r="L29" t="s">
        <v>325</v>
      </c>
      <c r="M29" t="s">
        <v>314</v>
      </c>
      <c r="N29" t="s">
        <v>580</v>
      </c>
      <c r="O29" t="s">
        <v>339</v>
      </c>
      <c r="P29" t="s">
        <v>1216</v>
      </c>
      <c r="Q29" s="131">
        <v>10500</v>
      </c>
      <c r="R29" s="131">
        <v>3.71</v>
      </c>
      <c r="S29" s="131">
        <v>29150</v>
      </c>
      <c r="T29" s="131">
        <v>11355.383</v>
      </c>
      <c r="U29" s="132">
        <v>0</v>
      </c>
      <c r="V29" s="132">
        <v>6.4339999999999994E-2</v>
      </c>
      <c r="W29" s="132">
        <v>4.0499999999999998E-3</v>
      </c>
    </row>
    <row r="30" spans="1:23">
      <c r="A30" t="s">
        <v>1213</v>
      </c>
      <c r="B30" t="s">
        <v>1230</v>
      </c>
      <c r="C30" t="s">
        <v>4448</v>
      </c>
      <c r="D30" t="s">
        <v>4449</v>
      </c>
      <c r="E30" t="s">
        <v>80</v>
      </c>
      <c r="F30" t="s">
        <v>4450</v>
      </c>
      <c r="G30" t="s">
        <v>4451</v>
      </c>
      <c r="H30" t="s">
        <v>321</v>
      </c>
      <c r="I30" t="s">
        <v>917</v>
      </c>
      <c r="J30" t="s">
        <v>205</v>
      </c>
      <c r="K30" t="s">
        <v>244</v>
      </c>
      <c r="L30" t="s">
        <v>325</v>
      </c>
      <c r="M30" t="s">
        <v>314</v>
      </c>
      <c r="N30" t="s">
        <v>580</v>
      </c>
      <c r="O30" t="s">
        <v>339</v>
      </c>
      <c r="P30" t="s">
        <v>1216</v>
      </c>
      <c r="Q30" s="131">
        <v>97000.51</v>
      </c>
      <c r="R30" s="131">
        <v>3.71</v>
      </c>
      <c r="S30" s="131">
        <v>2643.11</v>
      </c>
      <c r="T30" s="131">
        <v>9511.81</v>
      </c>
      <c r="U30" s="132">
        <v>9.0000000000000006E-5</v>
      </c>
      <c r="V30" s="132">
        <v>5.389E-2</v>
      </c>
      <c r="W30" s="132">
        <v>3.3899999999999998E-3</v>
      </c>
    </row>
    <row r="31" spans="1:23">
      <c r="A31" t="s">
        <v>1213</v>
      </c>
      <c r="B31" t="s">
        <v>1230</v>
      </c>
      <c r="C31" t="s">
        <v>4452</v>
      </c>
      <c r="D31" t="s">
        <v>4453</v>
      </c>
      <c r="E31" t="s">
        <v>80</v>
      </c>
      <c r="F31" t="s">
        <v>4454</v>
      </c>
      <c r="G31" t="s">
        <v>4455</v>
      </c>
      <c r="H31" t="s">
        <v>321</v>
      </c>
      <c r="I31" t="s">
        <v>917</v>
      </c>
      <c r="J31" t="s">
        <v>205</v>
      </c>
      <c r="K31" t="s">
        <v>293</v>
      </c>
      <c r="L31" t="s">
        <v>325</v>
      </c>
      <c r="M31" t="s">
        <v>314</v>
      </c>
      <c r="N31" t="s">
        <v>580</v>
      </c>
      <c r="O31" t="s">
        <v>339</v>
      </c>
      <c r="P31" t="s">
        <v>1216</v>
      </c>
      <c r="Q31" s="131">
        <v>9000</v>
      </c>
      <c r="R31" s="131">
        <v>3.71</v>
      </c>
      <c r="S31" s="131">
        <v>26066.18</v>
      </c>
      <c r="T31" s="131">
        <v>8703.4979999999996</v>
      </c>
      <c r="U31" s="132">
        <v>0</v>
      </c>
      <c r="V31" s="132">
        <v>4.931E-2</v>
      </c>
      <c r="W31" s="132">
        <v>3.0999999999999999E-3</v>
      </c>
    </row>
    <row r="32" spans="1:23">
      <c r="A32" t="s">
        <v>1213</v>
      </c>
      <c r="B32" t="s">
        <v>1230</v>
      </c>
      <c r="C32" t="s">
        <v>4456</v>
      </c>
      <c r="D32" t="s">
        <v>4457</v>
      </c>
      <c r="E32" t="s">
        <v>80</v>
      </c>
      <c r="F32" t="s">
        <v>4458</v>
      </c>
      <c r="G32" t="s">
        <v>4459</v>
      </c>
      <c r="H32" t="s">
        <v>321</v>
      </c>
      <c r="I32" t="s">
        <v>917</v>
      </c>
      <c r="J32" t="s">
        <v>205</v>
      </c>
      <c r="K32" t="s">
        <v>293</v>
      </c>
      <c r="L32" t="s">
        <v>325</v>
      </c>
      <c r="M32" t="s">
        <v>314</v>
      </c>
      <c r="N32" t="s">
        <v>720</v>
      </c>
      <c r="O32" t="s">
        <v>339</v>
      </c>
      <c r="P32" t="s">
        <v>1216</v>
      </c>
      <c r="Q32" s="131">
        <v>65000</v>
      </c>
      <c r="R32" s="131">
        <v>3.71</v>
      </c>
      <c r="S32" s="131">
        <v>2273.25</v>
      </c>
      <c r="T32" s="131">
        <v>5481.942</v>
      </c>
      <c r="U32" s="132">
        <v>6.0000000000000002E-5</v>
      </c>
      <c r="V32" s="132">
        <v>3.1060000000000001E-2</v>
      </c>
      <c r="W32" s="132">
        <v>1.9599999999999999E-3</v>
      </c>
    </row>
    <row r="33" spans="1:23">
      <c r="A33" t="s">
        <v>1213</v>
      </c>
      <c r="B33" t="s">
        <v>1230</v>
      </c>
      <c r="C33" t="s">
        <v>4464</v>
      </c>
      <c r="D33" t="s">
        <v>4465</v>
      </c>
      <c r="E33" t="s">
        <v>80</v>
      </c>
      <c r="F33" t="s">
        <v>4466</v>
      </c>
      <c r="G33" t="s">
        <v>4467</v>
      </c>
      <c r="H33" t="s">
        <v>321</v>
      </c>
      <c r="I33" t="s">
        <v>917</v>
      </c>
      <c r="J33" t="s">
        <v>205</v>
      </c>
      <c r="K33" t="s">
        <v>233</v>
      </c>
      <c r="L33" t="s">
        <v>325</v>
      </c>
      <c r="M33" t="s">
        <v>314</v>
      </c>
      <c r="N33" t="s">
        <v>735</v>
      </c>
      <c r="O33" t="s">
        <v>339</v>
      </c>
      <c r="P33" t="s">
        <v>1227</v>
      </c>
      <c r="Q33" s="131">
        <v>750000</v>
      </c>
      <c r="R33" s="131">
        <v>4.9748000000000001</v>
      </c>
      <c r="S33" s="131">
        <v>132.29</v>
      </c>
      <c r="T33" s="131">
        <v>4935.8720000000003</v>
      </c>
      <c r="U33" s="132">
        <v>4.8000000000000001E-4</v>
      </c>
      <c r="V33" s="132">
        <v>2.7969999999999998E-2</v>
      </c>
      <c r="W33" s="132">
        <v>1.7600000000000001E-3</v>
      </c>
    </row>
    <row r="34" spans="1:23">
      <c r="A34" t="s">
        <v>1213</v>
      </c>
      <c r="B34" t="s">
        <v>1230</v>
      </c>
      <c r="C34" t="s">
        <v>4460</v>
      </c>
      <c r="D34" t="s">
        <v>4461</v>
      </c>
      <c r="E34" t="s">
        <v>80</v>
      </c>
      <c r="F34" t="s">
        <v>4462</v>
      </c>
      <c r="G34" t="s">
        <v>4463</v>
      </c>
      <c r="H34" t="s">
        <v>321</v>
      </c>
      <c r="I34" t="s">
        <v>917</v>
      </c>
      <c r="J34" t="s">
        <v>205</v>
      </c>
      <c r="K34" t="s">
        <v>293</v>
      </c>
      <c r="L34" t="s">
        <v>325</v>
      </c>
      <c r="M34" t="s">
        <v>314</v>
      </c>
      <c r="N34" t="s">
        <v>735</v>
      </c>
      <c r="O34" t="s">
        <v>339</v>
      </c>
      <c r="P34" t="s">
        <v>1218</v>
      </c>
      <c r="Q34" s="131">
        <v>22500</v>
      </c>
      <c r="R34" s="131">
        <v>4.1524000000000001</v>
      </c>
      <c r="S34" s="131">
        <v>4933</v>
      </c>
      <c r="T34" s="131">
        <v>4608.8530000000001</v>
      </c>
      <c r="U34" s="132">
        <v>0</v>
      </c>
      <c r="V34" s="132">
        <v>2.6110000000000001E-2</v>
      </c>
      <c r="W34" s="132">
        <v>1.64E-3</v>
      </c>
    </row>
    <row r="35" spans="1:23">
      <c r="A35" t="s">
        <v>1213</v>
      </c>
      <c r="B35" t="s">
        <v>1230</v>
      </c>
      <c r="C35" t="s">
        <v>4472</v>
      </c>
      <c r="D35" t="s">
        <v>4473</v>
      </c>
      <c r="E35" t="s">
        <v>80</v>
      </c>
      <c r="F35" t="s">
        <v>4474</v>
      </c>
      <c r="G35" t="s">
        <v>4475</v>
      </c>
      <c r="H35" t="s">
        <v>321</v>
      </c>
      <c r="I35" t="s">
        <v>917</v>
      </c>
      <c r="J35" t="s">
        <v>205</v>
      </c>
      <c r="K35" t="s">
        <v>293</v>
      </c>
      <c r="L35" t="s">
        <v>325</v>
      </c>
      <c r="M35" t="s">
        <v>314</v>
      </c>
      <c r="N35" t="s">
        <v>735</v>
      </c>
      <c r="O35" t="s">
        <v>339</v>
      </c>
      <c r="P35" t="s">
        <v>1218</v>
      </c>
      <c r="Q35" s="131">
        <v>4525</v>
      </c>
      <c r="R35" s="131">
        <v>4.1524000000000001</v>
      </c>
      <c r="S35" s="131">
        <v>19588</v>
      </c>
      <c r="T35" s="131">
        <v>3680.509</v>
      </c>
      <c r="U35" s="132">
        <v>1.0000000000000001E-5</v>
      </c>
      <c r="V35" s="132">
        <v>2.085E-2</v>
      </c>
      <c r="W35" s="132">
        <v>1.31E-3</v>
      </c>
    </row>
    <row r="36" spans="1:23">
      <c r="A36" t="s">
        <v>1213</v>
      </c>
      <c r="B36" t="s">
        <v>1230</v>
      </c>
      <c r="C36" t="s">
        <v>4476</v>
      </c>
      <c r="D36" t="s">
        <v>4477</v>
      </c>
      <c r="E36" t="s">
        <v>80</v>
      </c>
      <c r="F36" t="s">
        <v>4476</v>
      </c>
      <c r="G36" t="s">
        <v>4478</v>
      </c>
      <c r="H36" t="s">
        <v>321</v>
      </c>
      <c r="I36" t="s">
        <v>917</v>
      </c>
      <c r="J36" t="s">
        <v>205</v>
      </c>
      <c r="K36" t="s">
        <v>287</v>
      </c>
      <c r="L36" t="s">
        <v>325</v>
      </c>
      <c r="M36" t="s">
        <v>344</v>
      </c>
      <c r="N36" t="s">
        <v>735</v>
      </c>
      <c r="O36" t="s">
        <v>339</v>
      </c>
      <c r="P36" t="s">
        <v>1219</v>
      </c>
      <c r="Q36" s="131">
        <v>4340</v>
      </c>
      <c r="R36" s="131">
        <v>4.3964999999999996</v>
      </c>
      <c r="S36" s="131">
        <v>18940</v>
      </c>
      <c r="T36" s="131">
        <v>3613.9050000000002</v>
      </c>
      <c r="U36" s="132">
        <v>0</v>
      </c>
      <c r="V36" s="132">
        <v>2.0480000000000002E-2</v>
      </c>
      <c r="W36" s="132">
        <v>1.2899999999999999E-3</v>
      </c>
    </row>
    <row r="37" spans="1:23">
      <c r="A37" t="s">
        <v>1213</v>
      </c>
      <c r="B37" t="s">
        <v>1230</v>
      </c>
      <c r="C37" t="s">
        <v>4468</v>
      </c>
      <c r="D37" t="s">
        <v>4469</v>
      </c>
      <c r="E37" t="s">
        <v>80</v>
      </c>
      <c r="F37" t="s">
        <v>4470</v>
      </c>
      <c r="G37" t="s">
        <v>4471</v>
      </c>
      <c r="H37" t="s">
        <v>321</v>
      </c>
      <c r="I37" t="s">
        <v>917</v>
      </c>
      <c r="J37" t="s">
        <v>205</v>
      </c>
      <c r="K37" t="s">
        <v>293</v>
      </c>
      <c r="L37" t="s">
        <v>325</v>
      </c>
      <c r="M37" t="s">
        <v>314</v>
      </c>
      <c r="N37" t="s">
        <v>735</v>
      </c>
      <c r="O37" t="s">
        <v>339</v>
      </c>
      <c r="P37" t="s">
        <v>1216</v>
      </c>
      <c r="Q37" s="131">
        <v>485</v>
      </c>
      <c r="R37" s="131">
        <v>3.71</v>
      </c>
      <c r="S37" s="131">
        <v>174618</v>
      </c>
      <c r="T37" s="131">
        <v>3141.989</v>
      </c>
      <c r="U37" s="132">
        <v>0</v>
      </c>
      <c r="V37" s="132">
        <v>1.78E-2</v>
      </c>
      <c r="W37" s="132">
        <v>1.1199999999999999E-3</v>
      </c>
    </row>
    <row r="38" spans="1:23">
      <c r="A38" t="s">
        <v>1213</v>
      </c>
      <c r="B38" t="s">
        <v>1230</v>
      </c>
      <c r="C38" t="s">
        <v>4479</v>
      </c>
      <c r="D38" t="s">
        <v>4480</v>
      </c>
      <c r="E38" t="s">
        <v>80</v>
      </c>
      <c r="F38" t="s">
        <v>4481</v>
      </c>
      <c r="G38" t="s">
        <v>4482</v>
      </c>
      <c r="H38" t="s">
        <v>321</v>
      </c>
      <c r="I38" t="s">
        <v>917</v>
      </c>
      <c r="J38" t="s">
        <v>205</v>
      </c>
      <c r="K38" t="s">
        <v>281</v>
      </c>
      <c r="L38" t="s">
        <v>325</v>
      </c>
      <c r="M38" t="s">
        <v>314</v>
      </c>
      <c r="N38" t="s">
        <v>735</v>
      </c>
      <c r="O38" t="s">
        <v>339</v>
      </c>
      <c r="P38" t="s">
        <v>1228</v>
      </c>
      <c r="Q38" s="131">
        <v>5300</v>
      </c>
      <c r="R38" s="131">
        <v>2.6029E-2</v>
      </c>
      <c r="S38" s="131">
        <v>1627608</v>
      </c>
      <c r="T38" s="131">
        <v>2245.3449999999998</v>
      </c>
      <c r="U38" s="132">
        <v>0</v>
      </c>
      <c r="V38" s="132">
        <v>1.272E-2</v>
      </c>
      <c r="W38" s="132">
        <v>8.0000000000000004E-4</v>
      </c>
    </row>
    <row r="39" spans="1:23">
      <c r="A39" t="s">
        <v>1213</v>
      </c>
      <c r="B39" t="s">
        <v>1230</v>
      </c>
      <c r="C39" t="s">
        <v>4483</v>
      </c>
      <c r="D39" t="s">
        <v>4484</v>
      </c>
      <c r="E39" t="s">
        <v>80</v>
      </c>
      <c r="F39" t="s">
        <v>4485</v>
      </c>
      <c r="G39" t="s">
        <v>4486</v>
      </c>
      <c r="H39" t="s">
        <v>321</v>
      </c>
      <c r="I39" t="s">
        <v>917</v>
      </c>
      <c r="J39" t="s">
        <v>205</v>
      </c>
      <c r="K39" t="s">
        <v>293</v>
      </c>
      <c r="L39" t="s">
        <v>325</v>
      </c>
      <c r="M39" t="s">
        <v>314</v>
      </c>
      <c r="N39" t="s">
        <v>735</v>
      </c>
      <c r="O39" t="s">
        <v>339</v>
      </c>
      <c r="P39" t="s">
        <v>1216</v>
      </c>
      <c r="Q39" s="131">
        <v>1725</v>
      </c>
      <c r="R39" s="131">
        <v>3.71</v>
      </c>
      <c r="S39" s="131">
        <v>25032.080000000002</v>
      </c>
      <c r="T39" s="131">
        <v>1601.991</v>
      </c>
      <c r="U39" s="132">
        <v>1.0000000000000001E-5</v>
      </c>
      <c r="V39" s="132">
        <v>9.0799999999999995E-3</v>
      </c>
      <c r="W39" s="132">
        <v>5.6999999999999998E-4</v>
      </c>
    </row>
    <row r="40" spans="1:23">
      <c r="A40" t="s">
        <v>1213</v>
      </c>
      <c r="B40" t="s">
        <v>1230</v>
      </c>
      <c r="C40" t="s">
        <v>4487</v>
      </c>
      <c r="D40" t="s">
        <v>4488</v>
      </c>
      <c r="E40" t="s">
        <v>80</v>
      </c>
      <c r="F40" t="s">
        <v>4489</v>
      </c>
      <c r="G40" t="s">
        <v>4490</v>
      </c>
      <c r="H40" t="s">
        <v>321</v>
      </c>
      <c r="I40" t="s">
        <v>917</v>
      </c>
      <c r="J40" t="s">
        <v>205</v>
      </c>
      <c r="K40" t="s">
        <v>293</v>
      </c>
      <c r="L40" t="s">
        <v>325</v>
      </c>
      <c r="M40" t="s">
        <v>314</v>
      </c>
      <c r="N40" t="s">
        <v>735</v>
      </c>
      <c r="O40" t="s">
        <v>339</v>
      </c>
      <c r="P40" t="s">
        <v>1228</v>
      </c>
      <c r="Q40" s="131">
        <v>1150</v>
      </c>
      <c r="R40" s="131">
        <v>2.6029E-2</v>
      </c>
      <c r="S40" s="131">
        <v>4047300</v>
      </c>
      <c r="T40" s="131">
        <v>1211.492</v>
      </c>
      <c r="U40" s="132">
        <v>0</v>
      </c>
      <c r="V40" s="132">
        <v>6.8599999999999998E-3</v>
      </c>
      <c r="W40" s="132">
        <v>4.2999999999999999E-4</v>
      </c>
    </row>
    <row r="41" spans="1:23">
      <c r="A41" t="s">
        <v>1213</v>
      </c>
      <c r="B41" t="s">
        <v>1233</v>
      </c>
      <c r="C41" t="s">
        <v>4250</v>
      </c>
      <c r="D41" t="s">
        <v>4251</v>
      </c>
      <c r="E41" t="s">
        <v>80</v>
      </c>
      <c r="F41" t="s">
        <v>4491</v>
      </c>
      <c r="G41" t="s">
        <v>4492</v>
      </c>
      <c r="H41" t="s">
        <v>321</v>
      </c>
      <c r="I41" t="s">
        <v>969</v>
      </c>
      <c r="J41" t="s">
        <v>205</v>
      </c>
      <c r="K41" t="s">
        <v>224</v>
      </c>
      <c r="L41" t="s">
        <v>325</v>
      </c>
      <c r="M41" t="s">
        <v>314</v>
      </c>
      <c r="N41" t="s">
        <v>732</v>
      </c>
      <c r="O41" t="s">
        <v>339</v>
      </c>
      <c r="P41" t="s">
        <v>1216</v>
      </c>
      <c r="Q41" s="131">
        <v>30588.93</v>
      </c>
      <c r="R41" s="131">
        <v>3.71</v>
      </c>
      <c r="S41" s="131">
        <v>18382</v>
      </c>
      <c r="T41" s="131">
        <v>20860.8</v>
      </c>
      <c r="U41" s="132">
        <v>1.0000000000000001E-5</v>
      </c>
      <c r="V41" s="132">
        <v>0.18704000000000001</v>
      </c>
      <c r="W41" s="132">
        <v>5.5440000000000003E-2</v>
      </c>
    </row>
    <row r="42" spans="1:23">
      <c r="A42" t="s">
        <v>1213</v>
      </c>
      <c r="B42" t="s">
        <v>1233</v>
      </c>
      <c r="C42" t="s">
        <v>4493</v>
      </c>
      <c r="D42" t="s">
        <v>4494</v>
      </c>
      <c r="E42" t="s">
        <v>80</v>
      </c>
      <c r="F42" t="s">
        <v>4495</v>
      </c>
      <c r="G42" t="s">
        <v>4496</v>
      </c>
      <c r="H42" t="s">
        <v>321</v>
      </c>
      <c r="I42" t="s">
        <v>969</v>
      </c>
      <c r="J42" t="s">
        <v>205</v>
      </c>
      <c r="K42" t="s">
        <v>293</v>
      </c>
      <c r="L42" t="s">
        <v>325</v>
      </c>
      <c r="M42" t="s">
        <v>314</v>
      </c>
      <c r="N42" t="s">
        <v>732</v>
      </c>
      <c r="O42" t="s">
        <v>339</v>
      </c>
      <c r="P42" t="s">
        <v>1216</v>
      </c>
      <c r="Q42" s="131">
        <v>42663.37</v>
      </c>
      <c r="R42" s="131">
        <v>3.71</v>
      </c>
      <c r="S42" s="131">
        <v>12389.08</v>
      </c>
      <c r="T42" s="131">
        <v>19609.572</v>
      </c>
      <c r="U42" s="132">
        <v>1.0000000000000001E-5</v>
      </c>
      <c r="V42" s="132">
        <v>0.17582</v>
      </c>
      <c r="W42" s="132">
        <v>5.2109999999999997E-2</v>
      </c>
    </row>
    <row r="43" spans="1:23">
      <c r="A43" t="s">
        <v>1213</v>
      </c>
      <c r="B43" t="s">
        <v>1233</v>
      </c>
      <c r="C43" t="s">
        <v>4452</v>
      </c>
      <c r="D43" t="s">
        <v>4453</v>
      </c>
      <c r="E43" t="s">
        <v>80</v>
      </c>
      <c r="F43" t="s">
        <v>4497</v>
      </c>
      <c r="G43" t="s">
        <v>4498</v>
      </c>
      <c r="H43" t="s">
        <v>321</v>
      </c>
      <c r="I43" t="s">
        <v>969</v>
      </c>
      <c r="J43" t="s">
        <v>205</v>
      </c>
      <c r="K43" t="s">
        <v>293</v>
      </c>
      <c r="L43" t="s">
        <v>325</v>
      </c>
      <c r="M43" t="s">
        <v>314</v>
      </c>
      <c r="N43" t="s">
        <v>732</v>
      </c>
      <c r="O43" t="s">
        <v>339</v>
      </c>
      <c r="P43" t="s">
        <v>1216</v>
      </c>
      <c r="Q43" s="131">
        <v>8264.4699999999993</v>
      </c>
      <c r="R43" s="131">
        <v>3.71</v>
      </c>
      <c r="S43" s="131">
        <v>40175.550000000003</v>
      </c>
      <c r="T43" s="131">
        <v>12318.299000000001</v>
      </c>
      <c r="U43" s="132">
        <v>0</v>
      </c>
      <c r="V43" s="132">
        <v>0.11045000000000001</v>
      </c>
      <c r="W43" s="132">
        <v>3.2739999999999998E-2</v>
      </c>
    </row>
    <row r="44" spans="1:23">
      <c r="A44" t="s">
        <v>1213</v>
      </c>
      <c r="B44" t="s">
        <v>1233</v>
      </c>
      <c r="C44" t="s">
        <v>4499</v>
      </c>
      <c r="D44" t="s">
        <v>4500</v>
      </c>
      <c r="E44" t="s">
        <v>80</v>
      </c>
      <c r="F44" t="s">
        <v>4501</v>
      </c>
      <c r="G44" t="s">
        <v>4502</v>
      </c>
      <c r="H44" t="s">
        <v>321</v>
      </c>
      <c r="I44" t="s">
        <v>969</v>
      </c>
      <c r="J44" t="s">
        <v>205</v>
      </c>
      <c r="K44" t="s">
        <v>233</v>
      </c>
      <c r="L44" t="s">
        <v>325</v>
      </c>
      <c r="M44" t="s">
        <v>314</v>
      </c>
      <c r="N44" t="s">
        <v>732</v>
      </c>
      <c r="O44" t="s">
        <v>339</v>
      </c>
      <c r="P44" t="s">
        <v>1216</v>
      </c>
      <c r="Q44" s="131">
        <v>153894.48000000001</v>
      </c>
      <c r="R44" s="131">
        <v>3.71</v>
      </c>
      <c r="S44" s="131">
        <v>1827</v>
      </c>
      <c r="T44" s="131">
        <v>10431.228999999999</v>
      </c>
      <c r="U44" s="132">
        <v>0</v>
      </c>
      <c r="V44" s="132">
        <v>9.3530000000000002E-2</v>
      </c>
      <c r="W44" s="132">
        <v>2.7720000000000002E-2</v>
      </c>
    </row>
    <row r="45" spans="1:23">
      <c r="A45" t="s">
        <v>1213</v>
      </c>
      <c r="B45" t="s">
        <v>1233</v>
      </c>
      <c r="C45" t="s">
        <v>4250</v>
      </c>
      <c r="D45" t="s">
        <v>4251</v>
      </c>
      <c r="E45" t="s">
        <v>80</v>
      </c>
      <c r="F45" t="s">
        <v>4503</v>
      </c>
      <c r="G45" t="s">
        <v>4504</v>
      </c>
      <c r="H45" t="s">
        <v>321</v>
      </c>
      <c r="I45" t="s">
        <v>969</v>
      </c>
      <c r="J45" t="s">
        <v>205</v>
      </c>
      <c r="K45" t="s">
        <v>224</v>
      </c>
      <c r="L45" t="s">
        <v>325</v>
      </c>
      <c r="M45" t="s">
        <v>314</v>
      </c>
      <c r="N45" t="s">
        <v>732</v>
      </c>
      <c r="O45" t="s">
        <v>339</v>
      </c>
      <c r="P45" t="s">
        <v>1218</v>
      </c>
      <c r="Q45" s="131">
        <v>16649.990000000002</v>
      </c>
      <c r="R45" s="131">
        <v>4.1524000000000001</v>
      </c>
      <c r="S45" s="131">
        <v>14735</v>
      </c>
      <c r="T45" s="131">
        <v>10187.398999999999</v>
      </c>
      <c r="U45" s="132">
        <v>2.0000000000000002E-5</v>
      </c>
      <c r="V45" s="132">
        <v>9.1340000000000005E-2</v>
      </c>
      <c r="W45" s="132">
        <v>2.707E-2</v>
      </c>
    </row>
    <row r="46" spans="1:23">
      <c r="A46" t="s">
        <v>1213</v>
      </c>
      <c r="B46" t="s">
        <v>1233</v>
      </c>
      <c r="C46" t="s">
        <v>4505</v>
      </c>
      <c r="D46" t="s">
        <v>4506</v>
      </c>
      <c r="E46" t="s">
        <v>80</v>
      </c>
      <c r="F46" t="s">
        <v>4507</v>
      </c>
      <c r="G46" t="s">
        <v>4508</v>
      </c>
      <c r="H46" t="s">
        <v>321</v>
      </c>
      <c r="I46" t="s">
        <v>969</v>
      </c>
      <c r="J46" t="s">
        <v>205</v>
      </c>
      <c r="K46" t="s">
        <v>293</v>
      </c>
      <c r="L46" t="s">
        <v>325</v>
      </c>
      <c r="M46" t="s">
        <v>314</v>
      </c>
      <c r="N46" t="s">
        <v>732</v>
      </c>
      <c r="O46" t="s">
        <v>339</v>
      </c>
      <c r="P46" t="s">
        <v>1216</v>
      </c>
      <c r="Q46" s="131">
        <v>22210.720000000001</v>
      </c>
      <c r="R46" s="131">
        <v>3.71</v>
      </c>
      <c r="S46" s="131">
        <v>11108</v>
      </c>
      <c r="T46" s="131">
        <v>9153.1890000000003</v>
      </c>
      <c r="U46" s="132">
        <v>5.0000000000000002E-5</v>
      </c>
      <c r="V46" s="132">
        <v>8.2070000000000004E-2</v>
      </c>
      <c r="W46" s="132">
        <v>2.4320000000000001E-2</v>
      </c>
    </row>
    <row r="47" spans="1:23">
      <c r="A47" t="s">
        <v>1213</v>
      </c>
      <c r="B47" t="s">
        <v>1233</v>
      </c>
      <c r="C47" t="s">
        <v>4499</v>
      </c>
      <c r="D47" t="s">
        <v>4500</v>
      </c>
      <c r="E47" t="s">
        <v>80</v>
      </c>
      <c r="F47" t="s">
        <v>4509</v>
      </c>
      <c r="G47" t="s">
        <v>4510</v>
      </c>
      <c r="H47" t="s">
        <v>321</v>
      </c>
      <c r="I47" t="s">
        <v>969</v>
      </c>
      <c r="J47" t="s">
        <v>205</v>
      </c>
      <c r="K47" t="s">
        <v>233</v>
      </c>
      <c r="L47" t="s">
        <v>325</v>
      </c>
      <c r="M47" t="s">
        <v>314</v>
      </c>
      <c r="N47" t="s">
        <v>732</v>
      </c>
      <c r="O47" t="s">
        <v>339</v>
      </c>
      <c r="P47" t="s">
        <v>1216</v>
      </c>
      <c r="Q47" s="131">
        <v>100041.97</v>
      </c>
      <c r="R47" s="131">
        <v>3.71</v>
      </c>
      <c r="S47" s="131">
        <v>2341</v>
      </c>
      <c r="T47" s="131">
        <v>8688.7549999999992</v>
      </c>
      <c r="U47" s="132">
        <v>2.0000000000000002E-5</v>
      </c>
      <c r="V47" s="132">
        <v>7.7899999999999997E-2</v>
      </c>
      <c r="W47" s="132">
        <v>2.3089999999999999E-2</v>
      </c>
    </row>
    <row r="48" spans="1:23">
      <c r="A48" t="s">
        <v>1213</v>
      </c>
      <c r="B48" t="s">
        <v>1233</v>
      </c>
      <c r="C48" t="s">
        <v>4511</v>
      </c>
      <c r="D48" t="s">
        <v>4512</v>
      </c>
      <c r="E48" t="s">
        <v>80</v>
      </c>
      <c r="F48" t="s">
        <v>4513</v>
      </c>
      <c r="G48" t="s">
        <v>4514</v>
      </c>
      <c r="H48" t="s">
        <v>321</v>
      </c>
      <c r="I48" t="s">
        <v>969</v>
      </c>
      <c r="J48" t="s">
        <v>205</v>
      </c>
      <c r="K48" t="s">
        <v>293</v>
      </c>
      <c r="L48" t="s">
        <v>325</v>
      </c>
      <c r="M48" t="s">
        <v>314</v>
      </c>
      <c r="N48" t="s">
        <v>732</v>
      </c>
      <c r="O48" t="s">
        <v>339</v>
      </c>
      <c r="P48" t="s">
        <v>1216</v>
      </c>
      <c r="Q48" s="131">
        <v>13738.23</v>
      </c>
      <c r="R48" s="131">
        <v>3.71</v>
      </c>
      <c r="S48" s="131">
        <v>16717</v>
      </c>
      <c r="T48" s="131">
        <v>8520.4599999999991</v>
      </c>
      <c r="U48" s="132">
        <v>0</v>
      </c>
      <c r="V48" s="132">
        <v>7.6399999999999996E-2</v>
      </c>
      <c r="W48" s="132">
        <v>2.264E-2</v>
      </c>
    </row>
    <row r="49" spans="1:23">
      <c r="A49" t="s">
        <v>1213</v>
      </c>
      <c r="B49" t="s">
        <v>1233</v>
      </c>
      <c r="C49" t="s">
        <v>4499</v>
      </c>
      <c r="D49" t="s">
        <v>4500</v>
      </c>
      <c r="E49" t="s">
        <v>80</v>
      </c>
      <c r="F49" t="s">
        <v>4515</v>
      </c>
      <c r="G49" t="s">
        <v>4516</v>
      </c>
      <c r="H49" t="s">
        <v>321</v>
      </c>
      <c r="I49" t="s">
        <v>969</v>
      </c>
      <c r="J49" t="s">
        <v>205</v>
      </c>
      <c r="K49" t="s">
        <v>293</v>
      </c>
      <c r="L49" t="s">
        <v>325</v>
      </c>
      <c r="M49" t="s">
        <v>314</v>
      </c>
      <c r="N49" t="s">
        <v>732</v>
      </c>
      <c r="O49" t="s">
        <v>339</v>
      </c>
      <c r="P49" t="s">
        <v>1218</v>
      </c>
      <c r="Q49" s="131">
        <v>154867.26</v>
      </c>
      <c r="R49" s="131">
        <v>4.1524000000000001</v>
      </c>
      <c r="S49" s="131">
        <v>1171</v>
      </c>
      <c r="T49" s="131">
        <v>7530.3590000000004</v>
      </c>
      <c r="U49" s="132">
        <v>4.4000000000000002E-4</v>
      </c>
      <c r="V49" s="132">
        <v>6.7519999999999997E-2</v>
      </c>
      <c r="W49" s="132">
        <v>2.001E-2</v>
      </c>
    </row>
    <row r="50" spans="1:23">
      <c r="A50" t="s">
        <v>1213</v>
      </c>
      <c r="B50" t="s">
        <v>1233</v>
      </c>
      <c r="C50" t="s">
        <v>4493</v>
      </c>
      <c r="D50" t="s">
        <v>4494</v>
      </c>
      <c r="E50" t="s">
        <v>80</v>
      </c>
      <c r="F50" t="s">
        <v>4517</v>
      </c>
      <c r="G50" t="s">
        <v>4518</v>
      </c>
      <c r="H50" t="s">
        <v>321</v>
      </c>
      <c r="I50" t="s">
        <v>970</v>
      </c>
      <c r="J50" t="s">
        <v>205</v>
      </c>
      <c r="K50" t="s">
        <v>293</v>
      </c>
      <c r="L50" t="s">
        <v>325</v>
      </c>
      <c r="M50" t="s">
        <v>314</v>
      </c>
      <c r="N50" t="s">
        <v>732</v>
      </c>
      <c r="O50" t="s">
        <v>339</v>
      </c>
      <c r="P50" t="s">
        <v>1216</v>
      </c>
      <c r="Q50" s="131">
        <v>10342.83</v>
      </c>
      <c r="R50" s="131">
        <v>3.71</v>
      </c>
      <c r="S50" s="131">
        <v>11027.81</v>
      </c>
      <c r="T50" s="131">
        <v>4231.58</v>
      </c>
      <c r="U50" s="132">
        <v>4.0000000000000003E-5</v>
      </c>
      <c r="V50" s="132">
        <v>3.7940000000000002E-2</v>
      </c>
      <c r="W50" s="132">
        <v>1.125E-2</v>
      </c>
    </row>
    <row r="51" spans="1:23">
      <c r="A51" t="s">
        <v>1213</v>
      </c>
      <c r="B51" t="s">
        <v>1235</v>
      </c>
      <c r="C51" t="s">
        <v>4107</v>
      </c>
      <c r="D51" t="s">
        <v>4108</v>
      </c>
      <c r="E51" t="s">
        <v>309</v>
      </c>
      <c r="F51" t="s">
        <v>4519</v>
      </c>
      <c r="G51" t="s">
        <v>4520</v>
      </c>
      <c r="H51" t="s">
        <v>321</v>
      </c>
      <c r="I51" t="s">
        <v>917</v>
      </c>
      <c r="J51" t="s">
        <v>204</v>
      </c>
      <c r="K51" t="s">
        <v>204</v>
      </c>
      <c r="L51" t="s">
        <v>325</v>
      </c>
      <c r="M51" t="s">
        <v>340</v>
      </c>
      <c r="N51" t="s">
        <v>719</v>
      </c>
      <c r="O51" t="s">
        <v>339</v>
      </c>
      <c r="P51" t="s">
        <v>1212</v>
      </c>
      <c r="Q51" s="131">
        <v>222399</v>
      </c>
      <c r="R51" s="131">
        <v>1</v>
      </c>
      <c r="S51" s="131">
        <v>123.79</v>
      </c>
      <c r="T51" s="131">
        <v>275.30799999999999</v>
      </c>
      <c r="U51" s="132">
        <v>4.2999999999999999E-4</v>
      </c>
      <c r="V51" s="132">
        <v>0.11799999999999999</v>
      </c>
      <c r="W51" s="132">
        <v>3.9899999999999996E-3</v>
      </c>
    </row>
    <row r="52" spans="1:23">
      <c r="A52" t="s">
        <v>1213</v>
      </c>
      <c r="B52" t="s">
        <v>1235</v>
      </c>
      <c r="C52" t="s">
        <v>4521</v>
      </c>
      <c r="D52" t="s">
        <v>4522</v>
      </c>
      <c r="E52" t="s">
        <v>309</v>
      </c>
      <c r="F52" t="s">
        <v>4523</v>
      </c>
      <c r="G52" t="s">
        <v>4524</v>
      </c>
      <c r="H52" t="s">
        <v>321</v>
      </c>
      <c r="I52" t="s">
        <v>917</v>
      </c>
      <c r="J52" t="s">
        <v>204</v>
      </c>
      <c r="K52" t="s">
        <v>204</v>
      </c>
      <c r="L52" t="s">
        <v>325</v>
      </c>
      <c r="M52" t="s">
        <v>340</v>
      </c>
      <c r="N52" t="s">
        <v>695</v>
      </c>
      <c r="O52" t="s">
        <v>339</v>
      </c>
      <c r="P52" t="s">
        <v>1212</v>
      </c>
      <c r="Q52" s="131">
        <v>261774.6</v>
      </c>
      <c r="R52" s="131">
        <v>1</v>
      </c>
      <c r="S52" s="131">
        <v>72.400000000000006</v>
      </c>
      <c r="T52" s="131">
        <v>189.52500000000001</v>
      </c>
      <c r="U52" s="132">
        <v>7.7999999999999999E-4</v>
      </c>
      <c r="V52" s="132">
        <v>8.1229999999999997E-2</v>
      </c>
      <c r="W52" s="132">
        <v>2.7499999999999998E-3</v>
      </c>
    </row>
    <row r="53" spans="1:23">
      <c r="A53" t="s">
        <v>1213</v>
      </c>
      <c r="B53" t="s">
        <v>1235</v>
      </c>
      <c r="C53" t="s">
        <v>4444</v>
      </c>
      <c r="D53" t="s">
        <v>4445</v>
      </c>
      <c r="E53" t="s">
        <v>80</v>
      </c>
      <c r="F53" t="s">
        <v>4446</v>
      </c>
      <c r="G53" t="s">
        <v>4447</v>
      </c>
      <c r="H53" t="s">
        <v>321</v>
      </c>
      <c r="I53" t="s">
        <v>917</v>
      </c>
      <c r="J53" t="s">
        <v>205</v>
      </c>
      <c r="K53" t="s">
        <v>244</v>
      </c>
      <c r="L53" t="s">
        <v>325</v>
      </c>
      <c r="M53" t="s">
        <v>314</v>
      </c>
      <c r="N53" t="s">
        <v>580</v>
      </c>
      <c r="O53" t="s">
        <v>339</v>
      </c>
      <c r="P53" t="s">
        <v>1216</v>
      </c>
      <c r="Q53" s="131">
        <v>543</v>
      </c>
      <c r="R53" s="131">
        <v>3.71</v>
      </c>
      <c r="S53" s="131">
        <v>29150</v>
      </c>
      <c r="T53" s="131">
        <v>587.23500000000001</v>
      </c>
      <c r="U53" s="132">
        <v>0</v>
      </c>
      <c r="V53" s="132">
        <v>0.25169999999999998</v>
      </c>
      <c r="W53" s="132">
        <v>8.5100000000000002E-3</v>
      </c>
    </row>
    <row r="54" spans="1:23">
      <c r="A54" t="s">
        <v>1213</v>
      </c>
      <c r="B54" t="s">
        <v>1235</v>
      </c>
      <c r="C54" t="s">
        <v>4440</v>
      </c>
      <c r="D54" t="s">
        <v>4441</v>
      </c>
      <c r="E54" t="s">
        <v>80</v>
      </c>
      <c r="F54" t="s">
        <v>4525</v>
      </c>
      <c r="G54" t="s">
        <v>4526</v>
      </c>
      <c r="H54" t="s">
        <v>321</v>
      </c>
      <c r="I54" t="s">
        <v>917</v>
      </c>
      <c r="J54" t="s">
        <v>205</v>
      </c>
      <c r="K54" t="s">
        <v>224</v>
      </c>
      <c r="L54" t="s">
        <v>325</v>
      </c>
      <c r="M54" t="s">
        <v>314</v>
      </c>
      <c r="N54" t="s">
        <v>580</v>
      </c>
      <c r="O54" t="s">
        <v>339</v>
      </c>
      <c r="P54" t="s">
        <v>1216</v>
      </c>
      <c r="Q54" s="131">
        <v>8854.68</v>
      </c>
      <c r="R54" s="131">
        <v>3.71</v>
      </c>
      <c r="S54" s="131">
        <v>1608.31</v>
      </c>
      <c r="T54" s="131">
        <v>528.34400000000005</v>
      </c>
      <c r="U54" s="132">
        <v>0</v>
      </c>
      <c r="V54" s="132">
        <v>0.22645999999999999</v>
      </c>
      <c r="W54" s="132">
        <v>7.6600000000000001E-3</v>
      </c>
    </row>
    <row r="55" spans="1:23">
      <c r="A55" t="s">
        <v>1213</v>
      </c>
      <c r="B55" t="s">
        <v>1235</v>
      </c>
      <c r="C55" t="s">
        <v>4527</v>
      </c>
      <c r="D55" t="s">
        <v>4528</v>
      </c>
      <c r="E55" t="s">
        <v>80</v>
      </c>
      <c r="F55" t="s">
        <v>4529</v>
      </c>
      <c r="G55" t="s">
        <v>4530</v>
      </c>
      <c r="H55" t="s">
        <v>321</v>
      </c>
      <c r="I55" t="s">
        <v>917</v>
      </c>
      <c r="J55" t="s">
        <v>205</v>
      </c>
      <c r="K55" t="s">
        <v>244</v>
      </c>
      <c r="L55" t="s">
        <v>325</v>
      </c>
      <c r="M55" t="s">
        <v>314</v>
      </c>
      <c r="N55" t="s">
        <v>580</v>
      </c>
      <c r="O55" t="s">
        <v>339</v>
      </c>
      <c r="P55" t="s">
        <v>1216</v>
      </c>
      <c r="Q55" s="131">
        <v>166</v>
      </c>
      <c r="R55" s="131">
        <v>3.71</v>
      </c>
      <c r="S55" s="131">
        <v>23931.1</v>
      </c>
      <c r="T55" s="131">
        <v>147.38200000000001</v>
      </c>
      <c r="U55" s="132">
        <v>0</v>
      </c>
      <c r="V55" s="132">
        <v>6.3170000000000004E-2</v>
      </c>
      <c r="W55" s="132">
        <v>2.14E-3</v>
      </c>
    </row>
    <row r="56" spans="1:23">
      <c r="A56" t="s">
        <v>1213</v>
      </c>
      <c r="B56" t="s">
        <v>1235</v>
      </c>
      <c r="C56" t="s">
        <v>4452</v>
      </c>
      <c r="D56" t="s">
        <v>4453</v>
      </c>
      <c r="E56" t="s">
        <v>80</v>
      </c>
      <c r="F56" t="s">
        <v>4497</v>
      </c>
      <c r="G56" t="s">
        <v>4498</v>
      </c>
      <c r="H56" t="s">
        <v>321</v>
      </c>
      <c r="I56" t="s">
        <v>969</v>
      </c>
      <c r="J56" t="s">
        <v>205</v>
      </c>
      <c r="K56" t="s">
        <v>293</v>
      </c>
      <c r="L56" t="s">
        <v>325</v>
      </c>
      <c r="M56" t="s">
        <v>314</v>
      </c>
      <c r="N56" t="s">
        <v>732</v>
      </c>
      <c r="O56" t="s">
        <v>339</v>
      </c>
      <c r="P56" t="s">
        <v>1216</v>
      </c>
      <c r="Q56" s="131">
        <v>92</v>
      </c>
      <c r="R56" s="131">
        <v>3.71</v>
      </c>
      <c r="S56" s="131">
        <v>40175.550000000003</v>
      </c>
      <c r="T56" s="131">
        <v>137.12700000000001</v>
      </c>
      <c r="U56" s="132">
        <v>0</v>
      </c>
      <c r="V56" s="132">
        <v>5.8779999999999999E-2</v>
      </c>
      <c r="W56" s="132">
        <v>1.99E-3</v>
      </c>
    </row>
    <row r="57" spans="1:23">
      <c r="A57" t="s">
        <v>1213</v>
      </c>
      <c r="B57" t="s">
        <v>1235</v>
      </c>
      <c r="C57" t="s">
        <v>4499</v>
      </c>
      <c r="D57" t="s">
        <v>4500</v>
      </c>
      <c r="E57" t="s">
        <v>80</v>
      </c>
      <c r="F57" t="s">
        <v>4501</v>
      </c>
      <c r="G57" t="s">
        <v>4502</v>
      </c>
      <c r="H57" t="s">
        <v>321</v>
      </c>
      <c r="I57" t="s">
        <v>969</v>
      </c>
      <c r="J57" t="s">
        <v>205</v>
      </c>
      <c r="K57" t="s">
        <v>233</v>
      </c>
      <c r="L57" t="s">
        <v>325</v>
      </c>
      <c r="M57" t="s">
        <v>314</v>
      </c>
      <c r="N57" t="s">
        <v>732</v>
      </c>
      <c r="O57" t="s">
        <v>339</v>
      </c>
      <c r="P57" t="s">
        <v>1216</v>
      </c>
      <c r="Q57" s="131">
        <v>1905</v>
      </c>
      <c r="R57" s="131">
        <v>3.71</v>
      </c>
      <c r="S57" s="131">
        <v>1827</v>
      </c>
      <c r="T57" s="131">
        <v>129.124</v>
      </c>
      <c r="U57" s="132">
        <v>0</v>
      </c>
      <c r="V57" s="132">
        <v>5.534E-2</v>
      </c>
      <c r="W57" s="132">
        <v>1.8699999999999999E-3</v>
      </c>
    </row>
    <row r="58" spans="1:23">
      <c r="A58" t="s">
        <v>1213</v>
      </c>
      <c r="B58" t="s">
        <v>1235</v>
      </c>
      <c r="C58" t="s">
        <v>4250</v>
      </c>
      <c r="D58" t="s">
        <v>4251</v>
      </c>
      <c r="E58" t="s">
        <v>80</v>
      </c>
      <c r="F58" t="s">
        <v>4491</v>
      </c>
      <c r="G58" t="s">
        <v>4492</v>
      </c>
      <c r="H58" t="s">
        <v>321</v>
      </c>
      <c r="I58" t="s">
        <v>969</v>
      </c>
      <c r="J58" t="s">
        <v>205</v>
      </c>
      <c r="K58" t="s">
        <v>224</v>
      </c>
      <c r="L58" t="s">
        <v>325</v>
      </c>
      <c r="M58" t="s">
        <v>314</v>
      </c>
      <c r="N58" t="s">
        <v>732</v>
      </c>
      <c r="O58" t="s">
        <v>339</v>
      </c>
      <c r="P58" t="s">
        <v>1216</v>
      </c>
      <c r="Q58" s="131">
        <v>187</v>
      </c>
      <c r="R58" s="131">
        <v>3.71</v>
      </c>
      <c r="S58" s="131">
        <v>18382</v>
      </c>
      <c r="T58" s="131">
        <v>127.529</v>
      </c>
      <c r="U58" s="132">
        <v>0</v>
      </c>
      <c r="V58" s="132">
        <v>5.466E-2</v>
      </c>
      <c r="W58" s="132">
        <v>1.8500000000000001E-3</v>
      </c>
    </row>
    <row r="59" spans="1:23">
      <c r="A59" t="s">
        <v>1213</v>
      </c>
      <c r="B59" t="s">
        <v>1235</v>
      </c>
      <c r="C59" t="s">
        <v>4493</v>
      </c>
      <c r="D59" t="s">
        <v>4494</v>
      </c>
      <c r="E59" t="s">
        <v>80</v>
      </c>
      <c r="F59" t="s">
        <v>4495</v>
      </c>
      <c r="G59" t="s">
        <v>4496</v>
      </c>
      <c r="H59" t="s">
        <v>321</v>
      </c>
      <c r="I59" t="s">
        <v>969</v>
      </c>
      <c r="J59" t="s">
        <v>205</v>
      </c>
      <c r="K59" t="s">
        <v>293</v>
      </c>
      <c r="L59" t="s">
        <v>325</v>
      </c>
      <c r="M59" t="s">
        <v>314</v>
      </c>
      <c r="N59" t="s">
        <v>732</v>
      </c>
      <c r="O59" t="s">
        <v>339</v>
      </c>
      <c r="P59" t="s">
        <v>1216</v>
      </c>
      <c r="Q59" s="131">
        <v>276</v>
      </c>
      <c r="R59" s="131">
        <v>3.71</v>
      </c>
      <c r="S59" s="131">
        <v>12389.08</v>
      </c>
      <c r="T59" s="131">
        <v>126.85899999999999</v>
      </c>
      <c r="U59" s="132">
        <v>0</v>
      </c>
      <c r="V59" s="132">
        <v>5.4370000000000002E-2</v>
      </c>
      <c r="W59" s="132">
        <v>1.8400000000000001E-3</v>
      </c>
    </row>
    <row r="60" spans="1:23">
      <c r="A60" t="s">
        <v>1213</v>
      </c>
      <c r="B60" t="s">
        <v>1235</v>
      </c>
      <c r="C60" t="s">
        <v>4531</v>
      </c>
      <c r="D60" t="s">
        <v>4532</v>
      </c>
      <c r="E60" t="s">
        <v>80</v>
      </c>
      <c r="F60" t="s">
        <v>4533</v>
      </c>
      <c r="G60" t="s">
        <v>4534</v>
      </c>
      <c r="H60" t="s">
        <v>321</v>
      </c>
      <c r="I60" t="s">
        <v>917</v>
      </c>
      <c r="J60" t="s">
        <v>205</v>
      </c>
      <c r="K60" t="s">
        <v>293</v>
      </c>
      <c r="L60" t="s">
        <v>325</v>
      </c>
      <c r="M60" t="s">
        <v>314</v>
      </c>
      <c r="N60" t="s">
        <v>720</v>
      </c>
      <c r="O60" t="s">
        <v>339</v>
      </c>
      <c r="P60" t="s">
        <v>1216</v>
      </c>
      <c r="Q60" s="131">
        <v>824</v>
      </c>
      <c r="R60" s="131">
        <v>3.71</v>
      </c>
      <c r="S60" s="131">
        <v>2769</v>
      </c>
      <c r="T60" s="131">
        <v>84.649000000000001</v>
      </c>
      <c r="U60" s="132">
        <v>0</v>
      </c>
      <c r="V60" s="132">
        <v>3.628E-2</v>
      </c>
      <c r="W60" s="132">
        <v>1.23E-3</v>
      </c>
    </row>
    <row r="61" spans="1:23">
      <c r="A61" t="s">
        <v>1213</v>
      </c>
      <c r="B61" t="s">
        <v>1238</v>
      </c>
      <c r="C61" t="s">
        <v>4107</v>
      </c>
      <c r="D61" t="s">
        <v>4108</v>
      </c>
      <c r="E61" t="s">
        <v>309</v>
      </c>
      <c r="F61" t="s">
        <v>4519</v>
      </c>
      <c r="G61" t="s">
        <v>4520</v>
      </c>
      <c r="H61" t="s">
        <v>321</v>
      </c>
      <c r="I61" t="s">
        <v>917</v>
      </c>
      <c r="J61" t="s">
        <v>204</v>
      </c>
      <c r="K61" t="s">
        <v>204</v>
      </c>
      <c r="L61" t="s">
        <v>325</v>
      </c>
      <c r="M61" t="s">
        <v>340</v>
      </c>
      <c r="N61" t="s">
        <v>719</v>
      </c>
      <c r="O61" t="s">
        <v>339</v>
      </c>
      <c r="P61" t="s">
        <v>1212</v>
      </c>
      <c r="Q61" s="131">
        <v>5751587</v>
      </c>
      <c r="R61" s="131">
        <v>1</v>
      </c>
      <c r="S61" s="131">
        <v>123.79</v>
      </c>
      <c r="T61" s="131">
        <v>7119.89</v>
      </c>
      <c r="U61" s="132">
        <v>1.102E-2</v>
      </c>
      <c r="V61" s="132">
        <v>9.8989999999999995E-2</v>
      </c>
      <c r="W61" s="132">
        <v>3.9399999999999999E-3</v>
      </c>
    </row>
    <row r="62" spans="1:23">
      <c r="A62" t="s">
        <v>1213</v>
      </c>
      <c r="B62" t="s">
        <v>1238</v>
      </c>
      <c r="C62" t="s">
        <v>4521</v>
      </c>
      <c r="D62" t="s">
        <v>4522</v>
      </c>
      <c r="E62" t="s">
        <v>309</v>
      </c>
      <c r="F62" t="s">
        <v>4523</v>
      </c>
      <c r="G62" t="s">
        <v>4524</v>
      </c>
      <c r="H62" t="s">
        <v>321</v>
      </c>
      <c r="I62" t="s">
        <v>917</v>
      </c>
      <c r="J62" t="s">
        <v>204</v>
      </c>
      <c r="K62" t="s">
        <v>204</v>
      </c>
      <c r="L62" t="s">
        <v>325</v>
      </c>
      <c r="M62" t="s">
        <v>340</v>
      </c>
      <c r="N62" t="s">
        <v>695</v>
      </c>
      <c r="O62" t="s">
        <v>339</v>
      </c>
      <c r="P62" t="s">
        <v>1212</v>
      </c>
      <c r="Q62" s="131">
        <v>6225046.6299999999</v>
      </c>
      <c r="R62" s="131">
        <v>1</v>
      </c>
      <c r="S62" s="131">
        <v>72.400000000000006</v>
      </c>
      <c r="T62" s="131">
        <v>4506.9340000000002</v>
      </c>
      <c r="U62" s="132">
        <v>1.8610000000000002E-2</v>
      </c>
      <c r="V62" s="132">
        <v>6.2659999999999993E-2</v>
      </c>
      <c r="W62" s="132">
        <v>2.49E-3</v>
      </c>
    </row>
    <row r="63" spans="1:23">
      <c r="A63" t="s">
        <v>1213</v>
      </c>
      <c r="B63" t="s">
        <v>1238</v>
      </c>
      <c r="C63" t="s">
        <v>4444</v>
      </c>
      <c r="D63" t="s">
        <v>4445</v>
      </c>
      <c r="E63" t="s">
        <v>80</v>
      </c>
      <c r="F63" t="s">
        <v>4446</v>
      </c>
      <c r="G63" t="s">
        <v>4447</v>
      </c>
      <c r="H63" t="s">
        <v>321</v>
      </c>
      <c r="I63" t="s">
        <v>917</v>
      </c>
      <c r="J63" t="s">
        <v>205</v>
      </c>
      <c r="K63" t="s">
        <v>244</v>
      </c>
      <c r="L63" t="s">
        <v>325</v>
      </c>
      <c r="M63" t="s">
        <v>314</v>
      </c>
      <c r="N63" t="s">
        <v>580</v>
      </c>
      <c r="O63" t="s">
        <v>339</v>
      </c>
      <c r="P63" t="s">
        <v>1216</v>
      </c>
      <c r="Q63" s="131">
        <v>15018</v>
      </c>
      <c r="R63" s="131">
        <v>3.71</v>
      </c>
      <c r="S63" s="131">
        <v>29150</v>
      </c>
      <c r="T63" s="131">
        <v>16241.441000000001</v>
      </c>
      <c r="U63" s="132">
        <v>1.0000000000000001E-5</v>
      </c>
      <c r="V63" s="132">
        <v>0.22581999999999999</v>
      </c>
      <c r="W63" s="132">
        <v>8.9800000000000001E-3</v>
      </c>
    </row>
    <row r="64" spans="1:23">
      <c r="A64" t="s">
        <v>1213</v>
      </c>
      <c r="B64" t="s">
        <v>1238</v>
      </c>
      <c r="C64" t="s">
        <v>4440</v>
      </c>
      <c r="D64" t="s">
        <v>4441</v>
      </c>
      <c r="E64" t="s">
        <v>80</v>
      </c>
      <c r="F64" t="s">
        <v>4525</v>
      </c>
      <c r="G64" t="s">
        <v>4526</v>
      </c>
      <c r="H64" t="s">
        <v>321</v>
      </c>
      <c r="I64" t="s">
        <v>917</v>
      </c>
      <c r="J64" t="s">
        <v>205</v>
      </c>
      <c r="K64" t="s">
        <v>224</v>
      </c>
      <c r="L64" t="s">
        <v>325</v>
      </c>
      <c r="M64" t="s">
        <v>314</v>
      </c>
      <c r="N64" t="s">
        <v>580</v>
      </c>
      <c r="O64" t="s">
        <v>339</v>
      </c>
      <c r="P64" t="s">
        <v>1216</v>
      </c>
      <c r="Q64" s="131">
        <v>217617.42</v>
      </c>
      <c r="R64" s="131">
        <v>3.71</v>
      </c>
      <c r="S64" s="131">
        <v>1608.31</v>
      </c>
      <c r="T64" s="131">
        <v>12984.861999999999</v>
      </c>
      <c r="U64" s="132">
        <v>5.0000000000000002E-5</v>
      </c>
      <c r="V64" s="132">
        <v>0.18054000000000001</v>
      </c>
      <c r="W64" s="132">
        <v>7.1799999999999998E-3</v>
      </c>
    </row>
    <row r="65" spans="1:23">
      <c r="A65" t="s">
        <v>1213</v>
      </c>
      <c r="B65" t="s">
        <v>1238</v>
      </c>
      <c r="C65" t="s">
        <v>4452</v>
      </c>
      <c r="D65" t="s">
        <v>4453</v>
      </c>
      <c r="E65" t="s">
        <v>80</v>
      </c>
      <c r="F65" t="s">
        <v>4497</v>
      </c>
      <c r="G65" t="s">
        <v>4498</v>
      </c>
      <c r="H65" t="s">
        <v>321</v>
      </c>
      <c r="I65" t="s">
        <v>969</v>
      </c>
      <c r="J65" t="s">
        <v>205</v>
      </c>
      <c r="K65" t="s">
        <v>293</v>
      </c>
      <c r="L65" t="s">
        <v>325</v>
      </c>
      <c r="M65" t="s">
        <v>314</v>
      </c>
      <c r="N65" t="s">
        <v>732</v>
      </c>
      <c r="O65" t="s">
        <v>339</v>
      </c>
      <c r="P65" t="s">
        <v>1216</v>
      </c>
      <c r="Q65" s="131">
        <v>4469</v>
      </c>
      <c r="R65" s="131">
        <v>3.71</v>
      </c>
      <c r="S65" s="131">
        <v>40175.550000000003</v>
      </c>
      <c r="T65" s="131">
        <v>6661.1019999999999</v>
      </c>
      <c r="U65" s="132">
        <v>0</v>
      </c>
      <c r="V65" s="132">
        <v>9.2609999999999998E-2</v>
      </c>
      <c r="W65" s="132">
        <v>3.6800000000000001E-3</v>
      </c>
    </row>
    <row r="66" spans="1:23">
      <c r="A66" t="s">
        <v>1213</v>
      </c>
      <c r="B66" t="s">
        <v>1238</v>
      </c>
      <c r="C66" t="s">
        <v>4250</v>
      </c>
      <c r="D66" t="s">
        <v>4251</v>
      </c>
      <c r="E66" t="s">
        <v>80</v>
      </c>
      <c r="F66" t="s">
        <v>4491</v>
      </c>
      <c r="G66" t="s">
        <v>4492</v>
      </c>
      <c r="H66" t="s">
        <v>321</v>
      </c>
      <c r="I66" t="s">
        <v>969</v>
      </c>
      <c r="J66" t="s">
        <v>205</v>
      </c>
      <c r="K66" t="s">
        <v>224</v>
      </c>
      <c r="L66" t="s">
        <v>325</v>
      </c>
      <c r="M66" t="s">
        <v>314</v>
      </c>
      <c r="N66" t="s">
        <v>732</v>
      </c>
      <c r="O66" t="s">
        <v>339</v>
      </c>
      <c r="P66" t="s">
        <v>1216</v>
      </c>
      <c r="Q66" s="131">
        <v>9213</v>
      </c>
      <c r="R66" s="131">
        <v>3.71</v>
      </c>
      <c r="S66" s="131">
        <v>18382</v>
      </c>
      <c r="T66" s="131">
        <v>6283.01</v>
      </c>
      <c r="U66" s="132">
        <v>0</v>
      </c>
      <c r="V66" s="132">
        <v>8.7359999999999993E-2</v>
      </c>
      <c r="W66" s="132">
        <v>3.47E-3</v>
      </c>
    </row>
    <row r="67" spans="1:23">
      <c r="A67" t="s">
        <v>1213</v>
      </c>
      <c r="B67" t="s">
        <v>1238</v>
      </c>
      <c r="C67" t="s">
        <v>4499</v>
      </c>
      <c r="D67" t="s">
        <v>4500</v>
      </c>
      <c r="E67" t="s">
        <v>80</v>
      </c>
      <c r="F67" t="s">
        <v>4501</v>
      </c>
      <c r="G67" t="s">
        <v>4502</v>
      </c>
      <c r="H67" t="s">
        <v>321</v>
      </c>
      <c r="I67" t="s">
        <v>969</v>
      </c>
      <c r="J67" t="s">
        <v>205</v>
      </c>
      <c r="K67" t="s">
        <v>233</v>
      </c>
      <c r="L67" t="s">
        <v>325</v>
      </c>
      <c r="M67" t="s">
        <v>314</v>
      </c>
      <c r="N67" t="s">
        <v>732</v>
      </c>
      <c r="O67" t="s">
        <v>339</v>
      </c>
      <c r="P67" t="s">
        <v>1216</v>
      </c>
      <c r="Q67" s="131">
        <v>92048</v>
      </c>
      <c r="R67" s="131">
        <v>3.71</v>
      </c>
      <c r="S67" s="131">
        <v>1827</v>
      </c>
      <c r="T67" s="131">
        <v>6239.17</v>
      </c>
      <c r="U67" s="132">
        <v>0</v>
      </c>
      <c r="V67" s="132">
        <v>8.6749999999999994E-2</v>
      </c>
      <c r="W67" s="132">
        <v>3.4499999999999999E-3</v>
      </c>
    </row>
    <row r="68" spans="1:23">
      <c r="A68" t="s">
        <v>1213</v>
      </c>
      <c r="B68" t="s">
        <v>1238</v>
      </c>
      <c r="C68" t="s">
        <v>4493</v>
      </c>
      <c r="D68" t="s">
        <v>4494</v>
      </c>
      <c r="E68" t="s">
        <v>80</v>
      </c>
      <c r="F68" t="s">
        <v>4495</v>
      </c>
      <c r="G68" t="s">
        <v>4496</v>
      </c>
      <c r="H68" t="s">
        <v>321</v>
      </c>
      <c r="I68" t="s">
        <v>969</v>
      </c>
      <c r="J68" t="s">
        <v>205</v>
      </c>
      <c r="K68" t="s">
        <v>293</v>
      </c>
      <c r="L68" t="s">
        <v>325</v>
      </c>
      <c r="M68" t="s">
        <v>314</v>
      </c>
      <c r="N68" t="s">
        <v>732</v>
      </c>
      <c r="O68" t="s">
        <v>339</v>
      </c>
      <c r="P68" t="s">
        <v>1216</v>
      </c>
      <c r="Q68" s="131">
        <v>13388</v>
      </c>
      <c r="R68" s="131">
        <v>3.71</v>
      </c>
      <c r="S68" s="131">
        <v>12389.08</v>
      </c>
      <c r="T68" s="131">
        <v>6153.5919999999996</v>
      </c>
      <c r="U68" s="132">
        <v>0</v>
      </c>
      <c r="V68" s="132">
        <v>8.5559999999999997E-2</v>
      </c>
      <c r="W68" s="132">
        <v>3.3999999999999998E-3</v>
      </c>
    </row>
    <row r="69" spans="1:23">
      <c r="A69" t="s">
        <v>1213</v>
      </c>
      <c r="B69" t="s">
        <v>1238</v>
      </c>
      <c r="C69" t="s">
        <v>4527</v>
      </c>
      <c r="D69" t="s">
        <v>4528</v>
      </c>
      <c r="E69" t="s">
        <v>80</v>
      </c>
      <c r="F69" t="s">
        <v>4529</v>
      </c>
      <c r="G69" t="s">
        <v>4530</v>
      </c>
      <c r="H69" t="s">
        <v>321</v>
      </c>
      <c r="I69" t="s">
        <v>917</v>
      </c>
      <c r="J69" t="s">
        <v>205</v>
      </c>
      <c r="K69" t="s">
        <v>244</v>
      </c>
      <c r="L69" t="s">
        <v>325</v>
      </c>
      <c r="M69" t="s">
        <v>314</v>
      </c>
      <c r="N69" t="s">
        <v>580</v>
      </c>
      <c r="O69" t="s">
        <v>339</v>
      </c>
      <c r="P69" t="s">
        <v>1216</v>
      </c>
      <c r="Q69" s="131">
        <v>4127</v>
      </c>
      <c r="R69" s="131">
        <v>3.71</v>
      </c>
      <c r="S69" s="131">
        <v>23931.1</v>
      </c>
      <c r="T69" s="131">
        <v>3664.1309999999999</v>
      </c>
      <c r="U69" s="132">
        <v>2.0000000000000002E-5</v>
      </c>
      <c r="V69" s="132">
        <v>5.0939999999999999E-2</v>
      </c>
      <c r="W69" s="132">
        <v>2.0300000000000001E-3</v>
      </c>
    </row>
    <row r="70" spans="1:23">
      <c r="A70" t="s">
        <v>1213</v>
      </c>
      <c r="B70" t="s">
        <v>1238</v>
      </c>
      <c r="C70" t="s">
        <v>4531</v>
      </c>
      <c r="D70" t="s">
        <v>4532</v>
      </c>
      <c r="E70" t="s">
        <v>80</v>
      </c>
      <c r="F70" t="s">
        <v>4533</v>
      </c>
      <c r="G70" t="s">
        <v>4534</v>
      </c>
      <c r="H70" t="s">
        <v>321</v>
      </c>
      <c r="I70" t="s">
        <v>917</v>
      </c>
      <c r="J70" t="s">
        <v>205</v>
      </c>
      <c r="K70" t="s">
        <v>293</v>
      </c>
      <c r="L70" t="s">
        <v>325</v>
      </c>
      <c r="M70" t="s">
        <v>314</v>
      </c>
      <c r="N70" t="s">
        <v>720</v>
      </c>
      <c r="O70" t="s">
        <v>339</v>
      </c>
      <c r="P70" t="s">
        <v>1216</v>
      </c>
      <c r="Q70" s="131">
        <v>20145</v>
      </c>
      <c r="R70" s="131">
        <v>3.71</v>
      </c>
      <c r="S70" s="131">
        <v>2769</v>
      </c>
      <c r="T70" s="131">
        <v>2069.4940000000001</v>
      </c>
      <c r="U70" s="132">
        <v>5.0000000000000002E-5</v>
      </c>
      <c r="V70" s="132">
        <v>2.877E-2</v>
      </c>
      <c r="W70" s="132">
        <v>1.14E-3</v>
      </c>
    </row>
    <row r="71" spans="1:23">
      <c r="A71" t="s">
        <v>1213</v>
      </c>
      <c r="B71" t="s">
        <v>1241</v>
      </c>
      <c r="C71" t="s">
        <v>4521</v>
      </c>
      <c r="D71" t="s">
        <v>4522</v>
      </c>
      <c r="E71" t="s">
        <v>309</v>
      </c>
      <c r="F71" t="s">
        <v>4523</v>
      </c>
      <c r="G71" t="s">
        <v>4524</v>
      </c>
      <c r="H71" t="s">
        <v>321</v>
      </c>
      <c r="I71" t="s">
        <v>917</v>
      </c>
      <c r="J71" t="s">
        <v>204</v>
      </c>
      <c r="K71" t="s">
        <v>204</v>
      </c>
      <c r="L71" t="s">
        <v>325</v>
      </c>
      <c r="M71" t="s">
        <v>340</v>
      </c>
      <c r="N71" t="s">
        <v>695</v>
      </c>
      <c r="O71" t="s">
        <v>339</v>
      </c>
      <c r="P71" t="s">
        <v>1212</v>
      </c>
      <c r="Q71" s="131">
        <v>266535.65999999997</v>
      </c>
      <c r="R71" s="131">
        <v>1</v>
      </c>
      <c r="S71" s="131">
        <v>72.400000000000006</v>
      </c>
      <c r="T71" s="131">
        <v>192.97200000000001</v>
      </c>
      <c r="U71" s="132">
        <v>8.0000000000000004E-4</v>
      </c>
      <c r="V71" s="132">
        <v>3.048E-2</v>
      </c>
      <c r="W71" s="132">
        <v>5.1000000000000004E-4</v>
      </c>
    </row>
    <row r="72" spans="1:23">
      <c r="A72" t="s">
        <v>1213</v>
      </c>
      <c r="B72" t="s">
        <v>1241</v>
      </c>
      <c r="C72" t="s">
        <v>4452</v>
      </c>
      <c r="D72" t="s">
        <v>4453</v>
      </c>
      <c r="E72" t="s">
        <v>80</v>
      </c>
      <c r="F72" t="s">
        <v>4497</v>
      </c>
      <c r="G72" t="s">
        <v>4498</v>
      </c>
      <c r="H72" t="s">
        <v>321</v>
      </c>
      <c r="I72" t="s">
        <v>969</v>
      </c>
      <c r="J72" t="s">
        <v>205</v>
      </c>
      <c r="K72" t="s">
        <v>293</v>
      </c>
      <c r="L72" t="s">
        <v>325</v>
      </c>
      <c r="M72" t="s">
        <v>314</v>
      </c>
      <c r="N72" t="s">
        <v>732</v>
      </c>
      <c r="O72" t="s">
        <v>339</v>
      </c>
      <c r="P72" t="s">
        <v>1216</v>
      </c>
      <c r="Q72" s="131">
        <v>1098</v>
      </c>
      <c r="R72" s="131">
        <v>3.71</v>
      </c>
      <c r="S72" s="131">
        <v>40175.550000000003</v>
      </c>
      <c r="T72" s="131">
        <v>1636.5830000000001</v>
      </c>
      <c r="U72" s="132">
        <v>0</v>
      </c>
      <c r="V72" s="132">
        <v>0.25852999999999998</v>
      </c>
      <c r="W72" s="132">
        <v>4.3099999999999996E-3</v>
      </c>
    </row>
    <row r="73" spans="1:23">
      <c r="A73" t="s">
        <v>1213</v>
      </c>
      <c r="B73" t="s">
        <v>1241</v>
      </c>
      <c r="C73" t="s">
        <v>4250</v>
      </c>
      <c r="D73" t="s">
        <v>4251</v>
      </c>
      <c r="E73" t="s">
        <v>80</v>
      </c>
      <c r="F73" t="s">
        <v>4491</v>
      </c>
      <c r="G73" t="s">
        <v>4492</v>
      </c>
      <c r="H73" t="s">
        <v>321</v>
      </c>
      <c r="I73" t="s">
        <v>969</v>
      </c>
      <c r="J73" t="s">
        <v>205</v>
      </c>
      <c r="K73" t="s">
        <v>224</v>
      </c>
      <c r="L73" t="s">
        <v>325</v>
      </c>
      <c r="M73" t="s">
        <v>314</v>
      </c>
      <c r="N73" t="s">
        <v>732</v>
      </c>
      <c r="O73" t="s">
        <v>339</v>
      </c>
      <c r="P73" t="s">
        <v>1216</v>
      </c>
      <c r="Q73" s="131">
        <v>2297</v>
      </c>
      <c r="R73" s="131">
        <v>3.71</v>
      </c>
      <c r="S73" s="131">
        <v>18382</v>
      </c>
      <c r="T73" s="131">
        <v>1566.49</v>
      </c>
      <c r="U73" s="132">
        <v>0</v>
      </c>
      <c r="V73" s="132">
        <v>0.24746000000000001</v>
      </c>
      <c r="W73" s="132">
        <v>4.13E-3</v>
      </c>
    </row>
    <row r="74" spans="1:23">
      <c r="A74" t="s">
        <v>1213</v>
      </c>
      <c r="B74" t="s">
        <v>1241</v>
      </c>
      <c r="C74" t="s">
        <v>4499</v>
      </c>
      <c r="D74" t="s">
        <v>4500</v>
      </c>
      <c r="E74" t="s">
        <v>80</v>
      </c>
      <c r="F74" t="s">
        <v>4501</v>
      </c>
      <c r="G74" t="s">
        <v>4502</v>
      </c>
      <c r="H74" t="s">
        <v>321</v>
      </c>
      <c r="I74" t="s">
        <v>969</v>
      </c>
      <c r="J74" t="s">
        <v>205</v>
      </c>
      <c r="K74" t="s">
        <v>233</v>
      </c>
      <c r="L74" t="s">
        <v>325</v>
      </c>
      <c r="M74" t="s">
        <v>314</v>
      </c>
      <c r="N74" t="s">
        <v>732</v>
      </c>
      <c r="O74" t="s">
        <v>339</v>
      </c>
      <c r="P74" t="s">
        <v>1216</v>
      </c>
      <c r="Q74" s="131">
        <v>23081.360000000001</v>
      </c>
      <c r="R74" s="131">
        <v>3.71</v>
      </c>
      <c r="S74" s="131">
        <v>1827</v>
      </c>
      <c r="T74" s="131">
        <v>1564.4939999999999</v>
      </c>
      <c r="U74" s="132">
        <v>0</v>
      </c>
      <c r="V74" s="132">
        <v>0.24715000000000001</v>
      </c>
      <c r="W74" s="132">
        <v>4.1200000000000004E-3</v>
      </c>
    </row>
    <row r="75" spans="1:23">
      <c r="A75" t="s">
        <v>1213</v>
      </c>
      <c r="B75" t="s">
        <v>1241</v>
      </c>
      <c r="C75" t="s">
        <v>4493</v>
      </c>
      <c r="D75" t="s">
        <v>4494</v>
      </c>
      <c r="E75" t="s">
        <v>80</v>
      </c>
      <c r="F75" t="s">
        <v>4495</v>
      </c>
      <c r="G75" t="s">
        <v>4496</v>
      </c>
      <c r="H75" t="s">
        <v>321</v>
      </c>
      <c r="I75" t="s">
        <v>969</v>
      </c>
      <c r="J75" t="s">
        <v>205</v>
      </c>
      <c r="K75" t="s">
        <v>293</v>
      </c>
      <c r="L75" t="s">
        <v>325</v>
      </c>
      <c r="M75" t="s">
        <v>314</v>
      </c>
      <c r="N75" t="s">
        <v>732</v>
      </c>
      <c r="O75" t="s">
        <v>339</v>
      </c>
      <c r="P75" t="s">
        <v>1216</v>
      </c>
      <c r="Q75" s="131">
        <v>2980</v>
      </c>
      <c r="R75" s="131">
        <v>3.71</v>
      </c>
      <c r="S75" s="131">
        <v>12389.08</v>
      </c>
      <c r="T75" s="131">
        <v>1369.712</v>
      </c>
      <c r="U75" s="132">
        <v>0</v>
      </c>
      <c r="V75" s="132">
        <v>0.21637999999999999</v>
      </c>
      <c r="W75" s="132">
        <v>3.6099999999999999E-3</v>
      </c>
    </row>
    <row r="76" spans="1:23">
      <c r="A76" t="s">
        <v>1213</v>
      </c>
      <c r="B76" t="s">
        <v>1242</v>
      </c>
      <c r="C76" t="s">
        <v>4107</v>
      </c>
      <c r="D76" t="s">
        <v>4108</v>
      </c>
      <c r="E76" t="s">
        <v>309</v>
      </c>
      <c r="F76" t="s">
        <v>4519</v>
      </c>
      <c r="G76" t="s">
        <v>4520</v>
      </c>
      <c r="H76" t="s">
        <v>321</v>
      </c>
      <c r="I76" t="s">
        <v>917</v>
      </c>
      <c r="J76" t="s">
        <v>204</v>
      </c>
      <c r="K76" t="s">
        <v>204</v>
      </c>
      <c r="L76" t="s">
        <v>325</v>
      </c>
      <c r="M76" t="s">
        <v>340</v>
      </c>
      <c r="N76" t="s">
        <v>719</v>
      </c>
      <c r="O76" t="s">
        <v>339</v>
      </c>
      <c r="P76" t="s">
        <v>1212</v>
      </c>
      <c r="Q76" s="131">
        <v>1613875</v>
      </c>
      <c r="R76" s="131">
        <v>1</v>
      </c>
      <c r="S76" s="131">
        <v>123.79</v>
      </c>
      <c r="T76" s="131">
        <v>1997.816</v>
      </c>
      <c r="U76" s="132">
        <v>3.0899999999999999E-3</v>
      </c>
      <c r="V76" s="132">
        <v>0.16533999999999999</v>
      </c>
      <c r="W76" s="132">
        <v>5.2199999999999998E-3</v>
      </c>
    </row>
    <row r="77" spans="1:23">
      <c r="A77" t="s">
        <v>1213</v>
      </c>
      <c r="B77" t="s">
        <v>1242</v>
      </c>
      <c r="C77" t="s">
        <v>4521</v>
      </c>
      <c r="D77" t="s">
        <v>4522</v>
      </c>
      <c r="E77" t="s">
        <v>309</v>
      </c>
      <c r="F77" t="s">
        <v>4523</v>
      </c>
      <c r="G77" t="s">
        <v>4524</v>
      </c>
      <c r="H77" t="s">
        <v>321</v>
      </c>
      <c r="I77" t="s">
        <v>917</v>
      </c>
      <c r="J77" t="s">
        <v>204</v>
      </c>
      <c r="K77" t="s">
        <v>204</v>
      </c>
      <c r="L77" t="s">
        <v>325</v>
      </c>
      <c r="M77" t="s">
        <v>340</v>
      </c>
      <c r="N77" t="s">
        <v>695</v>
      </c>
      <c r="O77" t="s">
        <v>339</v>
      </c>
      <c r="P77" t="s">
        <v>1212</v>
      </c>
      <c r="Q77" s="131">
        <v>362545.71</v>
      </c>
      <c r="R77" s="131">
        <v>1</v>
      </c>
      <c r="S77" s="131">
        <v>72.400000000000006</v>
      </c>
      <c r="T77" s="131">
        <v>262.483</v>
      </c>
      <c r="U77" s="132">
        <v>1.08E-3</v>
      </c>
      <c r="V77" s="132">
        <v>2.172E-2</v>
      </c>
      <c r="W77" s="132">
        <v>6.8999999999999997E-4</v>
      </c>
    </row>
    <row r="78" spans="1:23">
      <c r="A78" t="s">
        <v>1213</v>
      </c>
      <c r="B78" t="s">
        <v>1242</v>
      </c>
      <c r="C78" t="s">
        <v>4440</v>
      </c>
      <c r="D78" t="s">
        <v>4441</v>
      </c>
      <c r="E78" t="s">
        <v>80</v>
      </c>
      <c r="F78" t="s">
        <v>4525</v>
      </c>
      <c r="G78" t="s">
        <v>4526</v>
      </c>
      <c r="H78" t="s">
        <v>321</v>
      </c>
      <c r="I78" t="s">
        <v>917</v>
      </c>
      <c r="J78" t="s">
        <v>205</v>
      </c>
      <c r="K78" t="s">
        <v>224</v>
      </c>
      <c r="L78" t="s">
        <v>325</v>
      </c>
      <c r="M78" t="s">
        <v>314</v>
      </c>
      <c r="N78" t="s">
        <v>580</v>
      </c>
      <c r="O78" t="s">
        <v>339</v>
      </c>
      <c r="P78" t="s">
        <v>1216</v>
      </c>
      <c r="Q78" s="131">
        <v>83848.38</v>
      </c>
      <c r="R78" s="131">
        <v>3.71</v>
      </c>
      <c r="S78" s="131">
        <v>1608.31</v>
      </c>
      <c r="T78" s="131">
        <v>5003.09</v>
      </c>
      <c r="U78" s="132">
        <v>2.0000000000000002E-5</v>
      </c>
      <c r="V78" s="132">
        <v>0.41404999999999997</v>
      </c>
      <c r="W78" s="132">
        <v>1.307E-2</v>
      </c>
    </row>
    <row r="79" spans="1:23">
      <c r="A79" t="s">
        <v>1213</v>
      </c>
      <c r="B79" t="s">
        <v>1242</v>
      </c>
      <c r="C79" t="s">
        <v>4531</v>
      </c>
      <c r="D79" t="s">
        <v>4532</v>
      </c>
      <c r="E79" t="s">
        <v>80</v>
      </c>
      <c r="F79" t="s">
        <v>4533</v>
      </c>
      <c r="G79" t="s">
        <v>4534</v>
      </c>
      <c r="H79" t="s">
        <v>321</v>
      </c>
      <c r="I79" t="s">
        <v>917</v>
      </c>
      <c r="J79" t="s">
        <v>205</v>
      </c>
      <c r="K79" t="s">
        <v>293</v>
      </c>
      <c r="L79" t="s">
        <v>325</v>
      </c>
      <c r="M79" t="s">
        <v>314</v>
      </c>
      <c r="N79" t="s">
        <v>720</v>
      </c>
      <c r="O79" t="s">
        <v>339</v>
      </c>
      <c r="P79" t="s">
        <v>1216</v>
      </c>
      <c r="Q79" s="131">
        <v>21486</v>
      </c>
      <c r="R79" s="131">
        <v>3.71</v>
      </c>
      <c r="S79" s="131">
        <v>2769</v>
      </c>
      <c r="T79" s="131">
        <v>2207.2550000000001</v>
      </c>
      <c r="U79" s="132">
        <v>6.0000000000000002E-5</v>
      </c>
      <c r="V79" s="132">
        <v>0.18267</v>
      </c>
      <c r="W79" s="132">
        <v>5.77E-3</v>
      </c>
    </row>
    <row r="80" spans="1:23">
      <c r="A80" t="s">
        <v>1213</v>
      </c>
      <c r="B80" t="s">
        <v>1242</v>
      </c>
      <c r="C80" t="s">
        <v>4527</v>
      </c>
      <c r="D80" t="s">
        <v>4528</v>
      </c>
      <c r="E80" t="s">
        <v>80</v>
      </c>
      <c r="F80" t="s">
        <v>4529</v>
      </c>
      <c r="G80" t="s">
        <v>4530</v>
      </c>
      <c r="H80" t="s">
        <v>321</v>
      </c>
      <c r="I80" t="s">
        <v>917</v>
      </c>
      <c r="J80" t="s">
        <v>205</v>
      </c>
      <c r="K80" t="s">
        <v>244</v>
      </c>
      <c r="L80" t="s">
        <v>325</v>
      </c>
      <c r="M80" t="s">
        <v>314</v>
      </c>
      <c r="N80" t="s">
        <v>580</v>
      </c>
      <c r="O80" t="s">
        <v>339</v>
      </c>
      <c r="P80" t="s">
        <v>1216</v>
      </c>
      <c r="Q80" s="131">
        <v>1576</v>
      </c>
      <c r="R80" s="131">
        <v>3.71</v>
      </c>
      <c r="S80" s="131">
        <v>23931.1</v>
      </c>
      <c r="T80" s="131">
        <v>1399.242</v>
      </c>
      <c r="U80" s="132">
        <v>1.0000000000000001E-5</v>
      </c>
      <c r="V80" s="132">
        <v>0.1158</v>
      </c>
      <c r="W80" s="132">
        <v>3.6600000000000001E-3</v>
      </c>
    </row>
    <row r="81" spans="1:23">
      <c r="A81" t="s">
        <v>1213</v>
      </c>
      <c r="B81" t="s">
        <v>1242</v>
      </c>
      <c r="C81" t="s">
        <v>4444</v>
      </c>
      <c r="D81" t="s">
        <v>4445</v>
      </c>
      <c r="E81" t="s">
        <v>80</v>
      </c>
      <c r="F81" t="s">
        <v>4446</v>
      </c>
      <c r="G81" t="s">
        <v>4447</v>
      </c>
      <c r="H81" t="s">
        <v>321</v>
      </c>
      <c r="I81" t="s">
        <v>917</v>
      </c>
      <c r="J81" t="s">
        <v>205</v>
      </c>
      <c r="K81" t="s">
        <v>244</v>
      </c>
      <c r="L81" t="s">
        <v>325</v>
      </c>
      <c r="M81" t="s">
        <v>314</v>
      </c>
      <c r="N81" t="s">
        <v>580</v>
      </c>
      <c r="O81" t="s">
        <v>339</v>
      </c>
      <c r="P81" t="s">
        <v>1216</v>
      </c>
      <c r="Q81" s="131">
        <v>1122</v>
      </c>
      <c r="R81" s="131">
        <v>3.71</v>
      </c>
      <c r="S81" s="131">
        <v>29150</v>
      </c>
      <c r="T81" s="131">
        <v>1213.404</v>
      </c>
      <c r="U81" s="132">
        <v>0</v>
      </c>
      <c r="V81" s="132">
        <v>0.10042</v>
      </c>
      <c r="W81" s="132">
        <v>3.1700000000000001E-3</v>
      </c>
    </row>
    <row r="82" spans="1:23">
      <c r="A82" t="s">
        <v>1213</v>
      </c>
      <c r="B82" t="s">
        <v>1243</v>
      </c>
      <c r="C82" t="s">
        <v>4107</v>
      </c>
      <c r="D82" t="s">
        <v>4108</v>
      </c>
      <c r="E82" t="s">
        <v>309</v>
      </c>
      <c r="F82" t="s">
        <v>4519</v>
      </c>
      <c r="G82" t="s">
        <v>4520</v>
      </c>
      <c r="H82" t="s">
        <v>321</v>
      </c>
      <c r="I82" t="s">
        <v>917</v>
      </c>
      <c r="J82" t="s">
        <v>204</v>
      </c>
      <c r="K82" t="s">
        <v>204</v>
      </c>
      <c r="L82" t="s">
        <v>325</v>
      </c>
      <c r="M82" t="s">
        <v>340</v>
      </c>
      <c r="N82" t="s">
        <v>719</v>
      </c>
      <c r="O82" t="s">
        <v>339</v>
      </c>
      <c r="P82" t="s">
        <v>1212</v>
      </c>
      <c r="Q82" s="131">
        <v>14131829</v>
      </c>
      <c r="R82" s="131">
        <v>1</v>
      </c>
      <c r="S82" s="131">
        <v>123.79</v>
      </c>
      <c r="T82" s="131">
        <v>17493.791000000001</v>
      </c>
      <c r="U82" s="132">
        <v>2.708E-2</v>
      </c>
      <c r="V82" s="132">
        <v>0.11633</v>
      </c>
      <c r="W82" s="132">
        <v>3.9300000000000003E-3</v>
      </c>
    </row>
    <row r="83" spans="1:23">
      <c r="A83" t="s">
        <v>1213</v>
      </c>
      <c r="B83" t="s">
        <v>1243</v>
      </c>
      <c r="C83" t="s">
        <v>4521</v>
      </c>
      <c r="D83" t="s">
        <v>4522</v>
      </c>
      <c r="E83" t="s">
        <v>309</v>
      </c>
      <c r="F83" t="s">
        <v>4523</v>
      </c>
      <c r="G83" t="s">
        <v>4524</v>
      </c>
      <c r="H83" t="s">
        <v>321</v>
      </c>
      <c r="I83" t="s">
        <v>917</v>
      </c>
      <c r="J83" t="s">
        <v>204</v>
      </c>
      <c r="K83" t="s">
        <v>204</v>
      </c>
      <c r="L83" t="s">
        <v>325</v>
      </c>
      <c r="M83" t="s">
        <v>340</v>
      </c>
      <c r="N83" t="s">
        <v>695</v>
      </c>
      <c r="O83" t="s">
        <v>339</v>
      </c>
      <c r="P83" t="s">
        <v>1212</v>
      </c>
      <c r="Q83" s="131">
        <v>7135145.3399999999</v>
      </c>
      <c r="R83" s="131">
        <v>1</v>
      </c>
      <c r="S83" s="131">
        <v>72.400000000000006</v>
      </c>
      <c r="T83" s="131">
        <v>5165.8450000000003</v>
      </c>
      <c r="U83" s="132">
        <v>2.1329999999999998E-2</v>
      </c>
      <c r="V83" s="132">
        <v>3.4349999999999999E-2</v>
      </c>
      <c r="W83" s="132">
        <v>1.16E-3</v>
      </c>
    </row>
    <row r="84" spans="1:23">
      <c r="A84" t="s">
        <v>1213</v>
      </c>
      <c r="B84" t="s">
        <v>1243</v>
      </c>
      <c r="C84" t="s">
        <v>4440</v>
      </c>
      <c r="D84" t="s">
        <v>4441</v>
      </c>
      <c r="E84" t="s">
        <v>80</v>
      </c>
      <c r="F84" t="s">
        <v>4525</v>
      </c>
      <c r="G84" t="s">
        <v>4526</v>
      </c>
      <c r="H84" t="s">
        <v>321</v>
      </c>
      <c r="I84" t="s">
        <v>917</v>
      </c>
      <c r="J84" t="s">
        <v>205</v>
      </c>
      <c r="K84" t="s">
        <v>224</v>
      </c>
      <c r="L84" t="s">
        <v>325</v>
      </c>
      <c r="M84" t="s">
        <v>314</v>
      </c>
      <c r="N84" t="s">
        <v>580</v>
      </c>
      <c r="O84" t="s">
        <v>339</v>
      </c>
      <c r="P84" t="s">
        <v>1216</v>
      </c>
      <c r="Q84" s="131">
        <v>568792.24</v>
      </c>
      <c r="R84" s="131">
        <v>3.71</v>
      </c>
      <c r="S84" s="131">
        <v>1608.31</v>
      </c>
      <c r="T84" s="131">
        <v>33938.866999999998</v>
      </c>
      <c r="U84" s="132">
        <v>1.2999999999999999E-4</v>
      </c>
      <c r="V84" s="132">
        <v>0.22567999999999999</v>
      </c>
      <c r="W84" s="132">
        <v>7.62E-3</v>
      </c>
    </row>
    <row r="85" spans="1:23">
      <c r="A85" t="s">
        <v>1213</v>
      </c>
      <c r="B85" t="s">
        <v>1243</v>
      </c>
      <c r="C85" t="s">
        <v>4444</v>
      </c>
      <c r="D85" t="s">
        <v>4445</v>
      </c>
      <c r="E85" t="s">
        <v>80</v>
      </c>
      <c r="F85" t="s">
        <v>4446</v>
      </c>
      <c r="G85" t="s">
        <v>4447</v>
      </c>
      <c r="H85" t="s">
        <v>321</v>
      </c>
      <c r="I85" t="s">
        <v>917</v>
      </c>
      <c r="J85" t="s">
        <v>205</v>
      </c>
      <c r="K85" t="s">
        <v>244</v>
      </c>
      <c r="L85" t="s">
        <v>325</v>
      </c>
      <c r="M85" t="s">
        <v>314</v>
      </c>
      <c r="N85" t="s">
        <v>580</v>
      </c>
      <c r="O85" t="s">
        <v>339</v>
      </c>
      <c r="P85" t="s">
        <v>1216</v>
      </c>
      <c r="Q85" s="131">
        <v>17512</v>
      </c>
      <c r="R85" s="131">
        <v>3.71</v>
      </c>
      <c r="S85" s="131">
        <v>29150</v>
      </c>
      <c r="T85" s="131">
        <v>18938.615000000002</v>
      </c>
      <c r="U85" s="132">
        <v>1.0000000000000001E-5</v>
      </c>
      <c r="V85" s="132">
        <v>0.12592999999999999</v>
      </c>
      <c r="W85" s="132">
        <v>4.2500000000000003E-3</v>
      </c>
    </row>
    <row r="86" spans="1:23">
      <c r="A86" t="s">
        <v>1213</v>
      </c>
      <c r="B86" t="s">
        <v>1243</v>
      </c>
      <c r="C86" t="s">
        <v>4452</v>
      </c>
      <c r="D86" t="s">
        <v>4453</v>
      </c>
      <c r="E86" t="s">
        <v>80</v>
      </c>
      <c r="F86" t="s">
        <v>4497</v>
      </c>
      <c r="G86" t="s">
        <v>4498</v>
      </c>
      <c r="H86" t="s">
        <v>321</v>
      </c>
      <c r="I86" t="s">
        <v>969</v>
      </c>
      <c r="J86" t="s">
        <v>205</v>
      </c>
      <c r="K86" t="s">
        <v>293</v>
      </c>
      <c r="L86" t="s">
        <v>325</v>
      </c>
      <c r="M86" t="s">
        <v>314</v>
      </c>
      <c r="N86" t="s">
        <v>732</v>
      </c>
      <c r="O86" t="s">
        <v>339</v>
      </c>
      <c r="P86" t="s">
        <v>1216</v>
      </c>
      <c r="Q86" s="131">
        <v>10718</v>
      </c>
      <c r="R86" s="131">
        <v>3.71</v>
      </c>
      <c r="S86" s="131">
        <v>40175.550000000003</v>
      </c>
      <c r="T86" s="131">
        <v>15975.316999999999</v>
      </c>
      <c r="U86" s="132">
        <v>0</v>
      </c>
      <c r="V86" s="132">
        <v>0.10623</v>
      </c>
      <c r="W86" s="132">
        <v>3.5899999999999999E-3</v>
      </c>
    </row>
    <row r="87" spans="1:23">
      <c r="A87" t="s">
        <v>1213</v>
      </c>
      <c r="B87" t="s">
        <v>1243</v>
      </c>
      <c r="C87" t="s">
        <v>4250</v>
      </c>
      <c r="D87" t="s">
        <v>4251</v>
      </c>
      <c r="E87" t="s">
        <v>80</v>
      </c>
      <c r="F87" t="s">
        <v>4491</v>
      </c>
      <c r="G87" t="s">
        <v>4492</v>
      </c>
      <c r="H87" t="s">
        <v>321</v>
      </c>
      <c r="I87" t="s">
        <v>969</v>
      </c>
      <c r="J87" t="s">
        <v>205</v>
      </c>
      <c r="K87" t="s">
        <v>224</v>
      </c>
      <c r="L87" t="s">
        <v>325</v>
      </c>
      <c r="M87" t="s">
        <v>314</v>
      </c>
      <c r="N87" t="s">
        <v>732</v>
      </c>
      <c r="O87" t="s">
        <v>339</v>
      </c>
      <c r="P87" t="s">
        <v>1216</v>
      </c>
      <c r="Q87" s="131">
        <v>21989</v>
      </c>
      <c r="R87" s="131">
        <v>3.71</v>
      </c>
      <c r="S87" s="131">
        <v>18382</v>
      </c>
      <c r="T87" s="131">
        <v>14995.887000000001</v>
      </c>
      <c r="U87" s="132">
        <v>0</v>
      </c>
      <c r="V87" s="132">
        <v>9.9720000000000003E-2</v>
      </c>
      <c r="W87" s="132">
        <v>3.3700000000000002E-3</v>
      </c>
    </row>
    <row r="88" spans="1:23">
      <c r="A88" t="s">
        <v>1213</v>
      </c>
      <c r="B88" t="s">
        <v>1243</v>
      </c>
      <c r="C88" t="s">
        <v>4493</v>
      </c>
      <c r="D88" t="s">
        <v>4494</v>
      </c>
      <c r="E88" t="s">
        <v>80</v>
      </c>
      <c r="F88" t="s">
        <v>4495</v>
      </c>
      <c r="G88" t="s">
        <v>4496</v>
      </c>
      <c r="H88" t="s">
        <v>321</v>
      </c>
      <c r="I88" t="s">
        <v>969</v>
      </c>
      <c r="J88" t="s">
        <v>205</v>
      </c>
      <c r="K88" t="s">
        <v>293</v>
      </c>
      <c r="L88" t="s">
        <v>325</v>
      </c>
      <c r="M88" t="s">
        <v>314</v>
      </c>
      <c r="N88" t="s">
        <v>732</v>
      </c>
      <c r="O88" t="s">
        <v>339</v>
      </c>
      <c r="P88" t="s">
        <v>1216</v>
      </c>
      <c r="Q88" s="131">
        <v>32322</v>
      </c>
      <c r="R88" s="131">
        <v>3.71</v>
      </c>
      <c r="S88" s="131">
        <v>12389.08</v>
      </c>
      <c r="T88" s="131">
        <v>14856.317999999999</v>
      </c>
      <c r="U88" s="132">
        <v>1.0000000000000001E-5</v>
      </c>
      <c r="V88" s="132">
        <v>9.8790000000000003E-2</v>
      </c>
      <c r="W88" s="132">
        <v>3.3400000000000001E-3</v>
      </c>
    </row>
    <row r="89" spans="1:23">
      <c r="A89" t="s">
        <v>1213</v>
      </c>
      <c r="B89" t="s">
        <v>1243</v>
      </c>
      <c r="C89" t="s">
        <v>4499</v>
      </c>
      <c r="D89" t="s">
        <v>4500</v>
      </c>
      <c r="E89" t="s">
        <v>80</v>
      </c>
      <c r="F89" t="s">
        <v>4501</v>
      </c>
      <c r="G89" t="s">
        <v>4502</v>
      </c>
      <c r="H89" t="s">
        <v>321</v>
      </c>
      <c r="I89" t="s">
        <v>969</v>
      </c>
      <c r="J89" t="s">
        <v>205</v>
      </c>
      <c r="K89" t="s">
        <v>233</v>
      </c>
      <c r="L89" t="s">
        <v>325</v>
      </c>
      <c r="M89" t="s">
        <v>314</v>
      </c>
      <c r="N89" t="s">
        <v>732</v>
      </c>
      <c r="O89" t="s">
        <v>339</v>
      </c>
      <c r="P89" t="s">
        <v>1216</v>
      </c>
      <c r="Q89" s="131">
        <v>209772</v>
      </c>
      <c r="R89" s="131">
        <v>3.71</v>
      </c>
      <c r="S89" s="131">
        <v>1827</v>
      </c>
      <c r="T89" s="131">
        <v>14218.703</v>
      </c>
      <c r="U89" s="132">
        <v>0</v>
      </c>
      <c r="V89" s="132">
        <v>9.4549999999999995E-2</v>
      </c>
      <c r="W89" s="132">
        <v>3.1900000000000001E-3</v>
      </c>
    </row>
    <row r="90" spans="1:23">
      <c r="A90" t="s">
        <v>1213</v>
      </c>
      <c r="B90" t="s">
        <v>1243</v>
      </c>
      <c r="C90" t="s">
        <v>4527</v>
      </c>
      <c r="D90" t="s">
        <v>4528</v>
      </c>
      <c r="E90" t="s">
        <v>80</v>
      </c>
      <c r="F90" t="s">
        <v>4529</v>
      </c>
      <c r="G90" t="s">
        <v>4530</v>
      </c>
      <c r="H90" t="s">
        <v>321</v>
      </c>
      <c r="I90" t="s">
        <v>917</v>
      </c>
      <c r="J90" t="s">
        <v>205</v>
      </c>
      <c r="K90" t="s">
        <v>244</v>
      </c>
      <c r="L90" t="s">
        <v>325</v>
      </c>
      <c r="M90" t="s">
        <v>314</v>
      </c>
      <c r="N90" t="s">
        <v>580</v>
      </c>
      <c r="O90" t="s">
        <v>339</v>
      </c>
      <c r="P90" t="s">
        <v>1216</v>
      </c>
      <c r="Q90" s="131">
        <v>10867</v>
      </c>
      <c r="R90" s="131">
        <v>3.71</v>
      </c>
      <c r="S90" s="131">
        <v>23931.1</v>
      </c>
      <c r="T90" s="131">
        <v>9648.1990000000005</v>
      </c>
      <c r="U90" s="132">
        <v>5.0000000000000002E-5</v>
      </c>
      <c r="V90" s="132">
        <v>6.4159999999999995E-2</v>
      </c>
      <c r="W90" s="132">
        <v>2.1700000000000001E-3</v>
      </c>
    </row>
    <row r="91" spans="1:23">
      <c r="A91" t="s">
        <v>1213</v>
      </c>
      <c r="B91" t="s">
        <v>1243</v>
      </c>
      <c r="C91" t="s">
        <v>4531</v>
      </c>
      <c r="D91" t="s">
        <v>4532</v>
      </c>
      <c r="E91" t="s">
        <v>80</v>
      </c>
      <c r="F91" t="s">
        <v>4533</v>
      </c>
      <c r="G91" t="s">
        <v>4534</v>
      </c>
      <c r="H91" t="s">
        <v>321</v>
      </c>
      <c r="I91" t="s">
        <v>917</v>
      </c>
      <c r="J91" t="s">
        <v>205</v>
      </c>
      <c r="K91" t="s">
        <v>293</v>
      </c>
      <c r="L91" t="s">
        <v>325</v>
      </c>
      <c r="M91" t="s">
        <v>314</v>
      </c>
      <c r="N91" t="s">
        <v>720</v>
      </c>
      <c r="O91" t="s">
        <v>339</v>
      </c>
      <c r="P91" t="s">
        <v>1216</v>
      </c>
      <c r="Q91" s="131">
        <v>50175</v>
      </c>
      <c r="R91" s="131">
        <v>3.71</v>
      </c>
      <c r="S91" s="131">
        <v>2769</v>
      </c>
      <c r="T91" s="131">
        <v>5154.473</v>
      </c>
      <c r="U91" s="132">
        <v>1.2999999999999999E-4</v>
      </c>
      <c r="V91" s="132">
        <v>3.4270000000000002E-2</v>
      </c>
      <c r="W91" s="132">
        <v>1.16E-3</v>
      </c>
    </row>
    <row r="92" spans="1:23">
      <c r="A92" t="s">
        <v>1213</v>
      </c>
      <c r="B92" t="s">
        <v>1251</v>
      </c>
      <c r="C92" t="s">
        <v>4107</v>
      </c>
      <c r="D92" t="s">
        <v>4108</v>
      </c>
      <c r="E92" t="s">
        <v>309</v>
      </c>
      <c r="F92" t="s">
        <v>4519</v>
      </c>
      <c r="G92" t="s">
        <v>4520</v>
      </c>
      <c r="H92" t="s">
        <v>321</v>
      </c>
      <c r="I92" t="s">
        <v>917</v>
      </c>
      <c r="J92" t="s">
        <v>204</v>
      </c>
      <c r="K92" t="s">
        <v>204</v>
      </c>
      <c r="L92" t="s">
        <v>325</v>
      </c>
      <c r="M92" t="s">
        <v>340</v>
      </c>
      <c r="N92" t="s">
        <v>719</v>
      </c>
      <c r="O92" t="s">
        <v>339</v>
      </c>
      <c r="P92" t="s">
        <v>1212</v>
      </c>
      <c r="Q92" s="131">
        <v>921153</v>
      </c>
      <c r="R92" s="131">
        <v>1</v>
      </c>
      <c r="S92" s="131">
        <v>123.79</v>
      </c>
      <c r="T92" s="131">
        <v>1140.2950000000001</v>
      </c>
      <c r="U92" s="132">
        <v>1.7700000000000001E-3</v>
      </c>
      <c r="V92" s="132">
        <v>0.10630000000000001</v>
      </c>
      <c r="W92" s="132">
        <v>4.1099999999999999E-3</v>
      </c>
    </row>
    <row r="93" spans="1:23">
      <c r="A93" t="s">
        <v>1213</v>
      </c>
      <c r="B93" t="s">
        <v>1251</v>
      </c>
      <c r="C93" t="s">
        <v>4521</v>
      </c>
      <c r="D93" t="s">
        <v>4522</v>
      </c>
      <c r="E93" t="s">
        <v>309</v>
      </c>
      <c r="F93" t="s">
        <v>4523</v>
      </c>
      <c r="G93" t="s">
        <v>4524</v>
      </c>
      <c r="H93" t="s">
        <v>321</v>
      </c>
      <c r="I93" t="s">
        <v>917</v>
      </c>
      <c r="J93" t="s">
        <v>204</v>
      </c>
      <c r="K93" t="s">
        <v>204</v>
      </c>
      <c r="L93" t="s">
        <v>325</v>
      </c>
      <c r="M93" t="s">
        <v>340</v>
      </c>
      <c r="N93" t="s">
        <v>695</v>
      </c>
      <c r="O93" t="s">
        <v>339</v>
      </c>
      <c r="P93" t="s">
        <v>1212</v>
      </c>
      <c r="Q93" s="131">
        <v>918825.82</v>
      </c>
      <c r="R93" s="131">
        <v>1</v>
      </c>
      <c r="S93" s="131">
        <v>72.400000000000006</v>
      </c>
      <c r="T93" s="131">
        <v>665.23</v>
      </c>
      <c r="U93" s="132">
        <v>2.7499999999999998E-3</v>
      </c>
      <c r="V93" s="132">
        <v>6.2010000000000003E-2</v>
      </c>
      <c r="W93" s="132">
        <v>2.3999999999999998E-3</v>
      </c>
    </row>
    <row r="94" spans="1:23">
      <c r="A94" t="s">
        <v>1213</v>
      </c>
      <c r="B94" t="s">
        <v>1251</v>
      </c>
      <c r="C94" t="s">
        <v>4444</v>
      </c>
      <c r="D94" t="s">
        <v>4445</v>
      </c>
      <c r="E94" t="s">
        <v>80</v>
      </c>
      <c r="F94" t="s">
        <v>4446</v>
      </c>
      <c r="G94" t="s">
        <v>4447</v>
      </c>
      <c r="H94" t="s">
        <v>321</v>
      </c>
      <c r="I94" t="s">
        <v>917</v>
      </c>
      <c r="J94" t="s">
        <v>205</v>
      </c>
      <c r="K94" t="s">
        <v>244</v>
      </c>
      <c r="L94" t="s">
        <v>325</v>
      </c>
      <c r="M94" t="s">
        <v>314</v>
      </c>
      <c r="N94" t="s">
        <v>580</v>
      </c>
      <c r="O94" t="s">
        <v>339</v>
      </c>
      <c r="P94" t="s">
        <v>1216</v>
      </c>
      <c r="Q94" s="131">
        <v>2246</v>
      </c>
      <c r="R94" s="131">
        <v>3.71</v>
      </c>
      <c r="S94" s="131">
        <v>29150</v>
      </c>
      <c r="T94" s="131">
        <v>2428.9699999999998</v>
      </c>
      <c r="U94" s="132">
        <v>0</v>
      </c>
      <c r="V94" s="132">
        <v>0.22642000000000001</v>
      </c>
      <c r="W94" s="132">
        <v>8.7600000000000004E-3</v>
      </c>
    </row>
    <row r="95" spans="1:23">
      <c r="A95" t="s">
        <v>1213</v>
      </c>
      <c r="B95" t="s">
        <v>1251</v>
      </c>
      <c r="C95" t="s">
        <v>4440</v>
      </c>
      <c r="D95" t="s">
        <v>4441</v>
      </c>
      <c r="E95" t="s">
        <v>80</v>
      </c>
      <c r="F95" t="s">
        <v>4525</v>
      </c>
      <c r="G95" t="s">
        <v>4526</v>
      </c>
      <c r="H95" t="s">
        <v>321</v>
      </c>
      <c r="I95" t="s">
        <v>917</v>
      </c>
      <c r="J95" t="s">
        <v>205</v>
      </c>
      <c r="K95" t="s">
        <v>224</v>
      </c>
      <c r="L95" t="s">
        <v>325</v>
      </c>
      <c r="M95" t="s">
        <v>314</v>
      </c>
      <c r="N95" t="s">
        <v>580</v>
      </c>
      <c r="O95" t="s">
        <v>339</v>
      </c>
      <c r="P95" t="s">
        <v>1216</v>
      </c>
      <c r="Q95" s="131">
        <v>37797.29</v>
      </c>
      <c r="R95" s="131">
        <v>3.71</v>
      </c>
      <c r="S95" s="131">
        <v>1608.31</v>
      </c>
      <c r="T95" s="131">
        <v>2255.3000000000002</v>
      </c>
      <c r="U95" s="132">
        <v>1.0000000000000001E-5</v>
      </c>
      <c r="V95" s="132">
        <v>0.21023</v>
      </c>
      <c r="W95" s="132">
        <v>8.1300000000000001E-3</v>
      </c>
    </row>
    <row r="96" spans="1:23">
      <c r="A96" t="s">
        <v>1213</v>
      </c>
      <c r="B96" t="s">
        <v>1251</v>
      </c>
      <c r="C96" t="s">
        <v>4452</v>
      </c>
      <c r="D96" t="s">
        <v>4453</v>
      </c>
      <c r="E96" t="s">
        <v>80</v>
      </c>
      <c r="F96" t="s">
        <v>4497</v>
      </c>
      <c r="G96" t="s">
        <v>4498</v>
      </c>
      <c r="H96" t="s">
        <v>321</v>
      </c>
      <c r="I96" t="s">
        <v>969</v>
      </c>
      <c r="J96" t="s">
        <v>205</v>
      </c>
      <c r="K96" t="s">
        <v>293</v>
      </c>
      <c r="L96" t="s">
        <v>325</v>
      </c>
      <c r="M96" t="s">
        <v>314</v>
      </c>
      <c r="N96" t="s">
        <v>732</v>
      </c>
      <c r="O96" t="s">
        <v>339</v>
      </c>
      <c r="P96" t="s">
        <v>1216</v>
      </c>
      <c r="Q96" s="131">
        <v>577</v>
      </c>
      <c r="R96" s="131">
        <v>3.71</v>
      </c>
      <c r="S96" s="131">
        <v>40175.550000000003</v>
      </c>
      <c r="T96" s="131">
        <v>860.02599999999995</v>
      </c>
      <c r="U96" s="132">
        <v>0</v>
      </c>
      <c r="V96" s="132">
        <v>8.0170000000000005E-2</v>
      </c>
      <c r="W96" s="132">
        <v>3.0999999999999999E-3</v>
      </c>
    </row>
    <row r="97" spans="1:23">
      <c r="A97" t="s">
        <v>1213</v>
      </c>
      <c r="B97" t="s">
        <v>1251</v>
      </c>
      <c r="C97" t="s">
        <v>4499</v>
      </c>
      <c r="D97" t="s">
        <v>4500</v>
      </c>
      <c r="E97" t="s">
        <v>80</v>
      </c>
      <c r="F97" t="s">
        <v>4501</v>
      </c>
      <c r="G97" t="s">
        <v>4502</v>
      </c>
      <c r="H97" t="s">
        <v>321</v>
      </c>
      <c r="I97" t="s">
        <v>969</v>
      </c>
      <c r="J97" t="s">
        <v>205</v>
      </c>
      <c r="K97" t="s">
        <v>233</v>
      </c>
      <c r="L97" t="s">
        <v>325</v>
      </c>
      <c r="M97" t="s">
        <v>314</v>
      </c>
      <c r="N97" t="s">
        <v>732</v>
      </c>
      <c r="O97" t="s">
        <v>339</v>
      </c>
      <c r="P97" t="s">
        <v>1216</v>
      </c>
      <c r="Q97" s="131">
        <v>12039</v>
      </c>
      <c r="R97" s="131">
        <v>3.71</v>
      </c>
      <c r="S97" s="131">
        <v>1827</v>
      </c>
      <c r="T97" s="131">
        <v>816.024</v>
      </c>
      <c r="U97" s="132">
        <v>0</v>
      </c>
      <c r="V97" s="132">
        <v>7.6069999999999999E-2</v>
      </c>
      <c r="W97" s="132">
        <v>2.9399999999999999E-3</v>
      </c>
    </row>
    <row r="98" spans="1:23">
      <c r="A98" t="s">
        <v>1213</v>
      </c>
      <c r="B98" t="s">
        <v>1251</v>
      </c>
      <c r="C98" t="s">
        <v>4250</v>
      </c>
      <c r="D98" t="s">
        <v>4251</v>
      </c>
      <c r="E98" t="s">
        <v>80</v>
      </c>
      <c r="F98" t="s">
        <v>4491</v>
      </c>
      <c r="G98" t="s">
        <v>4492</v>
      </c>
      <c r="H98" t="s">
        <v>321</v>
      </c>
      <c r="I98" t="s">
        <v>969</v>
      </c>
      <c r="J98" t="s">
        <v>205</v>
      </c>
      <c r="K98" t="s">
        <v>224</v>
      </c>
      <c r="L98" t="s">
        <v>325</v>
      </c>
      <c r="M98" t="s">
        <v>314</v>
      </c>
      <c r="N98" t="s">
        <v>732</v>
      </c>
      <c r="O98" t="s">
        <v>339</v>
      </c>
      <c r="P98" t="s">
        <v>1216</v>
      </c>
      <c r="Q98" s="131">
        <v>1177</v>
      </c>
      <c r="R98" s="131">
        <v>3.71</v>
      </c>
      <c r="S98" s="131">
        <v>18382</v>
      </c>
      <c r="T98" s="131">
        <v>802.68100000000004</v>
      </c>
      <c r="U98" s="132">
        <v>0</v>
      </c>
      <c r="V98" s="132">
        <v>7.4819999999999998E-2</v>
      </c>
      <c r="W98" s="132">
        <v>2.8900000000000002E-3</v>
      </c>
    </row>
    <row r="99" spans="1:23">
      <c r="A99" t="s">
        <v>1213</v>
      </c>
      <c r="B99" t="s">
        <v>1251</v>
      </c>
      <c r="C99" t="s">
        <v>4493</v>
      </c>
      <c r="D99" t="s">
        <v>4494</v>
      </c>
      <c r="E99" t="s">
        <v>80</v>
      </c>
      <c r="F99" t="s">
        <v>4495</v>
      </c>
      <c r="G99" t="s">
        <v>4496</v>
      </c>
      <c r="H99" t="s">
        <v>321</v>
      </c>
      <c r="I99" t="s">
        <v>969</v>
      </c>
      <c r="J99" t="s">
        <v>205</v>
      </c>
      <c r="K99" t="s">
        <v>293</v>
      </c>
      <c r="L99" t="s">
        <v>325</v>
      </c>
      <c r="M99" t="s">
        <v>314</v>
      </c>
      <c r="N99" t="s">
        <v>732</v>
      </c>
      <c r="O99" t="s">
        <v>339</v>
      </c>
      <c r="P99" t="s">
        <v>1216</v>
      </c>
      <c r="Q99" s="131">
        <v>1730</v>
      </c>
      <c r="R99" s="131">
        <v>3.71</v>
      </c>
      <c r="S99" s="131">
        <v>12389.08</v>
      </c>
      <c r="T99" s="131">
        <v>795.16800000000001</v>
      </c>
      <c r="U99" s="132">
        <v>0</v>
      </c>
      <c r="V99" s="132">
        <v>7.4120000000000005E-2</v>
      </c>
      <c r="W99" s="132">
        <v>2.8700000000000002E-3</v>
      </c>
    </row>
    <row r="100" spans="1:23">
      <c r="A100" t="s">
        <v>1213</v>
      </c>
      <c r="B100" t="s">
        <v>1251</v>
      </c>
      <c r="C100" t="s">
        <v>4527</v>
      </c>
      <c r="D100" t="s">
        <v>4528</v>
      </c>
      <c r="E100" t="s">
        <v>80</v>
      </c>
      <c r="F100" t="s">
        <v>4529</v>
      </c>
      <c r="G100" t="s">
        <v>4530</v>
      </c>
      <c r="H100" t="s">
        <v>321</v>
      </c>
      <c r="I100" t="s">
        <v>917</v>
      </c>
      <c r="J100" t="s">
        <v>205</v>
      </c>
      <c r="K100" t="s">
        <v>244</v>
      </c>
      <c r="L100" t="s">
        <v>325</v>
      </c>
      <c r="M100" t="s">
        <v>314</v>
      </c>
      <c r="N100" t="s">
        <v>580</v>
      </c>
      <c r="O100" t="s">
        <v>339</v>
      </c>
      <c r="P100" t="s">
        <v>1216</v>
      </c>
      <c r="Q100" s="131">
        <v>687</v>
      </c>
      <c r="R100" s="131">
        <v>3.71</v>
      </c>
      <c r="S100" s="131">
        <v>23931.1</v>
      </c>
      <c r="T100" s="131">
        <v>609.94899999999996</v>
      </c>
      <c r="U100" s="132">
        <v>0</v>
      </c>
      <c r="V100" s="132">
        <v>5.6860000000000001E-2</v>
      </c>
      <c r="W100" s="132">
        <v>2.2000000000000001E-3</v>
      </c>
    </row>
    <row r="101" spans="1:23">
      <c r="A101" t="s">
        <v>1213</v>
      </c>
      <c r="B101" t="s">
        <v>1251</v>
      </c>
      <c r="C101" t="s">
        <v>4531</v>
      </c>
      <c r="D101" t="s">
        <v>4532</v>
      </c>
      <c r="E101" t="s">
        <v>80</v>
      </c>
      <c r="F101" t="s">
        <v>4533</v>
      </c>
      <c r="G101" t="s">
        <v>4534</v>
      </c>
      <c r="H101" t="s">
        <v>321</v>
      </c>
      <c r="I101" t="s">
        <v>917</v>
      </c>
      <c r="J101" t="s">
        <v>205</v>
      </c>
      <c r="K101" t="s">
        <v>293</v>
      </c>
      <c r="L101" t="s">
        <v>325</v>
      </c>
      <c r="M101" t="s">
        <v>314</v>
      </c>
      <c r="N101" t="s">
        <v>720</v>
      </c>
      <c r="O101" t="s">
        <v>339</v>
      </c>
      <c r="P101" t="s">
        <v>1216</v>
      </c>
      <c r="Q101" s="131">
        <v>3445</v>
      </c>
      <c r="R101" s="131">
        <v>3.71</v>
      </c>
      <c r="S101" s="131">
        <v>2769</v>
      </c>
      <c r="T101" s="131">
        <v>353.90499999999997</v>
      </c>
      <c r="U101" s="132">
        <v>1.0000000000000001E-5</v>
      </c>
      <c r="V101" s="132">
        <v>3.2989999999999998E-2</v>
      </c>
      <c r="W101" s="132">
        <v>1.2800000000000001E-3</v>
      </c>
    </row>
    <row r="102" spans="1:23">
      <c r="A102" t="s">
        <v>1213</v>
      </c>
      <c r="B102" t="s">
        <v>1252</v>
      </c>
      <c r="C102" t="s">
        <v>4107</v>
      </c>
      <c r="D102" t="s">
        <v>4108</v>
      </c>
      <c r="E102" t="s">
        <v>309</v>
      </c>
      <c r="F102" t="s">
        <v>4519</v>
      </c>
      <c r="G102" t="s">
        <v>4520</v>
      </c>
      <c r="H102" t="s">
        <v>321</v>
      </c>
      <c r="I102" t="s">
        <v>917</v>
      </c>
      <c r="J102" t="s">
        <v>204</v>
      </c>
      <c r="K102" t="s">
        <v>204</v>
      </c>
      <c r="L102" t="s">
        <v>325</v>
      </c>
      <c r="M102" t="s">
        <v>340</v>
      </c>
      <c r="N102" t="s">
        <v>719</v>
      </c>
      <c r="O102" t="s">
        <v>339</v>
      </c>
      <c r="P102" t="s">
        <v>1212</v>
      </c>
      <c r="Q102" s="131">
        <v>541831</v>
      </c>
      <c r="R102" s="131">
        <v>1</v>
      </c>
      <c r="S102" s="131">
        <v>123.79</v>
      </c>
      <c r="T102" s="131">
        <v>670.73299999999995</v>
      </c>
      <c r="U102" s="132">
        <v>1.0399999999999999E-3</v>
      </c>
      <c r="V102" s="132">
        <v>0.11233</v>
      </c>
      <c r="W102" s="132">
        <v>3.8300000000000001E-3</v>
      </c>
    </row>
    <row r="103" spans="1:23">
      <c r="A103" t="s">
        <v>1213</v>
      </c>
      <c r="B103" t="s">
        <v>1252</v>
      </c>
      <c r="C103" t="s">
        <v>4521</v>
      </c>
      <c r="D103" t="s">
        <v>4522</v>
      </c>
      <c r="E103" t="s">
        <v>309</v>
      </c>
      <c r="F103" t="s">
        <v>4523</v>
      </c>
      <c r="G103" t="s">
        <v>4524</v>
      </c>
      <c r="H103" t="s">
        <v>321</v>
      </c>
      <c r="I103" t="s">
        <v>917</v>
      </c>
      <c r="J103" t="s">
        <v>204</v>
      </c>
      <c r="K103" t="s">
        <v>204</v>
      </c>
      <c r="L103" t="s">
        <v>325</v>
      </c>
      <c r="M103" t="s">
        <v>340</v>
      </c>
      <c r="N103" t="s">
        <v>695</v>
      </c>
      <c r="O103" t="s">
        <v>339</v>
      </c>
      <c r="P103" t="s">
        <v>1212</v>
      </c>
      <c r="Q103" s="131">
        <v>259697.79</v>
      </c>
      <c r="R103" s="131">
        <v>1</v>
      </c>
      <c r="S103" s="131">
        <v>72.400000000000006</v>
      </c>
      <c r="T103" s="131">
        <v>188.02099999999999</v>
      </c>
      <c r="U103" s="132">
        <v>7.7999999999999999E-4</v>
      </c>
      <c r="V103" s="132">
        <v>3.1489999999999997E-2</v>
      </c>
      <c r="W103" s="132">
        <v>1.07E-3</v>
      </c>
    </row>
    <row r="104" spans="1:23">
      <c r="A104" t="s">
        <v>1213</v>
      </c>
      <c r="B104" t="s">
        <v>1252</v>
      </c>
      <c r="C104" t="s">
        <v>4440</v>
      </c>
      <c r="D104" t="s">
        <v>4441</v>
      </c>
      <c r="E104" t="s">
        <v>80</v>
      </c>
      <c r="F104" t="s">
        <v>4525</v>
      </c>
      <c r="G104" t="s">
        <v>4526</v>
      </c>
      <c r="H104" t="s">
        <v>321</v>
      </c>
      <c r="I104" t="s">
        <v>917</v>
      </c>
      <c r="J104" t="s">
        <v>205</v>
      </c>
      <c r="K104" t="s">
        <v>224</v>
      </c>
      <c r="L104" t="s">
        <v>325</v>
      </c>
      <c r="M104" t="s">
        <v>314</v>
      </c>
      <c r="N104" t="s">
        <v>580</v>
      </c>
      <c r="O104" t="s">
        <v>339</v>
      </c>
      <c r="P104" t="s">
        <v>1216</v>
      </c>
      <c r="Q104" s="131">
        <v>18650.34</v>
      </c>
      <c r="R104" s="131">
        <v>3.71</v>
      </c>
      <c r="S104" s="131">
        <v>1608.31</v>
      </c>
      <c r="T104" s="131">
        <v>1112.8340000000001</v>
      </c>
      <c r="U104" s="132">
        <v>0</v>
      </c>
      <c r="V104" s="132">
        <v>0.18636</v>
      </c>
      <c r="W104" s="132">
        <v>6.3499999999999997E-3</v>
      </c>
    </row>
    <row r="105" spans="1:23">
      <c r="A105" t="s">
        <v>1213</v>
      </c>
      <c r="B105" t="s">
        <v>1252</v>
      </c>
      <c r="C105" t="s">
        <v>4444</v>
      </c>
      <c r="D105" t="s">
        <v>4445</v>
      </c>
      <c r="E105" t="s">
        <v>80</v>
      </c>
      <c r="F105" t="s">
        <v>4446</v>
      </c>
      <c r="G105" t="s">
        <v>4447</v>
      </c>
      <c r="H105" t="s">
        <v>321</v>
      </c>
      <c r="I105" t="s">
        <v>917</v>
      </c>
      <c r="J105" t="s">
        <v>205</v>
      </c>
      <c r="K105" t="s">
        <v>244</v>
      </c>
      <c r="L105" t="s">
        <v>325</v>
      </c>
      <c r="M105" t="s">
        <v>314</v>
      </c>
      <c r="N105" t="s">
        <v>580</v>
      </c>
      <c r="O105" t="s">
        <v>339</v>
      </c>
      <c r="P105" t="s">
        <v>1216</v>
      </c>
      <c r="Q105" s="131">
        <v>736</v>
      </c>
      <c r="R105" s="131">
        <v>3.71</v>
      </c>
      <c r="S105" s="131">
        <v>29150</v>
      </c>
      <c r="T105" s="131">
        <v>795.95799999999997</v>
      </c>
      <c r="U105" s="132">
        <v>0</v>
      </c>
      <c r="V105" s="132">
        <v>0.1333</v>
      </c>
      <c r="W105" s="132">
        <v>4.5399999999999998E-3</v>
      </c>
    </row>
    <row r="106" spans="1:23">
      <c r="A106" t="s">
        <v>1213</v>
      </c>
      <c r="B106" t="s">
        <v>1252</v>
      </c>
      <c r="C106" t="s">
        <v>4452</v>
      </c>
      <c r="D106" t="s">
        <v>4453</v>
      </c>
      <c r="E106" t="s">
        <v>80</v>
      </c>
      <c r="F106" t="s">
        <v>4497</v>
      </c>
      <c r="G106" t="s">
        <v>4498</v>
      </c>
      <c r="H106" t="s">
        <v>321</v>
      </c>
      <c r="I106" t="s">
        <v>969</v>
      </c>
      <c r="J106" t="s">
        <v>205</v>
      </c>
      <c r="K106" t="s">
        <v>293</v>
      </c>
      <c r="L106" t="s">
        <v>325</v>
      </c>
      <c r="M106" t="s">
        <v>314</v>
      </c>
      <c r="N106" t="s">
        <v>732</v>
      </c>
      <c r="O106" t="s">
        <v>339</v>
      </c>
      <c r="P106" t="s">
        <v>1216</v>
      </c>
      <c r="Q106" s="131">
        <v>477</v>
      </c>
      <c r="R106" s="131">
        <v>3.71</v>
      </c>
      <c r="S106" s="131">
        <v>40175.550000000003</v>
      </c>
      <c r="T106" s="131">
        <v>710.97500000000002</v>
      </c>
      <c r="U106" s="132">
        <v>0</v>
      </c>
      <c r="V106" s="132">
        <v>0.11906</v>
      </c>
      <c r="W106" s="132">
        <v>4.0499999999999998E-3</v>
      </c>
    </row>
    <row r="107" spans="1:23">
      <c r="A107" t="s">
        <v>1213</v>
      </c>
      <c r="B107" t="s">
        <v>1252</v>
      </c>
      <c r="C107" t="s">
        <v>4499</v>
      </c>
      <c r="D107" t="s">
        <v>4500</v>
      </c>
      <c r="E107" t="s">
        <v>80</v>
      </c>
      <c r="F107" t="s">
        <v>4501</v>
      </c>
      <c r="G107" t="s">
        <v>4502</v>
      </c>
      <c r="H107" t="s">
        <v>321</v>
      </c>
      <c r="I107" t="s">
        <v>969</v>
      </c>
      <c r="J107" t="s">
        <v>205</v>
      </c>
      <c r="K107" t="s">
        <v>233</v>
      </c>
      <c r="L107" t="s">
        <v>325</v>
      </c>
      <c r="M107" t="s">
        <v>314</v>
      </c>
      <c r="N107" t="s">
        <v>732</v>
      </c>
      <c r="O107" t="s">
        <v>339</v>
      </c>
      <c r="P107" t="s">
        <v>1216</v>
      </c>
      <c r="Q107" s="131">
        <v>10425</v>
      </c>
      <c r="R107" s="131">
        <v>3.71</v>
      </c>
      <c r="S107" s="131">
        <v>1827</v>
      </c>
      <c r="T107" s="131">
        <v>706.62400000000002</v>
      </c>
      <c r="U107" s="132">
        <v>0</v>
      </c>
      <c r="V107" s="132">
        <v>0.11834</v>
      </c>
      <c r="W107" s="132">
        <v>4.0299999999999997E-3</v>
      </c>
    </row>
    <row r="108" spans="1:23">
      <c r="A108" t="s">
        <v>1213</v>
      </c>
      <c r="B108" t="s">
        <v>1252</v>
      </c>
      <c r="C108" t="s">
        <v>4493</v>
      </c>
      <c r="D108" t="s">
        <v>4494</v>
      </c>
      <c r="E108" t="s">
        <v>80</v>
      </c>
      <c r="F108" t="s">
        <v>4495</v>
      </c>
      <c r="G108" t="s">
        <v>4496</v>
      </c>
      <c r="H108" t="s">
        <v>321</v>
      </c>
      <c r="I108" t="s">
        <v>969</v>
      </c>
      <c r="J108" t="s">
        <v>205</v>
      </c>
      <c r="K108" t="s">
        <v>293</v>
      </c>
      <c r="L108" t="s">
        <v>325</v>
      </c>
      <c r="M108" t="s">
        <v>314</v>
      </c>
      <c r="N108" t="s">
        <v>732</v>
      </c>
      <c r="O108" t="s">
        <v>339</v>
      </c>
      <c r="P108" t="s">
        <v>1216</v>
      </c>
      <c r="Q108" s="131">
        <v>1440</v>
      </c>
      <c r="R108" s="131">
        <v>3.71</v>
      </c>
      <c r="S108" s="131">
        <v>12389.08</v>
      </c>
      <c r="T108" s="131">
        <v>661.87400000000002</v>
      </c>
      <c r="U108" s="132">
        <v>0</v>
      </c>
      <c r="V108" s="132">
        <v>0.11083999999999999</v>
      </c>
      <c r="W108" s="132">
        <v>3.7699999999999999E-3</v>
      </c>
    </row>
    <row r="109" spans="1:23">
      <c r="A109" t="s">
        <v>1213</v>
      </c>
      <c r="B109" t="s">
        <v>1252</v>
      </c>
      <c r="C109" t="s">
        <v>4250</v>
      </c>
      <c r="D109" t="s">
        <v>4251</v>
      </c>
      <c r="E109" t="s">
        <v>80</v>
      </c>
      <c r="F109" t="s">
        <v>4491</v>
      </c>
      <c r="G109" t="s">
        <v>4492</v>
      </c>
      <c r="H109" t="s">
        <v>321</v>
      </c>
      <c r="I109" t="s">
        <v>969</v>
      </c>
      <c r="J109" t="s">
        <v>205</v>
      </c>
      <c r="K109" t="s">
        <v>224</v>
      </c>
      <c r="L109" t="s">
        <v>325</v>
      </c>
      <c r="M109" t="s">
        <v>314</v>
      </c>
      <c r="N109" t="s">
        <v>732</v>
      </c>
      <c r="O109" t="s">
        <v>339</v>
      </c>
      <c r="P109" t="s">
        <v>1216</v>
      </c>
      <c r="Q109" s="131">
        <v>967</v>
      </c>
      <c r="R109" s="131">
        <v>3.71</v>
      </c>
      <c r="S109" s="131">
        <v>18382</v>
      </c>
      <c r="T109" s="131">
        <v>659.46699999999998</v>
      </c>
      <c r="U109" s="132">
        <v>0</v>
      </c>
      <c r="V109" s="132">
        <v>0.11044</v>
      </c>
      <c r="W109" s="132">
        <v>3.7599999999999999E-3</v>
      </c>
    </row>
    <row r="110" spans="1:23">
      <c r="A110" t="s">
        <v>1213</v>
      </c>
      <c r="B110" t="s">
        <v>1252</v>
      </c>
      <c r="C110" t="s">
        <v>4527</v>
      </c>
      <c r="D110" t="s">
        <v>4528</v>
      </c>
      <c r="E110" t="s">
        <v>80</v>
      </c>
      <c r="F110" t="s">
        <v>4529</v>
      </c>
      <c r="G110" t="s">
        <v>4530</v>
      </c>
      <c r="H110" t="s">
        <v>321</v>
      </c>
      <c r="I110" t="s">
        <v>917</v>
      </c>
      <c r="J110" t="s">
        <v>205</v>
      </c>
      <c r="K110" t="s">
        <v>244</v>
      </c>
      <c r="L110" t="s">
        <v>325</v>
      </c>
      <c r="M110" t="s">
        <v>314</v>
      </c>
      <c r="N110" t="s">
        <v>580</v>
      </c>
      <c r="O110" t="s">
        <v>339</v>
      </c>
      <c r="P110" t="s">
        <v>1216</v>
      </c>
      <c r="Q110" s="131">
        <v>302</v>
      </c>
      <c r="R110" s="131">
        <v>3.71</v>
      </c>
      <c r="S110" s="131">
        <v>23931.1</v>
      </c>
      <c r="T110" s="131">
        <v>268.12900000000002</v>
      </c>
      <c r="U110" s="132">
        <v>0</v>
      </c>
      <c r="V110" s="132">
        <v>4.4900000000000002E-2</v>
      </c>
      <c r="W110" s="132">
        <v>1.5299999999999999E-3</v>
      </c>
    </row>
    <row r="111" spans="1:23">
      <c r="A111" t="s">
        <v>1213</v>
      </c>
      <c r="B111" t="s">
        <v>1252</v>
      </c>
      <c r="C111" t="s">
        <v>4531</v>
      </c>
      <c r="D111" t="s">
        <v>4532</v>
      </c>
      <c r="E111" t="s">
        <v>80</v>
      </c>
      <c r="F111" t="s">
        <v>4533</v>
      </c>
      <c r="G111" t="s">
        <v>4534</v>
      </c>
      <c r="H111" t="s">
        <v>321</v>
      </c>
      <c r="I111" t="s">
        <v>917</v>
      </c>
      <c r="J111" t="s">
        <v>205</v>
      </c>
      <c r="K111" t="s">
        <v>293</v>
      </c>
      <c r="L111" t="s">
        <v>325</v>
      </c>
      <c r="M111" t="s">
        <v>314</v>
      </c>
      <c r="N111" t="s">
        <v>720</v>
      </c>
      <c r="O111" t="s">
        <v>339</v>
      </c>
      <c r="P111" t="s">
        <v>1216</v>
      </c>
      <c r="Q111" s="131">
        <v>1915</v>
      </c>
      <c r="R111" s="131">
        <v>3.71</v>
      </c>
      <c r="S111" s="131">
        <v>2769</v>
      </c>
      <c r="T111" s="131">
        <v>196.72800000000001</v>
      </c>
      <c r="U111" s="132">
        <v>1.0000000000000001E-5</v>
      </c>
      <c r="V111" s="132">
        <v>3.295E-2</v>
      </c>
      <c r="W111" s="132">
        <v>1.1199999999999999E-3</v>
      </c>
    </row>
    <row r="112" spans="1:23">
      <c r="A112" t="s">
        <v>1213</v>
      </c>
      <c r="B112" t="s">
        <v>1253</v>
      </c>
      <c r="C112" t="s">
        <v>4107</v>
      </c>
      <c r="D112" t="s">
        <v>4108</v>
      </c>
      <c r="E112" t="s">
        <v>309</v>
      </c>
      <c r="F112" t="s">
        <v>4519</v>
      </c>
      <c r="G112" t="s">
        <v>4520</v>
      </c>
      <c r="H112" t="s">
        <v>321</v>
      </c>
      <c r="I112" t="s">
        <v>917</v>
      </c>
      <c r="J112" t="s">
        <v>204</v>
      </c>
      <c r="K112" t="s">
        <v>204</v>
      </c>
      <c r="L112" t="s">
        <v>325</v>
      </c>
      <c r="M112" t="s">
        <v>340</v>
      </c>
      <c r="N112" t="s">
        <v>719</v>
      </c>
      <c r="O112" t="s">
        <v>339</v>
      </c>
      <c r="P112" t="s">
        <v>1212</v>
      </c>
      <c r="Q112" s="131">
        <v>335528</v>
      </c>
      <c r="R112" s="131">
        <v>1</v>
      </c>
      <c r="S112" s="131">
        <v>123.79</v>
      </c>
      <c r="T112" s="131">
        <v>415.35</v>
      </c>
      <c r="U112" s="132">
        <v>6.4000000000000005E-4</v>
      </c>
      <c r="V112" s="132">
        <v>0.1128</v>
      </c>
      <c r="W112" s="132">
        <v>3.5400000000000002E-3</v>
      </c>
    </row>
    <row r="113" spans="1:23">
      <c r="A113" t="s">
        <v>1213</v>
      </c>
      <c r="B113" t="s">
        <v>1253</v>
      </c>
      <c r="C113" t="s">
        <v>4521</v>
      </c>
      <c r="D113" t="s">
        <v>4522</v>
      </c>
      <c r="E113" t="s">
        <v>309</v>
      </c>
      <c r="F113" t="s">
        <v>4523</v>
      </c>
      <c r="G113" t="s">
        <v>4524</v>
      </c>
      <c r="H113" t="s">
        <v>321</v>
      </c>
      <c r="I113" t="s">
        <v>917</v>
      </c>
      <c r="J113" t="s">
        <v>204</v>
      </c>
      <c r="K113" t="s">
        <v>204</v>
      </c>
      <c r="L113" t="s">
        <v>325</v>
      </c>
      <c r="M113" t="s">
        <v>340</v>
      </c>
      <c r="N113" t="s">
        <v>695</v>
      </c>
      <c r="O113" t="s">
        <v>339</v>
      </c>
      <c r="P113" t="s">
        <v>1212</v>
      </c>
      <c r="Q113" s="131">
        <v>111757.52</v>
      </c>
      <c r="R113" s="131">
        <v>1</v>
      </c>
      <c r="S113" s="131">
        <v>72.400000000000006</v>
      </c>
      <c r="T113" s="131">
        <v>80.912000000000006</v>
      </c>
      <c r="U113" s="132">
        <v>3.3E-4</v>
      </c>
      <c r="V113" s="132">
        <v>2.197E-2</v>
      </c>
      <c r="W113" s="132">
        <v>6.8999999999999997E-4</v>
      </c>
    </row>
    <row r="114" spans="1:23">
      <c r="A114" t="s">
        <v>1213</v>
      </c>
      <c r="B114" t="s">
        <v>1253</v>
      </c>
      <c r="C114" t="s">
        <v>4440</v>
      </c>
      <c r="D114" t="s">
        <v>4441</v>
      </c>
      <c r="E114" t="s">
        <v>80</v>
      </c>
      <c r="F114" t="s">
        <v>4525</v>
      </c>
      <c r="G114" t="s">
        <v>4526</v>
      </c>
      <c r="H114" t="s">
        <v>321</v>
      </c>
      <c r="I114" t="s">
        <v>917</v>
      </c>
      <c r="J114" t="s">
        <v>205</v>
      </c>
      <c r="K114" t="s">
        <v>224</v>
      </c>
      <c r="L114" t="s">
        <v>325</v>
      </c>
      <c r="M114" t="s">
        <v>314</v>
      </c>
      <c r="N114" t="s">
        <v>580</v>
      </c>
      <c r="O114" t="s">
        <v>339</v>
      </c>
      <c r="P114" t="s">
        <v>1216</v>
      </c>
      <c r="Q114" s="131">
        <v>9783.6</v>
      </c>
      <c r="R114" s="131">
        <v>3.71</v>
      </c>
      <c r="S114" s="131">
        <v>1608.31</v>
      </c>
      <c r="T114" s="131">
        <v>583.77099999999996</v>
      </c>
      <c r="U114" s="132">
        <v>0</v>
      </c>
      <c r="V114" s="132">
        <v>0.15853999999999999</v>
      </c>
      <c r="W114" s="132">
        <v>4.9800000000000001E-3</v>
      </c>
    </row>
    <row r="115" spans="1:23">
      <c r="A115" t="s">
        <v>1213</v>
      </c>
      <c r="B115" t="s">
        <v>1253</v>
      </c>
      <c r="C115" t="s">
        <v>4452</v>
      </c>
      <c r="D115" t="s">
        <v>4453</v>
      </c>
      <c r="E115" t="s">
        <v>80</v>
      </c>
      <c r="F115" t="s">
        <v>4497</v>
      </c>
      <c r="G115" t="s">
        <v>4498</v>
      </c>
      <c r="H115" t="s">
        <v>321</v>
      </c>
      <c r="I115" t="s">
        <v>969</v>
      </c>
      <c r="J115" t="s">
        <v>205</v>
      </c>
      <c r="K115" t="s">
        <v>293</v>
      </c>
      <c r="L115" t="s">
        <v>325</v>
      </c>
      <c r="M115" t="s">
        <v>314</v>
      </c>
      <c r="N115" t="s">
        <v>732</v>
      </c>
      <c r="O115" t="s">
        <v>339</v>
      </c>
      <c r="P115" t="s">
        <v>1216</v>
      </c>
      <c r="Q115" s="131">
        <v>373</v>
      </c>
      <c r="R115" s="131">
        <v>3.71</v>
      </c>
      <c r="S115" s="131">
        <v>40175.550000000003</v>
      </c>
      <c r="T115" s="131">
        <v>555.96100000000001</v>
      </c>
      <c r="U115" s="132">
        <v>0</v>
      </c>
      <c r="V115" s="132">
        <v>0.15099000000000001</v>
      </c>
      <c r="W115" s="132">
        <v>4.7400000000000003E-3</v>
      </c>
    </row>
    <row r="116" spans="1:23">
      <c r="A116" t="s">
        <v>1213</v>
      </c>
      <c r="B116" t="s">
        <v>1253</v>
      </c>
      <c r="C116" t="s">
        <v>4250</v>
      </c>
      <c r="D116" t="s">
        <v>4251</v>
      </c>
      <c r="E116" t="s">
        <v>80</v>
      </c>
      <c r="F116" t="s">
        <v>4491</v>
      </c>
      <c r="G116" t="s">
        <v>4492</v>
      </c>
      <c r="H116" t="s">
        <v>321</v>
      </c>
      <c r="I116" t="s">
        <v>969</v>
      </c>
      <c r="J116" t="s">
        <v>205</v>
      </c>
      <c r="K116" t="s">
        <v>224</v>
      </c>
      <c r="L116" t="s">
        <v>325</v>
      </c>
      <c r="M116" t="s">
        <v>314</v>
      </c>
      <c r="N116" t="s">
        <v>732</v>
      </c>
      <c r="O116" t="s">
        <v>339</v>
      </c>
      <c r="P116" t="s">
        <v>1216</v>
      </c>
      <c r="Q116" s="131">
        <v>763</v>
      </c>
      <c r="R116" s="131">
        <v>3.71</v>
      </c>
      <c r="S116" s="131">
        <v>18382</v>
      </c>
      <c r="T116" s="131">
        <v>520.34500000000003</v>
      </c>
      <c r="U116" s="132">
        <v>0</v>
      </c>
      <c r="V116" s="132">
        <v>0.14130999999999999</v>
      </c>
      <c r="W116" s="132">
        <v>4.4400000000000004E-3</v>
      </c>
    </row>
    <row r="117" spans="1:23">
      <c r="A117" t="s">
        <v>1213</v>
      </c>
      <c r="B117" t="s">
        <v>1253</v>
      </c>
      <c r="C117" t="s">
        <v>4493</v>
      </c>
      <c r="D117" t="s">
        <v>4494</v>
      </c>
      <c r="E117" t="s">
        <v>80</v>
      </c>
      <c r="F117" t="s">
        <v>4495</v>
      </c>
      <c r="G117" t="s">
        <v>4496</v>
      </c>
      <c r="H117" t="s">
        <v>321</v>
      </c>
      <c r="I117" t="s">
        <v>969</v>
      </c>
      <c r="J117" t="s">
        <v>205</v>
      </c>
      <c r="K117" t="s">
        <v>293</v>
      </c>
      <c r="L117" t="s">
        <v>325</v>
      </c>
      <c r="M117" t="s">
        <v>314</v>
      </c>
      <c r="N117" t="s">
        <v>732</v>
      </c>
      <c r="O117" t="s">
        <v>339</v>
      </c>
      <c r="P117" t="s">
        <v>1216</v>
      </c>
      <c r="Q117" s="131">
        <v>1121</v>
      </c>
      <c r="R117" s="131">
        <v>3.71</v>
      </c>
      <c r="S117" s="131">
        <v>12389.08</v>
      </c>
      <c r="T117" s="131">
        <v>515.25099999999998</v>
      </c>
      <c r="U117" s="132">
        <v>0</v>
      </c>
      <c r="V117" s="132">
        <v>0.13993</v>
      </c>
      <c r="W117" s="132">
        <v>4.4000000000000003E-3</v>
      </c>
    </row>
    <row r="118" spans="1:23">
      <c r="A118" t="s">
        <v>1213</v>
      </c>
      <c r="B118" t="s">
        <v>1253</v>
      </c>
      <c r="C118" t="s">
        <v>4499</v>
      </c>
      <c r="D118" t="s">
        <v>4500</v>
      </c>
      <c r="E118" t="s">
        <v>80</v>
      </c>
      <c r="F118" t="s">
        <v>4501</v>
      </c>
      <c r="G118" t="s">
        <v>4502</v>
      </c>
      <c r="H118" t="s">
        <v>321</v>
      </c>
      <c r="I118" t="s">
        <v>969</v>
      </c>
      <c r="J118" t="s">
        <v>205</v>
      </c>
      <c r="K118" t="s">
        <v>233</v>
      </c>
      <c r="L118" t="s">
        <v>325</v>
      </c>
      <c r="M118" t="s">
        <v>314</v>
      </c>
      <c r="N118" t="s">
        <v>732</v>
      </c>
      <c r="O118" t="s">
        <v>339</v>
      </c>
      <c r="P118" t="s">
        <v>1216</v>
      </c>
      <c r="Q118" s="131">
        <v>7437</v>
      </c>
      <c r="R118" s="131">
        <v>3.71</v>
      </c>
      <c r="S118" s="131">
        <v>1827</v>
      </c>
      <c r="T118" s="131">
        <v>504.09300000000002</v>
      </c>
      <c r="U118" s="132">
        <v>0</v>
      </c>
      <c r="V118" s="132">
        <v>0.13689999999999999</v>
      </c>
      <c r="W118" s="132">
        <v>4.3E-3</v>
      </c>
    </row>
    <row r="119" spans="1:23">
      <c r="A119" t="s">
        <v>1213</v>
      </c>
      <c r="B119" t="s">
        <v>1253</v>
      </c>
      <c r="C119" t="s">
        <v>4444</v>
      </c>
      <c r="D119" t="s">
        <v>4445</v>
      </c>
      <c r="E119" t="s">
        <v>80</v>
      </c>
      <c r="F119" t="s">
        <v>4446</v>
      </c>
      <c r="G119" t="s">
        <v>4447</v>
      </c>
      <c r="H119" t="s">
        <v>321</v>
      </c>
      <c r="I119" t="s">
        <v>917</v>
      </c>
      <c r="J119" t="s">
        <v>205</v>
      </c>
      <c r="K119" t="s">
        <v>244</v>
      </c>
      <c r="L119" t="s">
        <v>325</v>
      </c>
      <c r="M119" t="s">
        <v>314</v>
      </c>
      <c r="N119" t="s">
        <v>580</v>
      </c>
      <c r="O119" t="s">
        <v>339</v>
      </c>
      <c r="P119" t="s">
        <v>1216</v>
      </c>
      <c r="Q119" s="131">
        <v>250</v>
      </c>
      <c r="R119" s="131">
        <v>3.71</v>
      </c>
      <c r="S119" s="131">
        <v>29150</v>
      </c>
      <c r="T119" s="131">
        <v>270.36599999999999</v>
      </c>
      <c r="U119" s="132">
        <v>0</v>
      </c>
      <c r="V119" s="132">
        <v>7.3429999999999995E-2</v>
      </c>
      <c r="W119" s="132">
        <v>2.31E-3</v>
      </c>
    </row>
    <row r="120" spans="1:23">
      <c r="A120" t="s">
        <v>1213</v>
      </c>
      <c r="B120" t="s">
        <v>1253</v>
      </c>
      <c r="C120" t="s">
        <v>4527</v>
      </c>
      <c r="D120" t="s">
        <v>4528</v>
      </c>
      <c r="E120" t="s">
        <v>80</v>
      </c>
      <c r="F120" t="s">
        <v>4529</v>
      </c>
      <c r="G120" t="s">
        <v>4530</v>
      </c>
      <c r="H120" t="s">
        <v>321</v>
      </c>
      <c r="I120" t="s">
        <v>917</v>
      </c>
      <c r="J120" t="s">
        <v>205</v>
      </c>
      <c r="K120" t="s">
        <v>244</v>
      </c>
      <c r="L120" t="s">
        <v>325</v>
      </c>
      <c r="M120" t="s">
        <v>314</v>
      </c>
      <c r="N120" t="s">
        <v>580</v>
      </c>
      <c r="O120" t="s">
        <v>339</v>
      </c>
      <c r="P120" t="s">
        <v>1216</v>
      </c>
      <c r="Q120" s="131">
        <v>160</v>
      </c>
      <c r="R120" s="131">
        <v>3.71</v>
      </c>
      <c r="S120" s="131">
        <v>23931.1</v>
      </c>
      <c r="T120" s="131">
        <v>142.05500000000001</v>
      </c>
      <c r="U120" s="132">
        <v>0</v>
      </c>
      <c r="V120" s="132">
        <v>3.8580000000000003E-2</v>
      </c>
      <c r="W120" s="132">
        <v>1.2099999999999999E-3</v>
      </c>
    </row>
    <row r="121" spans="1:23">
      <c r="A121" t="s">
        <v>1213</v>
      </c>
      <c r="B121" t="s">
        <v>1253</v>
      </c>
      <c r="C121" t="s">
        <v>4531</v>
      </c>
      <c r="D121" t="s">
        <v>4532</v>
      </c>
      <c r="E121" t="s">
        <v>80</v>
      </c>
      <c r="F121" t="s">
        <v>4533</v>
      </c>
      <c r="G121" t="s">
        <v>4534</v>
      </c>
      <c r="H121" t="s">
        <v>321</v>
      </c>
      <c r="I121" t="s">
        <v>917</v>
      </c>
      <c r="J121" t="s">
        <v>205</v>
      </c>
      <c r="K121" t="s">
        <v>293</v>
      </c>
      <c r="L121" t="s">
        <v>325</v>
      </c>
      <c r="M121" t="s">
        <v>314</v>
      </c>
      <c r="N121" t="s">
        <v>720</v>
      </c>
      <c r="O121" t="s">
        <v>339</v>
      </c>
      <c r="P121" t="s">
        <v>1216</v>
      </c>
      <c r="Q121" s="131">
        <v>916</v>
      </c>
      <c r="R121" s="131">
        <v>3.71</v>
      </c>
      <c r="S121" s="131">
        <v>2769</v>
      </c>
      <c r="T121" s="131">
        <v>94.100999999999999</v>
      </c>
      <c r="U121" s="132">
        <v>0</v>
      </c>
      <c r="V121" s="132">
        <v>2.5559999999999999E-2</v>
      </c>
      <c r="W121" s="132">
        <v>8.0000000000000004E-4</v>
      </c>
    </row>
    <row r="122" spans="1:23">
      <c r="A122" t="s">
        <v>1213</v>
      </c>
      <c r="B122" t="s">
        <v>1257</v>
      </c>
      <c r="C122" t="s">
        <v>4107</v>
      </c>
      <c r="D122" t="s">
        <v>4108</v>
      </c>
      <c r="E122" t="s">
        <v>309</v>
      </c>
      <c r="F122" t="s">
        <v>4519</v>
      </c>
      <c r="G122" t="s">
        <v>4520</v>
      </c>
      <c r="H122" t="s">
        <v>321</v>
      </c>
      <c r="I122" t="s">
        <v>917</v>
      </c>
      <c r="J122" t="s">
        <v>204</v>
      </c>
      <c r="K122" t="s">
        <v>204</v>
      </c>
      <c r="L122" t="s">
        <v>325</v>
      </c>
      <c r="M122" t="s">
        <v>340</v>
      </c>
      <c r="N122" t="s">
        <v>719</v>
      </c>
      <c r="O122" t="s">
        <v>339</v>
      </c>
      <c r="P122" t="s">
        <v>1212</v>
      </c>
      <c r="Q122" s="131">
        <v>723279</v>
      </c>
      <c r="R122" s="131">
        <v>1</v>
      </c>
      <c r="S122" s="131">
        <v>123.79</v>
      </c>
      <c r="T122" s="131">
        <v>895.34699999999998</v>
      </c>
      <c r="U122" s="132">
        <v>1.39E-3</v>
      </c>
      <c r="V122" s="132">
        <v>0.13539000000000001</v>
      </c>
      <c r="W122" s="132">
        <v>3.29E-3</v>
      </c>
    </row>
    <row r="123" spans="1:23">
      <c r="A123" t="s">
        <v>1213</v>
      </c>
      <c r="B123" t="s">
        <v>1257</v>
      </c>
      <c r="C123" t="s">
        <v>4521</v>
      </c>
      <c r="D123" t="s">
        <v>4522</v>
      </c>
      <c r="E123" t="s">
        <v>309</v>
      </c>
      <c r="F123" t="s">
        <v>4523</v>
      </c>
      <c r="G123" t="s">
        <v>4524</v>
      </c>
      <c r="H123" t="s">
        <v>321</v>
      </c>
      <c r="I123" t="s">
        <v>917</v>
      </c>
      <c r="J123" t="s">
        <v>204</v>
      </c>
      <c r="K123" t="s">
        <v>204</v>
      </c>
      <c r="L123" t="s">
        <v>325</v>
      </c>
      <c r="M123" t="s">
        <v>340</v>
      </c>
      <c r="N123" t="s">
        <v>695</v>
      </c>
      <c r="O123" t="s">
        <v>339</v>
      </c>
      <c r="P123" t="s">
        <v>1212</v>
      </c>
      <c r="Q123" s="131">
        <v>17150.060000000001</v>
      </c>
      <c r="R123" s="131">
        <v>1</v>
      </c>
      <c r="S123" s="131">
        <v>72.400000000000006</v>
      </c>
      <c r="T123" s="131">
        <v>12.417</v>
      </c>
      <c r="U123" s="132">
        <v>5.0000000000000002E-5</v>
      </c>
      <c r="V123" s="132">
        <v>1.8799999999999999E-3</v>
      </c>
      <c r="W123" s="132">
        <v>5.0000000000000002E-5</v>
      </c>
    </row>
    <row r="124" spans="1:23">
      <c r="A124" t="s">
        <v>1213</v>
      </c>
      <c r="B124" t="s">
        <v>1257</v>
      </c>
      <c r="C124" t="s">
        <v>4499</v>
      </c>
      <c r="D124" t="s">
        <v>4500</v>
      </c>
      <c r="E124" t="s">
        <v>80</v>
      </c>
      <c r="F124" t="s">
        <v>4501</v>
      </c>
      <c r="G124" t="s">
        <v>4502</v>
      </c>
      <c r="H124" t="s">
        <v>321</v>
      </c>
      <c r="I124" t="s">
        <v>969</v>
      </c>
      <c r="J124" t="s">
        <v>205</v>
      </c>
      <c r="K124" t="s">
        <v>233</v>
      </c>
      <c r="L124" t="s">
        <v>325</v>
      </c>
      <c r="M124" t="s">
        <v>314</v>
      </c>
      <c r="N124" t="s">
        <v>732</v>
      </c>
      <c r="O124" t="s">
        <v>339</v>
      </c>
      <c r="P124" t="s">
        <v>1216</v>
      </c>
      <c r="Q124" s="131">
        <v>16002</v>
      </c>
      <c r="R124" s="131">
        <v>3.71</v>
      </c>
      <c r="S124" s="131">
        <v>1827</v>
      </c>
      <c r="T124" s="131">
        <v>1084.643</v>
      </c>
      <c r="U124" s="132">
        <v>0</v>
      </c>
      <c r="V124" s="132">
        <v>0.16400999999999999</v>
      </c>
      <c r="W124" s="132">
        <v>3.98E-3</v>
      </c>
    </row>
    <row r="125" spans="1:23">
      <c r="A125" t="s">
        <v>1213</v>
      </c>
      <c r="B125" t="s">
        <v>1257</v>
      </c>
      <c r="C125" t="s">
        <v>4452</v>
      </c>
      <c r="D125" t="s">
        <v>4453</v>
      </c>
      <c r="E125" t="s">
        <v>80</v>
      </c>
      <c r="F125" t="s">
        <v>4497</v>
      </c>
      <c r="G125" t="s">
        <v>4498</v>
      </c>
      <c r="H125" t="s">
        <v>321</v>
      </c>
      <c r="I125" t="s">
        <v>969</v>
      </c>
      <c r="J125" t="s">
        <v>205</v>
      </c>
      <c r="K125" t="s">
        <v>293</v>
      </c>
      <c r="L125" t="s">
        <v>325</v>
      </c>
      <c r="M125" t="s">
        <v>314</v>
      </c>
      <c r="N125" t="s">
        <v>732</v>
      </c>
      <c r="O125" t="s">
        <v>339</v>
      </c>
      <c r="P125" t="s">
        <v>1216</v>
      </c>
      <c r="Q125" s="131">
        <v>701</v>
      </c>
      <c r="R125" s="131">
        <v>3.71</v>
      </c>
      <c r="S125" s="131">
        <v>40175.550000000003</v>
      </c>
      <c r="T125" s="131">
        <v>1044.8499999999999</v>
      </c>
      <c r="U125" s="132">
        <v>0</v>
      </c>
      <c r="V125" s="132">
        <v>0.158</v>
      </c>
      <c r="W125" s="132">
        <v>3.8400000000000001E-3</v>
      </c>
    </row>
    <row r="126" spans="1:23">
      <c r="A126" t="s">
        <v>1213</v>
      </c>
      <c r="B126" t="s">
        <v>1257</v>
      </c>
      <c r="C126" t="s">
        <v>4440</v>
      </c>
      <c r="D126" t="s">
        <v>4441</v>
      </c>
      <c r="E126" t="s">
        <v>80</v>
      </c>
      <c r="F126" t="s">
        <v>4525</v>
      </c>
      <c r="G126" t="s">
        <v>4526</v>
      </c>
      <c r="H126" t="s">
        <v>321</v>
      </c>
      <c r="I126" t="s">
        <v>917</v>
      </c>
      <c r="J126" t="s">
        <v>205</v>
      </c>
      <c r="K126" t="s">
        <v>224</v>
      </c>
      <c r="L126" t="s">
        <v>325</v>
      </c>
      <c r="M126" t="s">
        <v>314</v>
      </c>
      <c r="N126" t="s">
        <v>580</v>
      </c>
      <c r="O126" t="s">
        <v>339</v>
      </c>
      <c r="P126" t="s">
        <v>1216</v>
      </c>
      <c r="Q126" s="131">
        <v>17509.41</v>
      </c>
      <c r="R126" s="131">
        <v>3.71</v>
      </c>
      <c r="S126" s="131">
        <v>1608.31</v>
      </c>
      <c r="T126" s="131">
        <v>1044.7570000000001</v>
      </c>
      <c r="U126" s="132">
        <v>0</v>
      </c>
      <c r="V126" s="132">
        <v>0.15798000000000001</v>
      </c>
      <c r="W126" s="132">
        <v>3.8400000000000001E-3</v>
      </c>
    </row>
    <row r="127" spans="1:23">
      <c r="A127" t="s">
        <v>1213</v>
      </c>
      <c r="B127" t="s">
        <v>1257</v>
      </c>
      <c r="C127" t="s">
        <v>4250</v>
      </c>
      <c r="D127" t="s">
        <v>4251</v>
      </c>
      <c r="E127" t="s">
        <v>80</v>
      </c>
      <c r="F127" t="s">
        <v>4491</v>
      </c>
      <c r="G127" t="s">
        <v>4492</v>
      </c>
      <c r="H127" t="s">
        <v>321</v>
      </c>
      <c r="I127" t="s">
        <v>969</v>
      </c>
      <c r="J127" t="s">
        <v>205</v>
      </c>
      <c r="K127" t="s">
        <v>224</v>
      </c>
      <c r="L127" t="s">
        <v>325</v>
      </c>
      <c r="M127" t="s">
        <v>314</v>
      </c>
      <c r="N127" t="s">
        <v>732</v>
      </c>
      <c r="O127" t="s">
        <v>339</v>
      </c>
      <c r="P127" t="s">
        <v>1216</v>
      </c>
      <c r="Q127" s="131">
        <v>1424</v>
      </c>
      <c r="R127" s="131">
        <v>3.71</v>
      </c>
      <c r="S127" s="131">
        <v>18382</v>
      </c>
      <c r="T127" s="131">
        <v>971.12800000000004</v>
      </c>
      <c r="U127" s="132">
        <v>0</v>
      </c>
      <c r="V127" s="132">
        <v>0.14685000000000001</v>
      </c>
      <c r="W127" s="132">
        <v>3.5699999999999998E-3</v>
      </c>
    </row>
    <row r="128" spans="1:23">
      <c r="A128" t="s">
        <v>1213</v>
      </c>
      <c r="B128" t="s">
        <v>1257</v>
      </c>
      <c r="C128" t="s">
        <v>4493</v>
      </c>
      <c r="D128" t="s">
        <v>4494</v>
      </c>
      <c r="E128" t="s">
        <v>80</v>
      </c>
      <c r="F128" t="s">
        <v>4495</v>
      </c>
      <c r="G128" t="s">
        <v>4496</v>
      </c>
      <c r="H128" t="s">
        <v>321</v>
      </c>
      <c r="I128" t="s">
        <v>969</v>
      </c>
      <c r="J128" t="s">
        <v>205</v>
      </c>
      <c r="K128" t="s">
        <v>293</v>
      </c>
      <c r="L128" t="s">
        <v>325</v>
      </c>
      <c r="M128" t="s">
        <v>314</v>
      </c>
      <c r="N128" t="s">
        <v>732</v>
      </c>
      <c r="O128" t="s">
        <v>339</v>
      </c>
      <c r="P128" t="s">
        <v>1216</v>
      </c>
      <c r="Q128" s="131">
        <v>2109</v>
      </c>
      <c r="R128" s="131">
        <v>3.71</v>
      </c>
      <c r="S128" s="131">
        <v>12389.08</v>
      </c>
      <c r="T128" s="131">
        <v>969.37</v>
      </c>
      <c r="U128" s="132">
        <v>0</v>
      </c>
      <c r="V128" s="132">
        <v>0.14657999999999999</v>
      </c>
      <c r="W128" s="132">
        <v>3.5599999999999998E-3</v>
      </c>
    </row>
    <row r="129" spans="1:23">
      <c r="A129" t="s">
        <v>1213</v>
      </c>
      <c r="B129" t="s">
        <v>1257</v>
      </c>
      <c r="C129" t="s">
        <v>4527</v>
      </c>
      <c r="D129" t="s">
        <v>4528</v>
      </c>
      <c r="E129" t="s">
        <v>80</v>
      </c>
      <c r="F129" t="s">
        <v>4529</v>
      </c>
      <c r="G129" t="s">
        <v>4530</v>
      </c>
      <c r="H129" t="s">
        <v>321</v>
      </c>
      <c r="I129" t="s">
        <v>917</v>
      </c>
      <c r="J129" t="s">
        <v>205</v>
      </c>
      <c r="K129" t="s">
        <v>244</v>
      </c>
      <c r="L129" t="s">
        <v>325</v>
      </c>
      <c r="M129" t="s">
        <v>314</v>
      </c>
      <c r="N129" t="s">
        <v>580</v>
      </c>
      <c r="O129" t="s">
        <v>339</v>
      </c>
      <c r="P129" t="s">
        <v>1216</v>
      </c>
      <c r="Q129" s="131">
        <v>309</v>
      </c>
      <c r="R129" s="131">
        <v>3.71</v>
      </c>
      <c r="S129" s="131">
        <v>23931.1</v>
      </c>
      <c r="T129" s="131">
        <v>274.34399999999999</v>
      </c>
      <c r="U129" s="132">
        <v>0</v>
      </c>
      <c r="V129" s="132">
        <v>4.1480000000000003E-2</v>
      </c>
      <c r="W129" s="132">
        <v>1.01E-3</v>
      </c>
    </row>
    <row r="130" spans="1:23">
      <c r="A130" t="s">
        <v>1213</v>
      </c>
      <c r="B130" t="s">
        <v>1257</v>
      </c>
      <c r="C130" t="s">
        <v>4531</v>
      </c>
      <c r="D130" t="s">
        <v>4532</v>
      </c>
      <c r="E130" t="s">
        <v>80</v>
      </c>
      <c r="F130" t="s">
        <v>4533</v>
      </c>
      <c r="G130" t="s">
        <v>4534</v>
      </c>
      <c r="H130" t="s">
        <v>321</v>
      </c>
      <c r="I130" t="s">
        <v>917</v>
      </c>
      <c r="J130" t="s">
        <v>205</v>
      </c>
      <c r="K130" t="s">
        <v>293</v>
      </c>
      <c r="L130" t="s">
        <v>325</v>
      </c>
      <c r="M130" t="s">
        <v>314</v>
      </c>
      <c r="N130" t="s">
        <v>720</v>
      </c>
      <c r="O130" t="s">
        <v>339</v>
      </c>
      <c r="P130" t="s">
        <v>1216</v>
      </c>
      <c r="Q130" s="131">
        <v>1784</v>
      </c>
      <c r="R130" s="131">
        <v>3.71</v>
      </c>
      <c r="S130" s="131">
        <v>2769</v>
      </c>
      <c r="T130" s="131">
        <v>183.27</v>
      </c>
      <c r="U130" s="132">
        <v>0</v>
      </c>
      <c r="V130" s="132">
        <v>2.7709999999999999E-2</v>
      </c>
      <c r="W130" s="132">
        <v>6.7000000000000002E-4</v>
      </c>
    </row>
    <row r="131" spans="1:23">
      <c r="A131" t="s">
        <v>1213</v>
      </c>
      <c r="B131" t="s">
        <v>1257</v>
      </c>
      <c r="C131" t="s">
        <v>4444</v>
      </c>
      <c r="D131" t="s">
        <v>4445</v>
      </c>
      <c r="E131" t="s">
        <v>80</v>
      </c>
      <c r="F131" t="s">
        <v>4446</v>
      </c>
      <c r="G131" t="s">
        <v>4447</v>
      </c>
      <c r="H131" t="s">
        <v>321</v>
      </c>
      <c r="I131" t="s">
        <v>917</v>
      </c>
      <c r="J131" t="s">
        <v>205</v>
      </c>
      <c r="K131" t="s">
        <v>244</v>
      </c>
      <c r="L131" t="s">
        <v>325</v>
      </c>
      <c r="M131" t="s">
        <v>314</v>
      </c>
      <c r="N131" t="s">
        <v>580</v>
      </c>
      <c r="O131" t="s">
        <v>339</v>
      </c>
      <c r="P131" t="s">
        <v>1216</v>
      </c>
      <c r="Q131" s="131">
        <v>123</v>
      </c>
      <c r="R131" s="131">
        <v>3.71</v>
      </c>
      <c r="S131" s="131">
        <v>29150</v>
      </c>
      <c r="T131" s="131">
        <v>133.02000000000001</v>
      </c>
      <c r="U131" s="132">
        <v>0</v>
      </c>
      <c r="V131" s="132">
        <v>2.0109999999999999E-2</v>
      </c>
      <c r="W131" s="132">
        <v>4.8999999999999998E-4</v>
      </c>
    </row>
    <row r="132" spans="1:23">
      <c r="A132" t="s">
        <v>1213</v>
      </c>
      <c r="B132" t="s">
        <v>1214</v>
      </c>
    </row>
    <row r="133" spans="1:23">
      <c r="A133" t="s">
        <v>1213</v>
      </c>
      <c r="B133" t="s">
        <v>1221</v>
      </c>
    </row>
    <row r="134" spans="1:23">
      <c r="A134" t="s">
        <v>1213</v>
      </c>
      <c r="B134" t="s">
        <v>1222</v>
      </c>
    </row>
    <row r="135" spans="1:23">
      <c r="A135" t="s">
        <v>1213</v>
      </c>
      <c r="B135" t="s">
        <v>1223</v>
      </c>
    </row>
    <row r="136" spans="1:23">
      <c r="A136" t="s">
        <v>1213</v>
      </c>
      <c r="B136" t="s">
        <v>1224</v>
      </c>
    </row>
    <row r="137" spans="1:23">
      <c r="A137" t="s">
        <v>1213</v>
      </c>
      <c r="B137" t="s">
        <v>1231</v>
      </c>
    </row>
    <row r="138" spans="1:23">
      <c r="A138" t="s">
        <v>1213</v>
      </c>
      <c r="B138" t="s">
        <v>1232</v>
      </c>
    </row>
    <row r="139" spans="1:23">
      <c r="A139" t="s">
        <v>1213</v>
      </c>
      <c r="B139" t="s">
        <v>1234</v>
      </c>
    </row>
    <row r="140" spans="1:23">
      <c r="A140" t="s">
        <v>1213</v>
      </c>
      <c r="B140" t="s">
        <v>1244</v>
      </c>
    </row>
    <row r="141" spans="1:23">
      <c r="A141" t="s">
        <v>1213</v>
      </c>
      <c r="B141">
        <v>15108</v>
      </c>
    </row>
    <row r="142" spans="1:23">
      <c r="A142" t="s">
        <v>1213</v>
      </c>
      <c r="B142" t="s">
        <v>1247</v>
      </c>
    </row>
    <row r="143" spans="1:23">
      <c r="A143" t="s">
        <v>1213</v>
      </c>
      <c r="B143" t="s">
        <v>1248</v>
      </c>
    </row>
    <row r="144" spans="1:23">
      <c r="A144" t="s">
        <v>1213</v>
      </c>
      <c r="B144" t="s">
        <v>1250</v>
      </c>
    </row>
    <row r="145" spans="1:2">
      <c r="A145" t="s">
        <v>1213</v>
      </c>
      <c r="B145" t="s">
        <v>1254</v>
      </c>
    </row>
    <row r="146" spans="1:2">
      <c r="A146" t="s">
        <v>1213</v>
      </c>
      <c r="B146" t="s">
        <v>1255</v>
      </c>
    </row>
    <row r="147" spans="1:2">
      <c r="A147" t="s">
        <v>1213</v>
      </c>
      <c r="B147" t="s">
        <v>1256</v>
      </c>
    </row>
    <row r="1048573" spans="14:14">
      <c r="N1048573" s="110"/>
    </row>
  </sheetData>
  <sheetProtection formatColumns="0"/>
  <autoFilter ref="A1:X147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 filterMode="1"/>
  <dimension ref="A1:Y55"/>
  <sheetViews>
    <sheetView rightToLeft="1" workbookViewId="0">
      <selection activeCell="N9" sqref="A1:Y5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6" width="11.625" style="2" customWidth="1"/>
    <col min="27" max="16384" width="9" style="2"/>
  </cols>
  <sheetData>
    <row r="1" spans="1:25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70</v>
      </c>
      <c r="M1" s="17" t="s">
        <v>92</v>
      </c>
      <c r="N1" s="17" t="s">
        <v>83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95</v>
      </c>
      <c r="T1" s="17" t="s">
        <v>76</v>
      </c>
      <c r="U1" s="17" t="s">
        <v>61</v>
      </c>
      <c r="V1" s="17" t="s">
        <v>77</v>
      </c>
      <c r="W1" s="17" t="s">
        <v>63</v>
      </c>
      <c r="X1" s="17" t="s">
        <v>64</v>
      </c>
      <c r="Y1" s="17" t="s">
        <v>65</v>
      </c>
    </row>
    <row r="2" spans="1:25" hidden="1">
      <c r="A2" t="s">
        <v>1213</v>
      </c>
      <c r="B2" t="s">
        <v>1214</v>
      </c>
      <c r="C2" t="s">
        <v>1825</v>
      </c>
      <c r="D2" t="s">
        <v>1826</v>
      </c>
      <c r="E2" t="s">
        <v>309</v>
      </c>
      <c r="F2" t="s">
        <v>4535</v>
      </c>
      <c r="G2" t="s">
        <v>4536</v>
      </c>
      <c r="H2" t="s">
        <v>321</v>
      </c>
      <c r="I2" t="s">
        <v>204</v>
      </c>
      <c r="J2" t="s">
        <v>204</v>
      </c>
      <c r="K2" t="s">
        <v>325</v>
      </c>
      <c r="L2" t="s">
        <v>340</v>
      </c>
      <c r="M2" t="s">
        <v>3865</v>
      </c>
      <c r="N2" t="s">
        <v>441</v>
      </c>
      <c r="O2" t="s">
        <v>1806</v>
      </c>
      <c r="P2" t="s">
        <v>339</v>
      </c>
      <c r="Q2" t="s">
        <v>1212</v>
      </c>
      <c r="R2" s="131">
        <v>8000</v>
      </c>
      <c r="S2" s="131">
        <v>1</v>
      </c>
      <c r="T2" s="131">
        <v>576</v>
      </c>
      <c r="U2" s="131">
        <v>1</v>
      </c>
      <c r="V2" s="131">
        <v>322.60000000000002</v>
      </c>
      <c r="W2" s="131">
        <v>1.8580000000000001</v>
      </c>
      <c r="X2" s="132">
        <v>1</v>
      </c>
      <c r="Y2" s="132">
        <v>2.0000000000000002E-5</v>
      </c>
    </row>
    <row r="3" spans="1:25" hidden="1">
      <c r="A3" t="s">
        <v>1213</v>
      </c>
      <c r="B3" t="s">
        <v>1217</v>
      </c>
      <c r="C3" t="s">
        <v>4537</v>
      </c>
      <c r="D3" t="s">
        <v>4538</v>
      </c>
      <c r="E3" t="s">
        <v>309</v>
      </c>
      <c r="F3" t="s">
        <v>4539</v>
      </c>
      <c r="G3" t="s">
        <v>4540</v>
      </c>
      <c r="H3" t="s">
        <v>321</v>
      </c>
      <c r="I3" t="s">
        <v>204</v>
      </c>
      <c r="J3" t="s">
        <v>204</v>
      </c>
      <c r="K3" t="s">
        <v>325</v>
      </c>
      <c r="L3" t="s">
        <v>340</v>
      </c>
      <c r="M3" t="s">
        <v>4541</v>
      </c>
      <c r="N3" t="s">
        <v>480</v>
      </c>
      <c r="O3" t="s">
        <v>2049</v>
      </c>
      <c r="P3" t="s">
        <v>339</v>
      </c>
      <c r="Q3" t="s">
        <v>1212</v>
      </c>
      <c r="R3" s="131">
        <v>830</v>
      </c>
      <c r="S3" s="131">
        <v>1</v>
      </c>
      <c r="T3" s="131">
        <v>85800</v>
      </c>
      <c r="U3" s="131">
        <v>1</v>
      </c>
      <c r="V3" s="131">
        <v>38.6</v>
      </c>
      <c r="W3" s="131">
        <v>33.119</v>
      </c>
      <c r="X3" s="132">
        <v>0.26286999999999999</v>
      </c>
      <c r="Y3" s="132">
        <v>3.0000000000000001E-5</v>
      </c>
    </row>
    <row r="4" spans="1:25" hidden="1">
      <c r="A4" t="s">
        <v>1213</v>
      </c>
      <c r="B4" t="s">
        <v>1217</v>
      </c>
      <c r="C4" t="s">
        <v>3493</v>
      </c>
      <c r="D4" t="s">
        <v>3494</v>
      </c>
      <c r="E4" t="s">
        <v>309</v>
      </c>
      <c r="F4" t="s">
        <v>4542</v>
      </c>
      <c r="G4" t="s">
        <v>4543</v>
      </c>
      <c r="H4" t="s">
        <v>321</v>
      </c>
      <c r="I4" t="s">
        <v>204</v>
      </c>
      <c r="J4" t="s">
        <v>204</v>
      </c>
      <c r="K4" t="s">
        <v>325</v>
      </c>
      <c r="L4" t="s">
        <v>340</v>
      </c>
      <c r="M4" t="s">
        <v>3495</v>
      </c>
      <c r="N4" t="s">
        <v>464</v>
      </c>
      <c r="O4" t="s">
        <v>4544</v>
      </c>
      <c r="P4" t="s">
        <v>339</v>
      </c>
      <c r="Q4" t="s">
        <v>1212</v>
      </c>
      <c r="R4" s="131">
        <v>2000</v>
      </c>
      <c r="S4" s="131">
        <v>1</v>
      </c>
      <c r="T4" s="131">
        <v>134175</v>
      </c>
      <c r="U4" s="131">
        <v>1</v>
      </c>
      <c r="V4" s="131">
        <v>22</v>
      </c>
      <c r="W4" s="131">
        <v>29.518999999999998</v>
      </c>
      <c r="X4" s="132">
        <v>0.23430000000000001</v>
      </c>
      <c r="Y4" s="132">
        <v>3.0000000000000001E-5</v>
      </c>
    </row>
    <row r="5" spans="1:25" hidden="1">
      <c r="A5" t="s">
        <v>1213</v>
      </c>
      <c r="B5" t="s">
        <v>1217</v>
      </c>
      <c r="C5" t="s">
        <v>4545</v>
      </c>
      <c r="D5" t="s">
        <v>4546</v>
      </c>
      <c r="E5" t="s">
        <v>309</v>
      </c>
      <c r="F5" t="s">
        <v>4547</v>
      </c>
      <c r="G5" t="s">
        <v>4548</v>
      </c>
      <c r="H5" t="s">
        <v>321</v>
      </c>
      <c r="I5" t="s">
        <v>204</v>
      </c>
      <c r="J5" t="s">
        <v>204</v>
      </c>
      <c r="K5" t="s">
        <v>325</v>
      </c>
      <c r="L5" t="s">
        <v>340</v>
      </c>
      <c r="M5" t="s">
        <v>4549</v>
      </c>
      <c r="N5" t="s">
        <v>471</v>
      </c>
      <c r="O5" t="s">
        <v>4550</v>
      </c>
      <c r="P5" t="s">
        <v>339</v>
      </c>
      <c r="Q5" t="s">
        <v>1212</v>
      </c>
      <c r="R5" s="131">
        <v>280</v>
      </c>
      <c r="S5" s="131">
        <v>1</v>
      </c>
      <c r="T5" s="131">
        <v>23869.46</v>
      </c>
      <c r="U5" s="131">
        <v>1</v>
      </c>
      <c r="V5" s="131">
        <v>100</v>
      </c>
      <c r="W5" s="131">
        <v>23.869</v>
      </c>
      <c r="X5" s="132">
        <v>0.18945999999999999</v>
      </c>
      <c r="Y5" s="132">
        <v>2.0000000000000002E-5</v>
      </c>
    </row>
    <row r="6" spans="1:25" hidden="1">
      <c r="A6" t="s">
        <v>1213</v>
      </c>
      <c r="B6" t="s">
        <v>1217</v>
      </c>
      <c r="C6" t="s">
        <v>1825</v>
      </c>
      <c r="D6" t="s">
        <v>1826</v>
      </c>
      <c r="E6" t="s">
        <v>309</v>
      </c>
      <c r="F6" t="s">
        <v>4535</v>
      </c>
      <c r="G6" t="s">
        <v>4536</v>
      </c>
      <c r="H6" t="s">
        <v>321</v>
      </c>
      <c r="I6" t="s">
        <v>204</v>
      </c>
      <c r="J6" t="s">
        <v>204</v>
      </c>
      <c r="K6" t="s">
        <v>325</v>
      </c>
      <c r="L6" t="s">
        <v>340</v>
      </c>
      <c r="M6" t="s">
        <v>3865</v>
      </c>
      <c r="N6" t="s">
        <v>441</v>
      </c>
      <c r="O6" t="s">
        <v>1806</v>
      </c>
      <c r="P6" t="s">
        <v>339</v>
      </c>
      <c r="Q6" t="s">
        <v>1212</v>
      </c>
      <c r="R6" s="131">
        <v>8000</v>
      </c>
      <c r="S6" s="131">
        <v>1</v>
      </c>
      <c r="T6" s="131">
        <v>5418</v>
      </c>
      <c r="U6" s="131">
        <v>1</v>
      </c>
      <c r="V6" s="131">
        <v>322.60000000000002</v>
      </c>
      <c r="W6" s="131">
        <v>17.478000000000002</v>
      </c>
      <c r="X6" s="132">
        <v>0.13872999999999999</v>
      </c>
      <c r="Y6" s="132">
        <v>2.0000000000000002E-5</v>
      </c>
    </row>
    <row r="7" spans="1:25" hidden="1">
      <c r="A7" t="s">
        <v>1213</v>
      </c>
      <c r="B7" t="s">
        <v>1217</v>
      </c>
      <c r="C7" t="s">
        <v>4551</v>
      </c>
      <c r="D7" t="s">
        <v>4552</v>
      </c>
      <c r="E7" t="s">
        <v>309</v>
      </c>
      <c r="F7" t="s">
        <v>4553</v>
      </c>
      <c r="G7" t="s">
        <v>4554</v>
      </c>
      <c r="H7" t="s">
        <v>321</v>
      </c>
      <c r="I7" t="s">
        <v>204</v>
      </c>
      <c r="J7" t="s">
        <v>204</v>
      </c>
      <c r="K7" t="s">
        <v>325</v>
      </c>
      <c r="L7" t="s">
        <v>340</v>
      </c>
      <c r="M7" t="s">
        <v>4555</v>
      </c>
      <c r="N7" t="s">
        <v>480</v>
      </c>
      <c r="O7" t="s">
        <v>4556</v>
      </c>
      <c r="P7" t="s">
        <v>339</v>
      </c>
      <c r="Q7" t="s">
        <v>1212</v>
      </c>
      <c r="R7" s="131">
        <v>1415</v>
      </c>
      <c r="S7" s="131">
        <v>1</v>
      </c>
      <c r="T7" s="131">
        <v>33507</v>
      </c>
      <c r="U7" s="131">
        <v>1</v>
      </c>
      <c r="V7" s="131">
        <v>41</v>
      </c>
      <c r="W7" s="131">
        <v>13.738</v>
      </c>
      <c r="X7" s="132">
        <v>0.10904</v>
      </c>
      <c r="Y7" s="132">
        <v>1.0000000000000001E-5</v>
      </c>
    </row>
    <row r="8" spans="1:25" hidden="1">
      <c r="A8" t="s">
        <v>1213</v>
      </c>
      <c r="B8" t="s">
        <v>1217</v>
      </c>
      <c r="C8" t="s">
        <v>4557</v>
      </c>
      <c r="D8" t="s">
        <v>4558</v>
      </c>
      <c r="E8" t="s">
        <v>309</v>
      </c>
      <c r="F8" t="s">
        <v>4559</v>
      </c>
      <c r="G8" t="s">
        <v>4560</v>
      </c>
      <c r="H8" t="s">
        <v>321</v>
      </c>
      <c r="I8" t="s">
        <v>204</v>
      </c>
      <c r="J8" t="s">
        <v>204</v>
      </c>
      <c r="K8" t="s">
        <v>325</v>
      </c>
      <c r="L8" t="s">
        <v>340</v>
      </c>
      <c r="M8" t="s">
        <v>4561</v>
      </c>
      <c r="N8" t="s">
        <v>480</v>
      </c>
      <c r="O8" t="s">
        <v>1506</v>
      </c>
      <c r="P8" t="s">
        <v>339</v>
      </c>
      <c r="Q8" t="s">
        <v>1212</v>
      </c>
      <c r="R8" s="131">
        <v>400</v>
      </c>
      <c r="S8" s="131">
        <v>1</v>
      </c>
      <c r="T8" s="131">
        <v>284475</v>
      </c>
      <c r="U8" s="131">
        <v>1</v>
      </c>
      <c r="V8" s="131">
        <v>2.8</v>
      </c>
      <c r="W8" s="131">
        <v>7.9649999999999999</v>
      </c>
      <c r="X8" s="132">
        <v>6.3219999999999998E-2</v>
      </c>
      <c r="Y8" s="132">
        <v>1.0000000000000001E-5</v>
      </c>
    </row>
    <row r="9" spans="1:25">
      <c r="A9" t="s">
        <v>1213</v>
      </c>
      <c r="B9" t="s">
        <v>1217</v>
      </c>
      <c r="C9" t="s">
        <v>4562</v>
      </c>
      <c r="D9" t="s">
        <v>4563</v>
      </c>
      <c r="E9" t="s">
        <v>309</v>
      </c>
      <c r="F9" t="s">
        <v>4564</v>
      </c>
      <c r="G9" t="s">
        <v>4565</v>
      </c>
      <c r="H9" t="s">
        <v>321</v>
      </c>
      <c r="I9" t="s">
        <v>204</v>
      </c>
      <c r="J9" t="s">
        <v>204</v>
      </c>
      <c r="K9" t="s">
        <v>325</v>
      </c>
      <c r="L9" t="s">
        <v>340</v>
      </c>
      <c r="M9" t="s">
        <v>4566</v>
      </c>
      <c r="N9" t="s">
        <v>452</v>
      </c>
      <c r="O9" t="s">
        <v>1464</v>
      </c>
      <c r="P9" t="s">
        <v>339</v>
      </c>
      <c r="Q9" t="s">
        <v>1212</v>
      </c>
      <c r="R9" s="131">
        <v>1656</v>
      </c>
      <c r="S9" s="131">
        <v>1</v>
      </c>
      <c r="T9" s="131">
        <v>30000</v>
      </c>
      <c r="U9" s="131">
        <v>1</v>
      </c>
      <c r="V9" s="131">
        <v>1</v>
      </c>
      <c r="W9" s="131">
        <v>0.3</v>
      </c>
      <c r="X9" s="132">
        <v>2.3800000000000002E-3</v>
      </c>
      <c r="Y9" s="132">
        <v>0</v>
      </c>
    </row>
    <row r="10" spans="1:25" hidden="1">
      <c r="A10" t="s">
        <v>1213</v>
      </c>
      <c r="B10" t="s">
        <v>1220</v>
      </c>
      <c r="C10" t="s">
        <v>3493</v>
      </c>
      <c r="D10" t="s">
        <v>3494</v>
      </c>
      <c r="E10" t="s">
        <v>309</v>
      </c>
      <c r="F10" t="s">
        <v>4542</v>
      </c>
      <c r="G10" t="s">
        <v>4543</v>
      </c>
      <c r="H10" t="s">
        <v>321</v>
      </c>
      <c r="I10" t="s">
        <v>204</v>
      </c>
      <c r="J10" t="s">
        <v>204</v>
      </c>
      <c r="K10" t="s">
        <v>325</v>
      </c>
      <c r="L10" t="s">
        <v>340</v>
      </c>
      <c r="M10" t="s">
        <v>3495</v>
      </c>
      <c r="N10" t="s">
        <v>464</v>
      </c>
      <c r="O10" t="s">
        <v>4544</v>
      </c>
      <c r="P10" t="s">
        <v>339</v>
      </c>
      <c r="Q10" t="s">
        <v>1212</v>
      </c>
      <c r="R10" s="131">
        <v>2000</v>
      </c>
      <c r="S10" s="131">
        <v>1</v>
      </c>
      <c r="T10" s="131">
        <v>61500</v>
      </c>
      <c r="U10" s="131">
        <v>1</v>
      </c>
      <c r="V10" s="131">
        <v>22</v>
      </c>
      <c r="W10" s="131">
        <v>13.53</v>
      </c>
      <c r="X10" s="132">
        <v>0.30376999999999998</v>
      </c>
      <c r="Y10" s="132">
        <v>6.0000000000000002E-5</v>
      </c>
    </row>
    <row r="11" spans="1:25" hidden="1">
      <c r="A11" t="s">
        <v>1213</v>
      </c>
      <c r="B11" t="s">
        <v>1220</v>
      </c>
      <c r="C11" t="s">
        <v>4545</v>
      </c>
      <c r="D11" t="s">
        <v>4546</v>
      </c>
      <c r="E11" t="s">
        <v>309</v>
      </c>
      <c r="F11" t="s">
        <v>4547</v>
      </c>
      <c r="G11" t="s">
        <v>4548</v>
      </c>
      <c r="H11" t="s">
        <v>321</v>
      </c>
      <c r="I11" t="s">
        <v>204</v>
      </c>
      <c r="J11" t="s">
        <v>204</v>
      </c>
      <c r="K11" t="s">
        <v>325</v>
      </c>
      <c r="L11" t="s">
        <v>340</v>
      </c>
      <c r="M11" t="s">
        <v>4549</v>
      </c>
      <c r="N11" t="s">
        <v>471</v>
      </c>
      <c r="O11" t="s">
        <v>4550</v>
      </c>
      <c r="P11" t="s">
        <v>339</v>
      </c>
      <c r="Q11" t="s">
        <v>1212</v>
      </c>
      <c r="R11" s="131">
        <v>280</v>
      </c>
      <c r="S11" s="131">
        <v>1</v>
      </c>
      <c r="T11" s="131">
        <v>12559.88</v>
      </c>
      <c r="U11" s="131">
        <v>1</v>
      </c>
      <c r="V11" s="131">
        <v>100</v>
      </c>
      <c r="W11" s="131">
        <v>12.56</v>
      </c>
      <c r="X11" s="132">
        <v>0.28199000000000002</v>
      </c>
      <c r="Y11" s="132">
        <v>6.0000000000000002E-5</v>
      </c>
    </row>
    <row r="12" spans="1:25" hidden="1">
      <c r="A12" t="s">
        <v>1213</v>
      </c>
      <c r="B12" t="s">
        <v>1220</v>
      </c>
      <c r="C12" t="s">
        <v>4537</v>
      </c>
      <c r="D12" t="s">
        <v>4538</v>
      </c>
      <c r="E12" t="s">
        <v>309</v>
      </c>
      <c r="F12" t="s">
        <v>4539</v>
      </c>
      <c r="G12" t="s">
        <v>4540</v>
      </c>
      <c r="H12" t="s">
        <v>321</v>
      </c>
      <c r="I12" t="s">
        <v>204</v>
      </c>
      <c r="J12" t="s">
        <v>204</v>
      </c>
      <c r="K12" t="s">
        <v>325</v>
      </c>
      <c r="L12" t="s">
        <v>340</v>
      </c>
      <c r="M12" t="s">
        <v>4541</v>
      </c>
      <c r="N12" t="s">
        <v>480</v>
      </c>
      <c r="O12" t="s">
        <v>2049</v>
      </c>
      <c r="P12" t="s">
        <v>339</v>
      </c>
      <c r="Q12" t="s">
        <v>1212</v>
      </c>
      <c r="R12" s="131">
        <v>830</v>
      </c>
      <c r="S12" s="131">
        <v>1</v>
      </c>
      <c r="T12" s="131">
        <v>27650</v>
      </c>
      <c r="U12" s="131">
        <v>1</v>
      </c>
      <c r="V12" s="131">
        <v>38.6</v>
      </c>
      <c r="W12" s="131">
        <v>10.673</v>
      </c>
      <c r="X12" s="132">
        <v>0.23962</v>
      </c>
      <c r="Y12" s="132">
        <v>5.0000000000000002E-5</v>
      </c>
    </row>
    <row r="13" spans="1:25" hidden="1">
      <c r="A13" t="s">
        <v>1213</v>
      </c>
      <c r="B13" t="s">
        <v>1220</v>
      </c>
      <c r="C13" t="s">
        <v>4551</v>
      </c>
      <c r="D13" t="s">
        <v>4552</v>
      </c>
      <c r="E13" t="s">
        <v>309</v>
      </c>
      <c r="F13" t="s">
        <v>4553</v>
      </c>
      <c r="G13" t="s">
        <v>4554</v>
      </c>
      <c r="H13" t="s">
        <v>321</v>
      </c>
      <c r="I13" t="s">
        <v>204</v>
      </c>
      <c r="J13" t="s">
        <v>204</v>
      </c>
      <c r="K13" t="s">
        <v>325</v>
      </c>
      <c r="L13" t="s">
        <v>340</v>
      </c>
      <c r="M13" t="s">
        <v>4555</v>
      </c>
      <c r="N13" t="s">
        <v>480</v>
      </c>
      <c r="O13" t="s">
        <v>4556</v>
      </c>
      <c r="P13" t="s">
        <v>339</v>
      </c>
      <c r="Q13" t="s">
        <v>1212</v>
      </c>
      <c r="R13" s="131">
        <v>1415</v>
      </c>
      <c r="S13" s="131">
        <v>1</v>
      </c>
      <c r="T13" s="131">
        <v>11534</v>
      </c>
      <c r="U13" s="131">
        <v>1</v>
      </c>
      <c r="V13" s="131">
        <v>41</v>
      </c>
      <c r="W13" s="131">
        <v>4.7290000000000001</v>
      </c>
      <c r="X13" s="132">
        <v>0.10617</v>
      </c>
      <c r="Y13" s="132">
        <v>2.0000000000000002E-5</v>
      </c>
    </row>
    <row r="14" spans="1:25" hidden="1">
      <c r="A14" t="s">
        <v>1213</v>
      </c>
      <c r="B14" t="s">
        <v>1220</v>
      </c>
      <c r="C14" t="s">
        <v>4557</v>
      </c>
      <c r="D14" t="s">
        <v>4558</v>
      </c>
      <c r="E14" t="s">
        <v>309</v>
      </c>
      <c r="F14" t="s">
        <v>4559</v>
      </c>
      <c r="G14" t="s">
        <v>4560</v>
      </c>
      <c r="H14" t="s">
        <v>321</v>
      </c>
      <c r="I14" t="s">
        <v>204</v>
      </c>
      <c r="J14" t="s">
        <v>204</v>
      </c>
      <c r="K14" t="s">
        <v>325</v>
      </c>
      <c r="L14" t="s">
        <v>340</v>
      </c>
      <c r="M14" t="s">
        <v>4561</v>
      </c>
      <c r="N14" t="s">
        <v>480</v>
      </c>
      <c r="O14" t="s">
        <v>1506</v>
      </c>
      <c r="P14" t="s">
        <v>339</v>
      </c>
      <c r="Q14" t="s">
        <v>1212</v>
      </c>
      <c r="R14" s="131">
        <v>400</v>
      </c>
      <c r="S14" s="131">
        <v>1</v>
      </c>
      <c r="T14" s="131">
        <v>103425</v>
      </c>
      <c r="U14" s="131">
        <v>1</v>
      </c>
      <c r="V14" s="131">
        <v>2.8</v>
      </c>
      <c r="W14" s="131">
        <v>2.8959999999999999</v>
      </c>
      <c r="X14" s="132">
        <v>6.5019999999999994E-2</v>
      </c>
      <c r="Y14" s="132">
        <v>1.0000000000000001E-5</v>
      </c>
    </row>
    <row r="15" spans="1:25">
      <c r="A15" t="s">
        <v>1213</v>
      </c>
      <c r="B15" t="s">
        <v>1220</v>
      </c>
      <c r="C15" t="s">
        <v>4562</v>
      </c>
      <c r="D15" t="s">
        <v>4563</v>
      </c>
      <c r="E15" t="s">
        <v>309</v>
      </c>
      <c r="F15" t="s">
        <v>4564</v>
      </c>
      <c r="G15" t="s">
        <v>4565</v>
      </c>
      <c r="H15" t="s">
        <v>321</v>
      </c>
      <c r="I15" t="s">
        <v>204</v>
      </c>
      <c r="J15" t="s">
        <v>204</v>
      </c>
      <c r="K15" t="s">
        <v>325</v>
      </c>
      <c r="L15" t="s">
        <v>340</v>
      </c>
      <c r="M15" t="s">
        <v>4566</v>
      </c>
      <c r="N15" t="s">
        <v>452</v>
      </c>
      <c r="O15" t="s">
        <v>1464</v>
      </c>
      <c r="P15" t="s">
        <v>339</v>
      </c>
      <c r="Q15" t="s">
        <v>1212</v>
      </c>
      <c r="R15" s="131">
        <v>1656</v>
      </c>
      <c r="S15" s="131">
        <v>1</v>
      </c>
      <c r="T15" s="131">
        <v>15300</v>
      </c>
      <c r="U15" s="131">
        <v>1</v>
      </c>
      <c r="V15" s="131">
        <v>1</v>
      </c>
      <c r="W15" s="131">
        <v>0.153</v>
      </c>
      <c r="X15" s="132">
        <v>3.4399999999999999E-3</v>
      </c>
      <c r="Y15" s="132">
        <v>0</v>
      </c>
    </row>
    <row r="16" spans="1:25" hidden="1">
      <c r="A16" t="s">
        <v>1213</v>
      </c>
      <c r="B16" t="s">
        <v>1230</v>
      </c>
      <c r="C16" t="s">
        <v>3683</v>
      </c>
      <c r="D16" t="s">
        <v>3684</v>
      </c>
      <c r="E16" t="s">
        <v>309</v>
      </c>
      <c r="F16" t="s">
        <v>4567</v>
      </c>
      <c r="G16" t="s">
        <v>4568</v>
      </c>
      <c r="H16" t="s">
        <v>321</v>
      </c>
      <c r="I16" t="s">
        <v>204</v>
      </c>
      <c r="J16" t="s">
        <v>204</v>
      </c>
      <c r="K16" t="s">
        <v>325</v>
      </c>
      <c r="L16" t="s">
        <v>340</v>
      </c>
      <c r="M16" t="s">
        <v>3685</v>
      </c>
      <c r="N16" t="s">
        <v>451</v>
      </c>
      <c r="O16" t="s">
        <v>4569</v>
      </c>
      <c r="P16" t="s">
        <v>339</v>
      </c>
      <c r="Q16" t="s">
        <v>1212</v>
      </c>
      <c r="R16" s="131">
        <v>610</v>
      </c>
      <c r="S16" s="131">
        <v>1</v>
      </c>
      <c r="T16" s="131">
        <v>182950</v>
      </c>
      <c r="U16" s="131">
        <v>1</v>
      </c>
      <c r="V16" s="131">
        <v>100</v>
      </c>
      <c r="W16" s="131">
        <v>182.95</v>
      </c>
      <c r="X16" s="132">
        <v>1</v>
      </c>
      <c r="Y16" s="132">
        <v>6.9999999999999994E-5</v>
      </c>
    </row>
    <row r="17" spans="1:25" hidden="1">
      <c r="A17" t="s">
        <v>1213</v>
      </c>
      <c r="B17" t="s">
        <v>1235</v>
      </c>
      <c r="C17" t="s">
        <v>3683</v>
      </c>
      <c r="D17" t="s">
        <v>3684</v>
      </c>
      <c r="E17" t="s">
        <v>309</v>
      </c>
      <c r="F17" t="s">
        <v>4567</v>
      </c>
      <c r="G17" t="s">
        <v>4568</v>
      </c>
      <c r="H17" t="s">
        <v>321</v>
      </c>
      <c r="I17" t="s">
        <v>204</v>
      </c>
      <c r="J17" t="s">
        <v>204</v>
      </c>
      <c r="K17" t="s">
        <v>325</v>
      </c>
      <c r="L17" t="s">
        <v>340</v>
      </c>
      <c r="M17" t="s">
        <v>3685</v>
      </c>
      <c r="N17" t="s">
        <v>451</v>
      </c>
      <c r="O17" t="s">
        <v>4569</v>
      </c>
      <c r="P17" t="s">
        <v>339</v>
      </c>
      <c r="Q17" t="s">
        <v>1212</v>
      </c>
      <c r="R17" s="131">
        <v>610</v>
      </c>
      <c r="S17" s="131">
        <v>1</v>
      </c>
      <c r="T17" s="131">
        <v>10550</v>
      </c>
      <c r="U17" s="131">
        <v>1</v>
      </c>
      <c r="V17" s="131">
        <v>100</v>
      </c>
      <c r="W17" s="131">
        <v>10.55</v>
      </c>
      <c r="X17" s="132">
        <v>1</v>
      </c>
      <c r="Y17" s="132">
        <v>1.4999999999999999E-4</v>
      </c>
    </row>
    <row r="18" spans="1:25" hidden="1">
      <c r="A18" t="s">
        <v>1213</v>
      </c>
      <c r="B18" t="s">
        <v>1242</v>
      </c>
      <c r="C18" t="s">
        <v>3683</v>
      </c>
      <c r="D18" t="s">
        <v>3684</v>
      </c>
      <c r="E18" t="s">
        <v>309</v>
      </c>
      <c r="F18" t="s">
        <v>4567</v>
      </c>
      <c r="G18" t="s">
        <v>4568</v>
      </c>
      <c r="H18" t="s">
        <v>321</v>
      </c>
      <c r="I18" t="s">
        <v>204</v>
      </c>
      <c r="J18" t="s">
        <v>204</v>
      </c>
      <c r="K18" t="s">
        <v>325</v>
      </c>
      <c r="L18" t="s">
        <v>340</v>
      </c>
      <c r="M18" t="s">
        <v>3685</v>
      </c>
      <c r="N18" t="s">
        <v>451</v>
      </c>
      <c r="O18" t="s">
        <v>4569</v>
      </c>
      <c r="P18" t="s">
        <v>339</v>
      </c>
      <c r="Q18" t="s">
        <v>1212</v>
      </c>
      <c r="R18" s="131">
        <v>610</v>
      </c>
      <c r="S18" s="131">
        <v>1</v>
      </c>
      <c r="T18" s="131">
        <v>99450</v>
      </c>
      <c r="U18" s="131">
        <v>1</v>
      </c>
      <c r="V18" s="131">
        <v>100</v>
      </c>
      <c r="W18" s="131">
        <v>99.45</v>
      </c>
      <c r="X18" s="132">
        <v>0.45408999999999999</v>
      </c>
      <c r="Y18" s="132">
        <v>2.5999999999999998E-4</v>
      </c>
    </row>
    <row r="19" spans="1:25" hidden="1">
      <c r="A19" t="s">
        <v>1213</v>
      </c>
      <c r="B19" t="s">
        <v>1242</v>
      </c>
      <c r="C19" t="s">
        <v>4570</v>
      </c>
      <c r="D19" t="s">
        <v>4571</v>
      </c>
      <c r="E19" t="s">
        <v>309</v>
      </c>
      <c r="F19" t="s">
        <v>4572</v>
      </c>
      <c r="G19" t="s">
        <v>4573</v>
      </c>
      <c r="H19" t="s">
        <v>321</v>
      </c>
      <c r="I19" t="s">
        <v>204</v>
      </c>
      <c r="J19" t="s">
        <v>204</v>
      </c>
      <c r="K19" t="s">
        <v>325</v>
      </c>
      <c r="L19" t="s">
        <v>340</v>
      </c>
      <c r="M19" t="s">
        <v>4574</v>
      </c>
      <c r="N19" t="s">
        <v>439</v>
      </c>
      <c r="O19" t="s">
        <v>4544</v>
      </c>
      <c r="P19" t="s">
        <v>339</v>
      </c>
      <c r="Q19" t="s">
        <v>1212</v>
      </c>
      <c r="R19" s="131">
        <v>840</v>
      </c>
      <c r="S19" s="131">
        <v>1</v>
      </c>
      <c r="T19" s="131">
        <v>88800</v>
      </c>
      <c r="U19" s="131">
        <v>1</v>
      </c>
      <c r="V19" s="131">
        <v>81.7</v>
      </c>
      <c r="W19" s="131">
        <v>72.55</v>
      </c>
      <c r="X19" s="132">
        <v>0.33126</v>
      </c>
      <c r="Y19" s="132">
        <v>1.9000000000000001E-4</v>
      </c>
    </row>
    <row r="20" spans="1:25" hidden="1">
      <c r="A20" t="s">
        <v>1213</v>
      </c>
      <c r="B20" t="s">
        <v>1242</v>
      </c>
      <c r="C20" t="s">
        <v>4575</v>
      </c>
      <c r="D20" t="s">
        <v>4576</v>
      </c>
      <c r="E20" t="s">
        <v>309</v>
      </c>
      <c r="F20" t="s">
        <v>4577</v>
      </c>
      <c r="G20" t="s">
        <v>4578</v>
      </c>
      <c r="H20" t="s">
        <v>321</v>
      </c>
      <c r="I20" t="s">
        <v>204</v>
      </c>
      <c r="J20" t="s">
        <v>204</v>
      </c>
      <c r="K20" t="s">
        <v>325</v>
      </c>
      <c r="L20" t="s">
        <v>340</v>
      </c>
      <c r="M20" t="s">
        <v>4579</v>
      </c>
      <c r="N20" t="s">
        <v>480</v>
      </c>
      <c r="O20" t="s">
        <v>4580</v>
      </c>
      <c r="P20" t="s">
        <v>339</v>
      </c>
      <c r="Q20" t="s">
        <v>1212</v>
      </c>
      <c r="R20" s="131">
        <v>540</v>
      </c>
      <c r="S20" s="131">
        <v>1</v>
      </c>
      <c r="T20" s="131">
        <v>379108</v>
      </c>
      <c r="U20" s="131">
        <v>1</v>
      </c>
      <c r="V20" s="131">
        <v>12.4</v>
      </c>
      <c r="W20" s="131">
        <v>47.009</v>
      </c>
      <c r="X20" s="132">
        <v>0.21465000000000001</v>
      </c>
      <c r="Y20" s="132">
        <v>1.2E-4</v>
      </c>
    </row>
    <row r="21" spans="1:25" customFormat="1" hidden="1">
      <c r="A21" t="s">
        <v>1213</v>
      </c>
      <c r="B21" t="s">
        <v>1243</v>
      </c>
      <c r="C21" t="s">
        <v>3683</v>
      </c>
      <c r="D21" t="s">
        <v>3684</v>
      </c>
      <c r="E21" t="s">
        <v>309</v>
      </c>
      <c r="F21" t="s">
        <v>4567</v>
      </c>
      <c r="G21" t="s">
        <v>4568</v>
      </c>
      <c r="H21" t="s">
        <v>321</v>
      </c>
      <c r="I21" t="s">
        <v>204</v>
      </c>
      <c r="J21" t="s">
        <v>204</v>
      </c>
      <c r="K21" t="s">
        <v>325</v>
      </c>
      <c r="L21" t="s">
        <v>340</v>
      </c>
      <c r="M21" t="s">
        <v>3685</v>
      </c>
      <c r="N21" t="s">
        <v>451</v>
      </c>
      <c r="O21" t="s">
        <v>4569</v>
      </c>
      <c r="P21" t="s">
        <v>339</v>
      </c>
      <c r="Q21" t="s">
        <v>1212</v>
      </c>
      <c r="R21" s="131">
        <v>610</v>
      </c>
      <c r="S21" s="131">
        <v>1</v>
      </c>
      <c r="T21" s="131">
        <v>422850</v>
      </c>
      <c r="U21" s="131">
        <v>1</v>
      </c>
      <c r="V21" s="131">
        <v>100</v>
      </c>
      <c r="W21" s="131">
        <v>422.85</v>
      </c>
      <c r="X21" s="132">
        <v>1</v>
      </c>
      <c r="Y21" s="132">
        <v>9.0000000000000006E-5</v>
      </c>
    </row>
    <row r="22" spans="1:25" hidden="1">
      <c r="A22" t="s">
        <v>1213</v>
      </c>
      <c r="B22" t="s">
        <v>1247</v>
      </c>
      <c r="C22" t="s">
        <v>1909</v>
      </c>
      <c r="D22" t="s">
        <v>1910</v>
      </c>
      <c r="E22" t="s">
        <v>309</v>
      </c>
      <c r="F22" t="s">
        <v>4581</v>
      </c>
      <c r="G22" t="s">
        <v>4582</v>
      </c>
      <c r="H22" t="s">
        <v>321</v>
      </c>
      <c r="I22" t="s">
        <v>204</v>
      </c>
      <c r="J22" t="s">
        <v>204</v>
      </c>
      <c r="K22" t="s">
        <v>325</v>
      </c>
      <c r="L22" t="s">
        <v>340</v>
      </c>
      <c r="M22" t="s">
        <v>3881</v>
      </c>
      <c r="N22" t="s">
        <v>464</v>
      </c>
      <c r="O22" t="s">
        <v>4583</v>
      </c>
      <c r="P22" t="s">
        <v>339</v>
      </c>
      <c r="Q22" t="s">
        <v>1212</v>
      </c>
      <c r="R22" s="131">
        <v>200</v>
      </c>
      <c r="S22" s="131">
        <v>1</v>
      </c>
      <c r="T22" s="131">
        <v>39000</v>
      </c>
      <c r="U22" s="131">
        <v>1</v>
      </c>
      <c r="V22" s="131">
        <v>19.8</v>
      </c>
      <c r="W22" s="131">
        <v>7.7220000000000004</v>
      </c>
      <c r="X22" s="132">
        <v>0.78737999999999997</v>
      </c>
      <c r="Y22" s="132">
        <v>3.0000000000000001E-5</v>
      </c>
    </row>
    <row r="23" spans="1:25" hidden="1">
      <c r="A23" t="s">
        <v>1213</v>
      </c>
      <c r="B23" t="s">
        <v>1247</v>
      </c>
      <c r="C23" t="s">
        <v>2927</v>
      </c>
      <c r="D23" t="s">
        <v>2928</v>
      </c>
      <c r="E23" t="s">
        <v>309</v>
      </c>
      <c r="F23" t="s">
        <v>4584</v>
      </c>
      <c r="G23" t="s">
        <v>4585</v>
      </c>
      <c r="H23" t="s">
        <v>321</v>
      </c>
      <c r="I23" t="s">
        <v>204</v>
      </c>
      <c r="J23" t="s">
        <v>204</v>
      </c>
      <c r="K23" t="s">
        <v>325</v>
      </c>
      <c r="L23" t="s">
        <v>340</v>
      </c>
      <c r="M23" t="s">
        <v>4586</v>
      </c>
      <c r="N23" t="s">
        <v>451</v>
      </c>
      <c r="O23" t="s">
        <v>3375</v>
      </c>
      <c r="P23" t="s">
        <v>339</v>
      </c>
      <c r="Q23" t="s">
        <v>1212</v>
      </c>
      <c r="R23" s="131">
        <v>100</v>
      </c>
      <c r="S23" s="131">
        <v>1</v>
      </c>
      <c r="T23" s="131">
        <v>104000</v>
      </c>
      <c r="U23" s="131">
        <v>1</v>
      </c>
      <c r="V23" s="131">
        <v>1</v>
      </c>
      <c r="W23" s="131">
        <v>1.04</v>
      </c>
      <c r="X23" s="132">
        <v>0.10604</v>
      </c>
      <c r="Y23" s="132">
        <v>0</v>
      </c>
    </row>
    <row r="24" spans="1:25" hidden="1">
      <c r="A24" t="s">
        <v>1213</v>
      </c>
      <c r="B24" t="s">
        <v>1247</v>
      </c>
      <c r="C24" t="s">
        <v>1825</v>
      </c>
      <c r="D24" t="s">
        <v>1826</v>
      </c>
      <c r="E24" t="s">
        <v>309</v>
      </c>
      <c r="F24" t="s">
        <v>4587</v>
      </c>
      <c r="G24" t="s">
        <v>4588</v>
      </c>
      <c r="H24" t="s">
        <v>321</v>
      </c>
      <c r="I24" t="s">
        <v>204</v>
      </c>
      <c r="J24" t="s">
        <v>204</v>
      </c>
      <c r="K24" t="s">
        <v>325</v>
      </c>
      <c r="L24" t="s">
        <v>340</v>
      </c>
      <c r="M24" t="s">
        <v>3865</v>
      </c>
      <c r="N24" t="s">
        <v>441</v>
      </c>
      <c r="O24" t="s">
        <v>1506</v>
      </c>
      <c r="P24" t="s">
        <v>339</v>
      </c>
      <c r="Q24" t="s">
        <v>1212</v>
      </c>
      <c r="R24" s="131">
        <v>15000</v>
      </c>
      <c r="S24" s="131">
        <v>1</v>
      </c>
      <c r="T24" s="131">
        <v>340</v>
      </c>
      <c r="U24" s="131">
        <v>1</v>
      </c>
      <c r="V24" s="131">
        <v>250.5</v>
      </c>
      <c r="W24" s="131">
        <v>0.85199999999999998</v>
      </c>
      <c r="X24" s="132">
        <v>8.6840000000000001E-2</v>
      </c>
      <c r="Y24" s="132">
        <v>0</v>
      </c>
    </row>
    <row r="25" spans="1:25" hidden="1">
      <c r="A25" t="s">
        <v>1213</v>
      </c>
      <c r="B25" t="s">
        <v>1247</v>
      </c>
      <c r="C25" t="s">
        <v>1825</v>
      </c>
      <c r="D25" t="s">
        <v>1826</v>
      </c>
      <c r="E25" t="s">
        <v>309</v>
      </c>
      <c r="F25" t="s">
        <v>4535</v>
      </c>
      <c r="G25" t="s">
        <v>4536</v>
      </c>
      <c r="H25" t="s">
        <v>321</v>
      </c>
      <c r="I25" t="s">
        <v>204</v>
      </c>
      <c r="J25" t="s">
        <v>204</v>
      </c>
      <c r="K25" t="s">
        <v>325</v>
      </c>
      <c r="L25" t="s">
        <v>340</v>
      </c>
      <c r="M25" t="s">
        <v>3865</v>
      </c>
      <c r="N25" t="s">
        <v>441</v>
      </c>
      <c r="O25" t="s">
        <v>1806</v>
      </c>
      <c r="P25" t="s">
        <v>339</v>
      </c>
      <c r="Q25" t="s">
        <v>1212</v>
      </c>
      <c r="R25" s="131">
        <v>8000</v>
      </c>
      <c r="S25" s="131">
        <v>1</v>
      </c>
      <c r="T25" s="131">
        <v>60</v>
      </c>
      <c r="U25" s="131">
        <v>1</v>
      </c>
      <c r="V25" s="131">
        <v>322.60000000000002</v>
      </c>
      <c r="W25" s="131">
        <v>0.19400000000000001</v>
      </c>
      <c r="X25" s="132">
        <v>1.9740000000000001E-2</v>
      </c>
      <c r="Y25" s="132">
        <v>0</v>
      </c>
    </row>
    <row r="26" spans="1:25" hidden="1">
      <c r="A26" t="s">
        <v>1213</v>
      </c>
      <c r="B26" t="s">
        <v>1248</v>
      </c>
      <c r="C26" t="s">
        <v>1909</v>
      </c>
      <c r="D26" t="s">
        <v>1910</v>
      </c>
      <c r="E26" t="s">
        <v>309</v>
      </c>
      <c r="F26" t="s">
        <v>4581</v>
      </c>
      <c r="G26" t="s">
        <v>4582</v>
      </c>
      <c r="H26" t="s">
        <v>321</v>
      </c>
      <c r="I26" t="s">
        <v>204</v>
      </c>
      <c r="J26" t="s">
        <v>204</v>
      </c>
      <c r="K26" t="s">
        <v>325</v>
      </c>
      <c r="L26" t="s">
        <v>340</v>
      </c>
      <c r="M26" t="s">
        <v>3881</v>
      </c>
      <c r="N26" t="s">
        <v>464</v>
      </c>
      <c r="O26" t="s">
        <v>4583</v>
      </c>
      <c r="P26" t="s">
        <v>339</v>
      </c>
      <c r="Q26" t="s">
        <v>1212</v>
      </c>
      <c r="R26" s="131">
        <v>200</v>
      </c>
      <c r="S26" s="131">
        <v>1</v>
      </c>
      <c r="T26" s="131">
        <v>26000</v>
      </c>
      <c r="U26" s="131">
        <v>1</v>
      </c>
      <c r="V26" s="131">
        <v>19.8</v>
      </c>
      <c r="W26" s="131">
        <v>5.1479999999999997</v>
      </c>
      <c r="X26" s="132">
        <v>0.48165999999999998</v>
      </c>
      <c r="Y26" s="132">
        <v>1.0000000000000001E-5</v>
      </c>
    </row>
    <row r="27" spans="1:25" hidden="1">
      <c r="A27" t="s">
        <v>1213</v>
      </c>
      <c r="B27" t="s">
        <v>1248</v>
      </c>
      <c r="C27" t="s">
        <v>4545</v>
      </c>
      <c r="D27" t="s">
        <v>4546</v>
      </c>
      <c r="E27" t="s">
        <v>309</v>
      </c>
      <c r="F27" t="s">
        <v>4547</v>
      </c>
      <c r="G27" t="s">
        <v>4548</v>
      </c>
      <c r="H27" t="s">
        <v>321</v>
      </c>
      <c r="I27" t="s">
        <v>204</v>
      </c>
      <c r="J27" t="s">
        <v>204</v>
      </c>
      <c r="K27" t="s">
        <v>325</v>
      </c>
      <c r="L27" t="s">
        <v>340</v>
      </c>
      <c r="M27" t="s">
        <v>4549</v>
      </c>
      <c r="N27" t="s">
        <v>471</v>
      </c>
      <c r="O27" t="s">
        <v>4550</v>
      </c>
      <c r="P27" t="s">
        <v>339</v>
      </c>
      <c r="Q27" t="s">
        <v>1212</v>
      </c>
      <c r="R27" s="131">
        <v>280</v>
      </c>
      <c r="S27" s="131">
        <v>1</v>
      </c>
      <c r="T27" s="131">
        <v>4787.5600000000004</v>
      </c>
      <c r="U27" s="131">
        <v>1</v>
      </c>
      <c r="V27" s="131">
        <v>100</v>
      </c>
      <c r="W27" s="131">
        <v>4.7880000000000003</v>
      </c>
      <c r="X27" s="132">
        <v>0.44794</v>
      </c>
      <c r="Y27" s="132">
        <v>1.0000000000000001E-5</v>
      </c>
    </row>
    <row r="28" spans="1:25" hidden="1">
      <c r="A28" t="s">
        <v>1213</v>
      </c>
      <c r="B28" t="s">
        <v>1248</v>
      </c>
      <c r="C28" t="s">
        <v>2927</v>
      </c>
      <c r="D28" t="s">
        <v>2928</v>
      </c>
      <c r="E28" t="s">
        <v>309</v>
      </c>
      <c r="F28" t="s">
        <v>4584</v>
      </c>
      <c r="G28" t="s">
        <v>4585</v>
      </c>
      <c r="H28" t="s">
        <v>321</v>
      </c>
      <c r="I28" t="s">
        <v>204</v>
      </c>
      <c r="J28" t="s">
        <v>204</v>
      </c>
      <c r="K28" t="s">
        <v>325</v>
      </c>
      <c r="L28" t="s">
        <v>340</v>
      </c>
      <c r="M28" t="s">
        <v>4586</v>
      </c>
      <c r="N28" t="s">
        <v>451</v>
      </c>
      <c r="O28" t="s">
        <v>3375</v>
      </c>
      <c r="P28" t="s">
        <v>339</v>
      </c>
      <c r="Q28" t="s">
        <v>1212</v>
      </c>
      <c r="R28" s="131">
        <v>100</v>
      </c>
      <c r="S28" s="131">
        <v>1</v>
      </c>
      <c r="T28" s="131">
        <v>34600</v>
      </c>
      <c r="U28" s="131">
        <v>1</v>
      </c>
      <c r="V28" s="131">
        <v>1</v>
      </c>
      <c r="W28" s="131">
        <v>0.34599999999999997</v>
      </c>
      <c r="X28" s="132">
        <v>3.2370000000000003E-2</v>
      </c>
      <c r="Y28" s="132">
        <v>0</v>
      </c>
    </row>
    <row r="29" spans="1:25" hidden="1">
      <c r="A29" t="s">
        <v>1213</v>
      </c>
      <c r="B29" t="s">
        <v>1248</v>
      </c>
      <c r="C29" t="s">
        <v>1825</v>
      </c>
      <c r="D29" t="s">
        <v>1826</v>
      </c>
      <c r="E29" t="s">
        <v>309</v>
      </c>
      <c r="F29" t="s">
        <v>4587</v>
      </c>
      <c r="G29" t="s">
        <v>4588</v>
      </c>
      <c r="H29" t="s">
        <v>321</v>
      </c>
      <c r="I29" t="s">
        <v>204</v>
      </c>
      <c r="J29" t="s">
        <v>204</v>
      </c>
      <c r="K29" t="s">
        <v>325</v>
      </c>
      <c r="L29" t="s">
        <v>340</v>
      </c>
      <c r="M29" t="s">
        <v>3865</v>
      </c>
      <c r="N29" t="s">
        <v>441</v>
      </c>
      <c r="O29" t="s">
        <v>1506</v>
      </c>
      <c r="P29" t="s">
        <v>339</v>
      </c>
      <c r="Q29" t="s">
        <v>1212</v>
      </c>
      <c r="R29" s="131">
        <v>15000</v>
      </c>
      <c r="S29" s="131">
        <v>1</v>
      </c>
      <c r="T29" s="131">
        <v>85</v>
      </c>
      <c r="U29" s="131">
        <v>1</v>
      </c>
      <c r="V29" s="131">
        <v>250.5</v>
      </c>
      <c r="W29" s="131">
        <v>0.21299999999999999</v>
      </c>
      <c r="X29" s="132">
        <v>1.992E-2</v>
      </c>
      <c r="Y29" s="132">
        <v>0</v>
      </c>
    </row>
    <row r="30" spans="1:25" hidden="1">
      <c r="A30" t="s">
        <v>1213</v>
      </c>
      <c r="B30" t="s">
        <v>1248</v>
      </c>
      <c r="C30" t="s">
        <v>1825</v>
      </c>
      <c r="D30" t="s">
        <v>1826</v>
      </c>
      <c r="E30" t="s">
        <v>309</v>
      </c>
      <c r="F30" t="s">
        <v>4535</v>
      </c>
      <c r="G30" t="s">
        <v>4536</v>
      </c>
      <c r="H30" t="s">
        <v>321</v>
      </c>
      <c r="I30" t="s">
        <v>204</v>
      </c>
      <c r="J30" t="s">
        <v>204</v>
      </c>
      <c r="K30" t="s">
        <v>325</v>
      </c>
      <c r="L30" t="s">
        <v>340</v>
      </c>
      <c r="M30" t="s">
        <v>3865</v>
      </c>
      <c r="N30" t="s">
        <v>441</v>
      </c>
      <c r="O30" t="s">
        <v>1806</v>
      </c>
      <c r="P30" t="s">
        <v>339</v>
      </c>
      <c r="Q30" t="s">
        <v>1212</v>
      </c>
      <c r="R30" s="131">
        <v>8000</v>
      </c>
      <c r="S30" s="131">
        <v>1</v>
      </c>
      <c r="T30" s="131">
        <v>60</v>
      </c>
      <c r="U30" s="131">
        <v>1</v>
      </c>
      <c r="V30" s="131">
        <v>322.60000000000002</v>
      </c>
      <c r="W30" s="131">
        <v>0.19400000000000001</v>
      </c>
      <c r="X30" s="132">
        <v>1.8110000000000001E-2</v>
      </c>
      <c r="Y30" s="132">
        <v>0</v>
      </c>
    </row>
    <row r="31" spans="1:25" hidden="1">
      <c r="A31" t="s">
        <v>1213</v>
      </c>
      <c r="B31" t="s">
        <v>1250</v>
      </c>
      <c r="C31" t="s">
        <v>1909</v>
      </c>
      <c r="D31" t="s">
        <v>1910</v>
      </c>
      <c r="E31" t="s">
        <v>309</v>
      </c>
      <c r="F31" t="s">
        <v>4581</v>
      </c>
      <c r="G31" t="s">
        <v>4582</v>
      </c>
      <c r="H31" t="s">
        <v>321</v>
      </c>
      <c r="I31" t="s">
        <v>204</v>
      </c>
      <c r="J31" t="s">
        <v>204</v>
      </c>
      <c r="K31" t="s">
        <v>325</v>
      </c>
      <c r="L31" t="s">
        <v>340</v>
      </c>
      <c r="M31" t="s">
        <v>3881</v>
      </c>
      <c r="N31" t="s">
        <v>464</v>
      </c>
      <c r="O31" t="s">
        <v>4583</v>
      </c>
      <c r="P31" t="s">
        <v>339</v>
      </c>
      <c r="Q31" t="s">
        <v>1212</v>
      </c>
      <c r="R31" s="131">
        <v>200</v>
      </c>
      <c r="S31" s="131">
        <v>1</v>
      </c>
      <c r="T31" s="131">
        <v>1230250</v>
      </c>
      <c r="U31" s="131">
        <v>1</v>
      </c>
      <c r="V31" s="131">
        <v>19.8</v>
      </c>
      <c r="W31" s="131">
        <v>243.59</v>
      </c>
      <c r="X31" s="132">
        <v>0.84863</v>
      </c>
      <c r="Y31" s="132">
        <v>6.9999999999999994E-5</v>
      </c>
    </row>
    <row r="32" spans="1:25" hidden="1">
      <c r="A32" t="s">
        <v>1213</v>
      </c>
      <c r="B32" t="s">
        <v>1250</v>
      </c>
      <c r="C32" t="s">
        <v>2927</v>
      </c>
      <c r="D32" t="s">
        <v>2928</v>
      </c>
      <c r="E32" t="s">
        <v>309</v>
      </c>
      <c r="F32" t="s">
        <v>4584</v>
      </c>
      <c r="G32" t="s">
        <v>4585</v>
      </c>
      <c r="H32" t="s">
        <v>321</v>
      </c>
      <c r="I32" t="s">
        <v>204</v>
      </c>
      <c r="J32" t="s">
        <v>204</v>
      </c>
      <c r="K32" t="s">
        <v>325</v>
      </c>
      <c r="L32" t="s">
        <v>340</v>
      </c>
      <c r="M32" t="s">
        <v>4586</v>
      </c>
      <c r="N32" t="s">
        <v>451</v>
      </c>
      <c r="O32" t="s">
        <v>3375</v>
      </c>
      <c r="P32" t="s">
        <v>339</v>
      </c>
      <c r="Q32" t="s">
        <v>1212</v>
      </c>
      <c r="R32" s="131">
        <v>100</v>
      </c>
      <c r="S32" s="131">
        <v>1</v>
      </c>
      <c r="T32" s="131">
        <v>1596600</v>
      </c>
      <c r="U32" s="131">
        <v>1</v>
      </c>
      <c r="V32" s="131">
        <v>1</v>
      </c>
      <c r="W32" s="131">
        <v>15.965999999999999</v>
      </c>
      <c r="X32" s="132">
        <v>5.5620000000000003E-2</v>
      </c>
      <c r="Y32" s="132">
        <v>0</v>
      </c>
    </row>
    <row r="33" spans="1:25" hidden="1">
      <c r="A33" t="s">
        <v>1213</v>
      </c>
      <c r="B33" t="s">
        <v>1250</v>
      </c>
      <c r="C33" t="s">
        <v>4545</v>
      </c>
      <c r="D33" t="s">
        <v>4546</v>
      </c>
      <c r="E33" t="s">
        <v>309</v>
      </c>
      <c r="F33" t="s">
        <v>4547</v>
      </c>
      <c r="G33" t="s">
        <v>4548</v>
      </c>
      <c r="H33" t="s">
        <v>321</v>
      </c>
      <c r="I33" t="s">
        <v>204</v>
      </c>
      <c r="J33" t="s">
        <v>204</v>
      </c>
      <c r="K33" t="s">
        <v>325</v>
      </c>
      <c r="L33" t="s">
        <v>340</v>
      </c>
      <c r="M33" t="s">
        <v>4549</v>
      </c>
      <c r="N33" t="s">
        <v>471</v>
      </c>
      <c r="O33" t="s">
        <v>4550</v>
      </c>
      <c r="P33" t="s">
        <v>339</v>
      </c>
      <c r="Q33" t="s">
        <v>1212</v>
      </c>
      <c r="R33" s="131">
        <v>280</v>
      </c>
      <c r="S33" s="131">
        <v>1</v>
      </c>
      <c r="T33" s="131">
        <v>9334.86</v>
      </c>
      <c r="U33" s="131">
        <v>1</v>
      </c>
      <c r="V33" s="131">
        <v>100</v>
      </c>
      <c r="W33" s="131">
        <v>9.3350000000000009</v>
      </c>
      <c r="X33" s="132">
        <v>3.252E-2</v>
      </c>
      <c r="Y33" s="132">
        <v>0</v>
      </c>
    </row>
    <row r="34" spans="1:25" hidden="1">
      <c r="A34" t="s">
        <v>1213</v>
      </c>
      <c r="B34" t="s">
        <v>1250</v>
      </c>
      <c r="C34" t="s">
        <v>1825</v>
      </c>
      <c r="D34" t="s">
        <v>1826</v>
      </c>
      <c r="E34" t="s">
        <v>309</v>
      </c>
      <c r="F34" t="s">
        <v>4535</v>
      </c>
      <c r="G34" t="s">
        <v>4536</v>
      </c>
      <c r="H34" t="s">
        <v>321</v>
      </c>
      <c r="I34" t="s">
        <v>204</v>
      </c>
      <c r="J34" t="s">
        <v>204</v>
      </c>
      <c r="K34" t="s">
        <v>325</v>
      </c>
      <c r="L34" t="s">
        <v>340</v>
      </c>
      <c r="M34" t="s">
        <v>3865</v>
      </c>
      <c r="N34" t="s">
        <v>441</v>
      </c>
      <c r="O34" t="s">
        <v>1806</v>
      </c>
      <c r="P34" t="s">
        <v>339</v>
      </c>
      <c r="Q34" t="s">
        <v>1212</v>
      </c>
      <c r="R34" s="131">
        <v>8000</v>
      </c>
      <c r="S34" s="131">
        <v>1</v>
      </c>
      <c r="T34" s="131">
        <v>2838</v>
      </c>
      <c r="U34" s="131">
        <v>1</v>
      </c>
      <c r="V34" s="131">
        <v>322.60000000000002</v>
      </c>
      <c r="W34" s="131">
        <v>9.1549999999999994</v>
      </c>
      <c r="X34" s="132">
        <v>3.1899999999999998E-2</v>
      </c>
      <c r="Y34" s="132">
        <v>0</v>
      </c>
    </row>
    <row r="35" spans="1:25" hidden="1">
      <c r="A35" t="s">
        <v>1213</v>
      </c>
      <c r="B35" t="s">
        <v>1250</v>
      </c>
      <c r="C35" t="s">
        <v>1825</v>
      </c>
      <c r="D35" t="s">
        <v>1826</v>
      </c>
      <c r="E35" t="s">
        <v>309</v>
      </c>
      <c r="F35" t="s">
        <v>4587</v>
      </c>
      <c r="G35" t="s">
        <v>4588</v>
      </c>
      <c r="H35" t="s">
        <v>321</v>
      </c>
      <c r="I35" t="s">
        <v>204</v>
      </c>
      <c r="J35" t="s">
        <v>204</v>
      </c>
      <c r="K35" t="s">
        <v>325</v>
      </c>
      <c r="L35" t="s">
        <v>340</v>
      </c>
      <c r="M35" t="s">
        <v>3865</v>
      </c>
      <c r="N35" t="s">
        <v>441</v>
      </c>
      <c r="O35" t="s">
        <v>1506</v>
      </c>
      <c r="P35" t="s">
        <v>339</v>
      </c>
      <c r="Q35" t="s">
        <v>1212</v>
      </c>
      <c r="R35" s="131">
        <v>15000</v>
      </c>
      <c r="S35" s="131">
        <v>1</v>
      </c>
      <c r="T35" s="131">
        <v>3590</v>
      </c>
      <c r="U35" s="131">
        <v>1</v>
      </c>
      <c r="V35" s="131">
        <v>250.5</v>
      </c>
      <c r="W35" s="131">
        <v>8.9930000000000003</v>
      </c>
      <c r="X35" s="132">
        <v>3.1329999999999997E-2</v>
      </c>
      <c r="Y35" s="132">
        <v>0</v>
      </c>
    </row>
    <row r="36" spans="1:25" hidden="1">
      <c r="A36" t="s">
        <v>1213</v>
      </c>
      <c r="B36" t="s">
        <v>1252</v>
      </c>
      <c r="C36" t="s">
        <v>3683</v>
      </c>
      <c r="D36" t="s">
        <v>3684</v>
      </c>
      <c r="E36" t="s">
        <v>309</v>
      </c>
      <c r="F36" t="s">
        <v>4567</v>
      </c>
      <c r="G36" t="s">
        <v>4568</v>
      </c>
      <c r="H36" t="s">
        <v>321</v>
      </c>
      <c r="I36" t="s">
        <v>204</v>
      </c>
      <c r="J36" t="s">
        <v>204</v>
      </c>
      <c r="K36" t="s">
        <v>325</v>
      </c>
      <c r="L36" t="s">
        <v>340</v>
      </c>
      <c r="M36" t="s">
        <v>3685</v>
      </c>
      <c r="N36" t="s">
        <v>451</v>
      </c>
      <c r="O36" t="s">
        <v>4569</v>
      </c>
      <c r="P36" t="s">
        <v>339</v>
      </c>
      <c r="Q36" t="s">
        <v>1212</v>
      </c>
      <c r="R36" s="131">
        <v>610</v>
      </c>
      <c r="S36" s="131">
        <v>1</v>
      </c>
      <c r="T36" s="131">
        <v>24500</v>
      </c>
      <c r="U36" s="131">
        <v>1</v>
      </c>
      <c r="V36" s="131">
        <v>100</v>
      </c>
      <c r="W36" s="131">
        <v>24.5</v>
      </c>
      <c r="X36" s="132">
        <v>1</v>
      </c>
      <c r="Y36" s="132">
        <v>1.3999999999999999E-4</v>
      </c>
    </row>
    <row r="37" spans="1:25" hidden="1">
      <c r="A37" t="s">
        <v>1213</v>
      </c>
      <c r="B37" t="s">
        <v>1253</v>
      </c>
      <c r="C37" t="s">
        <v>3683</v>
      </c>
      <c r="D37" t="s">
        <v>3684</v>
      </c>
      <c r="E37" t="s">
        <v>309</v>
      </c>
      <c r="F37" t="s">
        <v>4567</v>
      </c>
      <c r="G37" t="s">
        <v>4568</v>
      </c>
      <c r="H37" t="s">
        <v>321</v>
      </c>
      <c r="I37" t="s">
        <v>204</v>
      </c>
      <c r="J37" t="s">
        <v>204</v>
      </c>
      <c r="K37" t="s">
        <v>325</v>
      </c>
      <c r="L37" t="s">
        <v>340</v>
      </c>
      <c r="M37" t="s">
        <v>3685</v>
      </c>
      <c r="N37" t="s">
        <v>451</v>
      </c>
      <c r="O37" t="s">
        <v>4569</v>
      </c>
      <c r="P37" t="s">
        <v>339</v>
      </c>
      <c r="Q37" t="s">
        <v>1212</v>
      </c>
      <c r="R37" s="131">
        <v>610</v>
      </c>
      <c r="S37" s="131">
        <v>1</v>
      </c>
      <c r="T37" s="131">
        <v>11450</v>
      </c>
      <c r="U37" s="131">
        <v>1</v>
      </c>
      <c r="V37" s="131">
        <v>100</v>
      </c>
      <c r="W37" s="131">
        <v>11.45</v>
      </c>
      <c r="X37" s="132">
        <v>1</v>
      </c>
      <c r="Y37" s="132">
        <v>1E-4</v>
      </c>
    </row>
    <row r="38" spans="1:25" hidden="1">
      <c r="A38" t="s">
        <v>1213</v>
      </c>
      <c r="B38" t="s">
        <v>1257</v>
      </c>
      <c r="C38" t="s">
        <v>3683</v>
      </c>
      <c r="D38" t="s">
        <v>3684</v>
      </c>
      <c r="E38" t="s">
        <v>309</v>
      </c>
      <c r="F38" t="s">
        <v>4567</v>
      </c>
      <c r="G38" t="s">
        <v>4568</v>
      </c>
      <c r="H38" t="s">
        <v>321</v>
      </c>
      <c r="I38" t="s">
        <v>204</v>
      </c>
      <c r="J38" t="s">
        <v>204</v>
      </c>
      <c r="K38" t="s">
        <v>325</v>
      </c>
      <c r="L38" t="s">
        <v>340</v>
      </c>
      <c r="M38" t="s">
        <v>3685</v>
      </c>
      <c r="N38" t="s">
        <v>451</v>
      </c>
      <c r="O38" t="s">
        <v>4569</v>
      </c>
      <c r="P38" t="s">
        <v>339</v>
      </c>
      <c r="Q38" t="s">
        <v>1212</v>
      </c>
      <c r="R38" s="131">
        <v>610</v>
      </c>
      <c r="S38" s="131">
        <v>1</v>
      </c>
      <c r="T38" s="131">
        <v>22850</v>
      </c>
      <c r="U38" s="131">
        <v>1</v>
      </c>
      <c r="V38" s="131">
        <v>100</v>
      </c>
      <c r="W38" s="131">
        <v>22.85</v>
      </c>
      <c r="X38" s="132">
        <v>1</v>
      </c>
      <c r="Y38" s="132">
        <v>8.0000000000000007E-5</v>
      </c>
    </row>
    <row r="39" spans="1:25" hidden="1">
      <c r="A39" t="s">
        <v>1213</v>
      </c>
      <c r="B39" t="s">
        <v>1221</v>
      </c>
    </row>
    <row r="40" spans="1:25" hidden="1">
      <c r="A40" t="s">
        <v>1213</v>
      </c>
      <c r="B40" t="s">
        <v>1222</v>
      </c>
    </row>
    <row r="41" spans="1:25" hidden="1">
      <c r="A41" t="s">
        <v>1213</v>
      </c>
      <c r="B41" t="s">
        <v>1223</v>
      </c>
    </row>
    <row r="42" spans="1:25" hidden="1">
      <c r="A42" t="s">
        <v>1213</v>
      </c>
      <c r="B42" t="s">
        <v>1224</v>
      </c>
    </row>
    <row r="43" spans="1:25" hidden="1">
      <c r="A43" t="s">
        <v>1213</v>
      </c>
      <c r="B43" t="s">
        <v>1225</v>
      </c>
    </row>
    <row r="44" spans="1:25" hidden="1">
      <c r="A44" t="s">
        <v>1213</v>
      </c>
      <c r="B44" t="s">
        <v>1231</v>
      </c>
    </row>
    <row r="45" spans="1:25" hidden="1">
      <c r="A45" t="s">
        <v>1213</v>
      </c>
      <c r="B45" t="s">
        <v>1232</v>
      </c>
    </row>
    <row r="46" spans="1:25" hidden="1">
      <c r="A46" t="s">
        <v>1213</v>
      </c>
      <c r="B46" t="s">
        <v>1233</v>
      </c>
    </row>
    <row r="47" spans="1:25" hidden="1">
      <c r="A47" t="s">
        <v>1213</v>
      </c>
      <c r="B47" t="s">
        <v>1234</v>
      </c>
    </row>
    <row r="48" spans="1:25" hidden="1">
      <c r="A48" t="s">
        <v>1213</v>
      </c>
      <c r="B48" t="s">
        <v>1238</v>
      </c>
    </row>
    <row r="49" spans="1:2" hidden="1">
      <c r="A49" t="s">
        <v>1213</v>
      </c>
      <c r="B49" t="s">
        <v>1241</v>
      </c>
    </row>
    <row r="50" spans="1:2" hidden="1">
      <c r="A50" t="s">
        <v>1213</v>
      </c>
      <c r="B50" t="s">
        <v>1244</v>
      </c>
    </row>
    <row r="51" spans="1:2" hidden="1">
      <c r="A51" t="s">
        <v>1213</v>
      </c>
      <c r="B51">
        <v>15108</v>
      </c>
    </row>
    <row r="52" spans="1:2" hidden="1">
      <c r="A52" t="s">
        <v>1213</v>
      </c>
      <c r="B52" t="s">
        <v>1251</v>
      </c>
    </row>
    <row r="53" spans="1:2" hidden="1">
      <c r="A53" t="s">
        <v>1213</v>
      </c>
      <c r="B53" t="s">
        <v>1254</v>
      </c>
    </row>
    <row r="54" spans="1:2" hidden="1">
      <c r="A54" t="s">
        <v>1213</v>
      </c>
      <c r="B54" t="s">
        <v>1255</v>
      </c>
    </row>
    <row r="55" spans="1:2" hidden="1">
      <c r="A55" t="s">
        <v>1213</v>
      </c>
      <c r="B55" t="s">
        <v>1256</v>
      </c>
    </row>
  </sheetData>
  <autoFilter ref="A1:Z55">
    <filterColumn colId="6">
      <filters>
        <filter val="IL0011822785"/>
      </filters>
    </filterColumn>
  </autoFilter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4"/>
  <sheetViews>
    <sheetView rightToLeft="1" topLeftCell="L1" workbookViewId="0">
      <selection activeCell="P17" sqref="P17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5" width="11.625" style="2" customWidth="1"/>
    <col min="26" max="16384" width="9" style="2"/>
  </cols>
  <sheetData>
    <row r="1" spans="1:24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70</v>
      </c>
      <c r="M1" s="17" t="s">
        <v>83</v>
      </c>
      <c r="N1" s="17" t="s">
        <v>96</v>
      </c>
      <c r="O1" s="17" t="s">
        <v>93</v>
      </c>
      <c r="P1" s="17" t="s">
        <v>56</v>
      </c>
      <c r="Q1" s="17" t="s">
        <v>59</v>
      </c>
      <c r="R1" s="17" t="s">
        <v>94</v>
      </c>
      <c r="S1" s="17" t="s">
        <v>76</v>
      </c>
      <c r="T1" s="17" t="s">
        <v>61</v>
      </c>
      <c r="U1" s="17" t="s">
        <v>77</v>
      </c>
      <c r="V1" s="17" t="s">
        <v>63</v>
      </c>
      <c r="W1" s="17" t="s">
        <v>64</v>
      </c>
      <c r="X1" s="17" t="s">
        <v>65</v>
      </c>
    </row>
    <row r="2" spans="1:24">
      <c r="A2" t="s">
        <v>1213</v>
      </c>
      <c r="B2" t="s">
        <v>1225</v>
      </c>
      <c r="C2" s="109"/>
      <c r="D2" s="109"/>
      <c r="E2" s="16"/>
      <c r="F2" t="s">
        <v>4589</v>
      </c>
      <c r="G2" t="s">
        <v>4590</v>
      </c>
      <c r="H2" t="s">
        <v>321</v>
      </c>
      <c r="I2" t="s">
        <v>971</v>
      </c>
      <c r="J2" t="s">
        <v>205</v>
      </c>
      <c r="K2" t="s">
        <v>224</v>
      </c>
      <c r="L2" t="s">
        <v>314</v>
      </c>
      <c r="M2" t="s">
        <v>569</v>
      </c>
      <c r="N2" t="s">
        <v>747</v>
      </c>
      <c r="O2" t="s">
        <v>4591</v>
      </c>
      <c r="P2" t="s">
        <v>339</v>
      </c>
      <c r="Q2" t="s">
        <v>1216</v>
      </c>
      <c r="R2" s="131">
        <v>6000</v>
      </c>
      <c r="S2" s="131">
        <v>2400</v>
      </c>
      <c r="T2" s="131">
        <v>3.71</v>
      </c>
      <c r="U2" s="131">
        <v>0</v>
      </c>
      <c r="V2" s="131">
        <v>0</v>
      </c>
      <c r="W2" s="132">
        <v>-0.18340000000000001</v>
      </c>
      <c r="X2" s="132">
        <v>0</v>
      </c>
    </row>
    <row r="3" spans="1:24">
      <c r="A3" t="s">
        <v>1213</v>
      </c>
      <c r="B3" t="s">
        <v>1225</v>
      </c>
      <c r="C3" s="109"/>
      <c r="D3" s="109"/>
      <c r="E3" s="16"/>
      <c r="F3" t="s">
        <v>4592</v>
      </c>
      <c r="G3" t="s">
        <v>4593</v>
      </c>
      <c r="H3" t="s">
        <v>321</v>
      </c>
      <c r="I3" t="s">
        <v>971</v>
      </c>
      <c r="J3" t="s">
        <v>205</v>
      </c>
      <c r="K3" t="s">
        <v>224</v>
      </c>
      <c r="L3" t="s">
        <v>314</v>
      </c>
      <c r="M3" t="s">
        <v>569</v>
      </c>
      <c r="N3" t="s">
        <v>747</v>
      </c>
      <c r="O3" t="s">
        <v>4591</v>
      </c>
      <c r="P3" t="s">
        <v>339</v>
      </c>
      <c r="Q3" t="s">
        <v>1216</v>
      </c>
      <c r="R3" s="131">
        <v>5400</v>
      </c>
      <c r="S3" s="131">
        <v>-2100</v>
      </c>
      <c r="T3" s="131">
        <v>3.71</v>
      </c>
      <c r="U3" s="131">
        <v>0</v>
      </c>
      <c r="V3" s="131">
        <v>0</v>
      </c>
      <c r="W3" s="132">
        <v>1.1834</v>
      </c>
      <c r="X3" s="132">
        <v>0</v>
      </c>
    </row>
    <row r="4" spans="1:24">
      <c r="A4" t="s">
        <v>1213</v>
      </c>
      <c r="B4" t="s">
        <v>1230</v>
      </c>
      <c r="C4" s="109"/>
      <c r="D4" s="109"/>
      <c r="E4" s="16"/>
      <c r="F4" t="s">
        <v>4589</v>
      </c>
      <c r="G4" t="s">
        <v>4590</v>
      </c>
      <c r="H4" t="s">
        <v>321</v>
      </c>
      <c r="I4" t="s">
        <v>971</v>
      </c>
      <c r="J4" t="s">
        <v>205</v>
      </c>
      <c r="K4" t="s">
        <v>224</v>
      </c>
      <c r="L4" t="s">
        <v>314</v>
      </c>
      <c r="M4" t="s">
        <v>569</v>
      </c>
      <c r="N4" t="s">
        <v>747</v>
      </c>
      <c r="O4" t="s">
        <v>4591</v>
      </c>
      <c r="P4" t="s">
        <v>339</v>
      </c>
      <c r="Q4" t="s">
        <v>1216</v>
      </c>
      <c r="R4" s="131">
        <v>6000</v>
      </c>
      <c r="S4" s="131">
        <v>5200</v>
      </c>
      <c r="T4" s="131">
        <v>3.71</v>
      </c>
      <c r="U4" s="131">
        <v>0</v>
      </c>
      <c r="V4" s="131">
        <v>0</v>
      </c>
      <c r="W4" s="132">
        <v>-0.16417000000000001</v>
      </c>
      <c r="X4" s="132">
        <v>0</v>
      </c>
    </row>
    <row r="5" spans="1:24">
      <c r="A5" t="s">
        <v>1213</v>
      </c>
      <c r="B5" t="s">
        <v>1230</v>
      </c>
      <c r="C5" s="109"/>
      <c r="D5" s="109"/>
      <c r="E5" s="16"/>
      <c r="F5" t="s">
        <v>4592</v>
      </c>
      <c r="G5" t="s">
        <v>4593</v>
      </c>
      <c r="H5" t="s">
        <v>321</v>
      </c>
      <c r="I5" t="s">
        <v>971</v>
      </c>
      <c r="J5" t="s">
        <v>205</v>
      </c>
      <c r="K5" t="s">
        <v>224</v>
      </c>
      <c r="L5" t="s">
        <v>314</v>
      </c>
      <c r="M5" t="s">
        <v>569</v>
      </c>
      <c r="N5" t="s">
        <v>747</v>
      </c>
      <c r="O5" t="s">
        <v>4591</v>
      </c>
      <c r="P5" t="s">
        <v>339</v>
      </c>
      <c r="Q5" t="s">
        <v>1216</v>
      </c>
      <c r="R5" s="131">
        <v>5400</v>
      </c>
      <c r="S5" s="131">
        <v>-5000</v>
      </c>
      <c r="T5" s="131">
        <v>3.71</v>
      </c>
      <c r="U5" s="131">
        <v>0</v>
      </c>
      <c r="V5" s="131">
        <v>0</v>
      </c>
      <c r="W5" s="132">
        <v>1.1641699999999999</v>
      </c>
      <c r="X5" s="132">
        <v>0</v>
      </c>
    </row>
    <row r="6" spans="1:24">
      <c r="A6" t="s">
        <v>1213</v>
      </c>
      <c r="B6" t="s">
        <v>1254</v>
      </c>
      <c r="C6" s="109"/>
      <c r="D6" s="109"/>
      <c r="E6" s="16"/>
      <c r="F6" t="s">
        <v>4594</v>
      </c>
      <c r="G6" t="s">
        <v>4595</v>
      </c>
      <c r="H6" t="s">
        <v>321</v>
      </c>
      <c r="I6" t="s">
        <v>971</v>
      </c>
      <c r="J6" t="s">
        <v>204</v>
      </c>
      <c r="K6" t="s">
        <v>204</v>
      </c>
      <c r="L6" t="s">
        <v>340</v>
      </c>
      <c r="M6" t="s">
        <v>314</v>
      </c>
      <c r="N6" t="s">
        <v>747</v>
      </c>
      <c r="O6" t="s">
        <v>4596</v>
      </c>
      <c r="P6" t="s">
        <v>339</v>
      </c>
      <c r="Q6" t="s">
        <v>1212</v>
      </c>
      <c r="R6" s="131">
        <v>2000</v>
      </c>
      <c r="S6" s="131">
        <v>61</v>
      </c>
      <c r="T6" s="131">
        <v>1</v>
      </c>
      <c r="U6" s="131">
        <v>1775000</v>
      </c>
      <c r="V6" s="131">
        <v>21.655000000000001</v>
      </c>
      <c r="W6" s="132">
        <v>1</v>
      </c>
      <c r="X6" s="132">
        <v>1.0000000000000001E-5</v>
      </c>
    </row>
    <row r="7" spans="1:24">
      <c r="A7" t="s">
        <v>1213</v>
      </c>
      <c r="B7" t="s">
        <v>1255</v>
      </c>
      <c r="C7" s="109"/>
      <c r="D7" s="109"/>
      <c r="E7" s="16"/>
      <c r="F7" t="s">
        <v>4594</v>
      </c>
      <c r="G7" t="s">
        <v>4595</v>
      </c>
      <c r="H7" t="s">
        <v>321</v>
      </c>
      <c r="I7" t="s">
        <v>971</v>
      </c>
      <c r="J7" t="s">
        <v>204</v>
      </c>
      <c r="K7" t="s">
        <v>204</v>
      </c>
      <c r="L7" t="s">
        <v>340</v>
      </c>
      <c r="M7" t="s">
        <v>314</v>
      </c>
      <c r="N7" t="s">
        <v>747</v>
      </c>
      <c r="O7" t="s">
        <v>4596</v>
      </c>
      <c r="P7" t="s">
        <v>339</v>
      </c>
      <c r="Q7" t="s">
        <v>1212</v>
      </c>
      <c r="R7" s="131">
        <v>2000</v>
      </c>
      <c r="S7" s="131">
        <v>120</v>
      </c>
      <c r="T7" s="131">
        <v>1</v>
      </c>
      <c r="U7" s="131">
        <v>1775000</v>
      </c>
      <c r="V7" s="131">
        <v>42.6</v>
      </c>
      <c r="W7" s="132">
        <v>0.22403999999999999</v>
      </c>
      <c r="X7" s="132">
        <v>4.0000000000000003E-5</v>
      </c>
    </row>
    <row r="8" spans="1:24">
      <c r="A8" t="s">
        <v>1213</v>
      </c>
      <c r="B8" t="s">
        <v>1255</v>
      </c>
      <c r="C8" s="109"/>
      <c r="D8" s="109"/>
      <c r="E8" s="16"/>
      <c r="F8" t="s">
        <v>4597</v>
      </c>
      <c r="G8" t="s">
        <v>4598</v>
      </c>
      <c r="H8" t="s">
        <v>321</v>
      </c>
      <c r="I8" t="s">
        <v>971</v>
      </c>
      <c r="J8" t="s">
        <v>205</v>
      </c>
      <c r="K8" t="s">
        <v>224</v>
      </c>
      <c r="L8" t="s">
        <v>314</v>
      </c>
      <c r="M8" t="s">
        <v>569</v>
      </c>
      <c r="N8" t="s">
        <v>747</v>
      </c>
      <c r="O8" t="s">
        <v>4599</v>
      </c>
      <c r="P8" t="s">
        <v>339</v>
      </c>
      <c r="Q8" t="s">
        <v>1216</v>
      </c>
      <c r="R8" s="131">
        <v>550</v>
      </c>
      <c r="S8" s="131">
        <v>4100</v>
      </c>
      <c r="T8" s="131">
        <v>3.71</v>
      </c>
      <c r="U8" s="131">
        <v>97000</v>
      </c>
      <c r="V8" s="131">
        <v>147.547</v>
      </c>
      <c r="W8" s="132">
        <v>0.77595999999999998</v>
      </c>
      <c r="X8" s="132">
        <v>1.4999999999999999E-4</v>
      </c>
    </row>
    <row r="9" spans="1:24">
      <c r="A9" t="s">
        <v>1213</v>
      </c>
      <c r="B9" t="s">
        <v>1214</v>
      </c>
      <c r="C9" s="109"/>
      <c r="D9" s="109"/>
      <c r="E9" s="16"/>
      <c r="F9" s="109"/>
      <c r="G9" s="109"/>
      <c r="H9" s="16"/>
      <c r="I9" s="109"/>
      <c r="J9" s="16"/>
      <c r="K9" s="16"/>
      <c r="L9" s="16"/>
      <c r="M9" s="109"/>
      <c r="N9" s="109"/>
      <c r="O9" s="109"/>
      <c r="P9" s="109"/>
      <c r="Q9" s="16"/>
      <c r="R9" s="16"/>
      <c r="S9" s="109"/>
      <c r="T9" s="109"/>
      <c r="U9" s="109"/>
      <c r="V9" s="109"/>
      <c r="W9" s="109"/>
      <c r="X9" s="109"/>
    </row>
    <row r="10" spans="1:24">
      <c r="A10" t="s">
        <v>1213</v>
      </c>
      <c r="B10" t="s">
        <v>1217</v>
      </c>
      <c r="C10" s="109"/>
      <c r="D10" s="109"/>
      <c r="E10" s="16"/>
      <c r="F10" s="109"/>
      <c r="G10" s="109"/>
      <c r="H10" s="16"/>
      <c r="I10" s="109"/>
      <c r="J10" s="16"/>
      <c r="K10" s="16"/>
      <c r="L10" s="16"/>
      <c r="M10" s="109"/>
      <c r="N10" s="109"/>
      <c r="O10" s="109"/>
      <c r="P10" s="109"/>
      <c r="Q10" s="16"/>
      <c r="R10" s="16"/>
      <c r="S10" s="109"/>
      <c r="T10" s="109"/>
      <c r="U10" s="109"/>
      <c r="V10" s="109"/>
      <c r="W10" s="109"/>
      <c r="X10" s="109"/>
    </row>
    <row r="11" spans="1:24">
      <c r="A11" t="s">
        <v>1213</v>
      </c>
      <c r="B11" t="s">
        <v>1220</v>
      </c>
      <c r="C11" s="109"/>
      <c r="D11" s="109"/>
      <c r="E11" s="16"/>
      <c r="F11" s="109"/>
      <c r="G11" s="109"/>
      <c r="H11" s="16"/>
      <c r="I11" s="109"/>
      <c r="J11" s="16"/>
      <c r="K11" s="16"/>
      <c r="L11" s="16"/>
      <c r="M11" s="109"/>
      <c r="N11" s="109"/>
      <c r="O11" s="109"/>
      <c r="P11" s="109"/>
      <c r="Q11" s="16"/>
      <c r="R11" s="16"/>
      <c r="S11" s="109"/>
      <c r="T11" s="109"/>
      <c r="U11" s="109"/>
      <c r="V11" s="109"/>
      <c r="W11" s="109"/>
      <c r="X11" s="109"/>
    </row>
    <row r="12" spans="1:24">
      <c r="A12" t="s">
        <v>1213</v>
      </c>
      <c r="B12" t="s">
        <v>1221</v>
      </c>
      <c r="C12" s="109"/>
      <c r="D12" s="109"/>
      <c r="E12" s="16"/>
      <c r="F12" s="109"/>
      <c r="G12" s="109"/>
      <c r="H12" s="16"/>
      <c r="I12" s="109"/>
      <c r="J12" s="16"/>
      <c r="K12" s="16"/>
      <c r="L12" s="16"/>
      <c r="M12" s="109"/>
      <c r="N12" s="109"/>
      <c r="O12" s="109"/>
      <c r="P12" s="109"/>
      <c r="Q12" s="16"/>
      <c r="R12" s="16"/>
      <c r="S12" s="109"/>
      <c r="T12" s="109"/>
      <c r="U12" s="109"/>
      <c r="V12" s="109"/>
      <c r="W12" s="109"/>
      <c r="X12" s="109"/>
    </row>
    <row r="13" spans="1:24">
      <c r="A13" t="s">
        <v>1213</v>
      </c>
      <c r="B13" t="s">
        <v>1222</v>
      </c>
      <c r="C13" s="109"/>
      <c r="D13" s="109"/>
      <c r="E13" s="16"/>
      <c r="F13" s="109"/>
      <c r="G13" s="109"/>
      <c r="H13" s="16"/>
      <c r="I13" s="109"/>
      <c r="J13" s="16"/>
      <c r="K13" s="16"/>
      <c r="L13" s="16"/>
      <c r="M13" s="109"/>
      <c r="N13" s="109"/>
      <c r="O13" s="109"/>
      <c r="P13" s="109"/>
      <c r="Q13" s="16"/>
      <c r="R13" s="16"/>
      <c r="S13" s="109"/>
      <c r="T13" s="109"/>
      <c r="U13" s="109"/>
      <c r="V13" s="109"/>
      <c r="W13" s="109"/>
      <c r="X13" s="109"/>
    </row>
    <row r="14" spans="1:24">
      <c r="A14" t="s">
        <v>1213</v>
      </c>
      <c r="B14" t="s">
        <v>1223</v>
      </c>
      <c r="C14" s="109"/>
      <c r="D14" s="109"/>
      <c r="E14" s="16"/>
      <c r="F14" s="109"/>
      <c r="G14" s="109"/>
      <c r="H14" s="16"/>
      <c r="I14" s="109"/>
      <c r="J14" s="16"/>
      <c r="K14" s="16"/>
      <c r="L14" s="16"/>
      <c r="M14" s="109"/>
      <c r="N14" s="109"/>
      <c r="O14" s="109"/>
      <c r="P14" s="109"/>
      <c r="Q14" s="16"/>
      <c r="R14" s="16"/>
      <c r="S14" s="109"/>
      <c r="T14" s="109"/>
      <c r="U14" s="109"/>
      <c r="V14" s="109"/>
      <c r="W14" s="109"/>
      <c r="X14" s="109"/>
    </row>
    <row r="15" spans="1:24">
      <c r="A15" t="s">
        <v>1213</v>
      </c>
      <c r="B15" t="s">
        <v>1224</v>
      </c>
      <c r="C15" s="109"/>
      <c r="D15" s="109"/>
      <c r="E15" s="16"/>
      <c r="F15" s="109"/>
      <c r="G15" s="109"/>
      <c r="H15" s="16"/>
      <c r="I15" s="109"/>
      <c r="J15" s="16"/>
      <c r="K15" s="16"/>
      <c r="L15" s="16"/>
      <c r="M15" s="109"/>
      <c r="N15" s="109"/>
      <c r="O15" s="109"/>
      <c r="P15" s="109"/>
      <c r="Q15" s="16"/>
      <c r="R15" s="16"/>
      <c r="S15" s="109"/>
      <c r="T15" s="109"/>
      <c r="U15" s="109"/>
      <c r="V15" s="109"/>
      <c r="W15" s="109"/>
      <c r="X15" s="109"/>
    </row>
    <row r="16" spans="1:24">
      <c r="A16" t="s">
        <v>1213</v>
      </c>
      <c r="B16" t="s">
        <v>1231</v>
      </c>
      <c r="C16" s="109"/>
      <c r="D16" s="109"/>
      <c r="E16" s="16"/>
      <c r="F16" s="109"/>
      <c r="G16" s="109"/>
      <c r="H16" s="16"/>
      <c r="I16" s="109"/>
      <c r="J16" s="16"/>
      <c r="K16" s="16"/>
      <c r="L16" s="16"/>
      <c r="M16" s="109"/>
      <c r="N16" s="109"/>
      <c r="O16" s="109"/>
      <c r="P16" s="109"/>
      <c r="Q16" s="16"/>
      <c r="R16" s="16"/>
      <c r="S16" s="109"/>
      <c r="T16" s="109"/>
      <c r="U16" s="109"/>
      <c r="V16" s="109"/>
      <c r="W16" s="109"/>
      <c r="X16" s="109"/>
    </row>
    <row r="17" spans="1:24">
      <c r="A17" t="s">
        <v>1213</v>
      </c>
      <c r="B17" t="s">
        <v>1232</v>
      </c>
      <c r="C17" s="109"/>
      <c r="D17" s="109"/>
      <c r="E17" s="16"/>
      <c r="F17" s="109"/>
      <c r="G17" s="109"/>
      <c r="H17" s="16"/>
      <c r="I17" s="109"/>
      <c r="J17" s="16"/>
      <c r="K17" s="16"/>
      <c r="L17" s="16"/>
      <c r="M17" s="109"/>
      <c r="N17" s="109"/>
      <c r="O17" s="109"/>
      <c r="P17" s="109"/>
      <c r="Q17" s="16"/>
      <c r="R17" s="16"/>
      <c r="S17" s="109"/>
      <c r="T17" s="109"/>
      <c r="U17" s="109"/>
      <c r="V17" s="109"/>
      <c r="W17" s="109"/>
      <c r="X17" s="109"/>
    </row>
    <row r="18" spans="1:24">
      <c r="A18" t="s">
        <v>1213</v>
      </c>
      <c r="B18" t="s">
        <v>1233</v>
      </c>
      <c r="C18" s="109"/>
      <c r="D18" s="109"/>
      <c r="E18" s="16"/>
      <c r="F18" s="109"/>
      <c r="G18" s="109"/>
      <c r="H18" s="16"/>
      <c r="I18" s="109"/>
      <c r="J18" s="16"/>
      <c r="K18" s="16"/>
      <c r="L18" s="16"/>
      <c r="M18" s="109"/>
      <c r="N18" s="109"/>
      <c r="O18" s="109"/>
      <c r="P18" s="109"/>
      <c r="Q18" s="16"/>
      <c r="R18" s="16"/>
      <c r="S18" s="109"/>
      <c r="T18" s="109"/>
      <c r="U18" s="109"/>
      <c r="V18" s="109"/>
      <c r="W18" s="109"/>
      <c r="X18" s="109"/>
    </row>
    <row r="19" spans="1:24">
      <c r="A19" t="s">
        <v>1213</v>
      </c>
      <c r="B19" t="s">
        <v>1234</v>
      </c>
      <c r="C19" s="108"/>
      <c r="D19" s="108"/>
      <c r="E19" s="16"/>
      <c r="F19" s="108"/>
      <c r="G19" s="108"/>
      <c r="H19" s="16"/>
      <c r="I19" s="109"/>
      <c r="J19" s="16"/>
      <c r="K19" s="16"/>
      <c r="L19" s="16"/>
      <c r="M19" s="109"/>
      <c r="N19" s="108"/>
      <c r="O19" s="108"/>
      <c r="P19" s="109"/>
      <c r="Q19" s="108"/>
      <c r="R19" s="108"/>
      <c r="S19" s="108"/>
      <c r="T19" s="108"/>
      <c r="U19" s="108"/>
      <c r="V19" s="108"/>
      <c r="W19" s="108"/>
      <c r="X19" s="108"/>
    </row>
    <row r="20" spans="1:24">
      <c r="A20" t="s">
        <v>1213</v>
      </c>
      <c r="B20" t="s">
        <v>1235</v>
      </c>
      <c r="C20" s="108"/>
      <c r="D20" s="108"/>
      <c r="E20"/>
      <c r="F20" s="108"/>
      <c r="G20" s="108"/>
      <c r="H20" s="4"/>
      <c r="I20" s="108"/>
      <c r="J20" s="108"/>
      <c r="K20" s="108"/>
      <c r="L20" s="4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</row>
    <row r="21" spans="1:24">
      <c r="A21" t="s">
        <v>1213</v>
      </c>
      <c r="B21" t="s">
        <v>1238</v>
      </c>
      <c r="C21" s="108"/>
      <c r="D21" s="108"/>
      <c r="F21" s="108"/>
      <c r="G21" s="108"/>
      <c r="H21" s="108"/>
      <c r="I21" s="108"/>
      <c r="J21" s="108"/>
      <c r="K21" s="108"/>
      <c r="L21" s="4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</row>
    <row r="22" spans="1:24">
      <c r="A22" t="s">
        <v>1213</v>
      </c>
      <c r="B22" t="s">
        <v>1241</v>
      </c>
    </row>
    <row r="23" spans="1:24">
      <c r="A23" t="s">
        <v>1213</v>
      </c>
      <c r="B23" t="s">
        <v>1242</v>
      </c>
    </row>
    <row r="24" spans="1:24">
      <c r="A24" t="s">
        <v>1213</v>
      </c>
      <c r="B24" t="s">
        <v>1243</v>
      </c>
    </row>
    <row r="25" spans="1:24">
      <c r="A25" t="s">
        <v>1213</v>
      </c>
      <c r="B25" t="s">
        <v>1244</v>
      </c>
    </row>
    <row r="26" spans="1:24">
      <c r="A26" t="s">
        <v>1213</v>
      </c>
      <c r="B26">
        <v>15108</v>
      </c>
    </row>
    <row r="27" spans="1:24">
      <c r="A27" t="s">
        <v>1213</v>
      </c>
      <c r="B27" t="s">
        <v>1247</v>
      </c>
    </row>
    <row r="28" spans="1:24">
      <c r="A28" t="s">
        <v>1213</v>
      </c>
      <c r="B28" t="s">
        <v>1248</v>
      </c>
    </row>
    <row r="29" spans="1:24">
      <c r="A29" t="s">
        <v>1213</v>
      </c>
      <c r="B29" t="s">
        <v>1250</v>
      </c>
      <c r="C29" s="108"/>
      <c r="D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</row>
    <row r="30" spans="1:24">
      <c r="A30" t="s">
        <v>1213</v>
      </c>
      <c r="B30" t="s">
        <v>1251</v>
      </c>
    </row>
    <row r="31" spans="1:24">
      <c r="A31" t="s">
        <v>1213</v>
      </c>
      <c r="B31" t="s">
        <v>1252</v>
      </c>
    </row>
    <row r="32" spans="1:24">
      <c r="A32" t="s">
        <v>1213</v>
      </c>
      <c r="B32" t="s">
        <v>1253</v>
      </c>
    </row>
    <row r="33" spans="1:2">
      <c r="A33" t="s">
        <v>1213</v>
      </c>
      <c r="B33" t="s">
        <v>1256</v>
      </c>
    </row>
    <row r="34" spans="1:2">
      <c r="A34" t="s">
        <v>1213</v>
      </c>
      <c r="B34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P2:P19">
      <formula1>Holding_interest</formula1>
    </dataValidation>
    <dataValidation type="list" allowBlank="1" showInputMessage="1" showErrorMessage="1" sqref="N2:N18">
      <formula1>Underlying_Asset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E2:E19">
      <formula1>Issuer_Type_TFunds</formula1>
    </dataValidation>
    <dataValidation type="list" allowBlank="1" showInputMessage="1" showErrorMessage="1" sqref="H2:H19">
      <formula1>Security_ID_Number_Type</formula1>
    </dataValidation>
    <dataValidation type="list" allowBlank="1" showInputMessage="1" showErrorMessage="1" sqref="M2:M19">
      <formula1>Industry_Sector</formula1>
    </dataValidation>
    <dataValidation type="list" allowBlank="1" showInputMessage="1" showErrorMessage="1" sqref="L2:L19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58"/>
  <sheetViews>
    <sheetView rightToLeft="1" workbookViewId="0">
      <selection activeCell="G9" sqref="G9"/>
    </sheetView>
  </sheetViews>
  <sheetFormatPr defaultColWidth="9" defaultRowHeight="14.25"/>
  <cols>
    <col min="1" max="4" width="11.625" style="2" customWidth="1"/>
    <col min="5" max="5" width="11.625" style="4" customWidth="1"/>
    <col min="6" max="6" width="40.125" style="2" bestFit="1" customWidth="1"/>
    <col min="7" max="10" width="11.625" style="2" customWidth="1"/>
    <col min="11" max="11" width="11.625" style="2"/>
    <col min="12" max="20" width="11.625" style="2" customWidth="1"/>
    <col min="21" max="16384" width="9" style="2"/>
  </cols>
  <sheetData>
    <row r="1" spans="1:2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70</v>
      </c>
      <c r="L1" s="17" t="s">
        <v>96</v>
      </c>
      <c r="M1" s="17" t="s">
        <v>56</v>
      </c>
      <c r="N1" s="17" t="s">
        <v>59</v>
      </c>
      <c r="O1" s="17" t="s">
        <v>76</v>
      </c>
      <c r="P1" s="17" t="s">
        <v>61</v>
      </c>
      <c r="Q1" s="17" t="s">
        <v>77</v>
      </c>
      <c r="R1" s="17" t="s">
        <v>63</v>
      </c>
      <c r="S1" s="17" t="s">
        <v>64</v>
      </c>
      <c r="T1" s="17" t="s">
        <v>65</v>
      </c>
    </row>
    <row r="2" spans="1:20">
      <c r="A2" t="s">
        <v>1213</v>
      </c>
      <c r="B2" t="s">
        <v>1214</v>
      </c>
      <c r="C2" s="108"/>
      <c r="D2" s="108"/>
      <c r="E2" s="16"/>
      <c r="F2" t="s">
        <v>4600</v>
      </c>
      <c r="G2" t="s">
        <v>4601</v>
      </c>
      <c r="H2" t="s">
        <v>321</v>
      </c>
      <c r="I2" t="s">
        <v>205</v>
      </c>
      <c r="J2" t="s">
        <v>224</v>
      </c>
      <c r="K2" t="s">
        <v>314</v>
      </c>
      <c r="L2" t="s">
        <v>751</v>
      </c>
      <c r="M2" t="s">
        <v>339</v>
      </c>
      <c r="N2" t="s">
        <v>1216</v>
      </c>
      <c r="O2" s="131">
        <v>13</v>
      </c>
      <c r="P2" s="131">
        <v>3.71</v>
      </c>
      <c r="Q2" s="131">
        <v>0</v>
      </c>
      <c r="R2" s="131">
        <v>0</v>
      </c>
      <c r="S2" s="109"/>
      <c r="T2" s="109"/>
    </row>
    <row r="3" spans="1:20">
      <c r="A3" t="s">
        <v>1213</v>
      </c>
      <c r="B3" t="s">
        <v>1214</v>
      </c>
      <c r="C3" s="108"/>
      <c r="D3" s="108"/>
      <c r="E3" s="16"/>
      <c r="F3" t="s">
        <v>4602</v>
      </c>
      <c r="G3" t="s">
        <v>4603</v>
      </c>
      <c r="H3" t="s">
        <v>312</v>
      </c>
      <c r="I3" t="s">
        <v>205</v>
      </c>
      <c r="J3" t="s">
        <v>204</v>
      </c>
      <c r="K3" t="s">
        <v>314</v>
      </c>
      <c r="L3" s="109"/>
      <c r="M3" t="s">
        <v>339</v>
      </c>
      <c r="N3" t="s">
        <v>1216</v>
      </c>
      <c r="O3" s="131">
        <v>703.3</v>
      </c>
      <c r="P3" s="131">
        <v>3.71</v>
      </c>
      <c r="Q3" s="131">
        <v>100</v>
      </c>
      <c r="R3" s="131">
        <v>2.609</v>
      </c>
      <c r="S3" s="132">
        <v>1</v>
      </c>
      <c r="T3" s="132">
        <v>2.0000000000000002E-5</v>
      </c>
    </row>
    <row r="4" spans="1:20">
      <c r="A4" t="s">
        <v>1213</v>
      </c>
      <c r="B4" t="s">
        <v>1217</v>
      </c>
      <c r="C4" s="108"/>
      <c r="D4" s="108"/>
      <c r="E4" s="16"/>
      <c r="F4" t="s">
        <v>4604</v>
      </c>
      <c r="G4" t="s">
        <v>4605</v>
      </c>
      <c r="H4" t="s">
        <v>321</v>
      </c>
      <c r="I4" t="s">
        <v>205</v>
      </c>
      <c r="J4" t="s">
        <v>224</v>
      </c>
      <c r="K4" t="s">
        <v>314</v>
      </c>
      <c r="L4" t="s">
        <v>747</v>
      </c>
      <c r="M4" t="s">
        <v>339</v>
      </c>
      <c r="N4" t="s">
        <v>1216</v>
      </c>
      <c r="O4" s="131">
        <v>124</v>
      </c>
      <c r="P4" s="131">
        <v>3.71</v>
      </c>
      <c r="Q4" s="131">
        <v>6.0000000000000001E-3</v>
      </c>
      <c r="R4" s="131">
        <v>0</v>
      </c>
      <c r="S4" s="132">
        <v>0</v>
      </c>
      <c r="T4" s="132">
        <v>0</v>
      </c>
    </row>
    <row r="5" spans="1:20">
      <c r="A5" t="s">
        <v>1213</v>
      </c>
      <c r="B5" t="s">
        <v>1217</v>
      </c>
      <c r="C5" s="108"/>
      <c r="D5" s="108"/>
      <c r="E5" s="16"/>
      <c r="F5" t="s">
        <v>4606</v>
      </c>
      <c r="G5" t="s">
        <v>4607</v>
      </c>
      <c r="H5" t="s">
        <v>321</v>
      </c>
      <c r="I5" t="s">
        <v>205</v>
      </c>
      <c r="J5" t="s">
        <v>224</v>
      </c>
      <c r="K5" t="s">
        <v>314</v>
      </c>
      <c r="L5" t="s">
        <v>747</v>
      </c>
      <c r="M5" t="s">
        <v>339</v>
      </c>
      <c r="N5" t="s">
        <v>1216</v>
      </c>
      <c r="O5" s="131">
        <v>21</v>
      </c>
      <c r="P5" s="131">
        <v>3.71</v>
      </c>
      <c r="Q5" s="131">
        <v>0.02</v>
      </c>
      <c r="R5" s="131">
        <v>0</v>
      </c>
      <c r="S5" s="132">
        <v>0</v>
      </c>
      <c r="T5" s="132">
        <v>0</v>
      </c>
    </row>
    <row r="6" spans="1:20">
      <c r="A6" t="s">
        <v>1213</v>
      </c>
      <c r="B6" t="s">
        <v>1217</v>
      </c>
      <c r="C6" s="108"/>
      <c r="D6" s="108"/>
      <c r="E6" s="16"/>
      <c r="F6" t="s">
        <v>4600</v>
      </c>
      <c r="G6" t="s">
        <v>4601</v>
      </c>
      <c r="H6" t="s">
        <v>321</v>
      </c>
      <c r="I6" t="s">
        <v>205</v>
      </c>
      <c r="J6" t="s">
        <v>224</v>
      </c>
      <c r="K6" t="s">
        <v>314</v>
      </c>
      <c r="L6" t="s">
        <v>751</v>
      </c>
      <c r="M6" t="s">
        <v>339</v>
      </c>
      <c r="N6" t="s">
        <v>1216</v>
      </c>
      <c r="O6" s="131">
        <v>13</v>
      </c>
      <c r="P6" s="131">
        <v>3.71</v>
      </c>
      <c r="Q6" s="131">
        <v>0</v>
      </c>
      <c r="R6" s="131">
        <v>0</v>
      </c>
      <c r="S6" s="109"/>
      <c r="T6" s="109"/>
    </row>
    <row r="7" spans="1:20">
      <c r="A7" t="s">
        <v>1213</v>
      </c>
      <c r="B7" t="s">
        <v>1217</v>
      </c>
      <c r="C7" s="108"/>
      <c r="D7" s="108"/>
      <c r="E7" s="16"/>
      <c r="F7" t="s">
        <v>4602</v>
      </c>
      <c r="G7" t="s">
        <v>4603</v>
      </c>
      <c r="H7" t="s">
        <v>312</v>
      </c>
      <c r="I7" t="s">
        <v>205</v>
      </c>
      <c r="J7" t="s">
        <v>204</v>
      </c>
      <c r="K7" t="s">
        <v>314</v>
      </c>
      <c r="L7" s="109"/>
      <c r="M7" t="s">
        <v>339</v>
      </c>
      <c r="N7" t="s">
        <v>1216</v>
      </c>
      <c r="O7" s="131">
        <v>954612.26</v>
      </c>
      <c r="P7" s="131">
        <v>3.71</v>
      </c>
      <c r="Q7" s="131">
        <v>100</v>
      </c>
      <c r="R7" s="131">
        <v>3541.6109999999999</v>
      </c>
      <c r="S7" s="132">
        <v>1</v>
      </c>
      <c r="T7" s="132">
        <v>3.2799999999999999E-3</v>
      </c>
    </row>
    <row r="8" spans="1:20">
      <c r="A8" t="s">
        <v>1213</v>
      </c>
      <c r="B8" t="s">
        <v>1220</v>
      </c>
      <c r="C8" s="108"/>
      <c r="D8" s="108"/>
      <c r="E8" s="16"/>
      <c r="F8" t="s">
        <v>4604</v>
      </c>
      <c r="G8" t="s">
        <v>4605</v>
      </c>
      <c r="H8" t="s">
        <v>321</v>
      </c>
      <c r="I8" t="s">
        <v>205</v>
      </c>
      <c r="J8" t="s">
        <v>224</v>
      </c>
      <c r="K8" t="s">
        <v>314</v>
      </c>
      <c r="L8" t="s">
        <v>747</v>
      </c>
      <c r="M8" t="s">
        <v>339</v>
      </c>
      <c r="N8" t="s">
        <v>1216</v>
      </c>
      <c r="O8" s="131">
        <v>31</v>
      </c>
      <c r="P8" s="131">
        <v>3.71</v>
      </c>
      <c r="Q8" s="131">
        <v>6.0000000000000001E-3</v>
      </c>
      <c r="R8" s="131">
        <v>0</v>
      </c>
      <c r="S8" s="132">
        <v>0</v>
      </c>
      <c r="T8" s="132">
        <v>0</v>
      </c>
    </row>
    <row r="9" spans="1:20">
      <c r="A9" t="s">
        <v>1213</v>
      </c>
      <c r="B9" t="s">
        <v>1220</v>
      </c>
      <c r="C9" s="108"/>
      <c r="D9" s="108"/>
      <c r="E9" s="16"/>
      <c r="F9" t="s">
        <v>4606</v>
      </c>
      <c r="G9" t="s">
        <v>4607</v>
      </c>
      <c r="H9" t="s">
        <v>321</v>
      </c>
      <c r="I9" t="s">
        <v>205</v>
      </c>
      <c r="J9" t="s">
        <v>224</v>
      </c>
      <c r="K9" t="s">
        <v>314</v>
      </c>
      <c r="L9" t="s">
        <v>747</v>
      </c>
      <c r="M9" t="s">
        <v>339</v>
      </c>
      <c r="N9" t="s">
        <v>1216</v>
      </c>
      <c r="O9" s="131">
        <v>4</v>
      </c>
      <c r="P9" s="131">
        <v>3.71</v>
      </c>
      <c r="Q9" s="131">
        <v>0.02</v>
      </c>
      <c r="R9" s="131">
        <v>0</v>
      </c>
      <c r="S9" s="132">
        <v>0</v>
      </c>
      <c r="T9" s="132">
        <v>0</v>
      </c>
    </row>
    <row r="10" spans="1:20">
      <c r="A10" t="s">
        <v>1213</v>
      </c>
      <c r="B10" t="s">
        <v>1220</v>
      </c>
      <c r="C10" s="108"/>
      <c r="D10" s="108"/>
      <c r="E10" s="16"/>
      <c r="F10" t="s">
        <v>4602</v>
      </c>
      <c r="G10" t="s">
        <v>4603</v>
      </c>
      <c r="H10" t="s">
        <v>312</v>
      </c>
      <c r="I10" t="s">
        <v>205</v>
      </c>
      <c r="J10" t="s">
        <v>204</v>
      </c>
      <c r="K10" t="s">
        <v>314</v>
      </c>
      <c r="L10" s="109"/>
      <c r="M10" t="s">
        <v>339</v>
      </c>
      <c r="N10" t="s">
        <v>1216</v>
      </c>
      <c r="O10" s="131">
        <v>223836.54</v>
      </c>
      <c r="P10" s="131">
        <v>3.71</v>
      </c>
      <c r="Q10" s="131">
        <v>100</v>
      </c>
      <c r="R10" s="131">
        <v>830.43399999999997</v>
      </c>
      <c r="S10" s="132">
        <v>1</v>
      </c>
      <c r="T10" s="132">
        <v>3.65E-3</v>
      </c>
    </row>
    <row r="11" spans="1:20">
      <c r="A11" t="s">
        <v>1213</v>
      </c>
      <c r="B11" t="s">
        <v>1221</v>
      </c>
      <c r="C11" s="108"/>
      <c r="D11" s="108"/>
      <c r="E11" s="16"/>
      <c r="F11" t="s">
        <v>4604</v>
      </c>
      <c r="G11" t="s">
        <v>4605</v>
      </c>
      <c r="H11" t="s">
        <v>321</v>
      </c>
      <c r="I11" t="s">
        <v>205</v>
      </c>
      <c r="J11" t="s">
        <v>224</v>
      </c>
      <c r="K11" t="s">
        <v>314</v>
      </c>
      <c r="L11" t="s">
        <v>747</v>
      </c>
      <c r="M11" t="s">
        <v>339</v>
      </c>
      <c r="N11" t="s">
        <v>1216</v>
      </c>
      <c r="O11" s="131">
        <v>36</v>
      </c>
      <c r="P11" s="131">
        <v>3.71</v>
      </c>
      <c r="Q11" s="131">
        <v>6.0000000000000001E-3</v>
      </c>
      <c r="R11" s="131">
        <v>0</v>
      </c>
      <c r="S11" s="132">
        <v>0</v>
      </c>
      <c r="T11" s="132">
        <v>0</v>
      </c>
    </row>
    <row r="12" spans="1:20">
      <c r="A12" t="s">
        <v>1213</v>
      </c>
      <c r="B12" t="s">
        <v>1221</v>
      </c>
      <c r="C12" s="108"/>
      <c r="D12" s="108"/>
      <c r="E12" s="16"/>
      <c r="F12" t="s">
        <v>4602</v>
      </c>
      <c r="G12" t="s">
        <v>4603</v>
      </c>
      <c r="H12" t="s">
        <v>312</v>
      </c>
      <c r="I12" t="s">
        <v>205</v>
      </c>
      <c r="J12" t="s">
        <v>204</v>
      </c>
      <c r="K12" t="s">
        <v>314</v>
      </c>
      <c r="L12" s="109"/>
      <c r="M12" t="s">
        <v>339</v>
      </c>
      <c r="N12" t="s">
        <v>1216</v>
      </c>
      <c r="O12" s="131">
        <v>215606.1</v>
      </c>
      <c r="P12" s="131">
        <v>3.71</v>
      </c>
      <c r="Q12" s="131">
        <v>100</v>
      </c>
      <c r="R12" s="131">
        <v>799.899</v>
      </c>
      <c r="S12" s="132">
        <v>1</v>
      </c>
      <c r="T12" s="132">
        <v>1E-3</v>
      </c>
    </row>
    <row r="13" spans="1:20">
      <c r="A13" t="s">
        <v>1213</v>
      </c>
      <c r="B13" t="s">
        <v>1223</v>
      </c>
      <c r="C13" s="108"/>
      <c r="D13" s="108"/>
      <c r="E13" s="16"/>
      <c r="F13" t="s">
        <v>4604</v>
      </c>
      <c r="G13" t="s">
        <v>4605</v>
      </c>
      <c r="H13" t="s">
        <v>321</v>
      </c>
      <c r="I13" t="s">
        <v>205</v>
      </c>
      <c r="J13" t="s">
        <v>224</v>
      </c>
      <c r="K13" t="s">
        <v>314</v>
      </c>
      <c r="L13" t="s">
        <v>747</v>
      </c>
      <c r="M13" t="s">
        <v>339</v>
      </c>
      <c r="N13" t="s">
        <v>1216</v>
      </c>
      <c r="O13" s="131">
        <v>39</v>
      </c>
      <c r="P13" s="131">
        <v>3.71</v>
      </c>
      <c r="Q13" s="131">
        <v>6.0000000000000001E-3</v>
      </c>
      <c r="R13" s="131">
        <v>0</v>
      </c>
      <c r="S13" s="132">
        <v>0</v>
      </c>
      <c r="T13" s="132">
        <v>0</v>
      </c>
    </row>
    <row r="14" spans="1:20">
      <c r="A14" t="s">
        <v>1213</v>
      </c>
      <c r="B14" t="s">
        <v>1223</v>
      </c>
      <c r="C14" s="108"/>
      <c r="D14" s="108"/>
      <c r="E14" s="16"/>
      <c r="F14" t="s">
        <v>4602</v>
      </c>
      <c r="G14" t="s">
        <v>4603</v>
      </c>
      <c r="H14" t="s">
        <v>312</v>
      </c>
      <c r="I14" t="s">
        <v>205</v>
      </c>
      <c r="J14" t="s">
        <v>204</v>
      </c>
      <c r="K14" t="s">
        <v>314</v>
      </c>
      <c r="L14" s="109"/>
      <c r="M14" t="s">
        <v>339</v>
      </c>
      <c r="N14" t="s">
        <v>1216</v>
      </c>
      <c r="O14" s="131">
        <v>240901.44</v>
      </c>
      <c r="P14" s="131">
        <v>3.71</v>
      </c>
      <c r="Q14" s="131">
        <v>100</v>
      </c>
      <c r="R14" s="131">
        <v>893.74400000000003</v>
      </c>
      <c r="S14" s="132">
        <v>1</v>
      </c>
      <c r="T14" s="132">
        <v>3.0100000000000001E-3</v>
      </c>
    </row>
    <row r="15" spans="1:20">
      <c r="A15" t="s">
        <v>1213</v>
      </c>
      <c r="B15" t="s">
        <v>1224</v>
      </c>
      <c r="C15" s="108"/>
      <c r="D15" s="108"/>
      <c r="E15" s="16"/>
      <c r="F15" t="s">
        <v>4608</v>
      </c>
      <c r="G15" t="s">
        <v>4609</v>
      </c>
      <c r="H15" t="s">
        <v>321</v>
      </c>
      <c r="I15" t="s">
        <v>205</v>
      </c>
      <c r="J15" t="s">
        <v>224</v>
      </c>
      <c r="K15" t="s">
        <v>314</v>
      </c>
      <c r="L15" t="s">
        <v>751</v>
      </c>
      <c r="M15" t="s">
        <v>339</v>
      </c>
      <c r="N15" t="s">
        <v>1216</v>
      </c>
      <c r="O15" s="131">
        <v>27</v>
      </c>
      <c r="P15" s="131">
        <v>3.71</v>
      </c>
      <c r="Q15" s="131">
        <v>0</v>
      </c>
      <c r="R15" s="131">
        <v>0</v>
      </c>
      <c r="S15" s="132">
        <v>0</v>
      </c>
      <c r="T15" s="132">
        <v>0</v>
      </c>
    </row>
    <row r="16" spans="1:20">
      <c r="A16" t="s">
        <v>1213</v>
      </c>
      <c r="B16" t="s">
        <v>1224</v>
      </c>
      <c r="C16" s="108"/>
      <c r="D16" s="108"/>
      <c r="E16" s="16"/>
      <c r="F16" t="s">
        <v>4600</v>
      </c>
      <c r="G16" t="s">
        <v>4601</v>
      </c>
      <c r="H16" t="s">
        <v>321</v>
      </c>
      <c r="I16" t="s">
        <v>205</v>
      </c>
      <c r="J16" t="s">
        <v>224</v>
      </c>
      <c r="K16" t="s">
        <v>314</v>
      </c>
      <c r="L16" t="s">
        <v>751</v>
      </c>
      <c r="M16" t="s">
        <v>339</v>
      </c>
      <c r="N16" t="s">
        <v>1216</v>
      </c>
      <c r="O16" s="131">
        <v>-22</v>
      </c>
      <c r="P16" s="131">
        <v>3.71</v>
      </c>
      <c r="Q16" s="131">
        <v>0</v>
      </c>
      <c r="R16" s="131">
        <v>0</v>
      </c>
      <c r="S16" s="109"/>
      <c r="T16" s="109"/>
    </row>
    <row r="17" spans="1:20">
      <c r="A17" t="s">
        <v>1213</v>
      </c>
      <c r="B17" t="s">
        <v>1224</v>
      </c>
      <c r="C17" s="108"/>
      <c r="D17" s="108"/>
      <c r="E17" s="16"/>
      <c r="F17" t="s">
        <v>4602</v>
      </c>
      <c r="G17" t="s">
        <v>4603</v>
      </c>
      <c r="H17" t="s">
        <v>312</v>
      </c>
      <c r="I17" t="s">
        <v>205</v>
      </c>
      <c r="J17" t="s">
        <v>204</v>
      </c>
      <c r="K17" t="s">
        <v>314</v>
      </c>
      <c r="L17" s="109"/>
      <c r="M17" t="s">
        <v>339</v>
      </c>
      <c r="N17" t="s">
        <v>1216</v>
      </c>
      <c r="O17" s="131">
        <v>14575.4</v>
      </c>
      <c r="P17" s="131">
        <v>3.71</v>
      </c>
      <c r="Q17" s="131">
        <v>100</v>
      </c>
      <c r="R17" s="131">
        <v>54.075000000000003</v>
      </c>
      <c r="S17" s="132">
        <v>1</v>
      </c>
      <c r="T17" s="132">
        <v>1.4999999999999999E-4</v>
      </c>
    </row>
    <row r="18" spans="1:20">
      <c r="A18" t="s">
        <v>1213</v>
      </c>
      <c r="B18" t="s">
        <v>1225</v>
      </c>
      <c r="C18" s="108"/>
      <c r="D18" s="108"/>
      <c r="E18" s="16"/>
      <c r="F18" t="s">
        <v>4610</v>
      </c>
      <c r="G18" t="s">
        <v>4611</v>
      </c>
      <c r="H18" t="s">
        <v>312</v>
      </c>
      <c r="I18" t="s">
        <v>205</v>
      </c>
      <c r="J18" t="s">
        <v>204</v>
      </c>
      <c r="K18" t="s">
        <v>314</v>
      </c>
      <c r="L18" s="109"/>
      <c r="M18" t="s">
        <v>339</v>
      </c>
      <c r="N18" t="s">
        <v>1228</v>
      </c>
      <c r="O18" s="131">
        <v>50640000</v>
      </c>
      <c r="P18" s="131">
        <v>2.6029E-2</v>
      </c>
      <c r="Q18" s="131">
        <v>100</v>
      </c>
      <c r="R18" s="131">
        <v>1318.1089999999999</v>
      </c>
      <c r="S18" s="132">
        <v>1.0799000000000001</v>
      </c>
      <c r="T18" s="132">
        <v>2.0200000000000001E-3</v>
      </c>
    </row>
    <row r="19" spans="1:20">
      <c r="A19" t="s">
        <v>1213</v>
      </c>
      <c r="B19" t="s">
        <v>1225</v>
      </c>
      <c r="C19" s="108"/>
      <c r="D19" s="108"/>
      <c r="E19" s="16"/>
      <c r="F19" t="s">
        <v>4604</v>
      </c>
      <c r="G19" t="s">
        <v>4605</v>
      </c>
      <c r="H19" t="s">
        <v>321</v>
      </c>
      <c r="I19" t="s">
        <v>205</v>
      </c>
      <c r="J19" t="s">
        <v>224</v>
      </c>
      <c r="K19" t="s">
        <v>314</v>
      </c>
      <c r="L19" t="s">
        <v>747</v>
      </c>
      <c r="M19" t="s">
        <v>339</v>
      </c>
      <c r="N19" t="s">
        <v>1216</v>
      </c>
      <c r="O19" s="131">
        <v>52</v>
      </c>
      <c r="P19" s="131">
        <v>3.71</v>
      </c>
      <c r="Q19" s="131">
        <v>6.0000000000000001E-3</v>
      </c>
      <c r="R19" s="131">
        <v>0</v>
      </c>
      <c r="S19" s="132">
        <v>0</v>
      </c>
      <c r="T19" s="132">
        <v>0</v>
      </c>
    </row>
    <row r="20" spans="1:20">
      <c r="A20" t="s">
        <v>1213</v>
      </c>
      <c r="B20" t="s">
        <v>1225</v>
      </c>
      <c r="C20" s="108"/>
      <c r="D20" s="108"/>
      <c r="E20" s="16"/>
      <c r="F20" t="s">
        <v>4612</v>
      </c>
      <c r="G20" t="s">
        <v>4613</v>
      </c>
      <c r="H20" t="s">
        <v>321</v>
      </c>
      <c r="I20" t="s">
        <v>205</v>
      </c>
      <c r="J20" t="s">
        <v>293</v>
      </c>
      <c r="K20" t="s">
        <v>314</v>
      </c>
      <c r="L20" t="s">
        <v>747</v>
      </c>
      <c r="M20" t="s">
        <v>339</v>
      </c>
      <c r="N20" t="s">
        <v>1218</v>
      </c>
      <c r="O20" s="131">
        <v>216</v>
      </c>
      <c r="P20" s="131">
        <v>4.1524000000000001</v>
      </c>
      <c r="Q20" s="131">
        <v>1E-3</v>
      </c>
      <c r="R20" s="131">
        <v>0</v>
      </c>
      <c r="S20" s="132">
        <v>0</v>
      </c>
      <c r="T20" s="132">
        <v>0</v>
      </c>
    </row>
    <row r="21" spans="1:20">
      <c r="A21" t="s">
        <v>1213</v>
      </c>
      <c r="B21" t="s">
        <v>1225</v>
      </c>
      <c r="C21" s="108"/>
      <c r="D21" s="108"/>
      <c r="E21"/>
      <c r="F21" t="s">
        <v>4606</v>
      </c>
      <c r="G21" t="s">
        <v>4607</v>
      </c>
      <c r="H21" t="s">
        <v>321</v>
      </c>
      <c r="I21" t="s">
        <v>205</v>
      </c>
      <c r="J21" t="s">
        <v>224</v>
      </c>
      <c r="K21" t="s">
        <v>314</v>
      </c>
      <c r="L21" t="s">
        <v>747</v>
      </c>
      <c r="M21" t="s">
        <v>339</v>
      </c>
      <c r="N21" t="s">
        <v>1216</v>
      </c>
      <c r="O21" s="131">
        <v>3</v>
      </c>
      <c r="P21" s="131">
        <v>3.71</v>
      </c>
      <c r="Q21" s="131">
        <v>0.02</v>
      </c>
      <c r="R21" s="131">
        <v>0</v>
      </c>
      <c r="S21" s="132">
        <v>0</v>
      </c>
      <c r="T21" s="132">
        <v>0</v>
      </c>
    </row>
    <row r="22" spans="1:20">
      <c r="A22" t="s">
        <v>1213</v>
      </c>
      <c r="B22" t="s">
        <v>1225</v>
      </c>
      <c r="C22" s="108"/>
      <c r="D22" s="108"/>
      <c r="F22" t="s">
        <v>4614</v>
      </c>
      <c r="G22" t="s">
        <v>4615</v>
      </c>
      <c r="H22" t="s">
        <v>321</v>
      </c>
      <c r="I22" t="s">
        <v>205</v>
      </c>
      <c r="J22" t="s">
        <v>251</v>
      </c>
      <c r="K22" t="s">
        <v>362</v>
      </c>
      <c r="L22" t="s">
        <v>747</v>
      </c>
      <c r="M22" t="s">
        <v>339</v>
      </c>
      <c r="N22" t="s">
        <v>1228</v>
      </c>
      <c r="O22" s="131">
        <v>48</v>
      </c>
      <c r="P22" s="131">
        <v>2.5999999999999999E-2</v>
      </c>
      <c r="Q22" s="131">
        <v>3.7999999999999999E-2</v>
      </c>
      <c r="R22" s="131">
        <v>0</v>
      </c>
      <c r="S22" s="132">
        <v>0</v>
      </c>
      <c r="T22" s="132">
        <v>0</v>
      </c>
    </row>
    <row r="23" spans="1:20">
      <c r="A23" t="s">
        <v>1213</v>
      </c>
      <c r="B23" t="s">
        <v>1225</v>
      </c>
      <c r="F23" t="s">
        <v>4602</v>
      </c>
      <c r="G23" t="s">
        <v>4603</v>
      </c>
      <c r="H23" t="s">
        <v>312</v>
      </c>
      <c r="I23" t="s">
        <v>205</v>
      </c>
      <c r="J23" t="s">
        <v>204</v>
      </c>
      <c r="K23" t="s">
        <v>314</v>
      </c>
      <c r="M23" t="s">
        <v>339</v>
      </c>
      <c r="N23" t="s">
        <v>1216</v>
      </c>
      <c r="O23" s="131">
        <v>334900.90999999997</v>
      </c>
      <c r="P23" s="131">
        <v>3.71</v>
      </c>
      <c r="Q23" s="131">
        <v>100</v>
      </c>
      <c r="R23" s="131">
        <v>1242.482</v>
      </c>
      <c r="S23" s="132">
        <v>1.0179499999999999</v>
      </c>
      <c r="T23" s="132">
        <v>1.9E-3</v>
      </c>
    </row>
    <row r="24" spans="1:20">
      <c r="A24" t="s">
        <v>1213</v>
      </c>
      <c r="B24" t="s">
        <v>1225</v>
      </c>
      <c r="F24" t="s">
        <v>4616</v>
      </c>
      <c r="G24" t="s">
        <v>4617</v>
      </c>
      <c r="H24" t="s">
        <v>312</v>
      </c>
      <c r="I24" t="s">
        <v>205</v>
      </c>
      <c r="J24" t="s">
        <v>204</v>
      </c>
      <c r="K24" t="s">
        <v>314</v>
      </c>
      <c r="M24" t="s">
        <v>339</v>
      </c>
      <c r="N24" t="s">
        <v>1218</v>
      </c>
      <c r="O24" s="131">
        <v>51472.800000000003</v>
      </c>
      <c r="P24" s="131">
        <v>4.1524000000000001</v>
      </c>
      <c r="Q24" s="131">
        <v>100</v>
      </c>
      <c r="R24" s="131">
        <v>213.73599999999999</v>
      </c>
      <c r="S24" s="132">
        <v>0.17510999999999999</v>
      </c>
      <c r="T24" s="132">
        <v>3.3E-4</v>
      </c>
    </row>
    <row r="25" spans="1:20">
      <c r="A25" t="s">
        <v>1213</v>
      </c>
      <c r="B25" t="s">
        <v>1225</v>
      </c>
      <c r="F25" t="s">
        <v>4618</v>
      </c>
      <c r="G25" t="s">
        <v>4619</v>
      </c>
      <c r="H25" t="s">
        <v>312</v>
      </c>
      <c r="I25" t="s">
        <v>205</v>
      </c>
      <c r="J25" t="s">
        <v>204</v>
      </c>
      <c r="K25" t="s">
        <v>314</v>
      </c>
      <c r="M25" t="s">
        <v>339</v>
      </c>
      <c r="N25" t="s">
        <v>1216</v>
      </c>
      <c r="O25" s="131">
        <v>-418800</v>
      </c>
      <c r="P25" s="131">
        <v>3.71</v>
      </c>
      <c r="Q25" s="131">
        <v>100</v>
      </c>
      <c r="R25" s="131">
        <v>-1553.748</v>
      </c>
      <c r="S25" s="132">
        <v>-1.2729600000000001</v>
      </c>
      <c r="T25" s="132">
        <v>-2.3800000000000002E-3</v>
      </c>
    </row>
    <row r="26" spans="1:20">
      <c r="A26" t="s">
        <v>1213</v>
      </c>
      <c r="B26" t="s">
        <v>1230</v>
      </c>
      <c r="F26" t="s">
        <v>4610</v>
      </c>
      <c r="G26" t="s">
        <v>4611</v>
      </c>
      <c r="H26" t="s">
        <v>312</v>
      </c>
      <c r="I26" t="s">
        <v>205</v>
      </c>
      <c r="J26" t="s">
        <v>204</v>
      </c>
      <c r="K26" t="s">
        <v>314</v>
      </c>
      <c r="M26" t="s">
        <v>339</v>
      </c>
      <c r="N26" t="s">
        <v>1228</v>
      </c>
      <c r="O26" s="131">
        <v>120270000</v>
      </c>
      <c r="P26" s="131">
        <v>2.6029E-2</v>
      </c>
      <c r="Q26" s="131">
        <v>100</v>
      </c>
      <c r="R26" s="131">
        <v>3130.5079999999998</v>
      </c>
      <c r="S26" s="132">
        <v>0.43731999999999999</v>
      </c>
      <c r="T26" s="132">
        <v>1.1199999999999999E-3</v>
      </c>
    </row>
    <row r="27" spans="1:20">
      <c r="A27" t="s">
        <v>1213</v>
      </c>
      <c r="B27" t="s">
        <v>1230</v>
      </c>
      <c r="F27" t="s">
        <v>4606</v>
      </c>
      <c r="G27" t="s">
        <v>4607</v>
      </c>
      <c r="H27" t="s">
        <v>321</v>
      </c>
      <c r="I27" t="s">
        <v>205</v>
      </c>
      <c r="J27" t="s">
        <v>224</v>
      </c>
      <c r="K27" t="s">
        <v>314</v>
      </c>
      <c r="L27" t="s">
        <v>747</v>
      </c>
      <c r="M27" t="s">
        <v>339</v>
      </c>
      <c r="N27" t="s">
        <v>1216</v>
      </c>
      <c r="O27" s="131">
        <v>98</v>
      </c>
      <c r="P27" s="131">
        <v>3.71</v>
      </c>
      <c r="Q27" s="131">
        <v>0.02</v>
      </c>
      <c r="R27" s="131">
        <v>0</v>
      </c>
      <c r="S27" s="132">
        <v>0</v>
      </c>
      <c r="T27" s="132">
        <v>0</v>
      </c>
    </row>
    <row r="28" spans="1:20">
      <c r="A28" t="s">
        <v>1213</v>
      </c>
      <c r="B28" t="s">
        <v>1230</v>
      </c>
      <c r="F28" t="s">
        <v>4604</v>
      </c>
      <c r="G28" t="s">
        <v>4605</v>
      </c>
      <c r="H28" t="s">
        <v>321</v>
      </c>
      <c r="I28" t="s">
        <v>205</v>
      </c>
      <c r="J28" t="s">
        <v>224</v>
      </c>
      <c r="K28" t="s">
        <v>314</v>
      </c>
      <c r="L28" t="s">
        <v>747</v>
      </c>
      <c r="M28" t="s">
        <v>339</v>
      </c>
      <c r="N28" t="s">
        <v>1216</v>
      </c>
      <c r="O28" s="131">
        <v>197</v>
      </c>
      <c r="P28" s="131">
        <v>3.71</v>
      </c>
      <c r="Q28" s="131">
        <v>6.0000000000000001E-3</v>
      </c>
      <c r="R28" s="131">
        <v>0</v>
      </c>
      <c r="S28" s="132">
        <v>0</v>
      </c>
      <c r="T28" s="132">
        <v>0</v>
      </c>
    </row>
    <row r="29" spans="1:20">
      <c r="A29" t="s">
        <v>1213</v>
      </c>
      <c r="B29" t="s">
        <v>1230</v>
      </c>
      <c r="F29" t="s">
        <v>4612</v>
      </c>
      <c r="G29" t="s">
        <v>4613</v>
      </c>
      <c r="H29" t="s">
        <v>321</v>
      </c>
      <c r="I29" t="s">
        <v>205</v>
      </c>
      <c r="J29" t="s">
        <v>293</v>
      </c>
      <c r="K29" t="s">
        <v>314</v>
      </c>
      <c r="L29" t="s">
        <v>747</v>
      </c>
      <c r="M29" t="s">
        <v>339</v>
      </c>
      <c r="N29" t="s">
        <v>1218</v>
      </c>
      <c r="O29" s="131">
        <v>512</v>
      </c>
      <c r="P29" s="131">
        <v>4.1524000000000001</v>
      </c>
      <c r="Q29" s="131">
        <v>1E-3</v>
      </c>
      <c r="R29" s="131">
        <v>0</v>
      </c>
      <c r="S29" s="132">
        <v>0</v>
      </c>
      <c r="T29" s="132">
        <v>0</v>
      </c>
    </row>
    <row r="30" spans="1:20">
      <c r="A30" t="s">
        <v>1213</v>
      </c>
      <c r="B30" t="s">
        <v>1230</v>
      </c>
      <c r="F30" t="s">
        <v>4620</v>
      </c>
      <c r="G30" t="s">
        <v>4621</v>
      </c>
      <c r="H30" t="s">
        <v>321</v>
      </c>
      <c r="I30" t="s">
        <v>205</v>
      </c>
      <c r="J30" t="s">
        <v>224</v>
      </c>
      <c r="K30" t="s">
        <v>314</v>
      </c>
      <c r="L30" t="s">
        <v>750</v>
      </c>
      <c r="M30" t="s">
        <v>339</v>
      </c>
      <c r="N30" t="s">
        <v>1216</v>
      </c>
      <c r="O30" s="131">
        <v>56</v>
      </c>
      <c r="P30" s="131">
        <v>3.71</v>
      </c>
      <c r="Q30" s="131">
        <v>1E-3</v>
      </c>
      <c r="R30" s="131">
        <v>0</v>
      </c>
      <c r="S30" s="132">
        <v>0</v>
      </c>
      <c r="T30" s="132">
        <v>0</v>
      </c>
    </row>
    <row r="31" spans="1:20">
      <c r="A31" t="s">
        <v>1213</v>
      </c>
      <c r="B31" t="s">
        <v>1230</v>
      </c>
      <c r="F31" t="s">
        <v>4622</v>
      </c>
      <c r="G31" t="s">
        <v>4623</v>
      </c>
      <c r="H31" t="s">
        <v>321</v>
      </c>
      <c r="I31" t="s">
        <v>205</v>
      </c>
      <c r="J31" t="s">
        <v>224</v>
      </c>
      <c r="K31" t="s">
        <v>314</v>
      </c>
      <c r="L31" t="s">
        <v>750</v>
      </c>
      <c r="M31" t="s">
        <v>339</v>
      </c>
      <c r="N31" t="s">
        <v>1216</v>
      </c>
      <c r="O31" s="131">
        <v>30</v>
      </c>
      <c r="P31" s="131">
        <v>3.71</v>
      </c>
      <c r="Q31" s="131">
        <v>1E-3</v>
      </c>
      <c r="R31" s="131">
        <v>0</v>
      </c>
      <c r="S31" s="132">
        <v>0</v>
      </c>
      <c r="T31" s="132">
        <v>0</v>
      </c>
    </row>
    <row r="32" spans="1:20">
      <c r="A32" t="s">
        <v>1213</v>
      </c>
      <c r="B32" t="s">
        <v>1230</v>
      </c>
      <c r="F32" t="s">
        <v>4624</v>
      </c>
      <c r="G32" t="s">
        <v>4625</v>
      </c>
      <c r="H32" t="s">
        <v>321</v>
      </c>
      <c r="I32" t="s">
        <v>205</v>
      </c>
      <c r="J32" t="s">
        <v>224</v>
      </c>
      <c r="K32" t="s">
        <v>314</v>
      </c>
      <c r="L32" t="s">
        <v>750</v>
      </c>
      <c r="M32" t="s">
        <v>339</v>
      </c>
      <c r="N32" t="s">
        <v>1216</v>
      </c>
      <c r="O32" s="131">
        <v>73</v>
      </c>
      <c r="P32" s="131">
        <v>3.71</v>
      </c>
      <c r="Q32" s="131">
        <v>0</v>
      </c>
      <c r="R32" s="131">
        <v>0</v>
      </c>
      <c r="S32" s="132">
        <v>0</v>
      </c>
      <c r="T32" s="132">
        <v>0</v>
      </c>
    </row>
    <row r="33" spans="1:20">
      <c r="A33" t="s">
        <v>1213</v>
      </c>
      <c r="B33" t="s">
        <v>1230</v>
      </c>
      <c r="F33" t="s">
        <v>4614</v>
      </c>
      <c r="G33" t="s">
        <v>4615</v>
      </c>
      <c r="H33" t="s">
        <v>321</v>
      </c>
      <c r="I33" t="s">
        <v>205</v>
      </c>
      <c r="J33" t="s">
        <v>251</v>
      </c>
      <c r="K33" t="s">
        <v>362</v>
      </c>
      <c r="L33" t="s">
        <v>747</v>
      </c>
      <c r="M33" t="s">
        <v>339</v>
      </c>
      <c r="N33" t="s">
        <v>1228</v>
      </c>
      <c r="O33" s="131">
        <v>114</v>
      </c>
      <c r="P33" s="131">
        <v>2.5999999999999999E-2</v>
      </c>
      <c r="Q33" s="131">
        <v>3.7999999999999999E-2</v>
      </c>
      <c r="R33" s="131">
        <v>0</v>
      </c>
      <c r="S33" s="132">
        <v>0</v>
      </c>
      <c r="T33" s="132">
        <v>0</v>
      </c>
    </row>
    <row r="34" spans="1:20">
      <c r="A34" t="s">
        <v>1213</v>
      </c>
      <c r="B34" t="s">
        <v>1230</v>
      </c>
      <c r="F34" t="s">
        <v>4626</v>
      </c>
      <c r="G34" t="s">
        <v>4627</v>
      </c>
      <c r="H34" t="s">
        <v>321</v>
      </c>
      <c r="I34" t="s">
        <v>205</v>
      </c>
      <c r="J34" t="s">
        <v>224</v>
      </c>
      <c r="K34" t="s">
        <v>314</v>
      </c>
      <c r="L34" t="s">
        <v>750</v>
      </c>
      <c r="M34" t="s">
        <v>339</v>
      </c>
      <c r="N34" t="s">
        <v>1216</v>
      </c>
      <c r="O34" s="131">
        <v>37</v>
      </c>
      <c r="P34" s="131">
        <v>3.71</v>
      </c>
      <c r="Q34" s="131">
        <v>0</v>
      </c>
      <c r="R34" s="131">
        <v>0</v>
      </c>
    </row>
    <row r="35" spans="1:20">
      <c r="A35" t="s">
        <v>1213</v>
      </c>
      <c r="B35" t="s">
        <v>1230</v>
      </c>
      <c r="F35" t="s">
        <v>4628</v>
      </c>
      <c r="G35" t="s">
        <v>4629</v>
      </c>
      <c r="H35" t="s">
        <v>321</v>
      </c>
      <c r="I35" t="s">
        <v>205</v>
      </c>
      <c r="J35" t="s">
        <v>224</v>
      </c>
      <c r="K35" t="s">
        <v>314</v>
      </c>
      <c r="L35" t="s">
        <v>750</v>
      </c>
      <c r="M35" t="s">
        <v>339</v>
      </c>
      <c r="N35" t="s">
        <v>1216</v>
      </c>
      <c r="O35" s="131">
        <v>18</v>
      </c>
      <c r="P35" s="131">
        <v>3.71</v>
      </c>
      <c r="Q35" s="131">
        <v>0</v>
      </c>
      <c r="R35" s="131">
        <v>0</v>
      </c>
    </row>
    <row r="36" spans="1:20">
      <c r="A36" t="s">
        <v>1213</v>
      </c>
      <c r="B36" t="s">
        <v>1230</v>
      </c>
      <c r="F36" t="s">
        <v>4630</v>
      </c>
      <c r="G36" t="s">
        <v>4631</v>
      </c>
      <c r="H36" t="s">
        <v>321</v>
      </c>
      <c r="I36" t="s">
        <v>205</v>
      </c>
      <c r="J36" t="s">
        <v>224</v>
      </c>
      <c r="K36" t="s">
        <v>344</v>
      </c>
      <c r="L36" t="s">
        <v>750</v>
      </c>
      <c r="M36" t="s">
        <v>339</v>
      </c>
      <c r="N36" t="s">
        <v>1216</v>
      </c>
      <c r="O36" s="131">
        <v>17</v>
      </c>
      <c r="P36" s="131">
        <v>3.71</v>
      </c>
      <c r="Q36" s="131">
        <v>0</v>
      </c>
      <c r="R36" s="131">
        <v>0</v>
      </c>
    </row>
    <row r="37" spans="1:20">
      <c r="A37" t="s">
        <v>1213</v>
      </c>
      <c r="B37" t="s">
        <v>1230</v>
      </c>
      <c r="F37" t="s">
        <v>4632</v>
      </c>
      <c r="G37" t="s">
        <v>4633</v>
      </c>
      <c r="H37" t="s">
        <v>321</v>
      </c>
      <c r="I37" t="s">
        <v>205</v>
      </c>
      <c r="J37" t="s">
        <v>224</v>
      </c>
      <c r="K37" t="s">
        <v>314</v>
      </c>
      <c r="L37" t="s">
        <v>750</v>
      </c>
      <c r="M37" t="s">
        <v>339</v>
      </c>
      <c r="N37" t="s">
        <v>1216</v>
      </c>
      <c r="O37" s="131">
        <v>5</v>
      </c>
      <c r="P37" s="131">
        <v>3.71</v>
      </c>
      <c r="Q37" s="131">
        <v>0</v>
      </c>
      <c r="R37" s="131">
        <v>0</v>
      </c>
    </row>
    <row r="38" spans="1:20">
      <c r="A38" t="s">
        <v>1213</v>
      </c>
      <c r="B38" t="s">
        <v>1230</v>
      </c>
      <c r="F38" t="s">
        <v>4634</v>
      </c>
      <c r="G38" t="s">
        <v>4635</v>
      </c>
      <c r="H38" t="s">
        <v>321</v>
      </c>
      <c r="I38" t="s">
        <v>205</v>
      </c>
      <c r="J38" t="s">
        <v>224</v>
      </c>
      <c r="K38" t="s">
        <v>314</v>
      </c>
      <c r="L38" t="s">
        <v>750</v>
      </c>
      <c r="M38" t="s">
        <v>339</v>
      </c>
      <c r="N38" t="s">
        <v>1216</v>
      </c>
      <c r="O38" s="131">
        <v>3</v>
      </c>
      <c r="P38" s="131">
        <v>3.71</v>
      </c>
      <c r="Q38" s="131">
        <v>0</v>
      </c>
      <c r="R38" s="131">
        <v>0</v>
      </c>
    </row>
    <row r="39" spans="1:20">
      <c r="A39" t="s">
        <v>1213</v>
      </c>
      <c r="B39" t="s">
        <v>1230</v>
      </c>
      <c r="F39" t="s">
        <v>4600</v>
      </c>
      <c r="G39" t="s">
        <v>4601</v>
      </c>
      <c r="H39" t="s">
        <v>321</v>
      </c>
      <c r="I39" t="s">
        <v>205</v>
      </c>
      <c r="J39" t="s">
        <v>224</v>
      </c>
      <c r="K39" t="s">
        <v>314</v>
      </c>
      <c r="L39" t="s">
        <v>751</v>
      </c>
      <c r="M39" t="s">
        <v>339</v>
      </c>
      <c r="N39" t="s">
        <v>1216</v>
      </c>
      <c r="O39" s="131">
        <v>-73</v>
      </c>
      <c r="P39" s="131">
        <v>3.71</v>
      </c>
      <c r="Q39" s="131">
        <v>0</v>
      </c>
      <c r="R39" s="131">
        <v>0</v>
      </c>
      <c r="S39" s="132">
        <v>0</v>
      </c>
      <c r="T39" s="132">
        <v>0</v>
      </c>
    </row>
    <row r="40" spans="1:20">
      <c r="A40" t="s">
        <v>1213</v>
      </c>
      <c r="B40" t="s">
        <v>1230</v>
      </c>
      <c r="F40" t="s">
        <v>4602</v>
      </c>
      <c r="G40" t="s">
        <v>4603</v>
      </c>
      <c r="H40" t="s">
        <v>312</v>
      </c>
      <c r="I40" t="s">
        <v>205</v>
      </c>
      <c r="J40" t="s">
        <v>204</v>
      </c>
      <c r="K40" t="s">
        <v>314</v>
      </c>
      <c r="M40" t="s">
        <v>339</v>
      </c>
      <c r="N40" t="s">
        <v>1216</v>
      </c>
      <c r="O40" s="131">
        <v>1962729.64</v>
      </c>
      <c r="P40" s="131">
        <v>3.71</v>
      </c>
      <c r="Q40" s="131">
        <v>100</v>
      </c>
      <c r="R40" s="131">
        <v>7281.7269999999999</v>
      </c>
      <c r="S40" s="132">
        <v>1.0172300000000001</v>
      </c>
      <c r="T40" s="132">
        <v>2.5999999999999999E-3</v>
      </c>
    </row>
    <row r="41" spans="1:20">
      <c r="A41" t="s">
        <v>1213</v>
      </c>
      <c r="B41" t="s">
        <v>1230</v>
      </c>
      <c r="F41" t="s">
        <v>4616</v>
      </c>
      <c r="G41" t="s">
        <v>4617</v>
      </c>
      <c r="H41" t="s">
        <v>312</v>
      </c>
      <c r="I41" t="s">
        <v>205</v>
      </c>
      <c r="J41" t="s">
        <v>204</v>
      </c>
      <c r="K41" t="s">
        <v>314</v>
      </c>
      <c r="M41" t="s">
        <v>339</v>
      </c>
      <c r="N41" t="s">
        <v>1218</v>
      </c>
      <c r="O41" s="131">
        <v>122009.60000000001</v>
      </c>
      <c r="P41" s="131">
        <v>4.1524000000000001</v>
      </c>
      <c r="Q41" s="131">
        <v>100</v>
      </c>
      <c r="R41" s="131">
        <v>506.63299999999998</v>
      </c>
      <c r="S41" s="132">
        <v>7.077E-2</v>
      </c>
      <c r="T41" s="132">
        <v>1.8000000000000001E-4</v>
      </c>
    </row>
    <row r="42" spans="1:20">
      <c r="A42" t="s">
        <v>1213</v>
      </c>
      <c r="B42" t="s">
        <v>1230</v>
      </c>
      <c r="F42" t="s">
        <v>4618</v>
      </c>
      <c r="G42" t="s">
        <v>4619</v>
      </c>
      <c r="H42" t="s">
        <v>312</v>
      </c>
      <c r="I42" t="s">
        <v>205</v>
      </c>
      <c r="J42" t="s">
        <v>204</v>
      </c>
      <c r="K42" t="s">
        <v>314</v>
      </c>
      <c r="M42" t="s">
        <v>339</v>
      </c>
      <c r="N42" t="s">
        <v>1216</v>
      </c>
      <c r="O42" s="131">
        <v>-1013600</v>
      </c>
      <c r="P42" s="131">
        <v>3.71</v>
      </c>
      <c r="Q42" s="131">
        <v>100</v>
      </c>
      <c r="R42" s="131">
        <v>-3760.4560000000001</v>
      </c>
      <c r="S42" s="132">
        <v>-0.52532000000000001</v>
      </c>
      <c r="T42" s="132">
        <v>-1.34E-3</v>
      </c>
    </row>
    <row r="43" spans="1:20">
      <c r="A43" t="s">
        <v>1213</v>
      </c>
      <c r="B43" t="s">
        <v>1233</v>
      </c>
      <c r="F43" t="s">
        <v>4636</v>
      </c>
      <c r="G43" t="s">
        <v>4637</v>
      </c>
      <c r="H43" t="s">
        <v>321</v>
      </c>
      <c r="I43" t="s">
        <v>205</v>
      </c>
      <c r="J43" t="s">
        <v>224</v>
      </c>
      <c r="K43" t="s">
        <v>314</v>
      </c>
      <c r="L43" t="s">
        <v>751</v>
      </c>
      <c r="M43" t="s">
        <v>339</v>
      </c>
      <c r="N43" t="s">
        <v>1216</v>
      </c>
      <c r="O43" s="131">
        <v>16</v>
      </c>
      <c r="P43" s="131">
        <v>3.71</v>
      </c>
      <c r="Q43" s="131">
        <v>1.0999999999999999E-2</v>
      </c>
      <c r="R43" s="131">
        <v>0</v>
      </c>
      <c r="S43" s="132">
        <v>0</v>
      </c>
      <c r="T43" s="132">
        <v>0</v>
      </c>
    </row>
    <row r="44" spans="1:20">
      <c r="A44" t="s">
        <v>1213</v>
      </c>
      <c r="B44" t="s">
        <v>1233</v>
      </c>
      <c r="F44" t="s">
        <v>4604</v>
      </c>
      <c r="G44" t="s">
        <v>4605</v>
      </c>
      <c r="H44" t="s">
        <v>321</v>
      </c>
      <c r="I44" t="s">
        <v>205</v>
      </c>
      <c r="J44" t="s">
        <v>224</v>
      </c>
      <c r="K44" t="s">
        <v>314</v>
      </c>
      <c r="L44" t="s">
        <v>747</v>
      </c>
      <c r="M44" t="s">
        <v>339</v>
      </c>
      <c r="N44" t="s">
        <v>1216</v>
      </c>
      <c r="O44" s="131">
        <v>4</v>
      </c>
      <c r="P44" s="131">
        <v>3.71</v>
      </c>
      <c r="Q44" s="131">
        <v>6.0000000000000001E-3</v>
      </c>
      <c r="R44" s="131">
        <v>0</v>
      </c>
      <c r="S44" s="132">
        <v>0</v>
      </c>
      <c r="T44" s="132">
        <v>0</v>
      </c>
    </row>
    <row r="45" spans="1:20">
      <c r="A45" t="s">
        <v>1213</v>
      </c>
      <c r="B45" t="s">
        <v>1233</v>
      </c>
      <c r="F45" t="s">
        <v>4606</v>
      </c>
      <c r="G45" t="s">
        <v>4607</v>
      </c>
      <c r="H45" t="s">
        <v>321</v>
      </c>
      <c r="I45" t="s">
        <v>205</v>
      </c>
      <c r="J45" t="s">
        <v>224</v>
      </c>
      <c r="K45" t="s">
        <v>314</v>
      </c>
      <c r="L45" t="s">
        <v>747</v>
      </c>
      <c r="M45" t="s">
        <v>339</v>
      </c>
      <c r="N45" t="s">
        <v>1216</v>
      </c>
      <c r="O45" s="131">
        <v>1</v>
      </c>
      <c r="P45" s="131">
        <v>3.71</v>
      </c>
      <c r="Q45" s="131">
        <v>0.02</v>
      </c>
      <c r="R45" s="131">
        <v>0</v>
      </c>
      <c r="S45" s="132">
        <v>0</v>
      </c>
      <c r="T45" s="132">
        <v>0</v>
      </c>
    </row>
    <row r="46" spans="1:20">
      <c r="A46" t="s">
        <v>1213</v>
      </c>
      <c r="B46" t="s">
        <v>1233</v>
      </c>
      <c r="F46" t="s">
        <v>4602</v>
      </c>
      <c r="G46" t="s">
        <v>4603</v>
      </c>
      <c r="H46" t="s">
        <v>312</v>
      </c>
      <c r="I46" t="s">
        <v>205</v>
      </c>
      <c r="J46" t="s">
        <v>204</v>
      </c>
      <c r="K46" t="s">
        <v>314</v>
      </c>
      <c r="M46" t="s">
        <v>339</v>
      </c>
      <c r="N46" t="s">
        <v>1216</v>
      </c>
      <c r="O46" s="131">
        <v>37676.870000000003</v>
      </c>
      <c r="P46" s="131">
        <v>3.71</v>
      </c>
      <c r="Q46" s="131">
        <v>100</v>
      </c>
      <c r="R46" s="131">
        <v>139.78100000000001</v>
      </c>
      <c r="S46" s="132">
        <v>1</v>
      </c>
      <c r="T46" s="132">
        <v>3.6999999999999999E-4</v>
      </c>
    </row>
    <row r="47" spans="1:20">
      <c r="A47" t="s">
        <v>1213</v>
      </c>
      <c r="B47" t="s">
        <v>1235</v>
      </c>
      <c r="F47" t="s">
        <v>4636</v>
      </c>
      <c r="G47" t="s">
        <v>4637</v>
      </c>
      <c r="H47" t="s">
        <v>321</v>
      </c>
      <c r="I47" t="s">
        <v>205</v>
      </c>
      <c r="J47" t="s">
        <v>224</v>
      </c>
      <c r="K47" t="s">
        <v>314</v>
      </c>
      <c r="L47" t="s">
        <v>751</v>
      </c>
      <c r="M47" t="s">
        <v>339</v>
      </c>
      <c r="N47" t="s">
        <v>1216</v>
      </c>
      <c r="O47" s="131">
        <v>2</v>
      </c>
      <c r="P47" s="131">
        <v>3.71</v>
      </c>
      <c r="Q47" s="131">
        <v>1.0999999999999999E-2</v>
      </c>
      <c r="R47" s="131">
        <v>0</v>
      </c>
      <c r="S47" s="132">
        <v>0</v>
      </c>
      <c r="T47" s="132">
        <v>0</v>
      </c>
    </row>
    <row r="48" spans="1:20">
      <c r="A48" t="s">
        <v>1213</v>
      </c>
      <c r="B48" t="s">
        <v>1235</v>
      </c>
      <c r="F48" t="s">
        <v>4638</v>
      </c>
      <c r="G48" t="s">
        <v>4639</v>
      </c>
      <c r="H48" t="s">
        <v>321</v>
      </c>
      <c r="I48" t="s">
        <v>205</v>
      </c>
      <c r="J48" t="s">
        <v>238</v>
      </c>
      <c r="K48" t="s">
        <v>314</v>
      </c>
      <c r="L48" t="s">
        <v>747</v>
      </c>
      <c r="M48" t="s">
        <v>339</v>
      </c>
      <c r="N48" t="s">
        <v>1218</v>
      </c>
      <c r="O48" s="131">
        <v>1</v>
      </c>
      <c r="P48" s="131">
        <v>4.1524000000000001</v>
      </c>
      <c r="Q48" s="131">
        <v>0.02</v>
      </c>
      <c r="R48" s="131">
        <v>0</v>
      </c>
      <c r="S48" s="132">
        <v>0</v>
      </c>
      <c r="T48" s="132">
        <v>0</v>
      </c>
    </row>
    <row r="49" spans="1:20">
      <c r="A49" t="s">
        <v>1213</v>
      </c>
      <c r="B49" t="s">
        <v>1235</v>
      </c>
      <c r="F49" t="s">
        <v>4604</v>
      </c>
      <c r="G49" t="s">
        <v>4605</v>
      </c>
      <c r="H49" t="s">
        <v>321</v>
      </c>
      <c r="I49" t="s">
        <v>205</v>
      </c>
      <c r="J49" t="s">
        <v>224</v>
      </c>
      <c r="K49" t="s">
        <v>314</v>
      </c>
      <c r="L49" t="s">
        <v>747</v>
      </c>
      <c r="M49" t="s">
        <v>339</v>
      </c>
      <c r="N49" t="s">
        <v>1216</v>
      </c>
      <c r="O49" s="131">
        <v>2</v>
      </c>
      <c r="P49" s="131">
        <v>3.71</v>
      </c>
      <c r="Q49" s="131">
        <v>6.0000000000000001E-3</v>
      </c>
      <c r="R49" s="131">
        <v>0</v>
      </c>
      <c r="S49" s="132">
        <v>0</v>
      </c>
      <c r="T49" s="132">
        <v>0</v>
      </c>
    </row>
    <row r="50" spans="1:20">
      <c r="A50" t="s">
        <v>1213</v>
      </c>
      <c r="B50" t="s">
        <v>1235</v>
      </c>
      <c r="F50" t="s">
        <v>4640</v>
      </c>
      <c r="G50" t="s">
        <v>4641</v>
      </c>
      <c r="H50" t="s">
        <v>321</v>
      </c>
      <c r="I50" t="s">
        <v>205</v>
      </c>
      <c r="J50" t="s">
        <v>224</v>
      </c>
      <c r="K50" t="s">
        <v>314</v>
      </c>
      <c r="L50" t="s">
        <v>747</v>
      </c>
      <c r="M50" t="s">
        <v>339</v>
      </c>
      <c r="N50" t="s">
        <v>1216</v>
      </c>
      <c r="O50" s="131">
        <v>2</v>
      </c>
      <c r="P50" s="131">
        <v>3.71</v>
      </c>
      <c r="Q50" s="131">
        <v>2E-3</v>
      </c>
      <c r="R50" s="131">
        <v>0</v>
      </c>
      <c r="S50" s="132">
        <v>0</v>
      </c>
      <c r="T50" s="132">
        <v>0</v>
      </c>
    </row>
    <row r="51" spans="1:20">
      <c r="A51" t="s">
        <v>1213</v>
      </c>
      <c r="B51" t="s">
        <v>1235</v>
      </c>
      <c r="F51" t="s">
        <v>4612</v>
      </c>
      <c r="G51" t="s">
        <v>4613</v>
      </c>
      <c r="H51" t="s">
        <v>321</v>
      </c>
      <c r="I51" t="s">
        <v>205</v>
      </c>
      <c r="J51" t="s">
        <v>293</v>
      </c>
      <c r="K51" t="s">
        <v>314</v>
      </c>
      <c r="L51" t="s">
        <v>747</v>
      </c>
      <c r="M51" t="s">
        <v>339</v>
      </c>
      <c r="N51" t="s">
        <v>1218</v>
      </c>
      <c r="O51" s="131">
        <v>3</v>
      </c>
      <c r="P51" s="131">
        <v>4.1524000000000001</v>
      </c>
      <c r="Q51" s="131">
        <v>1E-3</v>
      </c>
      <c r="R51" s="131">
        <v>0</v>
      </c>
    </row>
    <row r="52" spans="1:20">
      <c r="A52" t="s">
        <v>1213</v>
      </c>
      <c r="B52" t="s">
        <v>1235</v>
      </c>
      <c r="F52" t="s">
        <v>4602</v>
      </c>
      <c r="G52" t="s">
        <v>4603</v>
      </c>
      <c r="H52" t="s">
        <v>312</v>
      </c>
      <c r="I52" t="s">
        <v>205</v>
      </c>
      <c r="J52" t="s">
        <v>204</v>
      </c>
      <c r="K52" t="s">
        <v>314</v>
      </c>
      <c r="M52" t="s">
        <v>339</v>
      </c>
      <c r="N52" t="s">
        <v>1216</v>
      </c>
      <c r="O52" s="131">
        <v>13661.1</v>
      </c>
      <c r="P52" s="131">
        <v>3.71</v>
      </c>
      <c r="Q52" s="131">
        <v>100</v>
      </c>
      <c r="R52" s="131">
        <v>50.683</v>
      </c>
      <c r="S52" s="132">
        <v>0.74702999999999997</v>
      </c>
      <c r="T52" s="132">
        <v>7.2999999999999996E-4</v>
      </c>
    </row>
    <row r="53" spans="1:20">
      <c r="A53" t="s">
        <v>1213</v>
      </c>
      <c r="B53" t="s">
        <v>1235</v>
      </c>
      <c r="F53" t="s">
        <v>4616</v>
      </c>
      <c r="G53" t="s">
        <v>4617</v>
      </c>
      <c r="H53" t="s">
        <v>312</v>
      </c>
      <c r="I53" t="s">
        <v>205</v>
      </c>
      <c r="J53" t="s">
        <v>204</v>
      </c>
      <c r="K53" t="s">
        <v>314</v>
      </c>
      <c r="M53" t="s">
        <v>339</v>
      </c>
      <c r="N53" t="s">
        <v>1218</v>
      </c>
      <c r="O53" s="131">
        <v>4133.1899999999996</v>
      </c>
      <c r="P53" s="131">
        <v>4.1524000000000001</v>
      </c>
      <c r="Q53" s="131">
        <v>100</v>
      </c>
      <c r="R53" s="131">
        <v>17.163</v>
      </c>
      <c r="S53" s="132">
        <v>0.25296999999999997</v>
      </c>
      <c r="T53" s="132">
        <v>2.5000000000000001E-4</v>
      </c>
    </row>
    <row r="54" spans="1:20">
      <c r="A54" t="s">
        <v>1213</v>
      </c>
      <c r="B54" t="s">
        <v>1238</v>
      </c>
      <c r="F54" t="s">
        <v>4638</v>
      </c>
      <c r="G54" t="s">
        <v>4639</v>
      </c>
      <c r="H54" t="s">
        <v>321</v>
      </c>
      <c r="I54" t="s">
        <v>205</v>
      </c>
      <c r="J54" t="s">
        <v>238</v>
      </c>
      <c r="K54" t="s">
        <v>314</v>
      </c>
      <c r="L54" t="s">
        <v>747</v>
      </c>
      <c r="M54" t="s">
        <v>339</v>
      </c>
      <c r="N54" t="s">
        <v>1218</v>
      </c>
      <c r="O54" s="131">
        <v>65</v>
      </c>
      <c r="P54" s="131">
        <v>4.1524000000000001</v>
      </c>
      <c r="Q54" s="131">
        <v>0.02</v>
      </c>
      <c r="R54" s="131">
        <v>0</v>
      </c>
      <c r="S54" s="132">
        <v>0</v>
      </c>
      <c r="T54" s="132">
        <v>0</v>
      </c>
    </row>
    <row r="55" spans="1:20">
      <c r="A55" t="s">
        <v>1213</v>
      </c>
      <c r="B55" t="s">
        <v>1238</v>
      </c>
      <c r="F55" t="s">
        <v>4604</v>
      </c>
      <c r="G55" t="s">
        <v>4605</v>
      </c>
      <c r="H55" t="s">
        <v>321</v>
      </c>
      <c r="I55" t="s">
        <v>205</v>
      </c>
      <c r="J55" t="s">
        <v>224</v>
      </c>
      <c r="K55" t="s">
        <v>314</v>
      </c>
      <c r="L55" t="s">
        <v>747</v>
      </c>
      <c r="M55" t="s">
        <v>339</v>
      </c>
      <c r="N55" t="s">
        <v>1216</v>
      </c>
      <c r="O55" s="131">
        <v>140</v>
      </c>
      <c r="P55" s="131">
        <v>3.71</v>
      </c>
      <c r="Q55" s="131">
        <v>6.0000000000000001E-3</v>
      </c>
      <c r="R55" s="131">
        <v>0</v>
      </c>
      <c r="S55" s="132">
        <v>0</v>
      </c>
      <c r="T55" s="132">
        <v>0</v>
      </c>
    </row>
    <row r="56" spans="1:20">
      <c r="A56" t="s">
        <v>1213</v>
      </c>
      <c r="B56" t="s">
        <v>1238</v>
      </c>
      <c r="F56" t="s">
        <v>4636</v>
      </c>
      <c r="G56" t="s">
        <v>4637</v>
      </c>
      <c r="H56" t="s">
        <v>321</v>
      </c>
      <c r="I56" t="s">
        <v>205</v>
      </c>
      <c r="J56" t="s">
        <v>224</v>
      </c>
      <c r="K56" t="s">
        <v>314</v>
      </c>
      <c r="L56" t="s">
        <v>751</v>
      </c>
      <c r="M56" t="s">
        <v>339</v>
      </c>
      <c r="N56" t="s">
        <v>1216</v>
      </c>
      <c r="O56" s="131">
        <v>64</v>
      </c>
      <c r="P56" s="131">
        <v>3.71</v>
      </c>
      <c r="Q56" s="131">
        <v>1.0999999999999999E-2</v>
      </c>
      <c r="R56" s="131">
        <v>0</v>
      </c>
      <c r="S56" s="132">
        <v>0</v>
      </c>
      <c r="T56" s="132">
        <v>0</v>
      </c>
    </row>
    <row r="57" spans="1:20">
      <c r="A57" t="s">
        <v>1213</v>
      </c>
      <c r="B57" t="s">
        <v>1238</v>
      </c>
      <c r="F57" t="s">
        <v>4606</v>
      </c>
      <c r="G57" t="s">
        <v>4607</v>
      </c>
      <c r="H57" t="s">
        <v>321</v>
      </c>
      <c r="I57" t="s">
        <v>205</v>
      </c>
      <c r="J57" t="s">
        <v>224</v>
      </c>
      <c r="K57" t="s">
        <v>314</v>
      </c>
      <c r="L57" t="s">
        <v>747</v>
      </c>
      <c r="M57" t="s">
        <v>339</v>
      </c>
      <c r="N57" t="s">
        <v>1216</v>
      </c>
      <c r="O57" s="131">
        <v>33</v>
      </c>
      <c r="P57" s="131">
        <v>3.71</v>
      </c>
      <c r="Q57" s="131">
        <v>0.02</v>
      </c>
      <c r="R57" s="131">
        <v>0</v>
      </c>
      <c r="S57" s="132">
        <v>0</v>
      </c>
      <c r="T57" s="132">
        <v>0</v>
      </c>
    </row>
    <row r="58" spans="1:20">
      <c r="A58" t="s">
        <v>1213</v>
      </c>
      <c r="B58" t="s">
        <v>1238</v>
      </c>
      <c r="F58" t="s">
        <v>4642</v>
      </c>
      <c r="G58" t="s">
        <v>4643</v>
      </c>
      <c r="H58" t="s">
        <v>321</v>
      </c>
      <c r="I58" t="s">
        <v>205</v>
      </c>
      <c r="J58" t="s">
        <v>233</v>
      </c>
      <c r="K58" t="s">
        <v>314</v>
      </c>
      <c r="L58" t="s">
        <v>747</v>
      </c>
      <c r="M58" t="s">
        <v>339</v>
      </c>
      <c r="N58" t="s">
        <v>1227</v>
      </c>
      <c r="O58" s="131">
        <v>12</v>
      </c>
      <c r="P58" s="131">
        <v>4.9748000000000001</v>
      </c>
      <c r="Q58" s="131">
        <v>8.0000000000000002E-3</v>
      </c>
      <c r="R58" s="131">
        <v>0</v>
      </c>
      <c r="S58" s="132">
        <v>0</v>
      </c>
      <c r="T58" s="132">
        <v>0</v>
      </c>
    </row>
    <row r="59" spans="1:20">
      <c r="A59" t="s">
        <v>1213</v>
      </c>
      <c r="B59" t="s">
        <v>1238</v>
      </c>
      <c r="F59" t="s">
        <v>4640</v>
      </c>
      <c r="G59" t="s">
        <v>4641</v>
      </c>
      <c r="H59" t="s">
        <v>321</v>
      </c>
      <c r="I59" t="s">
        <v>205</v>
      </c>
      <c r="J59" t="s">
        <v>224</v>
      </c>
      <c r="K59" t="s">
        <v>314</v>
      </c>
      <c r="L59" t="s">
        <v>747</v>
      </c>
      <c r="M59" t="s">
        <v>339</v>
      </c>
      <c r="N59" t="s">
        <v>1216</v>
      </c>
      <c r="O59" s="131">
        <v>36</v>
      </c>
      <c r="P59" s="131">
        <v>3.71</v>
      </c>
      <c r="Q59" s="131">
        <v>2E-3</v>
      </c>
      <c r="R59" s="131">
        <v>0</v>
      </c>
      <c r="S59" s="132">
        <v>0</v>
      </c>
      <c r="T59" s="132">
        <v>0</v>
      </c>
    </row>
    <row r="60" spans="1:20">
      <c r="A60" t="s">
        <v>1213</v>
      </c>
      <c r="B60" t="s">
        <v>1238</v>
      </c>
      <c r="F60" t="s">
        <v>4612</v>
      </c>
      <c r="G60" t="s">
        <v>4613</v>
      </c>
      <c r="H60" t="s">
        <v>321</v>
      </c>
      <c r="I60" t="s">
        <v>205</v>
      </c>
      <c r="J60" t="s">
        <v>293</v>
      </c>
      <c r="K60" t="s">
        <v>314</v>
      </c>
      <c r="L60" t="s">
        <v>747</v>
      </c>
      <c r="M60" t="s">
        <v>339</v>
      </c>
      <c r="N60" t="s">
        <v>1218</v>
      </c>
      <c r="O60" s="131">
        <v>23</v>
      </c>
      <c r="P60" s="131">
        <v>4.1524000000000001</v>
      </c>
      <c r="Q60" s="131">
        <v>1E-3</v>
      </c>
      <c r="R60" s="131">
        <v>0</v>
      </c>
      <c r="S60" s="132">
        <v>0</v>
      </c>
      <c r="T60" s="132">
        <v>0</v>
      </c>
    </row>
    <row r="61" spans="1:20">
      <c r="A61" t="s">
        <v>1213</v>
      </c>
      <c r="B61" t="s">
        <v>1238</v>
      </c>
      <c r="F61" t="s">
        <v>4608</v>
      </c>
      <c r="G61" t="s">
        <v>4609</v>
      </c>
      <c r="H61" t="s">
        <v>321</v>
      </c>
      <c r="I61" t="s">
        <v>205</v>
      </c>
      <c r="J61" t="s">
        <v>224</v>
      </c>
      <c r="K61" t="s">
        <v>314</v>
      </c>
      <c r="L61" t="s">
        <v>751</v>
      </c>
      <c r="M61" t="s">
        <v>339</v>
      </c>
      <c r="N61" t="s">
        <v>1216</v>
      </c>
      <c r="O61" s="131">
        <v>60</v>
      </c>
      <c r="P61" s="131">
        <v>3.71</v>
      </c>
      <c r="Q61" s="131">
        <v>0</v>
      </c>
      <c r="R61" s="131">
        <v>0</v>
      </c>
      <c r="S61" s="132">
        <v>0</v>
      </c>
      <c r="T61" s="132">
        <v>0</v>
      </c>
    </row>
    <row r="62" spans="1:20">
      <c r="A62" t="s">
        <v>1213</v>
      </c>
      <c r="B62" t="s">
        <v>1238</v>
      </c>
      <c r="F62" t="s">
        <v>4602</v>
      </c>
      <c r="G62" t="s">
        <v>4603</v>
      </c>
      <c r="H62" t="s">
        <v>312</v>
      </c>
      <c r="I62" t="s">
        <v>205</v>
      </c>
      <c r="J62" t="s">
        <v>204</v>
      </c>
      <c r="K62" t="s">
        <v>314</v>
      </c>
      <c r="M62" t="s">
        <v>339</v>
      </c>
      <c r="N62" t="s">
        <v>1216</v>
      </c>
      <c r="O62" s="131">
        <v>1262056.44</v>
      </c>
      <c r="P62" s="131">
        <v>3.71</v>
      </c>
      <c r="Q62" s="131">
        <v>100</v>
      </c>
      <c r="R62" s="131">
        <v>4682.2290000000003</v>
      </c>
      <c r="S62" s="132">
        <v>0.85026999999999997</v>
      </c>
      <c r="T62" s="132">
        <v>2.5899999999999999E-3</v>
      </c>
    </row>
    <row r="63" spans="1:20">
      <c r="A63" t="s">
        <v>1213</v>
      </c>
      <c r="B63" t="s">
        <v>1238</v>
      </c>
      <c r="F63" t="s">
        <v>4616</v>
      </c>
      <c r="G63" t="s">
        <v>4617</v>
      </c>
      <c r="H63" t="s">
        <v>312</v>
      </c>
      <c r="I63" t="s">
        <v>205</v>
      </c>
      <c r="J63" t="s">
        <v>204</v>
      </c>
      <c r="K63" t="s">
        <v>314</v>
      </c>
      <c r="M63" t="s">
        <v>339</v>
      </c>
      <c r="N63" t="s">
        <v>1218</v>
      </c>
      <c r="O63" s="131">
        <v>203161.51</v>
      </c>
      <c r="P63" s="131">
        <v>4.1524000000000001</v>
      </c>
      <c r="Q63" s="131">
        <v>100</v>
      </c>
      <c r="R63" s="131">
        <v>843.60799999999995</v>
      </c>
      <c r="S63" s="132">
        <v>0.1532</v>
      </c>
      <c r="T63" s="132">
        <v>4.6999999999999999E-4</v>
      </c>
    </row>
    <row r="64" spans="1:20">
      <c r="A64" t="s">
        <v>1213</v>
      </c>
      <c r="B64" t="s">
        <v>1238</v>
      </c>
      <c r="F64" t="s">
        <v>4644</v>
      </c>
      <c r="G64" t="s">
        <v>4645</v>
      </c>
      <c r="H64" t="s">
        <v>312</v>
      </c>
      <c r="I64" t="s">
        <v>205</v>
      </c>
      <c r="J64" t="s">
        <v>204</v>
      </c>
      <c r="K64" t="s">
        <v>314</v>
      </c>
      <c r="M64" t="s">
        <v>339</v>
      </c>
      <c r="N64" t="s">
        <v>1227</v>
      </c>
      <c r="O64" s="131">
        <v>-3840</v>
      </c>
      <c r="P64" s="131">
        <v>4.9748000000000001</v>
      </c>
      <c r="Q64" s="131">
        <v>100</v>
      </c>
      <c r="R64" s="131">
        <v>-19.103000000000002</v>
      </c>
      <c r="S64" s="132">
        <v>-3.47E-3</v>
      </c>
      <c r="T64" s="132">
        <v>-1.0000000000000001E-5</v>
      </c>
    </row>
    <row r="65" spans="1:20">
      <c r="A65" t="s">
        <v>1213</v>
      </c>
      <c r="B65" t="s">
        <v>1241</v>
      </c>
      <c r="F65" t="s">
        <v>4636</v>
      </c>
      <c r="G65" t="s">
        <v>4637</v>
      </c>
      <c r="H65" t="s">
        <v>321</v>
      </c>
      <c r="I65" t="s">
        <v>205</v>
      </c>
      <c r="J65" t="s">
        <v>224</v>
      </c>
      <c r="K65" t="s">
        <v>314</v>
      </c>
      <c r="L65" t="s">
        <v>751</v>
      </c>
      <c r="M65" t="s">
        <v>339</v>
      </c>
      <c r="N65" t="s">
        <v>1216</v>
      </c>
      <c r="O65" s="131">
        <v>39</v>
      </c>
      <c r="P65" s="131">
        <v>3.71</v>
      </c>
      <c r="Q65" s="131">
        <v>1.0999999999999999E-2</v>
      </c>
      <c r="R65" s="131">
        <v>0</v>
      </c>
      <c r="S65" s="132">
        <v>0</v>
      </c>
      <c r="T65" s="132">
        <v>0</v>
      </c>
    </row>
    <row r="66" spans="1:20">
      <c r="A66" t="s">
        <v>1213</v>
      </c>
      <c r="B66" t="s">
        <v>1241</v>
      </c>
      <c r="F66" t="s">
        <v>4604</v>
      </c>
      <c r="G66" t="s">
        <v>4605</v>
      </c>
      <c r="H66" t="s">
        <v>321</v>
      </c>
      <c r="I66" t="s">
        <v>205</v>
      </c>
      <c r="J66" t="s">
        <v>224</v>
      </c>
      <c r="K66" t="s">
        <v>314</v>
      </c>
      <c r="L66" t="s">
        <v>747</v>
      </c>
      <c r="M66" t="s">
        <v>339</v>
      </c>
      <c r="N66" t="s">
        <v>1216</v>
      </c>
      <c r="O66" s="131">
        <v>4</v>
      </c>
      <c r="P66" s="131">
        <v>3.71</v>
      </c>
      <c r="Q66" s="131">
        <v>6.0000000000000001E-3</v>
      </c>
      <c r="R66" s="131">
        <v>0</v>
      </c>
      <c r="S66" s="132">
        <v>0</v>
      </c>
      <c r="T66" s="132">
        <v>0</v>
      </c>
    </row>
    <row r="67" spans="1:20">
      <c r="A67" t="s">
        <v>1213</v>
      </c>
      <c r="B67" t="s">
        <v>1241</v>
      </c>
      <c r="F67" t="s">
        <v>4606</v>
      </c>
      <c r="G67" t="s">
        <v>4607</v>
      </c>
      <c r="H67" t="s">
        <v>321</v>
      </c>
      <c r="I67" t="s">
        <v>205</v>
      </c>
      <c r="J67" t="s">
        <v>224</v>
      </c>
      <c r="K67" t="s">
        <v>314</v>
      </c>
      <c r="L67" t="s">
        <v>747</v>
      </c>
      <c r="M67" t="s">
        <v>339</v>
      </c>
      <c r="N67" t="s">
        <v>1216</v>
      </c>
      <c r="O67" s="131">
        <v>1</v>
      </c>
      <c r="P67" s="131">
        <v>3.71</v>
      </c>
      <c r="Q67" s="131">
        <v>0.02</v>
      </c>
      <c r="R67" s="131">
        <v>0</v>
      </c>
      <c r="S67" s="132">
        <v>0</v>
      </c>
      <c r="T67" s="132">
        <v>0</v>
      </c>
    </row>
    <row r="68" spans="1:20">
      <c r="A68" t="s">
        <v>1213</v>
      </c>
      <c r="B68" t="s">
        <v>1241</v>
      </c>
      <c r="F68" t="s">
        <v>4608</v>
      </c>
      <c r="G68" t="s">
        <v>4609</v>
      </c>
      <c r="H68" t="s">
        <v>321</v>
      </c>
      <c r="I68" t="s">
        <v>205</v>
      </c>
      <c r="J68" t="s">
        <v>224</v>
      </c>
      <c r="K68" t="s">
        <v>314</v>
      </c>
      <c r="L68" t="s">
        <v>751</v>
      </c>
      <c r="M68" t="s">
        <v>339</v>
      </c>
      <c r="N68" t="s">
        <v>1216</v>
      </c>
      <c r="O68" s="131">
        <v>24</v>
      </c>
      <c r="P68" s="131">
        <v>3.71</v>
      </c>
      <c r="Q68" s="131">
        <v>0</v>
      </c>
      <c r="R68" s="131">
        <v>0</v>
      </c>
    </row>
    <row r="69" spans="1:20">
      <c r="A69" t="s">
        <v>1213</v>
      </c>
      <c r="B69" t="s">
        <v>1241</v>
      </c>
      <c r="F69" t="s">
        <v>4602</v>
      </c>
      <c r="G69" t="s">
        <v>4603</v>
      </c>
      <c r="H69" t="s">
        <v>312</v>
      </c>
      <c r="I69" t="s">
        <v>205</v>
      </c>
      <c r="J69" t="s">
        <v>204</v>
      </c>
      <c r="K69" t="s">
        <v>314</v>
      </c>
      <c r="M69" t="s">
        <v>339</v>
      </c>
      <c r="N69" t="s">
        <v>1216</v>
      </c>
      <c r="O69" s="131">
        <v>53665.27</v>
      </c>
      <c r="P69" s="131">
        <v>3.71</v>
      </c>
      <c r="Q69" s="131">
        <v>100</v>
      </c>
      <c r="R69" s="131">
        <v>199.09800000000001</v>
      </c>
      <c r="S69" s="132">
        <v>1</v>
      </c>
      <c r="T69" s="132">
        <v>5.1999999999999995E-4</v>
      </c>
    </row>
    <row r="70" spans="1:20">
      <c r="A70" t="s">
        <v>1213</v>
      </c>
      <c r="B70" t="s">
        <v>1242</v>
      </c>
      <c r="F70" t="s">
        <v>4646</v>
      </c>
      <c r="G70" t="s">
        <v>4647</v>
      </c>
      <c r="H70" t="s">
        <v>321</v>
      </c>
      <c r="I70" t="s">
        <v>205</v>
      </c>
      <c r="J70" t="s">
        <v>224</v>
      </c>
      <c r="K70" t="s">
        <v>314</v>
      </c>
      <c r="L70" t="s">
        <v>747</v>
      </c>
      <c r="M70" t="s">
        <v>339</v>
      </c>
      <c r="N70" t="s">
        <v>1216</v>
      </c>
      <c r="O70" s="131">
        <v>11</v>
      </c>
      <c r="P70" s="131">
        <v>3.71</v>
      </c>
      <c r="Q70" s="131">
        <v>4.2999999999999997E-2</v>
      </c>
      <c r="R70" s="131">
        <v>0</v>
      </c>
      <c r="S70" s="132">
        <v>0</v>
      </c>
      <c r="T70" s="132">
        <v>0</v>
      </c>
    </row>
    <row r="71" spans="1:20">
      <c r="A71" t="s">
        <v>1213</v>
      </c>
      <c r="B71" t="s">
        <v>1242</v>
      </c>
      <c r="F71" t="s">
        <v>4638</v>
      </c>
      <c r="G71" t="s">
        <v>4639</v>
      </c>
      <c r="H71" t="s">
        <v>321</v>
      </c>
      <c r="I71" t="s">
        <v>205</v>
      </c>
      <c r="J71" t="s">
        <v>238</v>
      </c>
      <c r="K71" t="s">
        <v>314</v>
      </c>
      <c r="L71" t="s">
        <v>747</v>
      </c>
      <c r="M71" t="s">
        <v>339</v>
      </c>
      <c r="N71" t="s">
        <v>1218</v>
      </c>
      <c r="O71" s="131">
        <v>9</v>
      </c>
      <c r="P71" s="131">
        <v>4.1524000000000001</v>
      </c>
      <c r="Q71" s="131">
        <v>0.02</v>
      </c>
      <c r="R71" s="131">
        <v>0</v>
      </c>
      <c r="S71" s="132">
        <v>0</v>
      </c>
      <c r="T71" s="132">
        <v>0</v>
      </c>
    </row>
    <row r="72" spans="1:20">
      <c r="A72" t="s">
        <v>1213</v>
      </c>
      <c r="B72" t="s">
        <v>1242</v>
      </c>
      <c r="F72" t="s">
        <v>4604</v>
      </c>
      <c r="G72" t="s">
        <v>4605</v>
      </c>
      <c r="H72" t="s">
        <v>321</v>
      </c>
      <c r="I72" t="s">
        <v>205</v>
      </c>
      <c r="J72" t="s">
        <v>224</v>
      </c>
      <c r="K72" t="s">
        <v>314</v>
      </c>
      <c r="L72" t="s">
        <v>747</v>
      </c>
      <c r="M72" t="s">
        <v>339</v>
      </c>
      <c r="N72" t="s">
        <v>1216</v>
      </c>
      <c r="O72" s="131">
        <v>32</v>
      </c>
      <c r="P72" s="131">
        <v>3.71</v>
      </c>
      <c r="Q72" s="131">
        <v>6.0000000000000001E-3</v>
      </c>
      <c r="R72" s="131">
        <v>0</v>
      </c>
      <c r="S72" s="132">
        <v>0</v>
      </c>
      <c r="T72" s="132">
        <v>0</v>
      </c>
    </row>
    <row r="73" spans="1:20">
      <c r="A73" t="s">
        <v>1213</v>
      </c>
      <c r="B73" t="s">
        <v>1242</v>
      </c>
      <c r="F73" t="s">
        <v>4606</v>
      </c>
      <c r="G73" t="s">
        <v>4607</v>
      </c>
      <c r="H73" t="s">
        <v>321</v>
      </c>
      <c r="I73" t="s">
        <v>205</v>
      </c>
      <c r="J73" t="s">
        <v>224</v>
      </c>
      <c r="K73" t="s">
        <v>314</v>
      </c>
      <c r="L73" t="s">
        <v>747</v>
      </c>
      <c r="M73" t="s">
        <v>339</v>
      </c>
      <c r="N73" t="s">
        <v>1216</v>
      </c>
      <c r="O73" s="131">
        <v>6</v>
      </c>
      <c r="P73" s="131">
        <v>3.71</v>
      </c>
      <c r="Q73" s="131">
        <v>0.02</v>
      </c>
      <c r="R73" s="131">
        <v>0</v>
      </c>
      <c r="S73" s="132">
        <v>0</v>
      </c>
      <c r="T73" s="132">
        <v>0</v>
      </c>
    </row>
    <row r="74" spans="1:20">
      <c r="A74" t="s">
        <v>1213</v>
      </c>
      <c r="B74" t="s">
        <v>1242</v>
      </c>
      <c r="F74" t="s">
        <v>4642</v>
      </c>
      <c r="G74" t="s">
        <v>4643</v>
      </c>
      <c r="H74" t="s">
        <v>321</v>
      </c>
      <c r="I74" t="s">
        <v>205</v>
      </c>
      <c r="J74" t="s">
        <v>233</v>
      </c>
      <c r="K74" t="s">
        <v>314</v>
      </c>
      <c r="L74" t="s">
        <v>747</v>
      </c>
      <c r="M74" t="s">
        <v>339</v>
      </c>
      <c r="N74" t="s">
        <v>1227</v>
      </c>
      <c r="O74" s="131">
        <v>5</v>
      </c>
      <c r="P74" s="131">
        <v>4.9748000000000001</v>
      </c>
      <c r="Q74" s="131">
        <v>8.0000000000000002E-3</v>
      </c>
      <c r="R74" s="131">
        <v>0</v>
      </c>
      <c r="S74" s="132">
        <v>0</v>
      </c>
      <c r="T74" s="132">
        <v>0</v>
      </c>
    </row>
    <row r="75" spans="1:20">
      <c r="A75" t="s">
        <v>1213</v>
      </c>
      <c r="B75" t="s">
        <v>1242</v>
      </c>
      <c r="F75" t="s">
        <v>4640</v>
      </c>
      <c r="G75" t="s">
        <v>4641</v>
      </c>
      <c r="H75" t="s">
        <v>321</v>
      </c>
      <c r="I75" t="s">
        <v>205</v>
      </c>
      <c r="J75" t="s">
        <v>224</v>
      </c>
      <c r="K75" t="s">
        <v>314</v>
      </c>
      <c r="L75" t="s">
        <v>747</v>
      </c>
      <c r="M75" t="s">
        <v>339</v>
      </c>
      <c r="N75" t="s">
        <v>1216</v>
      </c>
      <c r="O75" s="131">
        <v>20</v>
      </c>
      <c r="P75" s="131">
        <v>3.71</v>
      </c>
      <c r="Q75" s="131">
        <v>2E-3</v>
      </c>
      <c r="R75" s="131">
        <v>0</v>
      </c>
      <c r="S75" s="132">
        <v>0</v>
      </c>
      <c r="T75" s="132">
        <v>0</v>
      </c>
    </row>
    <row r="76" spans="1:20">
      <c r="A76" t="s">
        <v>1213</v>
      </c>
      <c r="B76" t="s">
        <v>1242</v>
      </c>
      <c r="F76" t="s">
        <v>4602</v>
      </c>
      <c r="G76" t="s">
        <v>4603</v>
      </c>
      <c r="H76" t="s">
        <v>312</v>
      </c>
      <c r="I76" t="s">
        <v>205</v>
      </c>
      <c r="J76" t="s">
        <v>204</v>
      </c>
      <c r="K76" t="s">
        <v>314</v>
      </c>
      <c r="M76" t="s">
        <v>339</v>
      </c>
      <c r="N76" t="s">
        <v>1216</v>
      </c>
      <c r="O76" s="131">
        <v>308609.24</v>
      </c>
      <c r="P76" s="131">
        <v>3.71</v>
      </c>
      <c r="Q76" s="131">
        <v>100</v>
      </c>
      <c r="R76" s="131">
        <v>1144.94</v>
      </c>
      <c r="S76" s="132">
        <v>0.91686999999999996</v>
      </c>
      <c r="T76" s="132">
        <v>2.99E-3</v>
      </c>
    </row>
    <row r="77" spans="1:20">
      <c r="A77" t="s">
        <v>1213</v>
      </c>
      <c r="B77" t="s">
        <v>1242</v>
      </c>
      <c r="F77" t="s">
        <v>4616</v>
      </c>
      <c r="G77" t="s">
        <v>4617</v>
      </c>
      <c r="H77" t="s">
        <v>312</v>
      </c>
      <c r="I77" t="s">
        <v>205</v>
      </c>
      <c r="J77" t="s">
        <v>204</v>
      </c>
      <c r="K77" t="s">
        <v>314</v>
      </c>
      <c r="M77" t="s">
        <v>339</v>
      </c>
      <c r="N77" t="s">
        <v>1218</v>
      </c>
      <c r="O77" s="131">
        <v>26917.37</v>
      </c>
      <c r="P77" s="131">
        <v>4.1524000000000001</v>
      </c>
      <c r="Q77" s="131">
        <v>100</v>
      </c>
      <c r="R77" s="131">
        <v>111.77200000000001</v>
      </c>
      <c r="S77" s="132">
        <v>8.9510000000000006E-2</v>
      </c>
      <c r="T77" s="132">
        <v>2.9E-4</v>
      </c>
    </row>
    <row r="78" spans="1:20">
      <c r="A78" t="s">
        <v>1213</v>
      </c>
      <c r="B78" t="s">
        <v>1242</v>
      </c>
      <c r="F78" t="s">
        <v>4644</v>
      </c>
      <c r="G78" t="s">
        <v>4645</v>
      </c>
      <c r="H78" t="s">
        <v>312</v>
      </c>
      <c r="I78" t="s">
        <v>205</v>
      </c>
      <c r="J78" t="s">
        <v>204</v>
      </c>
      <c r="K78" t="s">
        <v>314</v>
      </c>
      <c r="M78" t="s">
        <v>339</v>
      </c>
      <c r="N78" t="s">
        <v>1227</v>
      </c>
      <c r="O78" s="131">
        <v>-1600</v>
      </c>
      <c r="P78" s="131">
        <v>4.9748000000000001</v>
      </c>
      <c r="Q78" s="131">
        <v>100</v>
      </c>
      <c r="R78" s="131">
        <v>-7.96</v>
      </c>
      <c r="S78" s="132">
        <v>-6.3699999999999998E-3</v>
      </c>
      <c r="T78" s="132">
        <v>-2.0000000000000002E-5</v>
      </c>
    </row>
    <row r="79" spans="1:20">
      <c r="A79" t="s">
        <v>1213</v>
      </c>
      <c r="B79" t="s">
        <v>1243</v>
      </c>
      <c r="F79" t="s">
        <v>4604</v>
      </c>
      <c r="G79" t="s">
        <v>4605</v>
      </c>
      <c r="H79" t="s">
        <v>321</v>
      </c>
      <c r="I79" t="s">
        <v>205</v>
      </c>
      <c r="J79" t="s">
        <v>224</v>
      </c>
      <c r="K79" t="s">
        <v>314</v>
      </c>
      <c r="L79" t="s">
        <v>747</v>
      </c>
      <c r="M79" t="s">
        <v>339</v>
      </c>
      <c r="N79" t="s">
        <v>1216</v>
      </c>
      <c r="O79" s="131">
        <v>658</v>
      </c>
      <c r="P79" s="131">
        <v>3.71</v>
      </c>
      <c r="Q79" s="131">
        <v>6.0000000000000001E-3</v>
      </c>
      <c r="R79" s="131">
        <v>0</v>
      </c>
      <c r="S79" s="132">
        <v>0</v>
      </c>
      <c r="T79" s="132">
        <v>0</v>
      </c>
    </row>
    <row r="80" spans="1:20">
      <c r="A80" t="s">
        <v>1213</v>
      </c>
      <c r="B80" t="s">
        <v>1243</v>
      </c>
      <c r="F80" t="s">
        <v>4636</v>
      </c>
      <c r="G80" t="s">
        <v>4637</v>
      </c>
      <c r="H80" t="s">
        <v>321</v>
      </c>
      <c r="I80" t="s">
        <v>205</v>
      </c>
      <c r="J80" t="s">
        <v>224</v>
      </c>
      <c r="K80" t="s">
        <v>314</v>
      </c>
      <c r="L80" t="s">
        <v>751</v>
      </c>
      <c r="M80" t="s">
        <v>339</v>
      </c>
      <c r="N80" t="s">
        <v>1216</v>
      </c>
      <c r="O80" s="131">
        <v>166</v>
      </c>
      <c r="P80" s="131">
        <v>3.71</v>
      </c>
      <c r="Q80" s="131">
        <v>1.0999999999999999E-2</v>
      </c>
      <c r="R80" s="131">
        <v>0</v>
      </c>
      <c r="S80" s="132">
        <v>0</v>
      </c>
      <c r="T80" s="132">
        <v>0</v>
      </c>
    </row>
    <row r="81" spans="1:20">
      <c r="A81" t="s">
        <v>1213</v>
      </c>
      <c r="B81" t="s">
        <v>1243</v>
      </c>
      <c r="F81" t="s">
        <v>4606</v>
      </c>
      <c r="G81" t="s">
        <v>4607</v>
      </c>
      <c r="H81" t="s">
        <v>321</v>
      </c>
      <c r="I81" t="s">
        <v>205</v>
      </c>
      <c r="J81" t="s">
        <v>224</v>
      </c>
      <c r="K81" t="s">
        <v>314</v>
      </c>
      <c r="L81" t="s">
        <v>747</v>
      </c>
      <c r="M81" t="s">
        <v>339</v>
      </c>
      <c r="N81" t="s">
        <v>1216</v>
      </c>
      <c r="O81" s="131">
        <v>85</v>
      </c>
      <c r="P81" s="131">
        <v>3.71</v>
      </c>
      <c r="Q81" s="131">
        <v>0.02</v>
      </c>
      <c r="R81" s="131">
        <v>0</v>
      </c>
      <c r="S81" s="132">
        <v>0</v>
      </c>
      <c r="T81" s="132">
        <v>0</v>
      </c>
    </row>
    <row r="82" spans="1:20">
      <c r="A82" t="s">
        <v>1213</v>
      </c>
      <c r="B82" t="s">
        <v>1243</v>
      </c>
      <c r="F82" t="s">
        <v>4638</v>
      </c>
      <c r="G82" t="s">
        <v>4639</v>
      </c>
      <c r="H82" t="s">
        <v>321</v>
      </c>
      <c r="I82" t="s">
        <v>205</v>
      </c>
      <c r="J82" t="s">
        <v>238</v>
      </c>
      <c r="K82" t="s">
        <v>314</v>
      </c>
      <c r="L82" t="s">
        <v>747</v>
      </c>
      <c r="M82" t="s">
        <v>339</v>
      </c>
      <c r="N82" t="s">
        <v>1218</v>
      </c>
      <c r="O82" s="131">
        <v>40</v>
      </c>
      <c r="P82" s="131">
        <v>4.1524000000000001</v>
      </c>
      <c r="Q82" s="131">
        <v>0.02</v>
      </c>
      <c r="R82" s="131">
        <v>0</v>
      </c>
      <c r="S82" s="132">
        <v>0</v>
      </c>
      <c r="T82" s="132">
        <v>0</v>
      </c>
    </row>
    <row r="83" spans="1:20">
      <c r="A83" t="s">
        <v>1213</v>
      </c>
      <c r="B83" t="s">
        <v>1243</v>
      </c>
      <c r="F83" t="s">
        <v>4642</v>
      </c>
      <c r="G83" t="s">
        <v>4643</v>
      </c>
      <c r="H83" t="s">
        <v>321</v>
      </c>
      <c r="I83" t="s">
        <v>205</v>
      </c>
      <c r="J83" t="s">
        <v>233</v>
      </c>
      <c r="K83" t="s">
        <v>314</v>
      </c>
      <c r="L83" t="s">
        <v>747</v>
      </c>
      <c r="M83" t="s">
        <v>339</v>
      </c>
      <c r="N83" t="s">
        <v>1227</v>
      </c>
      <c r="O83" s="131">
        <v>35</v>
      </c>
      <c r="P83" s="131">
        <v>4.9748000000000001</v>
      </c>
      <c r="Q83" s="131">
        <v>8.0000000000000002E-3</v>
      </c>
      <c r="R83" s="131">
        <v>0</v>
      </c>
      <c r="S83" s="132">
        <v>0</v>
      </c>
      <c r="T83" s="132">
        <v>0</v>
      </c>
    </row>
    <row r="84" spans="1:20">
      <c r="A84" t="s">
        <v>1213</v>
      </c>
      <c r="B84" t="s">
        <v>1243</v>
      </c>
      <c r="F84" t="s">
        <v>4640</v>
      </c>
      <c r="G84" t="s">
        <v>4641</v>
      </c>
      <c r="H84" t="s">
        <v>321</v>
      </c>
      <c r="I84" t="s">
        <v>205</v>
      </c>
      <c r="J84" t="s">
        <v>224</v>
      </c>
      <c r="K84" t="s">
        <v>314</v>
      </c>
      <c r="L84" t="s">
        <v>747</v>
      </c>
      <c r="M84" t="s">
        <v>339</v>
      </c>
      <c r="N84" t="s">
        <v>1216</v>
      </c>
      <c r="O84" s="131">
        <v>25</v>
      </c>
      <c r="P84" s="131">
        <v>3.71</v>
      </c>
      <c r="Q84" s="131">
        <v>2E-3</v>
      </c>
      <c r="R84" s="131">
        <v>0</v>
      </c>
      <c r="S84" s="132">
        <v>0</v>
      </c>
      <c r="T84" s="132">
        <v>0</v>
      </c>
    </row>
    <row r="85" spans="1:20">
      <c r="A85" t="s">
        <v>1213</v>
      </c>
      <c r="B85" t="s">
        <v>1243</v>
      </c>
      <c r="F85" t="s">
        <v>4612</v>
      </c>
      <c r="G85" t="s">
        <v>4613</v>
      </c>
      <c r="H85" t="s">
        <v>321</v>
      </c>
      <c r="I85" t="s">
        <v>205</v>
      </c>
      <c r="J85" t="s">
        <v>293</v>
      </c>
      <c r="K85" t="s">
        <v>314</v>
      </c>
      <c r="L85" t="s">
        <v>747</v>
      </c>
      <c r="M85" t="s">
        <v>339</v>
      </c>
      <c r="N85" t="s">
        <v>1218</v>
      </c>
      <c r="O85" s="131">
        <v>75</v>
      </c>
      <c r="P85" s="131">
        <v>4.1524000000000001</v>
      </c>
      <c r="Q85" s="131">
        <v>1E-3</v>
      </c>
      <c r="R85" s="131">
        <v>0</v>
      </c>
      <c r="S85" s="132">
        <v>0</v>
      </c>
      <c r="T85" s="132">
        <v>0</v>
      </c>
    </row>
    <row r="86" spans="1:20">
      <c r="A86" t="s">
        <v>1213</v>
      </c>
      <c r="B86" t="s">
        <v>1243</v>
      </c>
      <c r="F86" t="s">
        <v>4602</v>
      </c>
      <c r="G86" t="s">
        <v>4603</v>
      </c>
      <c r="H86" t="s">
        <v>312</v>
      </c>
      <c r="I86" t="s">
        <v>205</v>
      </c>
      <c r="J86" t="s">
        <v>204</v>
      </c>
      <c r="K86" t="s">
        <v>314</v>
      </c>
      <c r="M86" t="s">
        <v>339</v>
      </c>
      <c r="N86" t="s">
        <v>1216</v>
      </c>
      <c r="O86" s="131">
        <v>4809289.29</v>
      </c>
      <c r="P86" s="131">
        <v>3.71</v>
      </c>
      <c r="Q86" s="131">
        <v>100</v>
      </c>
      <c r="R86" s="131">
        <v>17842.463</v>
      </c>
      <c r="S86" s="132">
        <v>0.96958999999999995</v>
      </c>
      <c r="T86" s="132">
        <v>4.0099999999999997E-3</v>
      </c>
    </row>
    <row r="87" spans="1:20">
      <c r="A87" t="s">
        <v>1213</v>
      </c>
      <c r="B87" t="s">
        <v>1243</v>
      </c>
      <c r="F87" t="s">
        <v>4616</v>
      </c>
      <c r="G87" t="s">
        <v>4617</v>
      </c>
      <c r="H87" t="s">
        <v>312</v>
      </c>
      <c r="I87" t="s">
        <v>205</v>
      </c>
      <c r="J87" t="s">
        <v>204</v>
      </c>
      <c r="K87" t="s">
        <v>314</v>
      </c>
      <c r="M87" t="s">
        <v>339</v>
      </c>
      <c r="N87" t="s">
        <v>1218</v>
      </c>
      <c r="O87" s="131">
        <v>148192.38</v>
      </c>
      <c r="P87" s="131">
        <v>4.1524000000000001</v>
      </c>
      <c r="Q87" s="131">
        <v>100</v>
      </c>
      <c r="R87" s="131">
        <v>615.35400000000004</v>
      </c>
      <c r="S87" s="132">
        <v>3.3439999999999998E-2</v>
      </c>
      <c r="T87" s="132">
        <v>1.3999999999999999E-4</v>
      </c>
    </row>
    <row r="88" spans="1:20">
      <c r="A88" t="s">
        <v>1213</v>
      </c>
      <c r="B88" t="s">
        <v>1243</v>
      </c>
      <c r="F88" t="s">
        <v>4644</v>
      </c>
      <c r="G88" t="s">
        <v>4645</v>
      </c>
      <c r="H88" t="s">
        <v>312</v>
      </c>
      <c r="I88" t="s">
        <v>205</v>
      </c>
      <c r="J88" t="s">
        <v>204</v>
      </c>
      <c r="K88" t="s">
        <v>314</v>
      </c>
      <c r="M88" t="s">
        <v>339</v>
      </c>
      <c r="N88" t="s">
        <v>1227</v>
      </c>
      <c r="O88" s="131">
        <v>-11200</v>
      </c>
      <c r="P88" s="131">
        <v>4.9748000000000001</v>
      </c>
      <c r="Q88" s="131">
        <v>100</v>
      </c>
      <c r="R88" s="131">
        <v>-55.718000000000004</v>
      </c>
      <c r="S88" s="132">
        <v>-3.0300000000000001E-3</v>
      </c>
      <c r="T88" s="132">
        <v>-1.0000000000000001E-5</v>
      </c>
    </row>
    <row r="89" spans="1:20">
      <c r="A89" t="s">
        <v>1213</v>
      </c>
      <c r="B89">
        <v>15108</v>
      </c>
      <c r="F89" t="s">
        <v>4604</v>
      </c>
      <c r="G89" t="s">
        <v>4605</v>
      </c>
      <c r="H89" t="s">
        <v>321</v>
      </c>
      <c r="I89" t="s">
        <v>205</v>
      </c>
      <c r="J89" t="s">
        <v>224</v>
      </c>
      <c r="K89" t="s">
        <v>314</v>
      </c>
      <c r="L89" t="s">
        <v>747</v>
      </c>
      <c r="M89" t="s">
        <v>339</v>
      </c>
      <c r="N89" t="s">
        <v>1216</v>
      </c>
      <c r="O89" s="131">
        <v>422</v>
      </c>
      <c r="P89" s="131">
        <v>3.71</v>
      </c>
      <c r="Q89" s="131">
        <v>6.0000000000000001E-3</v>
      </c>
      <c r="R89" s="131">
        <v>0</v>
      </c>
      <c r="S89" s="132">
        <v>0</v>
      </c>
      <c r="T89" s="132">
        <v>0</v>
      </c>
    </row>
    <row r="90" spans="1:20">
      <c r="A90" t="s">
        <v>1213</v>
      </c>
      <c r="B90">
        <v>15108</v>
      </c>
      <c r="F90" t="s">
        <v>4602</v>
      </c>
      <c r="G90" t="s">
        <v>4603</v>
      </c>
      <c r="H90" t="s">
        <v>312</v>
      </c>
      <c r="I90" t="s">
        <v>205</v>
      </c>
      <c r="J90" t="s">
        <v>204</v>
      </c>
      <c r="K90" t="s">
        <v>314</v>
      </c>
      <c r="M90" t="s">
        <v>339</v>
      </c>
      <c r="N90" t="s">
        <v>1216</v>
      </c>
      <c r="O90" s="131">
        <v>2559052.5</v>
      </c>
      <c r="P90" s="131">
        <v>3.71</v>
      </c>
      <c r="Q90" s="131">
        <v>100</v>
      </c>
      <c r="R90" s="131">
        <v>9494.0849999999991</v>
      </c>
      <c r="S90" s="132">
        <v>1</v>
      </c>
      <c r="T90" s="132">
        <v>1.6080000000000001E-2</v>
      </c>
    </row>
    <row r="91" spans="1:20">
      <c r="A91" t="s">
        <v>1213</v>
      </c>
      <c r="B91" t="s">
        <v>1247</v>
      </c>
      <c r="F91" t="s">
        <v>4648</v>
      </c>
      <c r="G91" t="s">
        <v>4649</v>
      </c>
      <c r="H91" t="s">
        <v>321</v>
      </c>
      <c r="I91" t="s">
        <v>205</v>
      </c>
      <c r="J91" t="s">
        <v>224</v>
      </c>
      <c r="K91" t="s">
        <v>314</v>
      </c>
      <c r="L91" t="s">
        <v>751</v>
      </c>
      <c r="M91" t="s">
        <v>339</v>
      </c>
      <c r="N91" t="s">
        <v>1216</v>
      </c>
      <c r="O91" s="131">
        <v>8</v>
      </c>
      <c r="P91" s="131">
        <v>3.71</v>
      </c>
      <c r="Q91" s="131">
        <v>0</v>
      </c>
      <c r="R91" s="131">
        <v>0</v>
      </c>
    </row>
    <row r="92" spans="1:20">
      <c r="A92" t="s">
        <v>1213</v>
      </c>
      <c r="B92" t="s">
        <v>1247</v>
      </c>
      <c r="F92" t="s">
        <v>4602</v>
      </c>
      <c r="G92" t="s">
        <v>4603</v>
      </c>
      <c r="H92" t="s">
        <v>312</v>
      </c>
      <c r="I92" t="s">
        <v>205</v>
      </c>
      <c r="J92" t="s">
        <v>204</v>
      </c>
      <c r="K92" t="s">
        <v>314</v>
      </c>
      <c r="M92" t="s">
        <v>339</v>
      </c>
      <c r="N92" t="s">
        <v>1216</v>
      </c>
      <c r="O92" s="131">
        <v>-4000</v>
      </c>
      <c r="P92" s="131">
        <v>3.71</v>
      </c>
      <c r="Q92" s="131">
        <v>100</v>
      </c>
      <c r="R92" s="131">
        <v>-14.84</v>
      </c>
      <c r="S92" s="132">
        <v>1</v>
      </c>
      <c r="T92" s="132">
        <v>-5.0000000000000002E-5</v>
      </c>
    </row>
    <row r="93" spans="1:20">
      <c r="A93" t="s">
        <v>1213</v>
      </c>
      <c r="B93" t="s">
        <v>1248</v>
      </c>
      <c r="F93" t="s">
        <v>4650</v>
      </c>
      <c r="G93" t="s">
        <v>4651</v>
      </c>
      <c r="H93" t="s">
        <v>321</v>
      </c>
      <c r="I93" t="s">
        <v>205</v>
      </c>
      <c r="J93" t="s">
        <v>293</v>
      </c>
      <c r="K93" t="s">
        <v>314</v>
      </c>
      <c r="L93" t="s">
        <v>747</v>
      </c>
      <c r="M93" t="s">
        <v>339</v>
      </c>
      <c r="N93" t="s">
        <v>1218</v>
      </c>
      <c r="O93" s="131">
        <v>75</v>
      </c>
      <c r="P93" s="131">
        <v>4.1524000000000001</v>
      </c>
      <c r="Q93" s="131">
        <v>5.0000000000000001E-3</v>
      </c>
      <c r="R93" s="131">
        <v>0</v>
      </c>
      <c r="S93" s="132">
        <v>0</v>
      </c>
      <c r="T93" s="132">
        <v>0</v>
      </c>
    </row>
    <row r="94" spans="1:20">
      <c r="A94" t="s">
        <v>1213</v>
      </c>
      <c r="B94" t="s">
        <v>1248</v>
      </c>
      <c r="F94" t="s">
        <v>4604</v>
      </c>
      <c r="G94" t="s">
        <v>4605</v>
      </c>
      <c r="H94" t="s">
        <v>321</v>
      </c>
      <c r="I94" t="s">
        <v>205</v>
      </c>
      <c r="J94" t="s">
        <v>224</v>
      </c>
      <c r="K94" t="s">
        <v>314</v>
      </c>
      <c r="L94" t="s">
        <v>747</v>
      </c>
      <c r="M94" t="s">
        <v>339</v>
      </c>
      <c r="N94" t="s">
        <v>1216</v>
      </c>
      <c r="O94" s="131">
        <v>71</v>
      </c>
      <c r="P94" s="131">
        <v>3.71</v>
      </c>
      <c r="Q94" s="131">
        <v>6.0000000000000001E-3</v>
      </c>
      <c r="R94" s="131">
        <v>0</v>
      </c>
      <c r="S94" s="132">
        <v>0</v>
      </c>
      <c r="T94" s="132">
        <v>0</v>
      </c>
    </row>
    <row r="95" spans="1:20">
      <c r="A95" t="s">
        <v>1213</v>
      </c>
      <c r="B95" t="s">
        <v>1248</v>
      </c>
      <c r="F95" t="s">
        <v>4652</v>
      </c>
      <c r="G95" t="s">
        <v>4653</v>
      </c>
      <c r="H95" t="s">
        <v>321</v>
      </c>
      <c r="I95" t="s">
        <v>205</v>
      </c>
      <c r="J95" t="s">
        <v>208</v>
      </c>
      <c r="K95" t="s">
        <v>314</v>
      </c>
      <c r="L95" t="s">
        <v>747</v>
      </c>
      <c r="M95" t="s">
        <v>339</v>
      </c>
      <c r="N95" t="s">
        <v>1249</v>
      </c>
      <c r="O95" s="131">
        <v>36</v>
      </c>
      <c r="P95" s="131">
        <v>2.5661</v>
      </c>
      <c r="Q95" s="131">
        <v>8.0000000000000002E-3</v>
      </c>
      <c r="R95" s="131">
        <v>0</v>
      </c>
      <c r="S95" s="132">
        <v>0</v>
      </c>
      <c r="T95" s="132">
        <v>0</v>
      </c>
    </row>
    <row r="96" spans="1:20">
      <c r="A96" t="s">
        <v>1213</v>
      </c>
      <c r="B96" t="s">
        <v>1248</v>
      </c>
      <c r="F96" t="s">
        <v>4654</v>
      </c>
      <c r="G96" t="s">
        <v>4655</v>
      </c>
      <c r="H96" t="s">
        <v>321</v>
      </c>
      <c r="I96" t="s">
        <v>205</v>
      </c>
      <c r="J96" t="s">
        <v>238</v>
      </c>
      <c r="K96" t="s">
        <v>314</v>
      </c>
      <c r="L96" t="s">
        <v>747</v>
      </c>
      <c r="M96" t="s">
        <v>339</v>
      </c>
      <c r="N96" t="s">
        <v>1218</v>
      </c>
      <c r="O96" s="131">
        <v>6</v>
      </c>
      <c r="P96" s="131">
        <v>4.1524000000000001</v>
      </c>
      <c r="Q96" s="131">
        <v>0.02</v>
      </c>
      <c r="R96" s="131">
        <v>0</v>
      </c>
      <c r="S96" s="132">
        <v>0</v>
      </c>
      <c r="T96" s="132">
        <v>0</v>
      </c>
    </row>
    <row r="97" spans="1:20">
      <c r="A97" t="s">
        <v>1213</v>
      </c>
      <c r="B97" t="s">
        <v>1248</v>
      </c>
      <c r="F97" t="s">
        <v>4638</v>
      </c>
      <c r="G97" t="s">
        <v>4639</v>
      </c>
      <c r="H97" t="s">
        <v>321</v>
      </c>
      <c r="I97" t="s">
        <v>205</v>
      </c>
      <c r="J97" t="s">
        <v>238</v>
      </c>
      <c r="K97" t="s">
        <v>314</v>
      </c>
      <c r="L97" t="s">
        <v>747</v>
      </c>
      <c r="M97" t="s">
        <v>339</v>
      </c>
      <c r="N97" t="s">
        <v>1218</v>
      </c>
      <c r="O97" s="131">
        <v>4</v>
      </c>
      <c r="P97" s="131">
        <v>4.1524000000000001</v>
      </c>
      <c r="Q97" s="131">
        <v>0.02</v>
      </c>
      <c r="R97" s="131">
        <v>0</v>
      </c>
      <c r="S97" s="132">
        <v>0</v>
      </c>
      <c r="T97" s="132">
        <v>0</v>
      </c>
    </row>
    <row r="98" spans="1:20">
      <c r="A98" t="s">
        <v>1213</v>
      </c>
      <c r="B98" t="s">
        <v>1248</v>
      </c>
      <c r="F98" t="s">
        <v>4642</v>
      </c>
      <c r="G98" t="s">
        <v>4643</v>
      </c>
      <c r="H98" t="s">
        <v>321</v>
      </c>
      <c r="I98" t="s">
        <v>205</v>
      </c>
      <c r="J98" t="s">
        <v>233</v>
      </c>
      <c r="K98" t="s">
        <v>314</v>
      </c>
      <c r="L98" t="s">
        <v>747</v>
      </c>
      <c r="M98" t="s">
        <v>339</v>
      </c>
      <c r="N98" t="s">
        <v>1227</v>
      </c>
      <c r="O98" s="131">
        <v>6</v>
      </c>
      <c r="P98" s="131">
        <v>4.9748000000000001</v>
      </c>
      <c r="Q98" s="131">
        <v>8.0000000000000002E-3</v>
      </c>
      <c r="R98" s="131">
        <v>0</v>
      </c>
      <c r="S98" s="132">
        <v>0</v>
      </c>
      <c r="T98" s="132">
        <v>0</v>
      </c>
    </row>
    <row r="99" spans="1:20">
      <c r="A99" t="s">
        <v>1213</v>
      </c>
      <c r="B99" t="s">
        <v>1248</v>
      </c>
      <c r="F99" t="s">
        <v>4640</v>
      </c>
      <c r="G99" t="s">
        <v>4641</v>
      </c>
      <c r="H99" t="s">
        <v>321</v>
      </c>
      <c r="I99" t="s">
        <v>205</v>
      </c>
      <c r="J99" t="s">
        <v>224</v>
      </c>
      <c r="K99" t="s">
        <v>314</v>
      </c>
      <c r="L99" t="s">
        <v>747</v>
      </c>
      <c r="M99" t="s">
        <v>339</v>
      </c>
      <c r="N99" t="s">
        <v>1216</v>
      </c>
      <c r="O99" s="131">
        <v>17</v>
      </c>
      <c r="P99" s="131">
        <v>3.71</v>
      </c>
      <c r="Q99" s="131">
        <v>2E-3</v>
      </c>
      <c r="R99" s="131">
        <v>0</v>
      </c>
      <c r="S99" s="132">
        <v>0</v>
      </c>
      <c r="T99" s="132">
        <v>0</v>
      </c>
    </row>
    <row r="100" spans="1:20">
      <c r="A100" t="s">
        <v>1213</v>
      </c>
      <c r="B100" t="s">
        <v>1248</v>
      </c>
      <c r="F100" t="s">
        <v>4656</v>
      </c>
      <c r="G100" t="s">
        <v>4657</v>
      </c>
      <c r="H100" t="s">
        <v>321</v>
      </c>
      <c r="I100" t="s">
        <v>205</v>
      </c>
      <c r="J100" t="s">
        <v>246</v>
      </c>
      <c r="K100" t="s">
        <v>314</v>
      </c>
      <c r="L100" t="s">
        <v>747</v>
      </c>
      <c r="M100" t="s">
        <v>339</v>
      </c>
      <c r="N100" t="s">
        <v>1229</v>
      </c>
      <c r="O100" s="131">
        <v>9</v>
      </c>
      <c r="P100" s="131">
        <v>0.4778</v>
      </c>
      <c r="Q100" s="131">
        <v>2.1000000000000001E-2</v>
      </c>
      <c r="R100" s="131">
        <v>0</v>
      </c>
      <c r="S100" s="132">
        <v>0</v>
      </c>
      <c r="T100" s="132">
        <v>0</v>
      </c>
    </row>
    <row r="101" spans="1:20">
      <c r="A101" t="s">
        <v>1213</v>
      </c>
      <c r="B101" t="s">
        <v>1248</v>
      </c>
      <c r="F101" t="s">
        <v>4612</v>
      </c>
      <c r="G101" t="s">
        <v>4613</v>
      </c>
      <c r="H101" t="s">
        <v>321</v>
      </c>
      <c r="I101" t="s">
        <v>205</v>
      </c>
      <c r="J101" t="s">
        <v>293</v>
      </c>
      <c r="K101" t="s">
        <v>314</v>
      </c>
      <c r="L101" t="s">
        <v>747</v>
      </c>
      <c r="M101" t="s">
        <v>339</v>
      </c>
      <c r="N101" t="s">
        <v>1218</v>
      </c>
      <c r="O101" s="131">
        <v>3</v>
      </c>
      <c r="P101" s="131">
        <v>4.1524000000000001</v>
      </c>
      <c r="Q101" s="131">
        <v>1E-3</v>
      </c>
      <c r="R101" s="131">
        <v>0</v>
      </c>
    </row>
    <row r="102" spans="1:20">
      <c r="A102" t="s">
        <v>1213</v>
      </c>
      <c r="B102" t="s">
        <v>1248</v>
      </c>
      <c r="F102" t="s">
        <v>4602</v>
      </c>
      <c r="G102" t="s">
        <v>4603</v>
      </c>
      <c r="H102" t="s">
        <v>312</v>
      </c>
      <c r="I102" t="s">
        <v>205</v>
      </c>
      <c r="J102" t="s">
        <v>204</v>
      </c>
      <c r="K102" t="s">
        <v>314</v>
      </c>
      <c r="M102" t="s">
        <v>339</v>
      </c>
      <c r="N102" t="s">
        <v>1216</v>
      </c>
      <c r="O102" s="131">
        <v>429815.32</v>
      </c>
      <c r="P102" s="131">
        <v>3.71</v>
      </c>
      <c r="Q102" s="131">
        <v>100</v>
      </c>
      <c r="R102" s="131">
        <v>1594.615</v>
      </c>
      <c r="S102" s="132">
        <v>0.52753000000000005</v>
      </c>
      <c r="T102" s="132">
        <v>2.1900000000000001E-3</v>
      </c>
    </row>
    <row r="103" spans="1:20">
      <c r="A103" t="s">
        <v>1213</v>
      </c>
      <c r="B103" t="s">
        <v>1248</v>
      </c>
      <c r="F103" t="s">
        <v>4616</v>
      </c>
      <c r="G103" t="s">
        <v>4617</v>
      </c>
      <c r="H103" t="s">
        <v>312</v>
      </c>
      <c r="I103" t="s">
        <v>205</v>
      </c>
      <c r="J103" t="s">
        <v>204</v>
      </c>
      <c r="K103" t="s">
        <v>314</v>
      </c>
      <c r="M103" t="s">
        <v>339</v>
      </c>
      <c r="N103" t="s">
        <v>1218</v>
      </c>
      <c r="O103" s="131">
        <v>193665</v>
      </c>
      <c r="P103" s="131">
        <v>4.1524000000000001</v>
      </c>
      <c r="Q103" s="131">
        <v>100</v>
      </c>
      <c r="R103" s="131">
        <v>804.17499999999995</v>
      </c>
      <c r="S103" s="132">
        <v>0.26604</v>
      </c>
      <c r="T103" s="132">
        <v>1.1000000000000001E-3</v>
      </c>
    </row>
    <row r="104" spans="1:20">
      <c r="A104" t="s">
        <v>1213</v>
      </c>
      <c r="B104" t="s">
        <v>1248</v>
      </c>
      <c r="F104" t="s">
        <v>4658</v>
      </c>
      <c r="G104" t="s">
        <v>4659</v>
      </c>
      <c r="H104" t="s">
        <v>312</v>
      </c>
      <c r="I104" t="s">
        <v>205</v>
      </c>
      <c r="J104" t="s">
        <v>204</v>
      </c>
      <c r="K104" t="s">
        <v>314</v>
      </c>
      <c r="M104" t="s">
        <v>339</v>
      </c>
      <c r="N104" t="s">
        <v>1229</v>
      </c>
      <c r="O104" s="131">
        <v>960750</v>
      </c>
      <c r="P104" s="131">
        <v>0.4778</v>
      </c>
      <c r="Q104" s="131">
        <v>100</v>
      </c>
      <c r="R104" s="131">
        <v>459.04599999999999</v>
      </c>
      <c r="S104" s="132">
        <v>0.15185999999999999</v>
      </c>
      <c r="T104" s="132">
        <v>6.3000000000000003E-4</v>
      </c>
    </row>
    <row r="105" spans="1:20">
      <c r="A105" t="s">
        <v>1213</v>
      </c>
      <c r="B105" t="s">
        <v>1248</v>
      </c>
      <c r="F105" t="s">
        <v>4660</v>
      </c>
      <c r="G105" t="s">
        <v>4661</v>
      </c>
      <c r="H105" t="s">
        <v>312</v>
      </c>
      <c r="I105" t="s">
        <v>205</v>
      </c>
      <c r="J105" t="s">
        <v>204</v>
      </c>
      <c r="K105" t="s">
        <v>314</v>
      </c>
      <c r="M105" t="s">
        <v>339</v>
      </c>
      <c r="N105" t="s">
        <v>1249</v>
      </c>
      <c r="O105" s="131">
        <v>76500</v>
      </c>
      <c r="P105" s="131">
        <v>2.5661</v>
      </c>
      <c r="Q105" s="131">
        <v>100</v>
      </c>
      <c r="R105" s="131">
        <v>196.30699999999999</v>
      </c>
      <c r="S105" s="132">
        <v>6.4939999999999998E-2</v>
      </c>
      <c r="T105" s="132">
        <v>2.7E-4</v>
      </c>
    </row>
    <row r="106" spans="1:20">
      <c r="A106" t="s">
        <v>1213</v>
      </c>
      <c r="B106" t="s">
        <v>1248</v>
      </c>
      <c r="F106" t="s">
        <v>4644</v>
      </c>
      <c r="G106" t="s">
        <v>4645</v>
      </c>
      <c r="H106" t="s">
        <v>312</v>
      </c>
      <c r="I106" t="s">
        <v>205</v>
      </c>
      <c r="J106" t="s">
        <v>204</v>
      </c>
      <c r="K106" t="s">
        <v>314</v>
      </c>
      <c r="M106" t="s">
        <v>339</v>
      </c>
      <c r="N106" t="s">
        <v>1227</v>
      </c>
      <c r="O106" s="131">
        <v>-6300</v>
      </c>
      <c r="P106" s="131">
        <v>4.9748000000000001</v>
      </c>
      <c r="Q106" s="131">
        <v>100</v>
      </c>
      <c r="R106" s="131">
        <v>-31.341000000000001</v>
      </c>
      <c r="S106" s="132">
        <v>-1.0370000000000001E-2</v>
      </c>
      <c r="T106" s="132">
        <v>-4.0000000000000003E-5</v>
      </c>
    </row>
    <row r="107" spans="1:20">
      <c r="A107" t="s">
        <v>1213</v>
      </c>
      <c r="B107" t="s">
        <v>1250</v>
      </c>
      <c r="F107" t="s">
        <v>4604</v>
      </c>
      <c r="G107" t="s">
        <v>4605</v>
      </c>
      <c r="H107" t="s">
        <v>321</v>
      </c>
      <c r="I107" t="s">
        <v>205</v>
      </c>
      <c r="J107" t="s">
        <v>224</v>
      </c>
      <c r="K107" t="s">
        <v>314</v>
      </c>
      <c r="L107" t="s">
        <v>747</v>
      </c>
      <c r="M107" t="s">
        <v>339</v>
      </c>
      <c r="N107" t="s">
        <v>1216</v>
      </c>
      <c r="O107" s="131">
        <v>416</v>
      </c>
      <c r="P107" s="131">
        <v>3.71</v>
      </c>
      <c r="Q107" s="131">
        <v>6.0000000000000001E-3</v>
      </c>
      <c r="R107" s="131">
        <v>0</v>
      </c>
      <c r="S107" s="132">
        <v>0</v>
      </c>
      <c r="T107" s="132">
        <v>0</v>
      </c>
    </row>
    <row r="108" spans="1:20">
      <c r="A108" t="s">
        <v>1213</v>
      </c>
      <c r="B108" t="s">
        <v>1250</v>
      </c>
      <c r="F108" t="s">
        <v>4646</v>
      </c>
      <c r="G108" t="s">
        <v>4647</v>
      </c>
      <c r="H108" t="s">
        <v>321</v>
      </c>
      <c r="I108" t="s">
        <v>205</v>
      </c>
      <c r="J108" t="s">
        <v>224</v>
      </c>
      <c r="K108" t="s">
        <v>314</v>
      </c>
      <c r="L108" t="s">
        <v>747</v>
      </c>
      <c r="M108" t="s">
        <v>339</v>
      </c>
      <c r="N108" t="s">
        <v>1216</v>
      </c>
      <c r="O108" s="131">
        <v>25</v>
      </c>
      <c r="P108" s="131">
        <v>3.71</v>
      </c>
      <c r="Q108" s="131">
        <v>4.2999999999999997E-2</v>
      </c>
      <c r="R108" s="131">
        <v>0</v>
      </c>
      <c r="S108" s="132">
        <v>0</v>
      </c>
      <c r="T108" s="132">
        <v>0</v>
      </c>
    </row>
    <row r="109" spans="1:20">
      <c r="A109" t="s">
        <v>1213</v>
      </c>
      <c r="B109" t="s">
        <v>1250</v>
      </c>
      <c r="F109" t="s">
        <v>4650</v>
      </c>
      <c r="G109" t="s">
        <v>4651</v>
      </c>
      <c r="H109" t="s">
        <v>321</v>
      </c>
      <c r="I109" t="s">
        <v>205</v>
      </c>
      <c r="J109" t="s">
        <v>293</v>
      </c>
      <c r="K109" t="s">
        <v>314</v>
      </c>
      <c r="L109" t="s">
        <v>747</v>
      </c>
      <c r="M109" t="s">
        <v>339</v>
      </c>
      <c r="N109" t="s">
        <v>1218</v>
      </c>
      <c r="O109" s="131">
        <v>171</v>
      </c>
      <c r="P109" s="131">
        <v>4.1524000000000001</v>
      </c>
      <c r="Q109" s="131">
        <v>5.0000000000000001E-3</v>
      </c>
      <c r="R109" s="131">
        <v>0</v>
      </c>
      <c r="S109" s="132">
        <v>0</v>
      </c>
      <c r="T109" s="132">
        <v>0</v>
      </c>
    </row>
    <row r="110" spans="1:20">
      <c r="A110" t="s">
        <v>1213</v>
      </c>
      <c r="B110" t="s">
        <v>1250</v>
      </c>
      <c r="F110" t="s">
        <v>4606</v>
      </c>
      <c r="G110" t="s">
        <v>4607</v>
      </c>
      <c r="H110" t="s">
        <v>321</v>
      </c>
      <c r="I110" t="s">
        <v>205</v>
      </c>
      <c r="J110" t="s">
        <v>224</v>
      </c>
      <c r="K110" t="s">
        <v>314</v>
      </c>
      <c r="L110" t="s">
        <v>747</v>
      </c>
      <c r="M110" t="s">
        <v>339</v>
      </c>
      <c r="N110" t="s">
        <v>1216</v>
      </c>
      <c r="O110" s="131">
        <v>29</v>
      </c>
      <c r="P110" s="131">
        <v>3.71</v>
      </c>
      <c r="Q110" s="131">
        <v>0.02</v>
      </c>
      <c r="R110" s="131">
        <v>0</v>
      </c>
      <c r="S110" s="132">
        <v>0</v>
      </c>
      <c r="T110" s="132">
        <v>0</v>
      </c>
    </row>
    <row r="111" spans="1:20">
      <c r="A111" t="s">
        <v>1213</v>
      </c>
      <c r="B111" t="s">
        <v>1250</v>
      </c>
      <c r="F111" t="s">
        <v>4652</v>
      </c>
      <c r="G111" t="s">
        <v>4653</v>
      </c>
      <c r="H111" t="s">
        <v>321</v>
      </c>
      <c r="I111" t="s">
        <v>205</v>
      </c>
      <c r="J111" t="s">
        <v>208</v>
      </c>
      <c r="K111" t="s">
        <v>314</v>
      </c>
      <c r="L111" t="s">
        <v>747</v>
      </c>
      <c r="M111" t="s">
        <v>339</v>
      </c>
      <c r="N111" t="s">
        <v>1249</v>
      </c>
      <c r="O111" s="131">
        <v>82</v>
      </c>
      <c r="P111" s="131">
        <v>2.5661</v>
      </c>
      <c r="Q111" s="131">
        <v>8.0000000000000002E-3</v>
      </c>
      <c r="R111" s="131">
        <v>0</v>
      </c>
      <c r="S111" s="132">
        <v>0</v>
      </c>
      <c r="T111" s="132">
        <v>0</v>
      </c>
    </row>
    <row r="112" spans="1:20">
      <c r="A112" t="s">
        <v>1213</v>
      </c>
      <c r="B112" t="s">
        <v>1250</v>
      </c>
      <c r="F112" t="s">
        <v>4654</v>
      </c>
      <c r="G112" t="s">
        <v>4655</v>
      </c>
      <c r="H112" t="s">
        <v>321</v>
      </c>
      <c r="I112" t="s">
        <v>205</v>
      </c>
      <c r="J112" t="s">
        <v>238</v>
      </c>
      <c r="K112" t="s">
        <v>314</v>
      </c>
      <c r="L112" t="s">
        <v>747</v>
      </c>
      <c r="M112" t="s">
        <v>339</v>
      </c>
      <c r="N112" t="s">
        <v>1218</v>
      </c>
      <c r="O112" s="131">
        <v>15</v>
      </c>
      <c r="P112" s="131">
        <v>4.1524000000000001</v>
      </c>
      <c r="Q112" s="131">
        <v>0.02</v>
      </c>
      <c r="R112" s="131">
        <v>0</v>
      </c>
      <c r="S112" s="132">
        <v>0</v>
      </c>
      <c r="T112" s="132">
        <v>0</v>
      </c>
    </row>
    <row r="113" spans="1:20">
      <c r="A113" t="s">
        <v>1213</v>
      </c>
      <c r="B113" t="s">
        <v>1250</v>
      </c>
      <c r="F113" t="s">
        <v>4640</v>
      </c>
      <c r="G113" t="s">
        <v>4641</v>
      </c>
      <c r="H113" t="s">
        <v>321</v>
      </c>
      <c r="I113" t="s">
        <v>205</v>
      </c>
      <c r="J113" t="s">
        <v>224</v>
      </c>
      <c r="K113" t="s">
        <v>314</v>
      </c>
      <c r="L113" t="s">
        <v>747</v>
      </c>
      <c r="M113" t="s">
        <v>339</v>
      </c>
      <c r="N113" t="s">
        <v>1216</v>
      </c>
      <c r="O113" s="131">
        <v>92</v>
      </c>
      <c r="P113" s="131">
        <v>3.71</v>
      </c>
      <c r="Q113" s="131">
        <v>2E-3</v>
      </c>
      <c r="R113" s="131">
        <v>0</v>
      </c>
      <c r="S113" s="132">
        <v>0</v>
      </c>
      <c r="T113" s="132">
        <v>0</v>
      </c>
    </row>
    <row r="114" spans="1:20">
      <c r="A114" t="s">
        <v>1213</v>
      </c>
      <c r="B114" t="s">
        <v>1250</v>
      </c>
      <c r="F114" t="s">
        <v>4642</v>
      </c>
      <c r="G114" t="s">
        <v>4643</v>
      </c>
      <c r="H114" t="s">
        <v>321</v>
      </c>
      <c r="I114" t="s">
        <v>205</v>
      </c>
      <c r="J114" t="s">
        <v>233</v>
      </c>
      <c r="K114" t="s">
        <v>314</v>
      </c>
      <c r="L114" t="s">
        <v>747</v>
      </c>
      <c r="M114" t="s">
        <v>339</v>
      </c>
      <c r="N114" t="s">
        <v>1227</v>
      </c>
      <c r="O114" s="131">
        <v>15</v>
      </c>
      <c r="P114" s="131">
        <v>4.9748000000000001</v>
      </c>
      <c r="Q114" s="131">
        <v>8.0000000000000002E-3</v>
      </c>
      <c r="R114" s="131">
        <v>0</v>
      </c>
      <c r="S114" s="132">
        <v>0</v>
      </c>
      <c r="T114" s="132">
        <v>0</v>
      </c>
    </row>
    <row r="115" spans="1:20">
      <c r="A115" t="s">
        <v>1213</v>
      </c>
      <c r="B115" t="s">
        <v>1250</v>
      </c>
      <c r="F115" t="s">
        <v>4656</v>
      </c>
      <c r="G115" t="s">
        <v>4657</v>
      </c>
      <c r="H115" t="s">
        <v>321</v>
      </c>
      <c r="I115" t="s">
        <v>205</v>
      </c>
      <c r="J115" t="s">
        <v>246</v>
      </c>
      <c r="K115" t="s">
        <v>314</v>
      </c>
      <c r="L115" t="s">
        <v>747</v>
      </c>
      <c r="M115" t="s">
        <v>339</v>
      </c>
      <c r="N115" t="s">
        <v>1229</v>
      </c>
      <c r="O115" s="131">
        <v>19</v>
      </c>
      <c r="P115" s="131">
        <v>0.4778</v>
      </c>
      <c r="Q115" s="131">
        <v>2.1000000000000001E-2</v>
      </c>
      <c r="R115" s="131">
        <v>0</v>
      </c>
      <c r="S115" s="132">
        <v>0</v>
      </c>
      <c r="T115" s="132">
        <v>0</v>
      </c>
    </row>
    <row r="116" spans="1:20">
      <c r="A116" t="s">
        <v>1213</v>
      </c>
      <c r="B116" t="s">
        <v>1250</v>
      </c>
      <c r="F116" t="s">
        <v>4612</v>
      </c>
      <c r="G116" t="s">
        <v>4613</v>
      </c>
      <c r="H116" t="s">
        <v>321</v>
      </c>
      <c r="I116" t="s">
        <v>205</v>
      </c>
      <c r="J116" t="s">
        <v>293</v>
      </c>
      <c r="K116" t="s">
        <v>314</v>
      </c>
      <c r="L116" t="s">
        <v>747</v>
      </c>
      <c r="M116" t="s">
        <v>339</v>
      </c>
      <c r="N116" t="s">
        <v>1218</v>
      </c>
      <c r="O116" s="131">
        <v>31</v>
      </c>
      <c r="P116" s="131">
        <v>4.1524000000000001</v>
      </c>
      <c r="Q116" s="131">
        <v>1E-3</v>
      </c>
      <c r="R116" s="131">
        <v>0</v>
      </c>
      <c r="S116" s="132">
        <v>0</v>
      </c>
      <c r="T116" s="132">
        <v>0</v>
      </c>
    </row>
    <row r="117" spans="1:20">
      <c r="A117" t="s">
        <v>1213</v>
      </c>
      <c r="B117" t="s">
        <v>1250</v>
      </c>
      <c r="F117" t="s">
        <v>4602</v>
      </c>
      <c r="G117" t="s">
        <v>4603</v>
      </c>
      <c r="H117" t="s">
        <v>312</v>
      </c>
      <c r="I117" t="s">
        <v>205</v>
      </c>
      <c r="J117" t="s">
        <v>204</v>
      </c>
      <c r="K117" t="s">
        <v>314</v>
      </c>
      <c r="M117" t="s">
        <v>339</v>
      </c>
      <c r="N117" t="s">
        <v>1216</v>
      </c>
      <c r="O117" s="131">
        <v>3002099.54</v>
      </c>
      <c r="P117" s="131">
        <v>3.71</v>
      </c>
      <c r="Q117" s="131">
        <v>100</v>
      </c>
      <c r="R117" s="131">
        <v>11137.789000000001</v>
      </c>
      <c r="S117" s="132">
        <v>0.77608999999999995</v>
      </c>
      <c r="T117" s="132">
        <v>3.3300000000000001E-3</v>
      </c>
    </row>
    <row r="118" spans="1:20">
      <c r="A118" t="s">
        <v>1213</v>
      </c>
      <c r="B118" t="s">
        <v>1250</v>
      </c>
      <c r="F118" t="s">
        <v>4616</v>
      </c>
      <c r="G118" t="s">
        <v>4617</v>
      </c>
      <c r="H118" t="s">
        <v>312</v>
      </c>
      <c r="I118" t="s">
        <v>205</v>
      </c>
      <c r="J118" t="s">
        <v>204</v>
      </c>
      <c r="K118" t="s">
        <v>314</v>
      </c>
      <c r="M118" t="s">
        <v>339</v>
      </c>
      <c r="N118" t="s">
        <v>1218</v>
      </c>
      <c r="O118" s="131">
        <v>451650.5</v>
      </c>
      <c r="P118" s="131">
        <v>4.1524000000000001</v>
      </c>
      <c r="Q118" s="131">
        <v>100</v>
      </c>
      <c r="R118" s="131">
        <v>1875.434</v>
      </c>
      <c r="S118" s="132">
        <v>0.13067999999999999</v>
      </c>
      <c r="T118" s="132">
        <v>5.5999999999999995E-4</v>
      </c>
    </row>
    <row r="119" spans="1:20">
      <c r="A119" t="s">
        <v>1213</v>
      </c>
      <c r="B119" t="s">
        <v>1250</v>
      </c>
      <c r="F119" t="s">
        <v>4658</v>
      </c>
      <c r="G119" t="s">
        <v>4659</v>
      </c>
      <c r="H119" t="s">
        <v>312</v>
      </c>
      <c r="I119" t="s">
        <v>205</v>
      </c>
      <c r="J119" t="s">
        <v>204</v>
      </c>
      <c r="K119" t="s">
        <v>314</v>
      </c>
      <c r="M119" t="s">
        <v>339</v>
      </c>
      <c r="N119" t="s">
        <v>1229</v>
      </c>
      <c r="O119" s="131">
        <v>2028250</v>
      </c>
      <c r="P119" s="131">
        <v>0.4778</v>
      </c>
      <c r="Q119" s="131">
        <v>100</v>
      </c>
      <c r="R119" s="131">
        <v>969.09799999999996</v>
      </c>
      <c r="S119" s="132">
        <v>6.7530000000000007E-2</v>
      </c>
      <c r="T119" s="132">
        <v>2.9E-4</v>
      </c>
    </row>
    <row r="120" spans="1:20">
      <c r="A120" t="s">
        <v>1213</v>
      </c>
      <c r="B120" t="s">
        <v>1250</v>
      </c>
      <c r="F120" t="s">
        <v>4660</v>
      </c>
      <c r="G120" t="s">
        <v>4661</v>
      </c>
      <c r="H120" t="s">
        <v>312</v>
      </c>
      <c r="I120" t="s">
        <v>205</v>
      </c>
      <c r="J120" t="s">
        <v>204</v>
      </c>
      <c r="K120" t="s">
        <v>314</v>
      </c>
      <c r="M120" t="s">
        <v>339</v>
      </c>
      <c r="N120" t="s">
        <v>1249</v>
      </c>
      <c r="O120" s="131">
        <v>174250</v>
      </c>
      <c r="P120" s="131">
        <v>2.5661</v>
      </c>
      <c r="Q120" s="131">
        <v>100</v>
      </c>
      <c r="R120" s="131">
        <v>447.14299999999997</v>
      </c>
      <c r="S120" s="132">
        <v>3.116E-2</v>
      </c>
      <c r="T120" s="132">
        <v>1.2999999999999999E-4</v>
      </c>
    </row>
    <row r="121" spans="1:20">
      <c r="A121" t="s">
        <v>1213</v>
      </c>
      <c r="B121" t="s">
        <v>1250</v>
      </c>
      <c r="F121" t="s">
        <v>4644</v>
      </c>
      <c r="G121" t="s">
        <v>4645</v>
      </c>
      <c r="H121" t="s">
        <v>312</v>
      </c>
      <c r="I121" t="s">
        <v>205</v>
      </c>
      <c r="J121" t="s">
        <v>204</v>
      </c>
      <c r="K121" t="s">
        <v>314</v>
      </c>
      <c r="M121" t="s">
        <v>339</v>
      </c>
      <c r="N121" t="s">
        <v>1227</v>
      </c>
      <c r="O121" s="131">
        <v>-15750</v>
      </c>
      <c r="P121" s="131">
        <v>4.9748000000000001</v>
      </c>
      <c r="Q121" s="131">
        <v>100</v>
      </c>
      <c r="R121" s="131">
        <v>-78.352999999999994</v>
      </c>
      <c r="S121" s="132">
        <v>-5.4599999999999996E-3</v>
      </c>
      <c r="T121" s="132">
        <v>-2.0000000000000002E-5</v>
      </c>
    </row>
    <row r="122" spans="1:20">
      <c r="A122" t="s">
        <v>1213</v>
      </c>
      <c r="B122" t="s">
        <v>1251</v>
      </c>
      <c r="F122" t="s">
        <v>4604</v>
      </c>
      <c r="G122" t="s">
        <v>4605</v>
      </c>
      <c r="H122" t="s">
        <v>321</v>
      </c>
      <c r="I122" t="s">
        <v>205</v>
      </c>
      <c r="J122" t="s">
        <v>224</v>
      </c>
      <c r="K122" t="s">
        <v>314</v>
      </c>
      <c r="L122" t="s">
        <v>747</v>
      </c>
      <c r="M122" t="s">
        <v>339</v>
      </c>
      <c r="N122" t="s">
        <v>1216</v>
      </c>
      <c r="O122" s="131">
        <v>27</v>
      </c>
      <c r="P122" s="131">
        <v>3.71</v>
      </c>
      <c r="Q122" s="131">
        <v>6.0000000000000001E-3</v>
      </c>
      <c r="R122" s="131">
        <v>0</v>
      </c>
      <c r="S122" s="132">
        <v>0</v>
      </c>
      <c r="T122" s="132">
        <v>0</v>
      </c>
    </row>
    <row r="123" spans="1:20">
      <c r="A123" t="s">
        <v>1213</v>
      </c>
      <c r="B123" t="s">
        <v>1251</v>
      </c>
      <c r="F123" t="s">
        <v>4606</v>
      </c>
      <c r="G123" t="s">
        <v>4607</v>
      </c>
      <c r="H123" t="s">
        <v>321</v>
      </c>
      <c r="I123" t="s">
        <v>205</v>
      </c>
      <c r="J123" t="s">
        <v>224</v>
      </c>
      <c r="K123" t="s">
        <v>314</v>
      </c>
      <c r="L123" t="s">
        <v>747</v>
      </c>
      <c r="M123" t="s">
        <v>339</v>
      </c>
      <c r="N123" t="s">
        <v>1216</v>
      </c>
      <c r="O123" s="131">
        <v>2</v>
      </c>
      <c r="P123" s="131">
        <v>3.71</v>
      </c>
      <c r="Q123" s="131">
        <v>0.02</v>
      </c>
      <c r="R123" s="131">
        <v>0</v>
      </c>
      <c r="S123" s="132">
        <v>0</v>
      </c>
      <c r="T123" s="132">
        <v>0</v>
      </c>
    </row>
    <row r="124" spans="1:20">
      <c r="A124" t="s">
        <v>1213</v>
      </c>
      <c r="B124" t="s">
        <v>1251</v>
      </c>
      <c r="F124" t="s">
        <v>4642</v>
      </c>
      <c r="G124" t="s">
        <v>4643</v>
      </c>
      <c r="H124" t="s">
        <v>321</v>
      </c>
      <c r="I124" t="s">
        <v>205</v>
      </c>
      <c r="J124" t="s">
        <v>233</v>
      </c>
      <c r="K124" t="s">
        <v>314</v>
      </c>
      <c r="L124" t="s">
        <v>747</v>
      </c>
      <c r="M124" t="s">
        <v>339</v>
      </c>
      <c r="N124" t="s">
        <v>1227</v>
      </c>
      <c r="O124" s="131">
        <v>2</v>
      </c>
      <c r="P124" s="131">
        <v>4.9748000000000001</v>
      </c>
      <c r="Q124" s="131">
        <v>8.0000000000000002E-3</v>
      </c>
      <c r="R124" s="131">
        <v>0</v>
      </c>
      <c r="S124" s="132">
        <v>0</v>
      </c>
      <c r="T124" s="132">
        <v>0</v>
      </c>
    </row>
    <row r="125" spans="1:20">
      <c r="A125" t="s">
        <v>1213</v>
      </c>
      <c r="B125" t="s">
        <v>1251</v>
      </c>
      <c r="F125" t="s">
        <v>4638</v>
      </c>
      <c r="G125" t="s">
        <v>4639</v>
      </c>
      <c r="H125" t="s">
        <v>321</v>
      </c>
      <c r="I125" t="s">
        <v>205</v>
      </c>
      <c r="J125" t="s">
        <v>238</v>
      </c>
      <c r="K125" t="s">
        <v>314</v>
      </c>
      <c r="L125" t="s">
        <v>747</v>
      </c>
      <c r="M125" t="s">
        <v>339</v>
      </c>
      <c r="N125" t="s">
        <v>1218</v>
      </c>
      <c r="O125" s="131">
        <v>1</v>
      </c>
      <c r="P125" s="131">
        <v>4.1524000000000001</v>
      </c>
      <c r="Q125" s="131">
        <v>0.02</v>
      </c>
      <c r="R125" s="131">
        <v>0</v>
      </c>
      <c r="S125" s="132">
        <v>0</v>
      </c>
      <c r="T125" s="132">
        <v>0</v>
      </c>
    </row>
    <row r="126" spans="1:20">
      <c r="A126" t="s">
        <v>1213</v>
      </c>
      <c r="B126" t="s">
        <v>1251</v>
      </c>
      <c r="F126" t="s">
        <v>4640</v>
      </c>
      <c r="G126" t="s">
        <v>4641</v>
      </c>
      <c r="H126" t="s">
        <v>321</v>
      </c>
      <c r="I126" t="s">
        <v>205</v>
      </c>
      <c r="J126" t="s">
        <v>224</v>
      </c>
      <c r="K126" t="s">
        <v>314</v>
      </c>
      <c r="L126" t="s">
        <v>747</v>
      </c>
      <c r="M126" t="s">
        <v>339</v>
      </c>
      <c r="N126" t="s">
        <v>1216</v>
      </c>
      <c r="O126" s="131">
        <v>6</v>
      </c>
      <c r="P126" s="131">
        <v>3.71</v>
      </c>
      <c r="Q126" s="131">
        <v>2E-3</v>
      </c>
      <c r="R126" s="131">
        <v>0</v>
      </c>
      <c r="S126" s="132">
        <v>0</v>
      </c>
      <c r="T126" s="132">
        <v>0</v>
      </c>
    </row>
    <row r="127" spans="1:20">
      <c r="A127" t="s">
        <v>1213</v>
      </c>
      <c r="B127" t="s">
        <v>1251</v>
      </c>
      <c r="F127" t="s">
        <v>4612</v>
      </c>
      <c r="G127" t="s">
        <v>4613</v>
      </c>
      <c r="H127" t="s">
        <v>321</v>
      </c>
      <c r="I127" t="s">
        <v>205</v>
      </c>
      <c r="J127" t="s">
        <v>293</v>
      </c>
      <c r="K127" t="s">
        <v>314</v>
      </c>
      <c r="L127" t="s">
        <v>747</v>
      </c>
      <c r="M127" t="s">
        <v>339</v>
      </c>
      <c r="N127" t="s">
        <v>1218</v>
      </c>
      <c r="O127" s="131">
        <v>3</v>
      </c>
      <c r="P127" s="131">
        <v>4.1524000000000001</v>
      </c>
      <c r="Q127" s="131">
        <v>1E-3</v>
      </c>
      <c r="R127" s="131">
        <v>0</v>
      </c>
    </row>
    <row r="128" spans="1:20">
      <c r="A128" t="s">
        <v>1213</v>
      </c>
      <c r="B128" t="s">
        <v>1251</v>
      </c>
      <c r="F128" t="s">
        <v>4602</v>
      </c>
      <c r="G128" t="s">
        <v>4603</v>
      </c>
      <c r="H128" t="s">
        <v>312</v>
      </c>
      <c r="I128" t="s">
        <v>205</v>
      </c>
      <c r="J128" t="s">
        <v>204</v>
      </c>
      <c r="K128" t="s">
        <v>314</v>
      </c>
      <c r="M128" t="s">
        <v>339</v>
      </c>
      <c r="N128" t="s">
        <v>1216</v>
      </c>
      <c r="O128" s="131">
        <v>182954.49</v>
      </c>
      <c r="P128" s="131">
        <v>3.71</v>
      </c>
      <c r="Q128" s="131">
        <v>100</v>
      </c>
      <c r="R128" s="131">
        <v>678.76099999999997</v>
      </c>
      <c r="S128" s="132">
        <v>0.97982000000000002</v>
      </c>
      <c r="T128" s="132">
        <v>2.4499999999999999E-3</v>
      </c>
    </row>
    <row r="129" spans="1:20">
      <c r="A129" t="s">
        <v>1213</v>
      </c>
      <c r="B129" t="s">
        <v>1251</v>
      </c>
      <c r="F129" t="s">
        <v>4616</v>
      </c>
      <c r="G129" t="s">
        <v>4617</v>
      </c>
      <c r="H129" t="s">
        <v>312</v>
      </c>
      <c r="I129" t="s">
        <v>205</v>
      </c>
      <c r="J129" t="s">
        <v>204</v>
      </c>
      <c r="K129" t="s">
        <v>314</v>
      </c>
      <c r="M129" t="s">
        <v>339</v>
      </c>
      <c r="N129" t="s">
        <v>1218</v>
      </c>
      <c r="O129" s="131">
        <v>4133.1899999999996</v>
      </c>
      <c r="P129" s="131">
        <v>4.1524000000000001</v>
      </c>
      <c r="Q129" s="131">
        <v>100</v>
      </c>
      <c r="R129" s="131">
        <v>17.163</v>
      </c>
      <c r="S129" s="132">
        <v>2.478E-2</v>
      </c>
      <c r="T129" s="132">
        <v>6.0000000000000002E-5</v>
      </c>
    </row>
    <row r="130" spans="1:20">
      <c r="A130" t="s">
        <v>1213</v>
      </c>
      <c r="B130" t="s">
        <v>1251</v>
      </c>
      <c r="F130" t="s">
        <v>4644</v>
      </c>
      <c r="G130" t="s">
        <v>4645</v>
      </c>
      <c r="H130" t="s">
        <v>312</v>
      </c>
      <c r="I130" t="s">
        <v>205</v>
      </c>
      <c r="J130" t="s">
        <v>204</v>
      </c>
      <c r="K130" t="s">
        <v>314</v>
      </c>
      <c r="M130" t="s">
        <v>339</v>
      </c>
      <c r="N130" t="s">
        <v>1227</v>
      </c>
      <c r="O130" s="131">
        <v>-640</v>
      </c>
      <c r="P130" s="131">
        <v>4.9748000000000001</v>
      </c>
      <c r="Q130" s="131">
        <v>100</v>
      </c>
      <c r="R130" s="131">
        <v>-3.1840000000000002</v>
      </c>
      <c r="S130" s="132">
        <v>-4.5999999999999999E-3</v>
      </c>
      <c r="T130" s="132">
        <v>-1.0000000000000001E-5</v>
      </c>
    </row>
    <row r="131" spans="1:20">
      <c r="A131" t="s">
        <v>1213</v>
      </c>
      <c r="B131" t="s">
        <v>1252</v>
      </c>
      <c r="F131" t="s">
        <v>4604</v>
      </c>
      <c r="G131" t="s">
        <v>4605</v>
      </c>
      <c r="H131" t="s">
        <v>321</v>
      </c>
      <c r="I131" t="s">
        <v>205</v>
      </c>
      <c r="J131" t="s">
        <v>224</v>
      </c>
      <c r="K131" t="s">
        <v>314</v>
      </c>
      <c r="L131" t="s">
        <v>747</v>
      </c>
      <c r="M131" t="s">
        <v>339</v>
      </c>
      <c r="N131" t="s">
        <v>1216</v>
      </c>
      <c r="O131" s="131">
        <v>11</v>
      </c>
      <c r="P131" s="131">
        <v>3.71</v>
      </c>
      <c r="Q131" s="131">
        <v>6.0000000000000001E-3</v>
      </c>
      <c r="R131" s="131">
        <v>0</v>
      </c>
      <c r="S131" s="132">
        <v>0</v>
      </c>
      <c r="T131" s="132">
        <v>0</v>
      </c>
    </row>
    <row r="132" spans="1:20">
      <c r="A132" t="s">
        <v>1213</v>
      </c>
      <c r="B132" t="s">
        <v>1252</v>
      </c>
      <c r="F132" t="s">
        <v>4606</v>
      </c>
      <c r="G132" t="s">
        <v>4607</v>
      </c>
      <c r="H132" t="s">
        <v>321</v>
      </c>
      <c r="I132" t="s">
        <v>205</v>
      </c>
      <c r="J132" t="s">
        <v>224</v>
      </c>
      <c r="K132" t="s">
        <v>314</v>
      </c>
      <c r="L132" t="s">
        <v>747</v>
      </c>
      <c r="M132" t="s">
        <v>339</v>
      </c>
      <c r="N132" t="s">
        <v>1216</v>
      </c>
      <c r="O132" s="131">
        <v>1</v>
      </c>
      <c r="P132" s="131">
        <v>3.71</v>
      </c>
      <c r="Q132" s="131">
        <v>0.02</v>
      </c>
      <c r="R132" s="131">
        <v>0</v>
      </c>
      <c r="S132" s="132">
        <v>0</v>
      </c>
      <c r="T132" s="132">
        <v>0</v>
      </c>
    </row>
    <row r="133" spans="1:20">
      <c r="A133" t="s">
        <v>1213</v>
      </c>
      <c r="B133" t="s">
        <v>1252</v>
      </c>
      <c r="F133" t="s">
        <v>4642</v>
      </c>
      <c r="G133" t="s">
        <v>4643</v>
      </c>
      <c r="H133" t="s">
        <v>321</v>
      </c>
      <c r="I133" t="s">
        <v>205</v>
      </c>
      <c r="J133" t="s">
        <v>233</v>
      </c>
      <c r="K133" t="s">
        <v>314</v>
      </c>
      <c r="L133" t="s">
        <v>747</v>
      </c>
      <c r="M133" t="s">
        <v>339</v>
      </c>
      <c r="N133" t="s">
        <v>1227</v>
      </c>
      <c r="O133" s="131">
        <v>1</v>
      </c>
      <c r="P133" s="131">
        <v>4.9748000000000001</v>
      </c>
      <c r="Q133" s="131">
        <v>8.0000000000000002E-3</v>
      </c>
      <c r="R133" s="131">
        <v>0</v>
      </c>
      <c r="S133" s="132">
        <v>0</v>
      </c>
      <c r="T133" s="132">
        <v>0</v>
      </c>
    </row>
    <row r="134" spans="1:20">
      <c r="A134" t="s">
        <v>1213</v>
      </c>
      <c r="B134" t="s">
        <v>1252</v>
      </c>
      <c r="F134" t="s">
        <v>4640</v>
      </c>
      <c r="G134" t="s">
        <v>4641</v>
      </c>
      <c r="H134" t="s">
        <v>321</v>
      </c>
      <c r="I134" t="s">
        <v>205</v>
      </c>
      <c r="J134" t="s">
        <v>224</v>
      </c>
      <c r="K134" t="s">
        <v>314</v>
      </c>
      <c r="L134" t="s">
        <v>747</v>
      </c>
      <c r="M134" t="s">
        <v>339</v>
      </c>
      <c r="N134" t="s">
        <v>1216</v>
      </c>
      <c r="O134" s="131">
        <v>1</v>
      </c>
      <c r="P134" s="131">
        <v>3.71</v>
      </c>
      <c r="Q134" s="131">
        <v>2E-3</v>
      </c>
      <c r="R134" s="131">
        <v>0</v>
      </c>
    </row>
    <row r="135" spans="1:20">
      <c r="A135" t="s">
        <v>1213</v>
      </c>
      <c r="B135" t="s">
        <v>1252</v>
      </c>
      <c r="F135" t="s">
        <v>4602</v>
      </c>
      <c r="G135" t="s">
        <v>4603</v>
      </c>
      <c r="H135" t="s">
        <v>312</v>
      </c>
      <c r="I135" t="s">
        <v>205</v>
      </c>
      <c r="J135" t="s">
        <v>204</v>
      </c>
      <c r="K135" t="s">
        <v>314</v>
      </c>
      <c r="M135" t="s">
        <v>339</v>
      </c>
      <c r="N135" t="s">
        <v>1216</v>
      </c>
      <c r="O135" s="131">
        <v>75360.12</v>
      </c>
      <c r="P135" s="131">
        <v>3.71</v>
      </c>
      <c r="Q135" s="131">
        <v>100</v>
      </c>
      <c r="R135" s="131">
        <v>279.58600000000001</v>
      </c>
      <c r="S135" s="132">
        <v>1.00573</v>
      </c>
      <c r="T135" s="132">
        <v>1.5900000000000001E-3</v>
      </c>
    </row>
    <row r="136" spans="1:20">
      <c r="A136" t="s">
        <v>1213</v>
      </c>
      <c r="B136" t="s">
        <v>1252</v>
      </c>
      <c r="F136" t="s">
        <v>4644</v>
      </c>
      <c r="G136" t="s">
        <v>4645</v>
      </c>
      <c r="H136" t="s">
        <v>312</v>
      </c>
      <c r="I136" t="s">
        <v>205</v>
      </c>
      <c r="J136" t="s">
        <v>204</v>
      </c>
      <c r="K136" t="s">
        <v>314</v>
      </c>
      <c r="M136" t="s">
        <v>339</v>
      </c>
      <c r="N136" t="s">
        <v>1227</v>
      </c>
      <c r="O136" s="131">
        <v>-320</v>
      </c>
      <c r="P136" s="131">
        <v>4.9748000000000001</v>
      </c>
      <c r="Q136" s="131">
        <v>100</v>
      </c>
      <c r="R136" s="131">
        <v>-1.5920000000000001</v>
      </c>
      <c r="S136" s="132">
        <v>-5.7299999999999999E-3</v>
      </c>
      <c r="T136" s="132">
        <v>-1.0000000000000001E-5</v>
      </c>
    </row>
    <row r="137" spans="1:20">
      <c r="A137" t="s">
        <v>1213</v>
      </c>
      <c r="B137" t="s">
        <v>1253</v>
      </c>
      <c r="F137" t="s">
        <v>4604</v>
      </c>
      <c r="G137" t="s">
        <v>4605</v>
      </c>
      <c r="H137" t="s">
        <v>321</v>
      </c>
      <c r="I137" t="s">
        <v>205</v>
      </c>
      <c r="J137" t="s">
        <v>224</v>
      </c>
      <c r="K137" t="s">
        <v>314</v>
      </c>
      <c r="L137" t="s">
        <v>747</v>
      </c>
      <c r="M137" t="s">
        <v>339</v>
      </c>
      <c r="N137" t="s">
        <v>1216</v>
      </c>
      <c r="O137" s="131">
        <v>3</v>
      </c>
      <c r="P137" s="131">
        <v>3.71</v>
      </c>
      <c r="Q137" s="131">
        <v>6.0000000000000001E-3</v>
      </c>
      <c r="R137" s="131">
        <v>0</v>
      </c>
      <c r="S137" s="132">
        <v>0</v>
      </c>
      <c r="T137" s="132">
        <v>0</v>
      </c>
    </row>
    <row r="138" spans="1:20">
      <c r="A138" t="s">
        <v>1213</v>
      </c>
      <c r="B138" t="s">
        <v>1253</v>
      </c>
      <c r="F138" t="s">
        <v>4612</v>
      </c>
      <c r="G138" t="s">
        <v>4613</v>
      </c>
      <c r="H138" t="s">
        <v>321</v>
      </c>
      <c r="I138" t="s">
        <v>205</v>
      </c>
      <c r="J138" t="s">
        <v>293</v>
      </c>
      <c r="K138" t="s">
        <v>314</v>
      </c>
      <c r="L138" t="s">
        <v>747</v>
      </c>
      <c r="M138" t="s">
        <v>339</v>
      </c>
      <c r="N138" t="s">
        <v>1218</v>
      </c>
      <c r="O138" s="131">
        <v>1</v>
      </c>
      <c r="P138" s="131">
        <v>4.1524000000000001</v>
      </c>
      <c r="Q138" s="131">
        <v>1E-3</v>
      </c>
      <c r="R138" s="131">
        <v>0</v>
      </c>
    </row>
    <row r="139" spans="1:20">
      <c r="A139" t="s">
        <v>1213</v>
      </c>
      <c r="B139" t="s">
        <v>1253</v>
      </c>
      <c r="F139" t="s">
        <v>4640</v>
      </c>
      <c r="G139" t="s">
        <v>4641</v>
      </c>
      <c r="H139" t="s">
        <v>321</v>
      </c>
      <c r="I139" t="s">
        <v>205</v>
      </c>
      <c r="J139" t="s">
        <v>224</v>
      </c>
      <c r="K139" t="s">
        <v>314</v>
      </c>
      <c r="L139" t="s">
        <v>747</v>
      </c>
      <c r="M139" t="s">
        <v>339</v>
      </c>
      <c r="N139" t="s">
        <v>1216</v>
      </c>
      <c r="O139" s="131">
        <v>1</v>
      </c>
      <c r="P139" s="131">
        <v>3.71</v>
      </c>
      <c r="Q139" s="131">
        <v>2E-3</v>
      </c>
      <c r="R139" s="131">
        <v>0</v>
      </c>
    </row>
    <row r="140" spans="1:20">
      <c r="A140" t="s">
        <v>1213</v>
      </c>
      <c r="B140" t="s">
        <v>1253</v>
      </c>
      <c r="F140" t="s">
        <v>4602</v>
      </c>
      <c r="G140" t="s">
        <v>4603</v>
      </c>
      <c r="H140" t="s">
        <v>312</v>
      </c>
      <c r="I140" t="s">
        <v>205</v>
      </c>
      <c r="J140" t="s">
        <v>204</v>
      </c>
      <c r="K140" t="s">
        <v>314</v>
      </c>
      <c r="M140" t="s">
        <v>339</v>
      </c>
      <c r="N140" t="s">
        <v>1216</v>
      </c>
      <c r="O140" s="131">
        <v>18035.05</v>
      </c>
      <c r="P140" s="131">
        <v>3.71</v>
      </c>
      <c r="Q140" s="131">
        <v>100</v>
      </c>
      <c r="R140" s="131">
        <v>66.91</v>
      </c>
      <c r="S140" s="132">
        <v>0.97690999999999995</v>
      </c>
      <c r="T140" s="132">
        <v>5.6999999999999998E-4</v>
      </c>
    </row>
    <row r="141" spans="1:20">
      <c r="A141" t="s">
        <v>1213</v>
      </c>
      <c r="B141" t="s">
        <v>1253</v>
      </c>
      <c r="F141" t="s">
        <v>4616</v>
      </c>
      <c r="G141" t="s">
        <v>4617</v>
      </c>
      <c r="H141" t="s">
        <v>312</v>
      </c>
      <c r="I141" t="s">
        <v>205</v>
      </c>
      <c r="J141" t="s">
        <v>204</v>
      </c>
      <c r="K141" t="s">
        <v>314</v>
      </c>
      <c r="M141" t="s">
        <v>339</v>
      </c>
      <c r="N141" t="s">
        <v>1218</v>
      </c>
      <c r="O141" s="131">
        <v>380.79</v>
      </c>
      <c r="P141" s="131">
        <v>4.1524000000000001</v>
      </c>
      <c r="Q141" s="131">
        <v>100</v>
      </c>
      <c r="R141" s="131">
        <v>1.581</v>
      </c>
      <c r="S141" s="132">
        <v>2.3089999999999999E-2</v>
      </c>
      <c r="T141" s="132">
        <v>1.0000000000000001E-5</v>
      </c>
    </row>
    <row r="142" spans="1:20">
      <c r="A142" t="s">
        <v>1213</v>
      </c>
      <c r="B142" t="s">
        <v>1255</v>
      </c>
      <c r="F142" t="s">
        <v>4604</v>
      </c>
      <c r="G142" t="s">
        <v>4605</v>
      </c>
      <c r="H142" t="s">
        <v>321</v>
      </c>
      <c r="I142" t="s">
        <v>205</v>
      </c>
      <c r="J142" t="s">
        <v>224</v>
      </c>
      <c r="K142" t="s">
        <v>314</v>
      </c>
      <c r="L142" t="s">
        <v>747</v>
      </c>
      <c r="M142" t="s">
        <v>339</v>
      </c>
      <c r="N142" t="s">
        <v>1216</v>
      </c>
      <c r="O142" s="131">
        <v>125</v>
      </c>
      <c r="P142" s="131">
        <v>3.71</v>
      </c>
      <c r="Q142" s="131">
        <v>6.0000000000000001E-3</v>
      </c>
      <c r="R142" s="131">
        <v>0</v>
      </c>
      <c r="S142" s="132">
        <v>0</v>
      </c>
      <c r="T142" s="132">
        <v>0</v>
      </c>
    </row>
    <row r="143" spans="1:20">
      <c r="A143" t="s">
        <v>1213</v>
      </c>
      <c r="B143" t="s">
        <v>1255</v>
      </c>
      <c r="F143" t="s">
        <v>4606</v>
      </c>
      <c r="G143" t="s">
        <v>4607</v>
      </c>
      <c r="H143" t="s">
        <v>321</v>
      </c>
      <c r="I143" t="s">
        <v>205</v>
      </c>
      <c r="J143" t="s">
        <v>224</v>
      </c>
      <c r="K143" t="s">
        <v>314</v>
      </c>
      <c r="L143" t="s">
        <v>747</v>
      </c>
      <c r="M143" t="s">
        <v>339</v>
      </c>
      <c r="N143" t="s">
        <v>1216</v>
      </c>
      <c r="O143" s="131">
        <v>13</v>
      </c>
      <c r="P143" s="131">
        <v>3.71</v>
      </c>
      <c r="Q143" s="131">
        <v>0.02</v>
      </c>
      <c r="R143" s="131">
        <v>0</v>
      </c>
      <c r="S143" s="132">
        <v>0</v>
      </c>
      <c r="T143" s="132">
        <v>0</v>
      </c>
    </row>
    <row r="144" spans="1:20">
      <c r="A144" t="s">
        <v>1213</v>
      </c>
      <c r="B144" t="s">
        <v>1255</v>
      </c>
      <c r="F144" t="s">
        <v>4602</v>
      </c>
      <c r="G144" t="s">
        <v>4603</v>
      </c>
      <c r="H144" t="s">
        <v>312</v>
      </c>
      <c r="I144" t="s">
        <v>205</v>
      </c>
      <c r="J144" t="s">
        <v>204</v>
      </c>
      <c r="K144" t="s">
        <v>314</v>
      </c>
      <c r="M144" t="s">
        <v>339</v>
      </c>
      <c r="N144" t="s">
        <v>1216</v>
      </c>
      <c r="O144" s="131">
        <v>896462</v>
      </c>
      <c r="P144" s="131">
        <v>3.71</v>
      </c>
      <c r="Q144" s="131">
        <v>100</v>
      </c>
      <c r="R144" s="131">
        <v>3325.8739999999998</v>
      </c>
      <c r="S144" s="132">
        <v>1</v>
      </c>
      <c r="T144" s="132">
        <v>3.3600000000000001E-3</v>
      </c>
    </row>
    <row r="145" spans="1:20">
      <c r="A145" t="s">
        <v>1213</v>
      </c>
      <c r="B145" t="s">
        <v>1256</v>
      </c>
      <c r="F145" t="s">
        <v>4600</v>
      </c>
      <c r="G145" t="s">
        <v>4601</v>
      </c>
      <c r="H145" t="s">
        <v>321</v>
      </c>
      <c r="I145" t="s">
        <v>205</v>
      </c>
      <c r="J145" t="s">
        <v>224</v>
      </c>
      <c r="K145" t="s">
        <v>314</v>
      </c>
      <c r="L145" t="s">
        <v>751</v>
      </c>
      <c r="M145" t="s">
        <v>339</v>
      </c>
      <c r="N145" t="s">
        <v>1216</v>
      </c>
      <c r="O145" s="131">
        <v>17</v>
      </c>
      <c r="P145" s="131">
        <v>3.71</v>
      </c>
      <c r="Q145" s="131">
        <v>0</v>
      </c>
      <c r="R145" s="131">
        <v>0</v>
      </c>
    </row>
    <row r="146" spans="1:20">
      <c r="A146" t="s">
        <v>1213</v>
      </c>
      <c r="B146" t="s">
        <v>1256</v>
      </c>
      <c r="F146" t="s">
        <v>4602</v>
      </c>
      <c r="G146" t="s">
        <v>4603</v>
      </c>
      <c r="H146" t="s">
        <v>312</v>
      </c>
      <c r="I146" t="s">
        <v>205</v>
      </c>
      <c r="J146" t="s">
        <v>204</v>
      </c>
      <c r="K146" t="s">
        <v>314</v>
      </c>
      <c r="M146" t="s">
        <v>339</v>
      </c>
      <c r="N146" t="s">
        <v>1216</v>
      </c>
      <c r="O146" s="131">
        <v>-1725.5</v>
      </c>
      <c r="P146" s="131">
        <v>3.71</v>
      </c>
      <c r="Q146" s="131">
        <v>100</v>
      </c>
      <c r="R146" s="131">
        <v>-6.4020000000000001</v>
      </c>
      <c r="S146" s="132">
        <v>1</v>
      </c>
      <c r="T146" s="132">
        <v>-3.0000000000000001E-5</v>
      </c>
    </row>
    <row r="147" spans="1:20">
      <c r="A147" t="s">
        <v>1213</v>
      </c>
      <c r="B147" t="s">
        <v>1257</v>
      </c>
      <c r="F147" t="s">
        <v>4604</v>
      </c>
      <c r="G147" t="s">
        <v>4605</v>
      </c>
      <c r="H147" t="s">
        <v>321</v>
      </c>
      <c r="I147" t="s">
        <v>205</v>
      </c>
      <c r="J147" t="s">
        <v>224</v>
      </c>
      <c r="K147" t="s">
        <v>314</v>
      </c>
      <c r="L147" t="s">
        <v>747</v>
      </c>
      <c r="M147" t="s">
        <v>339</v>
      </c>
      <c r="N147" t="s">
        <v>1216</v>
      </c>
      <c r="O147" s="131">
        <v>8</v>
      </c>
      <c r="P147" s="131">
        <v>3.71</v>
      </c>
      <c r="Q147" s="131">
        <v>6.0000000000000001E-3</v>
      </c>
      <c r="R147" s="131">
        <v>0</v>
      </c>
      <c r="S147" s="132">
        <v>0</v>
      </c>
      <c r="T147" s="132">
        <v>0</v>
      </c>
    </row>
    <row r="148" spans="1:20">
      <c r="A148" t="s">
        <v>1213</v>
      </c>
      <c r="B148" t="s">
        <v>1257</v>
      </c>
      <c r="F148" t="s">
        <v>4606</v>
      </c>
      <c r="G148" t="s">
        <v>4607</v>
      </c>
      <c r="H148" t="s">
        <v>321</v>
      </c>
      <c r="I148" t="s">
        <v>205</v>
      </c>
      <c r="J148" t="s">
        <v>224</v>
      </c>
      <c r="K148" t="s">
        <v>314</v>
      </c>
      <c r="L148" t="s">
        <v>747</v>
      </c>
      <c r="M148" t="s">
        <v>339</v>
      </c>
      <c r="N148" t="s">
        <v>1216</v>
      </c>
      <c r="O148" s="131">
        <v>2</v>
      </c>
      <c r="P148" s="131">
        <v>3.71</v>
      </c>
      <c r="Q148" s="131">
        <v>0.02</v>
      </c>
      <c r="R148" s="131">
        <v>0</v>
      </c>
      <c r="S148" s="132">
        <v>0</v>
      </c>
      <c r="T148" s="132">
        <v>0</v>
      </c>
    </row>
    <row r="149" spans="1:20">
      <c r="A149" t="s">
        <v>1213</v>
      </c>
      <c r="B149" t="s">
        <v>1257</v>
      </c>
      <c r="F149" t="s">
        <v>4642</v>
      </c>
      <c r="G149" t="s">
        <v>4643</v>
      </c>
      <c r="H149" t="s">
        <v>321</v>
      </c>
      <c r="I149" t="s">
        <v>205</v>
      </c>
      <c r="J149" t="s">
        <v>233</v>
      </c>
      <c r="K149" t="s">
        <v>314</v>
      </c>
      <c r="L149" t="s">
        <v>747</v>
      </c>
      <c r="M149" t="s">
        <v>339</v>
      </c>
      <c r="N149" t="s">
        <v>1227</v>
      </c>
      <c r="O149" s="131">
        <v>1</v>
      </c>
      <c r="P149" s="131">
        <v>4.9748000000000001</v>
      </c>
      <c r="Q149" s="131">
        <v>8.0000000000000002E-3</v>
      </c>
      <c r="R149" s="131">
        <v>0</v>
      </c>
      <c r="S149" s="132">
        <v>0</v>
      </c>
      <c r="T149" s="132">
        <v>0</v>
      </c>
    </row>
    <row r="150" spans="1:20">
      <c r="A150" t="s">
        <v>1213</v>
      </c>
      <c r="B150" t="s">
        <v>1257</v>
      </c>
      <c r="F150" t="s">
        <v>4640</v>
      </c>
      <c r="G150" t="s">
        <v>4641</v>
      </c>
      <c r="H150" t="s">
        <v>321</v>
      </c>
      <c r="I150" t="s">
        <v>205</v>
      </c>
      <c r="J150" t="s">
        <v>224</v>
      </c>
      <c r="K150" t="s">
        <v>314</v>
      </c>
      <c r="L150" t="s">
        <v>747</v>
      </c>
      <c r="M150" t="s">
        <v>339</v>
      </c>
      <c r="N150" t="s">
        <v>1216</v>
      </c>
      <c r="O150" s="131">
        <v>1</v>
      </c>
      <c r="P150" s="131">
        <v>3.71</v>
      </c>
      <c r="Q150" s="131">
        <v>2E-3</v>
      </c>
      <c r="R150" s="131">
        <v>0</v>
      </c>
    </row>
    <row r="151" spans="1:20">
      <c r="A151" t="s">
        <v>1213</v>
      </c>
      <c r="B151" t="s">
        <v>1257</v>
      </c>
      <c r="F151" t="s">
        <v>4602</v>
      </c>
      <c r="G151" t="s">
        <v>4603</v>
      </c>
      <c r="H151" t="s">
        <v>312</v>
      </c>
      <c r="I151" t="s">
        <v>205</v>
      </c>
      <c r="J151" t="s">
        <v>204</v>
      </c>
      <c r="K151" t="s">
        <v>314</v>
      </c>
      <c r="M151" t="s">
        <v>339</v>
      </c>
      <c r="N151" t="s">
        <v>1216</v>
      </c>
      <c r="O151" s="131">
        <v>69975.839999999997</v>
      </c>
      <c r="P151" s="131">
        <v>3.71</v>
      </c>
      <c r="Q151" s="131">
        <v>100</v>
      </c>
      <c r="R151" s="131">
        <v>259.61</v>
      </c>
      <c r="S151" s="132">
        <v>1.00617</v>
      </c>
      <c r="T151" s="132">
        <v>9.5E-4</v>
      </c>
    </row>
    <row r="152" spans="1:20">
      <c r="A152" t="s">
        <v>1213</v>
      </c>
      <c r="B152" t="s">
        <v>1257</v>
      </c>
      <c r="F152" t="s">
        <v>4644</v>
      </c>
      <c r="G152" t="s">
        <v>4645</v>
      </c>
      <c r="H152" t="s">
        <v>312</v>
      </c>
      <c r="I152" t="s">
        <v>205</v>
      </c>
      <c r="J152" t="s">
        <v>204</v>
      </c>
      <c r="K152" t="s">
        <v>314</v>
      </c>
      <c r="M152" t="s">
        <v>339</v>
      </c>
      <c r="N152" t="s">
        <v>1227</v>
      </c>
      <c r="O152" s="131">
        <v>-320</v>
      </c>
      <c r="P152" s="131">
        <v>4.9748000000000001</v>
      </c>
      <c r="Q152" s="131">
        <v>100</v>
      </c>
      <c r="R152" s="131">
        <v>-1.5920000000000001</v>
      </c>
      <c r="S152" s="132">
        <v>-6.1700000000000001E-3</v>
      </c>
      <c r="T152" s="132">
        <v>-1.0000000000000001E-5</v>
      </c>
    </row>
    <row r="153" spans="1:20">
      <c r="A153" t="s">
        <v>1213</v>
      </c>
      <c r="B153" t="s">
        <v>1222</v>
      </c>
    </row>
    <row r="154" spans="1:20">
      <c r="A154" t="s">
        <v>1213</v>
      </c>
      <c r="B154" t="s">
        <v>1231</v>
      </c>
    </row>
    <row r="155" spans="1:20">
      <c r="A155" t="s">
        <v>1213</v>
      </c>
      <c r="B155" t="s">
        <v>1232</v>
      </c>
    </row>
    <row r="156" spans="1:20">
      <c r="A156" t="s">
        <v>1213</v>
      </c>
      <c r="B156" t="s">
        <v>1234</v>
      </c>
    </row>
    <row r="157" spans="1:20">
      <c r="A157" t="s">
        <v>1213</v>
      </c>
      <c r="B157" t="s">
        <v>1244</v>
      </c>
    </row>
    <row r="158" spans="1:20">
      <c r="A158" t="s">
        <v>1213</v>
      </c>
      <c r="B158" t="s">
        <v>1254</v>
      </c>
    </row>
  </sheetData>
  <sheetProtection formatColumns="0"/>
  <autoFilter ref="A1:U158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7">
    <dataValidation type="list" allowBlank="1" showInputMessage="1" showErrorMessage="1" sqref="I2:I19 I26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 J26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 K26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31"/>
  <sheetViews>
    <sheetView rightToLeft="1" topLeftCell="T1" workbookViewId="0">
      <selection activeCell="AM19" sqref="AM19"/>
    </sheetView>
  </sheetViews>
  <sheetFormatPr defaultColWidth="9" defaultRowHeight="14.25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70</v>
      </c>
      <c r="N1" s="17" t="s">
        <v>96</v>
      </c>
      <c r="O1" s="17" t="s">
        <v>56</v>
      </c>
      <c r="P1" s="17" t="s">
        <v>72</v>
      </c>
      <c r="Q1" s="17" t="s">
        <v>62</v>
      </c>
      <c r="R1" s="17" t="s">
        <v>74</v>
      </c>
      <c r="S1" s="17" t="s">
        <v>71</v>
      </c>
      <c r="T1" s="17" t="s">
        <v>58</v>
      </c>
      <c r="U1" s="17" t="s">
        <v>84</v>
      </c>
      <c r="V1" s="17" t="s">
        <v>59</v>
      </c>
      <c r="W1" s="17" t="s">
        <v>76</v>
      </c>
      <c r="X1" s="17" t="s">
        <v>61</v>
      </c>
      <c r="Y1" s="17" t="s">
        <v>77</v>
      </c>
      <c r="Z1" s="17" t="s">
        <v>63</v>
      </c>
      <c r="AA1" s="17" t="s">
        <v>64</v>
      </c>
      <c r="AB1" s="17" t="s">
        <v>65</v>
      </c>
    </row>
    <row r="2" spans="1:28">
      <c r="A2" t="s">
        <v>1213</v>
      </c>
      <c r="B2" t="s">
        <v>1214</v>
      </c>
      <c r="C2" s="109"/>
      <c r="D2" s="109"/>
      <c r="E2" s="16"/>
      <c r="F2" s="109"/>
      <c r="G2" s="109"/>
      <c r="H2" s="16"/>
      <c r="I2" s="109"/>
      <c r="J2" s="16"/>
      <c r="K2" s="16"/>
      <c r="L2" s="109"/>
      <c r="M2" s="16"/>
      <c r="N2" s="109"/>
      <c r="O2" s="109"/>
      <c r="P2" s="109"/>
      <c r="Q2" s="109"/>
      <c r="R2" s="109"/>
      <c r="S2" s="109"/>
      <c r="T2" s="109"/>
      <c r="U2" s="109"/>
      <c r="V2" s="16"/>
      <c r="W2" s="109"/>
      <c r="X2" s="109"/>
      <c r="Y2" s="109"/>
      <c r="Z2" s="109"/>
      <c r="AA2" s="109"/>
      <c r="AB2" s="109"/>
    </row>
    <row r="3" spans="1:28">
      <c r="A3" t="s">
        <v>1213</v>
      </c>
      <c r="B3" t="s">
        <v>1217</v>
      </c>
      <c r="C3" s="109"/>
      <c r="D3" s="109"/>
      <c r="E3" s="16"/>
      <c r="F3" s="109"/>
      <c r="G3" s="109"/>
      <c r="H3" s="16"/>
      <c r="I3" s="109"/>
      <c r="J3" s="16"/>
      <c r="K3" s="16"/>
      <c r="L3" s="109"/>
      <c r="M3" s="16"/>
      <c r="N3" s="109"/>
      <c r="O3" s="109"/>
      <c r="P3" s="109"/>
      <c r="Q3" s="109"/>
      <c r="R3" s="109"/>
      <c r="S3" s="109"/>
      <c r="T3" s="109"/>
      <c r="U3" s="109"/>
      <c r="V3" s="16"/>
      <c r="W3" s="109"/>
      <c r="X3" s="109"/>
      <c r="Y3" s="109"/>
      <c r="Z3" s="109"/>
      <c r="AA3" s="109"/>
      <c r="AB3" s="109"/>
    </row>
    <row r="4" spans="1:28">
      <c r="A4" t="s">
        <v>1213</v>
      </c>
      <c r="B4" t="s">
        <v>1220</v>
      </c>
      <c r="C4" s="109"/>
      <c r="D4" s="109"/>
      <c r="E4" s="16"/>
      <c r="F4" s="109"/>
      <c r="G4" s="109"/>
      <c r="H4" s="16"/>
      <c r="I4" s="109"/>
      <c r="J4" s="16"/>
      <c r="K4" s="16"/>
      <c r="L4" s="109"/>
      <c r="M4" s="16"/>
      <c r="N4" s="109"/>
      <c r="O4" s="109"/>
      <c r="P4" s="109"/>
      <c r="Q4" s="109"/>
      <c r="R4" s="109"/>
      <c r="S4" s="109"/>
      <c r="T4" s="109"/>
      <c r="U4" s="109"/>
      <c r="V4" s="16"/>
      <c r="W4" s="109"/>
      <c r="X4" s="109"/>
      <c r="Y4" s="109"/>
      <c r="Z4" s="109"/>
      <c r="AA4" s="109"/>
      <c r="AB4" s="109"/>
    </row>
    <row r="5" spans="1:28">
      <c r="A5" t="s">
        <v>1213</v>
      </c>
      <c r="B5" t="s">
        <v>1221</v>
      </c>
      <c r="C5" s="109"/>
      <c r="D5" s="109"/>
      <c r="E5" s="16"/>
      <c r="F5" s="109"/>
      <c r="G5" s="109"/>
      <c r="H5" s="16"/>
      <c r="I5" s="109"/>
      <c r="J5" s="16"/>
      <c r="K5" s="16"/>
      <c r="L5" s="109"/>
      <c r="M5" s="16"/>
      <c r="N5" s="109"/>
      <c r="O5" s="109"/>
      <c r="P5" s="109"/>
      <c r="Q5" s="109"/>
      <c r="R5" s="109"/>
      <c r="S5" s="109"/>
      <c r="T5" s="109"/>
      <c r="U5" s="109"/>
      <c r="V5" s="16"/>
      <c r="W5" s="109"/>
      <c r="X5" s="109"/>
      <c r="Y5" s="109"/>
      <c r="Z5" s="109"/>
      <c r="AA5" s="109"/>
      <c r="AB5" s="109"/>
    </row>
    <row r="6" spans="1:28">
      <c r="A6" t="s">
        <v>1213</v>
      </c>
      <c r="B6" t="s">
        <v>1222</v>
      </c>
      <c r="C6" s="109"/>
      <c r="D6" s="109"/>
      <c r="E6" s="16"/>
      <c r="F6" s="109"/>
      <c r="G6" s="109"/>
      <c r="H6" s="16"/>
      <c r="I6" s="109"/>
      <c r="J6" s="16"/>
      <c r="K6" s="16"/>
      <c r="L6" s="109"/>
      <c r="M6" s="16"/>
      <c r="N6" s="109"/>
      <c r="O6" s="109"/>
      <c r="P6" s="109"/>
      <c r="Q6" s="109"/>
      <c r="R6" s="109"/>
      <c r="S6" s="109"/>
      <c r="T6" s="109"/>
      <c r="U6" s="109"/>
      <c r="V6" s="16"/>
      <c r="W6" s="109"/>
      <c r="X6" s="109"/>
      <c r="Y6" s="109"/>
      <c r="Z6" s="109"/>
      <c r="AA6" s="109"/>
      <c r="AB6" s="109"/>
    </row>
    <row r="7" spans="1:28">
      <c r="A7" t="s">
        <v>1213</v>
      </c>
      <c r="B7" t="s">
        <v>1223</v>
      </c>
      <c r="C7" s="109"/>
      <c r="D7" s="109"/>
      <c r="E7" s="16"/>
      <c r="F7" s="109"/>
      <c r="G7" s="109"/>
      <c r="H7" s="16"/>
      <c r="I7" s="109"/>
      <c r="J7" s="16"/>
      <c r="K7" s="16"/>
      <c r="L7" s="109"/>
      <c r="M7" s="16"/>
      <c r="N7" s="109"/>
      <c r="O7" s="109"/>
      <c r="P7" s="109"/>
      <c r="Q7" s="109"/>
      <c r="R7" s="109"/>
      <c r="S7" s="109"/>
      <c r="T7" s="109"/>
      <c r="U7" s="109"/>
      <c r="V7" s="16"/>
      <c r="W7" s="109"/>
      <c r="X7" s="109"/>
      <c r="Y7" s="109"/>
      <c r="Z7" s="109"/>
      <c r="AA7" s="109"/>
      <c r="AB7" s="109"/>
    </row>
    <row r="8" spans="1:28">
      <c r="A8" t="s">
        <v>1213</v>
      </c>
      <c r="B8" t="s">
        <v>1224</v>
      </c>
      <c r="C8" s="109"/>
      <c r="D8" s="109"/>
      <c r="E8" s="16"/>
      <c r="F8" s="109"/>
      <c r="G8" s="109"/>
      <c r="H8" s="16"/>
      <c r="I8" s="109"/>
      <c r="J8" s="16"/>
      <c r="K8" s="16"/>
      <c r="L8" s="109"/>
      <c r="M8" s="16"/>
      <c r="N8" s="109"/>
      <c r="O8" s="109"/>
      <c r="P8" s="109"/>
      <c r="Q8" s="109"/>
      <c r="R8" s="109"/>
      <c r="S8" s="109"/>
      <c r="T8" s="109"/>
      <c r="U8" s="109"/>
      <c r="V8" s="16"/>
      <c r="W8" s="109"/>
      <c r="X8" s="109"/>
      <c r="Y8" s="109"/>
      <c r="Z8" s="109"/>
      <c r="AA8" s="109"/>
      <c r="AB8" s="109"/>
    </row>
    <row r="9" spans="1:28">
      <c r="A9" t="s">
        <v>1213</v>
      </c>
      <c r="B9" t="s">
        <v>1225</v>
      </c>
      <c r="C9" s="109"/>
      <c r="D9" s="109"/>
      <c r="E9" s="16"/>
      <c r="F9" s="109"/>
      <c r="G9" s="109"/>
      <c r="H9" s="16"/>
      <c r="I9" s="109"/>
      <c r="J9" s="16"/>
      <c r="K9" s="16"/>
      <c r="L9" s="109"/>
      <c r="M9" s="16"/>
      <c r="N9" s="109"/>
      <c r="O9" s="109"/>
      <c r="P9" s="109"/>
      <c r="Q9" s="109"/>
      <c r="R9" s="109"/>
      <c r="S9" s="109"/>
      <c r="T9" s="109"/>
      <c r="U9" s="109"/>
      <c r="V9" s="16"/>
      <c r="W9" s="109"/>
      <c r="X9" s="109"/>
      <c r="Y9" s="109"/>
      <c r="Z9" s="109"/>
      <c r="AA9" s="109"/>
      <c r="AB9" s="109"/>
    </row>
    <row r="10" spans="1:28">
      <c r="A10" t="s">
        <v>1213</v>
      </c>
      <c r="B10" t="s">
        <v>1230</v>
      </c>
      <c r="C10" s="109"/>
      <c r="D10" s="109"/>
      <c r="E10" s="16"/>
      <c r="F10" s="109"/>
      <c r="G10" s="109"/>
      <c r="H10" s="16"/>
      <c r="I10" s="109"/>
      <c r="J10" s="16"/>
      <c r="K10" s="16"/>
      <c r="L10" s="109"/>
      <c r="M10" s="16"/>
      <c r="N10" s="109"/>
      <c r="O10" s="109"/>
      <c r="P10" s="109"/>
      <c r="Q10" s="109"/>
      <c r="R10" s="109"/>
      <c r="S10" s="109"/>
      <c r="T10" s="109"/>
      <c r="U10" s="109"/>
      <c r="V10" s="16"/>
      <c r="W10" s="109"/>
      <c r="X10" s="109"/>
      <c r="Y10" s="109"/>
      <c r="Z10" s="109"/>
      <c r="AA10" s="109"/>
      <c r="AB10" s="109"/>
    </row>
    <row r="11" spans="1:28">
      <c r="A11" t="s">
        <v>1213</v>
      </c>
      <c r="B11" t="s">
        <v>1231</v>
      </c>
      <c r="C11" s="109"/>
      <c r="D11" s="109"/>
      <c r="E11" s="16"/>
      <c r="F11" s="109"/>
      <c r="G11" s="109"/>
      <c r="H11" s="16"/>
      <c r="I11" s="109"/>
      <c r="J11" s="16"/>
      <c r="K11" s="16"/>
      <c r="L11" s="109"/>
      <c r="M11" s="16"/>
      <c r="N11" s="109"/>
      <c r="O11" s="109"/>
      <c r="P11" s="109"/>
      <c r="Q11" s="109"/>
      <c r="R11" s="109"/>
      <c r="S11" s="109"/>
      <c r="T11" s="109"/>
      <c r="U11" s="109"/>
      <c r="V11" s="16"/>
      <c r="W11" s="109"/>
      <c r="X11" s="109"/>
      <c r="Y11" s="109"/>
      <c r="Z11" s="109"/>
      <c r="AA11" s="109"/>
      <c r="AB11" s="109"/>
    </row>
    <row r="12" spans="1:28">
      <c r="A12" t="s">
        <v>1213</v>
      </c>
      <c r="B12" t="s">
        <v>1232</v>
      </c>
      <c r="C12" s="109"/>
      <c r="D12" s="109"/>
      <c r="E12" s="16"/>
      <c r="F12" s="109"/>
      <c r="G12" s="109"/>
      <c r="H12" s="16"/>
      <c r="I12" s="109"/>
      <c r="J12" s="16"/>
      <c r="K12" s="16"/>
      <c r="L12" s="109"/>
      <c r="M12" s="16"/>
      <c r="N12" s="109"/>
      <c r="O12" s="109"/>
      <c r="P12" s="109"/>
      <c r="Q12" s="109"/>
      <c r="R12" s="109"/>
      <c r="S12" s="109"/>
      <c r="T12" s="109"/>
      <c r="U12" s="109"/>
      <c r="V12" s="16"/>
      <c r="W12" s="109"/>
      <c r="X12" s="109"/>
      <c r="Y12" s="109"/>
      <c r="Z12" s="109"/>
      <c r="AA12" s="109"/>
      <c r="AB12" s="109"/>
    </row>
    <row r="13" spans="1:28">
      <c r="A13" t="s">
        <v>1213</v>
      </c>
      <c r="B13" t="s">
        <v>1233</v>
      </c>
      <c r="C13" s="109"/>
      <c r="D13" s="109"/>
      <c r="E13" s="16"/>
      <c r="F13" s="109"/>
      <c r="G13" s="109"/>
      <c r="H13" s="16"/>
      <c r="I13" s="109"/>
      <c r="J13" s="16"/>
      <c r="K13" s="16"/>
      <c r="L13" s="109"/>
      <c r="M13" s="16"/>
      <c r="N13" s="109"/>
      <c r="O13" s="109"/>
      <c r="P13" s="109"/>
      <c r="Q13" s="109"/>
      <c r="R13" s="109"/>
      <c r="S13" s="109"/>
      <c r="T13" s="109"/>
      <c r="U13" s="109"/>
      <c r="V13" s="16"/>
      <c r="W13" s="109"/>
      <c r="X13" s="109"/>
      <c r="Y13" s="109"/>
      <c r="Z13" s="109"/>
      <c r="AA13" s="109"/>
      <c r="AB13" s="109"/>
    </row>
    <row r="14" spans="1:28">
      <c r="A14" t="s">
        <v>1213</v>
      </c>
      <c r="B14" t="s">
        <v>1234</v>
      </c>
      <c r="C14" s="109"/>
      <c r="D14" s="109"/>
      <c r="E14" s="16"/>
      <c r="F14" s="109"/>
      <c r="G14" s="109"/>
      <c r="H14" s="16"/>
      <c r="I14" s="109"/>
      <c r="J14" s="16"/>
      <c r="K14" s="16"/>
      <c r="L14" s="109"/>
      <c r="M14" s="16"/>
      <c r="N14" s="109"/>
      <c r="O14" s="109"/>
      <c r="P14" s="109"/>
      <c r="Q14" s="109"/>
      <c r="R14" s="109"/>
      <c r="S14" s="109"/>
      <c r="T14" s="109"/>
      <c r="U14" s="109"/>
      <c r="V14" s="16"/>
      <c r="W14" s="109"/>
      <c r="X14" s="109"/>
      <c r="Y14" s="109"/>
      <c r="Z14" s="109"/>
      <c r="AA14" s="109"/>
      <c r="AB14" s="109"/>
    </row>
    <row r="15" spans="1:28">
      <c r="A15" t="s">
        <v>1213</v>
      </c>
      <c r="B15" t="s">
        <v>1235</v>
      </c>
      <c r="C15" s="109"/>
      <c r="D15" s="109"/>
      <c r="E15" s="16"/>
      <c r="F15" s="109"/>
      <c r="G15" s="109"/>
      <c r="H15" s="16"/>
      <c r="I15" s="109"/>
      <c r="J15" s="16"/>
      <c r="K15" s="16"/>
      <c r="L15" s="109"/>
      <c r="M15" s="16"/>
      <c r="N15" s="109"/>
      <c r="O15" s="109"/>
      <c r="P15" s="109"/>
      <c r="Q15" s="109"/>
      <c r="R15" s="109"/>
      <c r="S15" s="109"/>
      <c r="T15" s="109"/>
      <c r="U15" s="109"/>
      <c r="V15" s="16"/>
      <c r="W15" s="109"/>
      <c r="X15" s="109"/>
      <c r="Y15" s="109"/>
      <c r="Z15" s="109"/>
      <c r="AA15" s="109"/>
      <c r="AB15" s="109"/>
    </row>
    <row r="16" spans="1:28">
      <c r="A16" t="s">
        <v>1213</v>
      </c>
      <c r="B16" t="s">
        <v>1238</v>
      </c>
      <c r="C16" s="109"/>
      <c r="D16" s="109"/>
      <c r="E16" s="16"/>
      <c r="F16" s="109"/>
      <c r="G16" s="109"/>
      <c r="H16" s="16"/>
      <c r="I16" s="109"/>
      <c r="J16" s="16"/>
      <c r="K16" s="16"/>
      <c r="L16" s="109"/>
      <c r="M16" s="16"/>
      <c r="N16" s="109"/>
      <c r="O16" s="109"/>
      <c r="P16" s="109"/>
      <c r="Q16" s="109"/>
      <c r="R16" s="109"/>
      <c r="S16" s="109"/>
      <c r="T16" s="109"/>
      <c r="U16" s="109"/>
      <c r="V16" s="16"/>
      <c r="W16" s="109"/>
      <c r="X16" s="109"/>
      <c r="Y16" s="109"/>
      <c r="Z16" s="109"/>
      <c r="AA16" s="109"/>
      <c r="AB16" s="109"/>
    </row>
    <row r="17" spans="1:28">
      <c r="A17" t="s">
        <v>1213</v>
      </c>
      <c r="B17" t="s">
        <v>1241</v>
      </c>
      <c r="C17" s="109"/>
      <c r="D17" s="109"/>
      <c r="E17" s="16"/>
      <c r="F17" s="109"/>
      <c r="G17" s="109"/>
      <c r="H17" s="16"/>
      <c r="I17" s="109"/>
      <c r="J17" s="16"/>
      <c r="K17" s="16"/>
      <c r="L17" s="109"/>
      <c r="M17" s="16"/>
      <c r="N17" s="109"/>
      <c r="O17" s="109"/>
      <c r="P17" s="109"/>
      <c r="Q17" s="109"/>
      <c r="R17" s="109"/>
      <c r="S17" s="109"/>
      <c r="T17" s="109"/>
      <c r="U17" s="109"/>
      <c r="V17" s="16"/>
      <c r="W17" s="109"/>
      <c r="X17" s="109"/>
      <c r="Y17" s="109"/>
      <c r="Z17" s="109"/>
      <c r="AA17" s="109"/>
      <c r="AB17" s="109"/>
    </row>
    <row r="18" spans="1:28">
      <c r="A18" t="s">
        <v>1213</v>
      </c>
      <c r="B18" t="s">
        <v>1242</v>
      </c>
      <c r="C18" s="109"/>
      <c r="D18" s="109"/>
      <c r="E18" s="16"/>
      <c r="F18" s="109"/>
      <c r="G18" s="109"/>
      <c r="H18" s="16"/>
      <c r="I18" s="109"/>
      <c r="J18" s="16"/>
      <c r="K18" s="16"/>
      <c r="L18" s="109"/>
      <c r="M18" s="16"/>
      <c r="N18" s="109"/>
      <c r="O18" s="109"/>
      <c r="P18" s="109"/>
      <c r="Q18" s="109"/>
      <c r="R18" s="109"/>
      <c r="S18" s="109"/>
      <c r="T18" s="109"/>
      <c r="U18" s="109"/>
      <c r="V18" s="16"/>
      <c r="W18" s="109"/>
      <c r="X18" s="109"/>
      <c r="Y18" s="109"/>
      <c r="Z18" s="109"/>
      <c r="AA18" s="109"/>
      <c r="AB18" s="109"/>
    </row>
    <row r="19" spans="1:28">
      <c r="A19" t="s">
        <v>1213</v>
      </c>
      <c r="B19" t="s">
        <v>1243</v>
      </c>
      <c r="C19" s="108"/>
      <c r="D19" s="108"/>
      <c r="E19" s="16"/>
      <c r="F19" s="108"/>
      <c r="G19" s="108"/>
      <c r="H19" s="16"/>
      <c r="I19" s="109"/>
      <c r="J19" s="16"/>
      <c r="K19" s="16"/>
      <c r="L19" s="109"/>
      <c r="M19" s="16"/>
      <c r="N19" s="109"/>
      <c r="O19" s="109"/>
      <c r="P19" s="108"/>
      <c r="Q19" s="108"/>
      <c r="R19" s="108"/>
      <c r="S19" s="108"/>
      <c r="T19" s="109"/>
      <c r="U19" s="109"/>
      <c r="V19" s="108"/>
      <c r="W19" s="108"/>
      <c r="X19" s="108"/>
      <c r="Y19" s="108"/>
      <c r="Z19" s="108"/>
      <c r="AA19" s="108"/>
      <c r="AB19" s="108"/>
    </row>
    <row r="20" spans="1:28">
      <c r="A20" t="s">
        <v>1213</v>
      </c>
      <c r="B20" t="s">
        <v>1244</v>
      </c>
      <c r="C20" s="108"/>
      <c r="D20" s="108"/>
      <c r="E20"/>
      <c r="F20" s="108"/>
      <c r="G20" s="108"/>
      <c r="H20" s="4"/>
      <c r="I20" s="108"/>
      <c r="J20" s="108"/>
      <c r="K20" s="108"/>
      <c r="L20" s="108"/>
      <c r="M20" s="4"/>
      <c r="N20" s="109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</row>
    <row r="21" spans="1:28">
      <c r="A21" t="s">
        <v>1213</v>
      </c>
      <c r="B21">
        <v>15108</v>
      </c>
      <c r="C21" s="108"/>
      <c r="D21" s="108"/>
      <c r="F21" s="108"/>
      <c r="G21" s="108"/>
      <c r="H21" s="108"/>
      <c r="I21" s="108"/>
      <c r="J21" s="108"/>
      <c r="K21" s="108"/>
      <c r="L21" s="108"/>
      <c r="M21" s="4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</row>
    <row r="22" spans="1:28">
      <c r="A22" t="s">
        <v>1213</v>
      </c>
      <c r="B22" t="s">
        <v>1247</v>
      </c>
    </row>
    <row r="23" spans="1:28">
      <c r="A23" t="s">
        <v>1213</v>
      </c>
      <c r="B23" t="s">
        <v>1248</v>
      </c>
    </row>
    <row r="24" spans="1:28">
      <c r="A24" t="s">
        <v>1213</v>
      </c>
      <c r="B24" t="s">
        <v>1250</v>
      </c>
    </row>
    <row r="25" spans="1:28">
      <c r="A25" t="s">
        <v>1213</v>
      </c>
      <c r="B25" t="s">
        <v>1251</v>
      </c>
    </row>
    <row r="26" spans="1:28">
      <c r="A26" t="s">
        <v>1213</v>
      </c>
      <c r="B26" t="s">
        <v>1252</v>
      </c>
    </row>
    <row r="27" spans="1:28">
      <c r="A27" t="s">
        <v>1213</v>
      </c>
      <c r="B27" t="s">
        <v>1253</v>
      </c>
    </row>
    <row r="28" spans="1:28">
      <c r="A28" t="s">
        <v>1213</v>
      </c>
      <c r="B28" t="s">
        <v>1254</v>
      </c>
    </row>
    <row r="29" spans="1:28">
      <c r="A29" t="s">
        <v>1213</v>
      </c>
      <c r="B29" t="s">
        <v>1255</v>
      </c>
    </row>
    <row r="30" spans="1:28">
      <c r="A30" t="s">
        <v>1213</v>
      </c>
      <c r="B30" t="s">
        <v>1256</v>
      </c>
    </row>
    <row r="31" spans="1:28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U2:U19">
      <formula1>What_is_rated</formula1>
    </dataValidation>
    <dataValidation type="list" allowBlank="1" showInputMessage="1" showErrorMessage="1" sqref="T2:T19">
      <formula1>Rating_Agency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E2:E19">
      <formula1>Issuer_Type_TFunds</formula1>
    </dataValidation>
    <dataValidation type="list" allowBlank="1" showInputMessage="1" showErrorMessage="1" sqref="N2:N20">
      <formula1>Underlying_Asset_Structured</formula1>
    </dataValidation>
    <dataValidation type="list" allowBlank="1" showInputMessage="1" showErrorMessage="1" sqref="H2:H19">
      <formula1>Security_ID_Number_Type</formula1>
    </dataValidation>
    <dataValidation type="list" allowBlank="1" showInputMessage="1" showErrorMessage="1" sqref="L2:L19">
      <formula1>Tradeable_Status</formula1>
    </dataValidation>
    <dataValidation type="list" allowBlank="1" showInputMessage="1" showErrorMessage="1" sqref="M2:M19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I2:I19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31"/>
  <sheetViews>
    <sheetView rightToLeft="1" topLeftCell="R1" workbookViewId="0">
      <selection activeCell="AK19" sqref="AK19"/>
    </sheetView>
  </sheetViews>
  <sheetFormatPr defaultRowHeight="14.25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7" ht="66.75" customHeight="1">
      <c r="A1" s="17" t="s">
        <v>49</v>
      </c>
      <c r="B1" s="17" t="s">
        <v>50</v>
      </c>
      <c r="C1" s="17" t="s">
        <v>66</v>
      </c>
      <c r="D1" s="17" t="s">
        <v>67</v>
      </c>
      <c r="E1" s="17" t="s">
        <v>68</v>
      </c>
      <c r="F1" s="17" t="s">
        <v>82</v>
      </c>
      <c r="G1" s="17" t="s">
        <v>54</v>
      </c>
      <c r="H1" s="17" t="s">
        <v>55</v>
      </c>
      <c r="I1" s="17" t="s">
        <v>69</v>
      </c>
      <c r="J1" s="17" t="s">
        <v>97</v>
      </c>
      <c r="K1" s="17" t="s">
        <v>71</v>
      </c>
      <c r="L1" s="17" t="s">
        <v>58</v>
      </c>
      <c r="M1" s="17" t="s">
        <v>59</v>
      </c>
      <c r="N1" s="17" t="s">
        <v>72</v>
      </c>
      <c r="O1" s="17" t="s">
        <v>73</v>
      </c>
      <c r="P1" s="17" t="s">
        <v>62</v>
      </c>
      <c r="Q1" s="17" t="s">
        <v>74</v>
      </c>
      <c r="R1" s="17" t="s">
        <v>76</v>
      </c>
      <c r="S1" s="17" t="s">
        <v>61</v>
      </c>
      <c r="T1" s="17" t="s">
        <v>77</v>
      </c>
      <c r="U1" s="17" t="s">
        <v>63</v>
      </c>
      <c r="V1" s="17" t="s">
        <v>78</v>
      </c>
      <c r="W1" s="17" t="s">
        <v>17</v>
      </c>
      <c r="X1" s="17" t="s">
        <v>64</v>
      </c>
      <c r="Y1" s="17" t="s">
        <v>65</v>
      </c>
    </row>
    <row r="2" spans="1:27">
      <c r="A2" t="s">
        <v>1213</v>
      </c>
      <c r="B2" t="s">
        <v>1214</v>
      </c>
      <c r="C2" s="109"/>
      <c r="D2" s="109"/>
      <c r="E2" s="109"/>
      <c r="F2" s="109"/>
      <c r="G2" s="109"/>
      <c r="H2" s="16"/>
      <c r="I2" s="16"/>
      <c r="J2" s="109"/>
      <c r="K2" s="109"/>
      <c r="L2" s="109"/>
      <c r="M2" s="16"/>
      <c r="N2" s="109"/>
      <c r="O2" s="109"/>
      <c r="P2" s="109"/>
      <c r="Q2" s="109"/>
      <c r="R2" s="109"/>
      <c r="S2" s="109"/>
      <c r="T2" s="109"/>
      <c r="U2" s="109"/>
      <c r="V2" s="109"/>
      <c r="W2" s="16"/>
      <c r="X2" s="109"/>
      <c r="Y2" s="109"/>
    </row>
    <row r="3" spans="1:27">
      <c r="A3" t="s">
        <v>1213</v>
      </c>
      <c r="B3" t="s">
        <v>1217</v>
      </c>
      <c r="C3" s="109"/>
      <c r="D3" s="109"/>
      <c r="E3" s="109"/>
      <c r="F3" s="109"/>
      <c r="G3" s="109"/>
      <c r="H3" s="16"/>
      <c r="I3" s="16"/>
      <c r="J3" s="109"/>
      <c r="K3" s="109"/>
      <c r="L3" s="109"/>
      <c r="M3" s="16"/>
      <c r="N3" s="109"/>
      <c r="O3" s="109"/>
      <c r="P3" s="109"/>
      <c r="Q3" s="109"/>
      <c r="R3" s="109"/>
      <c r="S3" s="109"/>
      <c r="T3" s="109"/>
      <c r="U3" s="109"/>
      <c r="V3" s="109"/>
      <c r="W3" s="16"/>
      <c r="X3" s="109"/>
      <c r="Y3" s="109"/>
    </row>
    <row r="4" spans="1:27">
      <c r="A4" t="s">
        <v>1213</v>
      </c>
      <c r="B4" t="s">
        <v>1220</v>
      </c>
      <c r="C4" s="109"/>
      <c r="D4" s="109"/>
      <c r="E4" s="109"/>
      <c r="F4" s="109"/>
      <c r="G4" s="109"/>
      <c r="H4" s="16"/>
      <c r="I4" s="16"/>
      <c r="J4" s="109"/>
      <c r="K4" s="16"/>
      <c r="L4" s="109"/>
      <c r="N4" s="109"/>
      <c r="O4" s="109"/>
      <c r="P4" s="16"/>
      <c r="Q4" s="16"/>
      <c r="R4" s="109"/>
      <c r="T4" s="109"/>
      <c r="U4" s="109"/>
      <c r="V4" s="109"/>
      <c r="W4" s="109"/>
      <c r="X4" s="109"/>
      <c r="Y4" s="109"/>
      <c r="Z4" s="109"/>
      <c r="AA4" s="109"/>
    </row>
    <row r="5" spans="1:27">
      <c r="A5" t="s">
        <v>1213</v>
      </c>
      <c r="B5" t="s">
        <v>1221</v>
      </c>
      <c r="C5" s="109"/>
      <c r="D5" s="109"/>
      <c r="E5" s="109"/>
      <c r="F5" s="109"/>
      <c r="G5" s="109"/>
      <c r="H5" s="16"/>
      <c r="I5" s="16"/>
      <c r="J5" s="109"/>
      <c r="K5" s="109"/>
      <c r="L5" s="109"/>
      <c r="M5" s="16"/>
      <c r="N5" s="109"/>
      <c r="O5" s="109"/>
      <c r="P5" s="109"/>
      <c r="Q5" s="109"/>
      <c r="R5" s="109"/>
      <c r="S5" s="109"/>
      <c r="T5" s="109"/>
      <c r="U5" s="109"/>
      <c r="V5" s="109"/>
      <c r="W5" s="16"/>
      <c r="X5" s="109"/>
      <c r="Y5" s="109"/>
    </row>
    <row r="6" spans="1:27">
      <c r="A6" t="s">
        <v>1213</v>
      </c>
      <c r="B6" t="s">
        <v>1222</v>
      </c>
      <c r="C6" s="109"/>
      <c r="D6" s="109"/>
      <c r="E6" s="109"/>
      <c r="F6" s="109"/>
      <c r="G6" s="109"/>
      <c r="H6" s="16"/>
      <c r="I6" s="16"/>
      <c r="J6" s="109"/>
      <c r="K6" s="109"/>
      <c r="L6" s="109"/>
      <c r="M6" s="16"/>
      <c r="N6" s="109"/>
      <c r="O6" s="109"/>
      <c r="P6" s="109"/>
      <c r="Q6" s="109"/>
      <c r="R6" s="109"/>
      <c r="S6" s="109"/>
      <c r="T6" s="109"/>
      <c r="U6" s="109"/>
      <c r="V6" s="109"/>
      <c r="W6" s="16"/>
      <c r="X6" s="109"/>
      <c r="Y6" s="109"/>
    </row>
    <row r="7" spans="1:27">
      <c r="A7" t="s">
        <v>1213</v>
      </c>
      <c r="B7" t="s">
        <v>1223</v>
      </c>
      <c r="C7" s="109"/>
      <c r="D7" s="109"/>
      <c r="E7" s="109"/>
      <c r="F7" s="109"/>
      <c r="G7" s="109"/>
      <c r="H7" s="16"/>
      <c r="I7" s="16"/>
      <c r="J7" s="109"/>
      <c r="K7" s="109"/>
      <c r="L7" s="109"/>
      <c r="M7" s="16"/>
      <c r="N7" s="109"/>
      <c r="O7" s="109"/>
      <c r="P7" s="109"/>
      <c r="Q7" s="109"/>
      <c r="R7" s="109"/>
      <c r="S7" s="109"/>
      <c r="T7" s="109"/>
      <c r="U7" s="109"/>
      <c r="V7" s="109"/>
      <c r="W7" s="16"/>
      <c r="X7" s="109"/>
      <c r="Y7" s="109"/>
    </row>
    <row r="8" spans="1:27">
      <c r="A8" t="s">
        <v>1213</v>
      </c>
      <c r="B8" t="s">
        <v>1224</v>
      </c>
      <c r="C8" s="109"/>
      <c r="D8" s="109"/>
      <c r="E8" s="109"/>
      <c r="F8" s="109"/>
      <c r="G8" s="109"/>
      <c r="H8" s="16"/>
      <c r="I8" s="16"/>
      <c r="J8" s="109"/>
      <c r="K8" s="109"/>
      <c r="L8" s="109"/>
      <c r="M8" s="16"/>
      <c r="N8" s="109"/>
      <c r="O8" s="109"/>
      <c r="P8" s="109"/>
      <c r="Q8" s="109"/>
      <c r="R8" s="109"/>
      <c r="S8" s="109"/>
      <c r="T8" s="109"/>
      <c r="U8" s="109"/>
      <c r="V8" s="109"/>
      <c r="W8" s="16"/>
      <c r="X8" s="109"/>
      <c r="Y8" s="109"/>
    </row>
    <row r="9" spans="1:27">
      <c r="A9" t="s">
        <v>1213</v>
      </c>
      <c r="B9" t="s">
        <v>1225</v>
      </c>
      <c r="C9" s="109"/>
      <c r="D9" s="109"/>
      <c r="E9" s="109"/>
      <c r="F9" s="109"/>
      <c r="G9" s="109"/>
      <c r="H9" s="16"/>
      <c r="I9" s="16"/>
      <c r="J9" s="109"/>
      <c r="K9" s="109"/>
      <c r="L9" s="109"/>
      <c r="M9" s="16"/>
      <c r="N9" s="109"/>
      <c r="O9" s="109"/>
      <c r="P9" s="109"/>
      <c r="Q9" s="109"/>
      <c r="R9" s="109"/>
      <c r="S9" s="109"/>
      <c r="T9" s="109"/>
      <c r="U9" s="109"/>
      <c r="V9" s="109"/>
      <c r="W9" s="16"/>
      <c r="X9" s="109"/>
      <c r="Y9" s="109"/>
    </row>
    <row r="10" spans="1:27">
      <c r="A10" t="s">
        <v>1213</v>
      </c>
      <c r="B10" t="s">
        <v>1230</v>
      </c>
      <c r="C10" s="109"/>
      <c r="D10" s="109"/>
      <c r="E10" s="109"/>
      <c r="F10" s="109"/>
      <c r="G10" s="109"/>
      <c r="H10" s="16"/>
      <c r="I10" s="16"/>
      <c r="J10" s="109"/>
      <c r="K10" s="109"/>
      <c r="L10" s="109"/>
      <c r="M10" s="16"/>
      <c r="N10" s="109"/>
      <c r="O10" s="109"/>
      <c r="P10" s="109"/>
      <c r="Q10" s="109"/>
      <c r="R10" s="109"/>
      <c r="S10" s="109"/>
      <c r="T10" s="109"/>
      <c r="U10" s="109"/>
      <c r="V10" s="109"/>
      <c r="W10" s="16"/>
      <c r="X10" s="109"/>
      <c r="Y10" s="109"/>
    </row>
    <row r="11" spans="1:27">
      <c r="A11" t="s">
        <v>1213</v>
      </c>
      <c r="B11" t="s">
        <v>1231</v>
      </c>
      <c r="C11" s="109"/>
      <c r="D11" s="109"/>
      <c r="E11" s="109"/>
      <c r="F11" s="109"/>
      <c r="G11" s="109"/>
      <c r="H11" s="16"/>
      <c r="I11" s="16"/>
      <c r="J11" s="109"/>
      <c r="K11" s="109"/>
      <c r="L11" s="109"/>
      <c r="M11" s="16"/>
      <c r="N11" s="109"/>
      <c r="O11" s="109"/>
      <c r="P11" s="109"/>
      <c r="Q11" s="109"/>
      <c r="R11" s="109"/>
      <c r="S11" s="109"/>
      <c r="T11" s="109"/>
      <c r="U11" s="109"/>
      <c r="V11" s="109"/>
      <c r="W11" s="16"/>
      <c r="X11" s="109"/>
      <c r="Y11" s="109"/>
    </row>
    <row r="12" spans="1:27">
      <c r="A12" t="s">
        <v>1213</v>
      </c>
      <c r="B12" t="s">
        <v>1232</v>
      </c>
      <c r="C12" s="109"/>
      <c r="D12" s="109"/>
      <c r="E12" s="109"/>
      <c r="F12" s="109"/>
      <c r="G12" s="109"/>
      <c r="H12" s="16"/>
      <c r="I12" s="16"/>
      <c r="J12" s="109"/>
      <c r="K12" s="109"/>
      <c r="L12" s="109"/>
      <c r="M12" s="16"/>
      <c r="N12" s="109"/>
      <c r="O12" s="109"/>
      <c r="P12" s="109"/>
      <c r="Q12" s="109"/>
      <c r="R12" s="109"/>
      <c r="S12" s="109"/>
      <c r="T12" s="109"/>
      <c r="U12" s="109"/>
      <c r="V12" s="109"/>
      <c r="W12" s="16"/>
      <c r="X12" s="109"/>
      <c r="Y12" s="109"/>
    </row>
    <row r="13" spans="1:27">
      <c r="A13" t="s">
        <v>1213</v>
      </c>
      <c r="B13" t="s">
        <v>1233</v>
      </c>
      <c r="C13" s="109"/>
      <c r="D13" s="109"/>
      <c r="E13" s="109"/>
      <c r="F13" s="109"/>
      <c r="G13" s="109"/>
      <c r="H13" s="16"/>
      <c r="I13" s="16"/>
      <c r="J13" s="109"/>
      <c r="K13" s="109"/>
      <c r="L13" s="109"/>
      <c r="M13" s="16"/>
      <c r="N13" s="109"/>
      <c r="O13" s="109"/>
      <c r="P13" s="109"/>
      <c r="Q13" s="109"/>
      <c r="R13" s="109"/>
      <c r="S13" s="109"/>
      <c r="T13" s="109"/>
      <c r="U13" s="109"/>
      <c r="V13" s="109"/>
      <c r="W13" s="16"/>
      <c r="X13" s="109"/>
      <c r="Y13" s="109"/>
    </row>
    <row r="14" spans="1:27">
      <c r="A14" t="s">
        <v>1213</v>
      </c>
      <c r="B14" t="s">
        <v>1234</v>
      </c>
      <c r="C14" s="109"/>
      <c r="D14" s="109"/>
      <c r="E14" s="109"/>
      <c r="F14" s="109"/>
      <c r="G14" s="109"/>
      <c r="H14" s="16"/>
      <c r="I14" s="16"/>
      <c r="J14" s="109"/>
      <c r="K14" s="109"/>
      <c r="L14" s="109"/>
      <c r="M14" s="16"/>
      <c r="N14" s="109"/>
      <c r="O14" s="109"/>
      <c r="P14" s="109"/>
      <c r="Q14" s="109"/>
      <c r="R14" s="109"/>
      <c r="S14" s="109"/>
      <c r="T14" s="109"/>
      <c r="U14" s="109"/>
      <c r="V14" s="109"/>
      <c r="W14" s="16"/>
      <c r="X14" s="109"/>
      <c r="Y14" s="109"/>
    </row>
    <row r="15" spans="1:27">
      <c r="A15" t="s">
        <v>1213</v>
      </c>
      <c r="B15" t="s">
        <v>1235</v>
      </c>
      <c r="C15" s="109"/>
      <c r="D15" s="109"/>
      <c r="E15" s="109"/>
      <c r="F15" s="109"/>
      <c r="G15" s="109"/>
      <c r="H15" s="16"/>
      <c r="I15" s="16"/>
      <c r="J15" s="109"/>
      <c r="K15" s="109"/>
      <c r="L15" s="109"/>
      <c r="M15" s="16"/>
      <c r="N15" s="109"/>
      <c r="O15" s="109"/>
      <c r="P15" s="109"/>
      <c r="Q15" s="109"/>
      <c r="R15" s="109"/>
      <c r="S15" s="109"/>
      <c r="T15" s="109"/>
      <c r="U15" s="109"/>
      <c r="V15" s="109"/>
      <c r="W15" s="16"/>
      <c r="X15" s="109"/>
      <c r="Y15" s="109"/>
    </row>
    <row r="16" spans="1:27">
      <c r="A16" t="s">
        <v>1213</v>
      </c>
      <c r="B16" t="s">
        <v>1238</v>
      </c>
      <c r="C16" s="109"/>
      <c r="D16" s="109"/>
      <c r="E16" s="109"/>
      <c r="F16" s="109"/>
      <c r="G16" s="109"/>
      <c r="H16" s="16"/>
      <c r="I16" s="16"/>
      <c r="J16" s="109"/>
      <c r="K16" s="109"/>
      <c r="L16" s="109"/>
      <c r="M16" s="16"/>
      <c r="N16" s="109"/>
      <c r="O16" s="109"/>
      <c r="P16" s="109"/>
      <c r="Q16" s="109"/>
      <c r="R16" s="109"/>
      <c r="S16" s="109"/>
      <c r="T16" s="109"/>
      <c r="U16" s="109"/>
      <c r="V16" s="109"/>
      <c r="W16" s="16"/>
      <c r="X16" s="109"/>
      <c r="Y16" s="109"/>
    </row>
    <row r="17" spans="1:25">
      <c r="A17" t="s">
        <v>1213</v>
      </c>
      <c r="B17" t="s">
        <v>1241</v>
      </c>
      <c r="C17" s="109"/>
      <c r="D17" s="109"/>
      <c r="E17" s="109"/>
      <c r="F17" s="109"/>
      <c r="G17" s="109"/>
      <c r="H17" s="16"/>
      <c r="I17" s="16"/>
      <c r="J17" s="109"/>
      <c r="K17" s="109"/>
      <c r="L17" s="109"/>
      <c r="M17" s="16"/>
      <c r="N17" s="109"/>
      <c r="O17" s="109"/>
      <c r="P17" s="109"/>
      <c r="Q17" s="109"/>
      <c r="R17" s="109"/>
      <c r="S17" s="109"/>
      <c r="T17" s="109"/>
      <c r="U17" s="109"/>
      <c r="V17" s="109"/>
      <c r="W17" s="16"/>
      <c r="X17" s="109"/>
      <c r="Y17" s="109"/>
    </row>
    <row r="18" spans="1:25">
      <c r="A18" t="s">
        <v>1213</v>
      </c>
      <c r="B18" t="s">
        <v>1242</v>
      </c>
      <c r="C18" s="109"/>
      <c r="D18" s="109"/>
      <c r="E18" s="109"/>
      <c r="F18" s="109"/>
      <c r="G18" s="109"/>
      <c r="H18" s="16"/>
      <c r="I18" s="16"/>
      <c r="J18" s="109"/>
      <c r="K18" s="109"/>
      <c r="L18" s="109"/>
      <c r="M18" s="16"/>
      <c r="N18" s="109"/>
      <c r="O18" s="109"/>
      <c r="P18" s="109"/>
      <c r="Q18" s="109"/>
      <c r="R18" s="109"/>
      <c r="S18" s="109"/>
      <c r="T18" s="109"/>
      <c r="U18" s="109"/>
      <c r="V18" s="109"/>
      <c r="W18" s="16"/>
      <c r="X18" s="109"/>
      <c r="Y18" s="109"/>
    </row>
    <row r="19" spans="1:25">
      <c r="A19" t="s">
        <v>1213</v>
      </c>
      <c r="B19" t="s">
        <v>1243</v>
      </c>
      <c r="F19" s="109"/>
      <c r="G19" s="109"/>
      <c r="H19" s="16"/>
      <c r="I19" s="16"/>
      <c r="L19" s="109"/>
      <c r="W19" s="16"/>
      <c r="X19" s="108"/>
    </row>
    <row r="20" spans="1:25">
      <c r="A20" t="s">
        <v>1213</v>
      </c>
      <c r="B20" t="s">
        <v>1244</v>
      </c>
      <c r="I20"/>
      <c r="X20"/>
    </row>
    <row r="21" spans="1:25">
      <c r="A21" t="s">
        <v>1213</v>
      </c>
      <c r="B21">
        <v>15108</v>
      </c>
    </row>
    <row r="22" spans="1:25">
      <c r="A22" t="s">
        <v>1213</v>
      </c>
      <c r="B22" t="s">
        <v>1247</v>
      </c>
    </row>
    <row r="23" spans="1:25">
      <c r="A23" t="s">
        <v>1213</v>
      </c>
      <c r="B23" t="s">
        <v>1248</v>
      </c>
    </row>
    <row r="24" spans="1:25">
      <c r="A24" t="s">
        <v>1213</v>
      </c>
      <c r="B24" t="s">
        <v>1250</v>
      </c>
    </row>
    <row r="25" spans="1:25">
      <c r="A25" t="s">
        <v>1213</v>
      </c>
      <c r="B25" t="s">
        <v>1251</v>
      </c>
    </row>
    <row r="26" spans="1:25">
      <c r="A26" t="s">
        <v>1213</v>
      </c>
      <c r="B26" t="s">
        <v>1252</v>
      </c>
    </row>
    <row r="27" spans="1:25">
      <c r="A27" t="s">
        <v>1213</v>
      </c>
      <c r="B27" t="s">
        <v>1253</v>
      </c>
    </row>
    <row r="28" spans="1:25">
      <c r="A28" t="s">
        <v>1213</v>
      </c>
      <c r="B28" t="s">
        <v>1254</v>
      </c>
    </row>
    <row r="29" spans="1:25">
      <c r="A29" t="s">
        <v>1213</v>
      </c>
      <c r="B29" t="s">
        <v>1255</v>
      </c>
    </row>
    <row r="30" spans="1:25">
      <c r="A30" t="s">
        <v>1213</v>
      </c>
      <c r="B30" t="s">
        <v>1256</v>
      </c>
    </row>
    <row r="31" spans="1:25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W5:W19 W2:W3">
      <formula1>In_the_books</formula1>
    </dataValidation>
    <dataValidation type="list" allowBlank="1" showInputMessage="1" showErrorMessage="1" sqref="Y4">
      <formula1>Info_Provider</formula1>
    </dataValidation>
    <dataValidation type="list" allowBlank="1" showInputMessage="1" showErrorMessage="1" sqref="K4 H2:H19">
      <formula1>israel_abroad</formula1>
    </dataValidation>
    <dataValidation type="list" allowBlank="1" showInputMessage="1" showErrorMessage="1" sqref="O4 L2:L19">
      <formula1>Rating_Agency</formula1>
    </dataValidation>
    <dataValidation type="list" allowBlank="1" showInputMessage="1" showErrorMessage="1" sqref="P4">
      <formula1>Currency</formula1>
    </dataValidation>
    <dataValidation type="list" allowBlank="1" showInputMessage="1" showErrorMessage="1" sqref="Q4">
      <formula1>Currency_Abbreviation</formula1>
    </dataValidation>
    <dataValidation type="list" allowBlank="1" showInputMessage="1" showErrorMessage="1" sqref="J4">
      <formula1>$C$741:$C$747</formula1>
    </dataValidation>
    <dataValidation type="list" allowBlank="1" showInputMessage="1" showErrorMessage="1" sqref="I2:I19">
      <formula1>Country_list</formula1>
    </dataValidation>
    <dataValidation type="list" allowBlank="1" showInputMessage="1" showErrorMessage="1" sqref="F2:F19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G2:G19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48"/>
  <sheetViews>
    <sheetView rightToLeft="1" topLeftCell="I1" workbookViewId="0">
      <selection activeCell="R25" sqref="R25"/>
    </sheetView>
  </sheetViews>
  <sheetFormatPr defaultColWidth="9" defaultRowHeight="14.25"/>
  <cols>
    <col min="1" max="3" width="11.625" style="2" customWidth="1"/>
    <col min="4" max="4" width="25.5" style="2" bestFit="1" customWidth="1"/>
    <col min="5" max="7" width="11.625" style="2" customWidth="1"/>
    <col min="8" max="8" width="11.625" customWidth="1"/>
    <col min="9" max="11" width="11.625" style="2" customWidth="1"/>
    <col min="12" max="12" width="13.125" style="2" bestFit="1" customWidth="1"/>
    <col min="13" max="15" width="11.625" style="2" customWidth="1"/>
    <col min="16" max="16" width="11.625" customWidth="1"/>
    <col min="17" max="19" width="11.625" style="2" customWidth="1"/>
    <col min="20" max="16384" width="9" style="2"/>
  </cols>
  <sheetData>
    <row r="1" spans="1:19" ht="66.75" customHeight="1">
      <c r="A1" s="17" t="s">
        <v>49</v>
      </c>
      <c r="B1" s="17" t="s">
        <v>50</v>
      </c>
      <c r="C1" s="17" t="s">
        <v>54</v>
      </c>
      <c r="D1" s="17" t="s">
        <v>67</v>
      </c>
      <c r="E1" s="17" t="s">
        <v>68</v>
      </c>
      <c r="F1" s="17" t="s">
        <v>97</v>
      </c>
      <c r="G1" s="17" t="s">
        <v>72</v>
      </c>
      <c r="H1" s="17" t="s">
        <v>98</v>
      </c>
      <c r="I1" s="17" t="s">
        <v>73</v>
      </c>
      <c r="J1" s="17" t="s">
        <v>62</v>
      </c>
      <c r="K1" s="17" t="s">
        <v>74</v>
      </c>
      <c r="L1" s="17" t="s">
        <v>76</v>
      </c>
      <c r="M1" s="17" t="s">
        <v>77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  <c r="S1" s="108"/>
    </row>
    <row r="2" spans="1:19" s="160" customFormat="1">
      <c r="A2" s="153" t="s">
        <v>1213</v>
      </c>
      <c r="B2" s="153" t="s">
        <v>1235</v>
      </c>
      <c r="C2" s="153" t="s">
        <v>981</v>
      </c>
      <c r="D2" s="153" t="s">
        <v>4662</v>
      </c>
      <c r="E2" s="153" t="s">
        <v>4663</v>
      </c>
      <c r="F2" s="153" t="s">
        <v>4664</v>
      </c>
      <c r="G2" s="154">
        <v>4.4160000000000004</v>
      </c>
      <c r="H2" s="153" t="s">
        <v>754</v>
      </c>
      <c r="I2" s="153" t="s">
        <v>4665</v>
      </c>
      <c r="J2" s="155">
        <v>4.4560000000000002E-2</v>
      </c>
      <c r="K2" s="155">
        <v>1.8159999999999999E-2</v>
      </c>
      <c r="L2" s="154">
        <v>6089029.9100000001</v>
      </c>
      <c r="M2" s="154">
        <f>N2*1000/L2*100</f>
        <v>129.78468026608857</v>
      </c>
      <c r="N2" s="154">
        <v>7902.6279999999997</v>
      </c>
      <c r="O2" s="156"/>
      <c r="P2" s="157" t="s">
        <v>15</v>
      </c>
      <c r="Q2" s="155">
        <v>0.35421999999999998</v>
      </c>
      <c r="R2" s="155">
        <v>0.1145</v>
      </c>
      <c r="S2" s="158"/>
    </row>
    <row r="3" spans="1:19" s="160" customFormat="1">
      <c r="A3" s="153" t="s">
        <v>1213</v>
      </c>
      <c r="B3" s="153" t="s">
        <v>1235</v>
      </c>
      <c r="C3" s="153" t="s">
        <v>981</v>
      </c>
      <c r="D3" s="153" t="s">
        <v>4666</v>
      </c>
      <c r="E3" s="153" t="s">
        <v>4667</v>
      </c>
      <c r="F3" s="153" t="s">
        <v>4668</v>
      </c>
      <c r="G3" s="154">
        <v>6.8179999999999996</v>
      </c>
      <c r="H3" s="153" t="s">
        <v>754</v>
      </c>
      <c r="I3" s="153" t="s">
        <v>4669</v>
      </c>
      <c r="J3" s="155">
        <v>4.394E-2</v>
      </c>
      <c r="K3" s="155">
        <v>2.0029999999999999E-2</v>
      </c>
      <c r="L3" s="154">
        <v>3865870.73</v>
      </c>
      <c r="M3" s="154">
        <f t="shared" ref="M3:M19" si="0">N3*1000/L3*100</f>
        <v>133.16557535280026</v>
      </c>
      <c r="N3" s="154">
        <v>5148.009</v>
      </c>
      <c r="O3" s="156"/>
      <c r="P3" s="157" t="s">
        <v>15</v>
      </c>
      <c r="Q3" s="155">
        <v>0.23075000000000001</v>
      </c>
      <c r="R3" s="155">
        <v>7.4590000000000004E-2</v>
      </c>
      <c r="S3" s="158"/>
    </row>
    <row r="4" spans="1:19" s="160" customFormat="1">
      <c r="A4" s="153" t="s">
        <v>1213</v>
      </c>
      <c r="B4" s="153" t="s">
        <v>1235</v>
      </c>
      <c r="C4" s="153" t="s">
        <v>981</v>
      </c>
      <c r="D4" s="153" t="s">
        <v>4670</v>
      </c>
      <c r="E4" s="153" t="s">
        <v>4671</v>
      </c>
      <c r="F4" s="153" t="s">
        <v>4672</v>
      </c>
      <c r="G4" s="154">
        <v>7.5679999999999996</v>
      </c>
      <c r="H4" s="153" t="s">
        <v>754</v>
      </c>
      <c r="I4" s="153" t="s">
        <v>4673</v>
      </c>
      <c r="J4" s="155">
        <v>4.0379999999999999E-2</v>
      </c>
      <c r="K4" s="155">
        <v>2.051E-2</v>
      </c>
      <c r="L4" s="154">
        <v>3638438.69</v>
      </c>
      <c r="M4" s="154">
        <f t="shared" si="0"/>
        <v>132.1329396923272</v>
      </c>
      <c r="N4" s="154">
        <v>4807.576</v>
      </c>
      <c r="O4" s="156"/>
      <c r="P4" s="157" t="s">
        <v>15</v>
      </c>
      <c r="Q4" s="155">
        <v>0.21548999999999999</v>
      </c>
      <c r="R4" s="155">
        <v>6.966E-2</v>
      </c>
      <c r="S4" s="158"/>
    </row>
    <row r="5" spans="1:19" s="160" customFormat="1">
      <c r="A5" s="153" t="s">
        <v>1213</v>
      </c>
      <c r="B5" s="153" t="s">
        <v>1235</v>
      </c>
      <c r="C5" s="153" t="s">
        <v>981</v>
      </c>
      <c r="D5" s="153" t="s">
        <v>4674</v>
      </c>
      <c r="E5" s="153" t="s">
        <v>4675</v>
      </c>
      <c r="F5" s="153" t="s">
        <v>4676</v>
      </c>
      <c r="G5" s="154">
        <v>6.0419999999999998</v>
      </c>
      <c r="H5" s="153" t="s">
        <v>754</v>
      </c>
      <c r="I5" s="153" t="s">
        <v>4677</v>
      </c>
      <c r="J5" s="155">
        <v>4.2209999999999998E-2</v>
      </c>
      <c r="K5" s="155">
        <v>1.951E-2</v>
      </c>
      <c r="L5" s="154">
        <v>2408123</v>
      </c>
      <c r="M5" s="154">
        <f t="shared" si="0"/>
        <v>130.80723036157207</v>
      </c>
      <c r="N5" s="154">
        <v>3149.9989999999998</v>
      </c>
      <c r="O5" s="156"/>
      <c r="P5" s="157" t="s">
        <v>15</v>
      </c>
      <c r="Q5" s="155">
        <v>0.14119000000000001</v>
      </c>
      <c r="R5" s="155">
        <v>4.564E-2</v>
      </c>
      <c r="S5" s="158"/>
    </row>
    <row r="6" spans="1:19" s="160" customFormat="1">
      <c r="A6" s="153" t="s">
        <v>1213</v>
      </c>
      <c r="B6" s="153" t="s">
        <v>1235</v>
      </c>
      <c r="C6" s="153" t="s">
        <v>981</v>
      </c>
      <c r="D6" s="153" t="s">
        <v>4678</v>
      </c>
      <c r="E6" s="153" t="s">
        <v>4679</v>
      </c>
      <c r="F6" s="153" t="s">
        <v>4680</v>
      </c>
      <c r="G6" s="154">
        <v>5.242</v>
      </c>
      <c r="H6" s="153" t="s">
        <v>754</v>
      </c>
      <c r="I6" s="153" t="s">
        <v>4681</v>
      </c>
      <c r="J6" s="155">
        <v>4.2700000000000002E-2</v>
      </c>
      <c r="K6" s="155">
        <v>1.8890000000000001E-2</v>
      </c>
      <c r="L6" s="154">
        <v>1672399.28</v>
      </c>
      <c r="M6" s="154">
        <f t="shared" si="0"/>
        <v>129.78102932452828</v>
      </c>
      <c r="N6" s="154">
        <v>2170.4569999999999</v>
      </c>
      <c r="O6" s="156"/>
      <c r="P6" s="157" t="s">
        <v>15</v>
      </c>
      <c r="Q6" s="155">
        <v>9.7290000000000001E-2</v>
      </c>
      <c r="R6" s="155">
        <v>3.1449999999999999E-2</v>
      </c>
      <c r="S6" s="158"/>
    </row>
    <row r="7" spans="1:19" s="160" customFormat="1">
      <c r="A7" s="153" t="s">
        <v>1213</v>
      </c>
      <c r="B7" s="153" t="s">
        <v>1235</v>
      </c>
      <c r="C7" s="153" t="s">
        <v>981</v>
      </c>
      <c r="D7" s="153" t="s">
        <v>4682</v>
      </c>
      <c r="E7" s="153" t="s">
        <v>4683</v>
      </c>
      <c r="F7" s="153" t="s">
        <v>4684</v>
      </c>
      <c r="G7" s="154">
        <v>8.2949999999999999</v>
      </c>
      <c r="H7" s="153" t="s">
        <v>754</v>
      </c>
      <c r="I7" s="153" t="s">
        <v>4685</v>
      </c>
      <c r="J7" s="155">
        <v>4.0379999999999999E-2</v>
      </c>
      <c r="K7" s="155">
        <v>2.094E-2</v>
      </c>
      <c r="L7" s="154">
        <v>1474320.55</v>
      </c>
      <c r="M7" s="154">
        <f t="shared" si="0"/>
        <v>126.88373637605473</v>
      </c>
      <c r="N7" s="154">
        <v>1870.673</v>
      </c>
      <c r="O7" s="156"/>
      <c r="P7" s="157" t="s">
        <v>15</v>
      </c>
      <c r="Q7" s="155">
        <v>8.3849999999999994E-2</v>
      </c>
      <c r="R7" s="155">
        <v>2.7099999999999999E-2</v>
      </c>
      <c r="S7" s="158"/>
    </row>
    <row r="8" spans="1:19" s="160" customFormat="1">
      <c r="A8" s="153" t="s">
        <v>1213</v>
      </c>
      <c r="B8" s="153" t="s">
        <v>1235</v>
      </c>
      <c r="C8" s="153" t="s">
        <v>981</v>
      </c>
      <c r="D8" s="153" t="s">
        <v>4686</v>
      </c>
      <c r="E8" s="153" t="s">
        <v>4687</v>
      </c>
      <c r="F8" s="153" t="s">
        <v>4688</v>
      </c>
      <c r="G8" s="154">
        <v>3.5609999999999999</v>
      </c>
      <c r="H8" s="153" t="s">
        <v>754</v>
      </c>
      <c r="I8" s="153" t="s">
        <v>4689</v>
      </c>
      <c r="J8" s="155">
        <v>4.3909999999999998E-2</v>
      </c>
      <c r="K8" s="155">
        <v>1.7309999999999999E-2</v>
      </c>
      <c r="L8" s="154">
        <v>1347294.69</v>
      </c>
      <c r="M8" s="154">
        <f t="shared" si="0"/>
        <v>126.90720246214286</v>
      </c>
      <c r="N8" s="154">
        <v>1709.8140000000001</v>
      </c>
      <c r="O8" s="156"/>
      <c r="P8" s="157" t="s">
        <v>15</v>
      </c>
      <c r="Q8" s="155">
        <v>7.664E-2</v>
      </c>
      <c r="R8" s="155">
        <v>2.477E-2</v>
      </c>
      <c r="S8" s="158"/>
    </row>
    <row r="9" spans="1:19" s="160" customFormat="1">
      <c r="A9" s="153" t="s">
        <v>1213</v>
      </c>
      <c r="B9" s="153" t="s">
        <v>1235</v>
      </c>
      <c r="C9" s="153" t="s">
        <v>981</v>
      </c>
      <c r="D9" s="153" t="s">
        <v>4690</v>
      </c>
      <c r="E9" s="153" t="s">
        <v>4691</v>
      </c>
      <c r="F9" s="153" t="s">
        <v>4692</v>
      </c>
      <c r="G9" s="154">
        <v>2.669</v>
      </c>
      <c r="H9" s="153" t="s">
        <v>754</v>
      </c>
      <c r="I9" s="153" t="s">
        <v>4693</v>
      </c>
      <c r="J9" s="155">
        <v>4.4060000000000002E-2</v>
      </c>
      <c r="K9" s="155">
        <v>1.6299999999999999E-2</v>
      </c>
      <c r="L9" s="154">
        <v>701894.51</v>
      </c>
      <c r="M9" s="154">
        <f t="shared" si="0"/>
        <v>123.99527102726591</v>
      </c>
      <c r="N9" s="154">
        <v>870.31600000000003</v>
      </c>
      <c r="O9" s="156"/>
      <c r="P9" s="157" t="s">
        <v>15</v>
      </c>
      <c r="Q9" s="155">
        <v>3.9010000000000003E-2</v>
      </c>
      <c r="R9" s="155">
        <v>1.261E-2</v>
      </c>
      <c r="S9" s="158"/>
    </row>
    <row r="10" spans="1:19" s="160" customFormat="1">
      <c r="A10" s="153" t="s">
        <v>1213</v>
      </c>
      <c r="B10" s="153" t="s">
        <v>1235</v>
      </c>
      <c r="C10" s="153" t="s">
        <v>981</v>
      </c>
      <c r="D10" s="153" t="s">
        <v>4694</v>
      </c>
      <c r="E10" s="153" t="s">
        <v>4695</v>
      </c>
      <c r="F10" s="153" t="s">
        <v>4696</v>
      </c>
      <c r="G10" s="154">
        <v>9</v>
      </c>
      <c r="H10" s="153" t="s">
        <v>754</v>
      </c>
      <c r="I10" s="153" t="s">
        <v>4697</v>
      </c>
      <c r="J10" s="155">
        <v>4.9099999999999998E-2</v>
      </c>
      <c r="K10" s="155">
        <v>2.1309999999999999E-2</v>
      </c>
      <c r="L10" s="154">
        <v>213748</v>
      </c>
      <c r="M10" s="154">
        <f t="shared" si="0"/>
        <v>123.987592866366</v>
      </c>
      <c r="N10" s="154">
        <v>265.02100000000002</v>
      </c>
      <c r="O10" s="156"/>
      <c r="P10" s="157" t="s">
        <v>15</v>
      </c>
      <c r="Q10" s="155">
        <v>1.188E-2</v>
      </c>
      <c r="R10" s="155">
        <v>3.8400000000000001E-3</v>
      </c>
      <c r="S10" s="158"/>
    </row>
    <row r="11" spans="1:19" s="160" customFormat="1">
      <c r="A11" s="153" t="s">
        <v>1213</v>
      </c>
      <c r="B11" s="153" t="s">
        <v>1235</v>
      </c>
      <c r="C11" s="153" t="s">
        <v>981</v>
      </c>
      <c r="D11" s="153" t="s">
        <v>4698</v>
      </c>
      <c r="E11" s="153" t="s">
        <v>4699</v>
      </c>
      <c r="F11" s="153" t="s">
        <v>4696</v>
      </c>
      <c r="G11" s="156"/>
      <c r="H11" s="153" t="s">
        <v>754</v>
      </c>
      <c r="I11" s="153" t="s">
        <v>4697</v>
      </c>
      <c r="J11" s="156"/>
      <c r="K11" s="156"/>
      <c r="L11" s="154">
        <v>-42274</v>
      </c>
      <c r="M11" s="154">
        <f t="shared" si="0"/>
        <v>90.142877418744376</v>
      </c>
      <c r="N11" s="154">
        <v>-38.106999999999999</v>
      </c>
      <c r="O11" s="156"/>
      <c r="P11" s="157" t="s">
        <v>15</v>
      </c>
      <c r="Q11" s="155">
        <v>-1.7099999999999999E-3</v>
      </c>
      <c r="R11" s="155">
        <v>-5.5000000000000003E-4</v>
      </c>
      <c r="S11" s="158"/>
    </row>
    <row r="12" spans="1:19" s="160" customFormat="1">
      <c r="A12" s="153" t="s">
        <v>1213</v>
      </c>
      <c r="B12" s="153" t="s">
        <v>1235</v>
      </c>
      <c r="C12" s="153" t="s">
        <v>981</v>
      </c>
      <c r="D12" s="153" t="s">
        <v>4700</v>
      </c>
      <c r="E12" s="153" t="s">
        <v>4701</v>
      </c>
      <c r="F12" s="153" t="s">
        <v>4680</v>
      </c>
      <c r="G12" s="156"/>
      <c r="H12" s="153" t="s">
        <v>754</v>
      </c>
      <c r="I12" s="153" t="s">
        <v>4681</v>
      </c>
      <c r="J12" s="155">
        <v>0.04</v>
      </c>
      <c r="K12" s="156"/>
      <c r="L12" s="154">
        <v>-632841.56000000006</v>
      </c>
      <c r="M12" s="154">
        <f t="shared" si="0"/>
        <v>48.482751354067197</v>
      </c>
      <c r="N12" s="154">
        <v>-306.81900000000002</v>
      </c>
      <c r="O12" s="156"/>
      <c r="P12" s="157" t="s">
        <v>15</v>
      </c>
      <c r="Q12" s="155">
        <v>-1.375E-2</v>
      </c>
      <c r="R12" s="155">
        <v>-4.45E-3</v>
      </c>
      <c r="S12" s="158"/>
    </row>
    <row r="13" spans="1:19" s="160" customFormat="1">
      <c r="A13" s="153" t="s">
        <v>1213</v>
      </c>
      <c r="B13" s="153" t="s">
        <v>1235</v>
      </c>
      <c r="C13" s="153" t="s">
        <v>981</v>
      </c>
      <c r="D13" s="153" t="s">
        <v>4702</v>
      </c>
      <c r="E13" s="153" t="s">
        <v>4703</v>
      </c>
      <c r="F13" s="153" t="s">
        <v>4704</v>
      </c>
      <c r="G13" s="156"/>
      <c r="H13" s="153" t="s">
        <v>754</v>
      </c>
      <c r="I13" s="153" t="s">
        <v>4665</v>
      </c>
      <c r="J13" s="156"/>
      <c r="K13" s="156"/>
      <c r="L13" s="154">
        <v>-674465.9</v>
      </c>
      <c r="M13" s="154">
        <f t="shared" si="0"/>
        <v>47.489724832641649</v>
      </c>
      <c r="N13" s="154">
        <v>-320.30200000000002</v>
      </c>
      <c r="O13" s="156"/>
      <c r="P13" s="157" t="s">
        <v>15</v>
      </c>
      <c r="Q13" s="155">
        <v>-1.436E-2</v>
      </c>
      <c r="R13" s="155">
        <v>-4.64E-3</v>
      </c>
      <c r="S13" s="158"/>
    </row>
    <row r="14" spans="1:19" s="160" customFormat="1">
      <c r="A14" s="153" t="s">
        <v>1213</v>
      </c>
      <c r="B14" s="153" t="s">
        <v>1235</v>
      </c>
      <c r="C14" s="153" t="s">
        <v>981</v>
      </c>
      <c r="D14" s="153" t="s">
        <v>4705</v>
      </c>
      <c r="E14" s="153" t="s">
        <v>4706</v>
      </c>
      <c r="F14" s="153" t="s">
        <v>4684</v>
      </c>
      <c r="G14" s="156"/>
      <c r="H14" s="153" t="s">
        <v>754</v>
      </c>
      <c r="I14" s="153" t="s">
        <v>4685</v>
      </c>
      <c r="J14" s="155">
        <v>0.04</v>
      </c>
      <c r="K14" s="156"/>
      <c r="L14" s="154">
        <v>-646932</v>
      </c>
      <c r="M14" s="154">
        <f t="shared" si="0"/>
        <v>81.816172333413718</v>
      </c>
      <c r="N14" s="154">
        <v>-529.29499999999996</v>
      </c>
      <c r="O14" s="156"/>
      <c r="P14" s="157" t="s">
        <v>15</v>
      </c>
      <c r="Q14" s="155">
        <v>-2.3720000000000001E-2</v>
      </c>
      <c r="R14" s="155">
        <v>-7.6699999999999997E-3</v>
      </c>
      <c r="S14" s="158"/>
    </row>
    <row r="15" spans="1:19" s="160" customFormat="1">
      <c r="A15" s="153" t="s">
        <v>1213</v>
      </c>
      <c r="B15" s="153" t="s">
        <v>1235</v>
      </c>
      <c r="C15" s="153" t="s">
        <v>981</v>
      </c>
      <c r="D15" s="153" t="s">
        <v>4707</v>
      </c>
      <c r="E15" s="153" t="s">
        <v>4708</v>
      </c>
      <c r="F15" s="153" t="s">
        <v>4668</v>
      </c>
      <c r="G15" s="156"/>
      <c r="H15" s="153" t="s">
        <v>754</v>
      </c>
      <c r="I15" s="153" t="s">
        <v>4669</v>
      </c>
      <c r="J15" s="155">
        <v>0.04</v>
      </c>
      <c r="K15" s="156"/>
      <c r="L15" s="154">
        <v>-909362</v>
      </c>
      <c r="M15" s="154">
        <f t="shared" si="0"/>
        <v>65.160849034817815</v>
      </c>
      <c r="N15" s="154">
        <v>-592.548</v>
      </c>
      <c r="O15" s="156"/>
      <c r="P15" s="157" t="s">
        <v>15</v>
      </c>
      <c r="Q15" s="155">
        <v>-2.656E-2</v>
      </c>
      <c r="R15" s="155">
        <v>-8.5900000000000004E-3</v>
      </c>
      <c r="S15" s="158"/>
    </row>
    <row r="16" spans="1:19" s="160" customFormat="1">
      <c r="A16" s="153" t="s">
        <v>1213</v>
      </c>
      <c r="B16" s="153" t="s">
        <v>1235</v>
      </c>
      <c r="C16" s="153" t="s">
        <v>981</v>
      </c>
      <c r="D16" s="153" t="s">
        <v>4709</v>
      </c>
      <c r="E16" s="153" t="s">
        <v>4710</v>
      </c>
      <c r="F16" s="153" t="s">
        <v>4664</v>
      </c>
      <c r="G16" s="156"/>
      <c r="H16" s="153" t="s">
        <v>754</v>
      </c>
      <c r="I16" s="153" t="s">
        <v>4665</v>
      </c>
      <c r="J16" s="156"/>
      <c r="K16" s="156"/>
      <c r="L16" s="154">
        <v>-1708542</v>
      </c>
      <c r="M16" s="154">
        <f t="shared" si="0"/>
        <v>40.140014117300012</v>
      </c>
      <c r="N16" s="154">
        <v>-685.80899999999997</v>
      </c>
      <c r="O16" s="156"/>
      <c r="P16" s="157" t="s">
        <v>15</v>
      </c>
      <c r="Q16" s="155">
        <v>-3.074E-2</v>
      </c>
      <c r="R16" s="155">
        <v>-9.9399999999999992E-3</v>
      </c>
      <c r="S16" s="158"/>
    </row>
    <row r="17" spans="1:18" s="160" customFormat="1">
      <c r="A17" s="153" t="s">
        <v>1213</v>
      </c>
      <c r="B17" s="153" t="s">
        <v>1235</v>
      </c>
      <c r="C17" s="153" t="s">
        <v>981</v>
      </c>
      <c r="D17" s="153" t="s">
        <v>4711</v>
      </c>
      <c r="E17" s="153" t="s">
        <v>4712</v>
      </c>
      <c r="F17" s="153" t="s">
        <v>4676</v>
      </c>
      <c r="G17" s="156"/>
      <c r="H17" s="153" t="s">
        <v>754</v>
      </c>
      <c r="I17" s="153" t="s">
        <v>4677</v>
      </c>
      <c r="J17" s="153" t="s">
        <v>1871</v>
      </c>
      <c r="K17" s="156"/>
      <c r="L17" s="154">
        <v>-1219170</v>
      </c>
      <c r="M17" s="154">
        <f t="shared" si="0"/>
        <v>61.299818729135389</v>
      </c>
      <c r="N17" s="154">
        <v>-747.34900000000005</v>
      </c>
      <c r="O17" s="156"/>
      <c r="P17" s="157" t="s">
        <v>15</v>
      </c>
      <c r="Q17" s="155">
        <v>-3.3500000000000002E-2</v>
      </c>
      <c r="R17" s="155">
        <v>-1.0829999999999999E-2</v>
      </c>
    </row>
    <row r="18" spans="1:18" s="160" customFormat="1">
      <c r="A18" s="153" t="s">
        <v>1213</v>
      </c>
      <c r="B18" s="153" t="s">
        <v>1235</v>
      </c>
      <c r="C18" s="153" t="s">
        <v>981</v>
      </c>
      <c r="D18" s="153" t="s">
        <v>4713</v>
      </c>
      <c r="E18" s="153" t="s">
        <v>4714</v>
      </c>
      <c r="F18" s="153" t="s">
        <v>4715</v>
      </c>
      <c r="G18" s="156"/>
      <c r="H18" s="153" t="s">
        <v>754</v>
      </c>
      <c r="I18" s="153" t="s">
        <v>4669</v>
      </c>
      <c r="J18" s="156"/>
      <c r="K18" s="156"/>
      <c r="L18" s="154">
        <v>-1253391.97</v>
      </c>
      <c r="M18" s="154">
        <f t="shared" si="0"/>
        <v>70.059727604605598</v>
      </c>
      <c r="N18" s="154">
        <v>-878.12300000000005</v>
      </c>
      <c r="O18" s="156"/>
      <c r="P18" s="157" t="s">
        <v>15</v>
      </c>
      <c r="Q18" s="155">
        <v>-3.9359999999999999E-2</v>
      </c>
      <c r="R18" s="155">
        <v>-1.272E-2</v>
      </c>
    </row>
    <row r="19" spans="1:18" s="160" customFormat="1">
      <c r="A19" s="153" t="s">
        <v>1213</v>
      </c>
      <c r="B19" s="153" t="s">
        <v>1235</v>
      </c>
      <c r="C19" s="153" t="s">
        <v>981</v>
      </c>
      <c r="D19" s="153" t="s">
        <v>4716</v>
      </c>
      <c r="E19" s="153" t="s">
        <v>4717</v>
      </c>
      <c r="F19" s="153" t="s">
        <v>4672</v>
      </c>
      <c r="G19" s="156"/>
      <c r="H19" s="153" t="s">
        <v>754</v>
      </c>
      <c r="I19" s="153" t="s">
        <v>4673</v>
      </c>
      <c r="J19" s="156"/>
      <c r="K19" s="156"/>
      <c r="L19" s="154">
        <v>-2022244</v>
      </c>
      <c r="M19" s="154">
        <f t="shared" si="0"/>
        <v>73.488461333053777</v>
      </c>
      <c r="N19" s="154">
        <v>-1486.116</v>
      </c>
      <c r="O19" s="156"/>
      <c r="P19" s="157" t="s">
        <v>15</v>
      </c>
      <c r="Q19" s="155">
        <v>-6.6610000000000003E-2</v>
      </c>
      <c r="R19" s="155">
        <v>-2.1530000000000001E-2</v>
      </c>
    </row>
    <row r="20" spans="1:18" s="160" customFormat="1">
      <c r="A20" s="153" t="s">
        <v>1213</v>
      </c>
      <c r="B20" s="153" t="s">
        <v>1214</v>
      </c>
      <c r="C20" s="153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3"/>
      <c r="Q20" s="158"/>
      <c r="R20" s="158"/>
    </row>
    <row r="21" spans="1:18" s="160" customFormat="1">
      <c r="A21" s="153" t="s">
        <v>1213</v>
      </c>
      <c r="B21" s="153" t="s">
        <v>1217</v>
      </c>
      <c r="C21" s="153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3"/>
      <c r="Q21" s="158"/>
      <c r="R21" s="158"/>
    </row>
    <row r="22" spans="1:18">
      <c r="A22" t="s">
        <v>1213</v>
      </c>
      <c r="B22" t="s">
        <v>1220</v>
      </c>
      <c r="C22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Q22" s="108"/>
      <c r="R22" s="108"/>
    </row>
    <row r="23" spans="1:18">
      <c r="A23" t="s">
        <v>1213</v>
      </c>
      <c r="B23" t="s">
        <v>1221</v>
      </c>
      <c r="C23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Q23" s="108"/>
      <c r="R23" s="108"/>
    </row>
    <row r="24" spans="1:18">
      <c r="A24" t="s">
        <v>1213</v>
      </c>
      <c r="B24" t="s">
        <v>1222</v>
      </c>
      <c r="C24"/>
      <c r="D24" s="108"/>
      <c r="E24" s="108"/>
      <c r="F24" s="108"/>
      <c r="G24" s="108"/>
      <c r="I24" s="108"/>
      <c r="J24" s="108"/>
      <c r="K24" s="108"/>
      <c r="L24" s="108"/>
      <c r="M24" s="108"/>
      <c r="N24" s="108"/>
      <c r="O24" s="108"/>
      <c r="Q24" s="108"/>
      <c r="R24" s="108"/>
    </row>
    <row r="25" spans="1:18">
      <c r="A25" t="s">
        <v>1213</v>
      </c>
      <c r="B25" t="s">
        <v>1223</v>
      </c>
      <c r="C25"/>
      <c r="D25" s="108"/>
      <c r="E25" s="108"/>
      <c r="F25" s="108"/>
      <c r="G25" s="108"/>
      <c r="I25" s="108"/>
      <c r="J25" s="108"/>
      <c r="K25" s="108"/>
      <c r="L25" s="108"/>
      <c r="M25" s="108"/>
      <c r="N25" s="108"/>
      <c r="O25" s="108"/>
      <c r="Q25" s="108"/>
      <c r="R25" s="108"/>
    </row>
    <row r="26" spans="1:18">
      <c r="A26" t="s">
        <v>1213</v>
      </c>
      <c r="B26" t="s">
        <v>1224</v>
      </c>
      <c r="C26"/>
      <c r="D26" s="108"/>
      <c r="E26" s="108"/>
      <c r="F26" s="108"/>
      <c r="G26" s="108"/>
      <c r="I26" s="108"/>
      <c r="J26" s="108"/>
      <c r="K26" s="108"/>
      <c r="L26" s="108"/>
      <c r="M26" s="108"/>
      <c r="N26" s="108"/>
      <c r="O26" s="108"/>
      <c r="Q26" s="108"/>
      <c r="R26" s="108"/>
    </row>
    <row r="27" spans="1:18">
      <c r="A27" t="s">
        <v>1213</v>
      </c>
      <c r="B27" t="s">
        <v>1225</v>
      </c>
    </row>
    <row r="28" spans="1:18">
      <c r="A28" t="s">
        <v>1213</v>
      </c>
      <c r="B28" t="s">
        <v>1230</v>
      </c>
    </row>
    <row r="29" spans="1:18">
      <c r="A29" t="s">
        <v>1213</v>
      </c>
      <c r="B29" t="s">
        <v>1231</v>
      </c>
    </row>
    <row r="30" spans="1:18">
      <c r="A30" t="s">
        <v>1213</v>
      </c>
      <c r="B30" t="s">
        <v>1232</v>
      </c>
    </row>
    <row r="31" spans="1:18">
      <c r="A31" t="s">
        <v>1213</v>
      </c>
      <c r="B31" t="s">
        <v>1233</v>
      </c>
    </row>
    <row r="32" spans="1:18">
      <c r="A32" t="s">
        <v>1213</v>
      </c>
      <c r="B32" t="s">
        <v>1234</v>
      </c>
    </row>
    <row r="33" spans="1:2">
      <c r="A33" t="s">
        <v>1213</v>
      </c>
      <c r="B33" t="s">
        <v>1238</v>
      </c>
    </row>
    <row r="34" spans="1:2">
      <c r="A34" t="s">
        <v>1213</v>
      </c>
      <c r="B34" t="s">
        <v>1241</v>
      </c>
    </row>
    <row r="35" spans="1:2">
      <c r="A35" t="s">
        <v>1213</v>
      </c>
      <c r="B35" t="s">
        <v>1242</v>
      </c>
    </row>
    <row r="36" spans="1:2">
      <c r="A36" t="s">
        <v>1213</v>
      </c>
      <c r="B36" t="s">
        <v>1243</v>
      </c>
    </row>
    <row r="37" spans="1:2">
      <c r="A37" t="s">
        <v>1213</v>
      </c>
      <c r="B37" t="s">
        <v>1244</v>
      </c>
    </row>
    <row r="38" spans="1:2">
      <c r="A38" t="s">
        <v>1213</v>
      </c>
      <c r="B38">
        <v>15108</v>
      </c>
    </row>
    <row r="39" spans="1:2">
      <c r="A39" t="s">
        <v>1213</v>
      </c>
      <c r="B39" t="s">
        <v>1247</v>
      </c>
    </row>
    <row r="40" spans="1:2">
      <c r="A40" t="s">
        <v>1213</v>
      </c>
      <c r="B40" t="s">
        <v>1248</v>
      </c>
    </row>
    <row r="41" spans="1:2">
      <c r="A41" t="s">
        <v>1213</v>
      </c>
      <c r="B41" t="s">
        <v>1250</v>
      </c>
    </row>
    <row r="42" spans="1:2">
      <c r="A42" t="s">
        <v>1213</v>
      </c>
      <c r="B42" t="s">
        <v>1251</v>
      </c>
    </row>
    <row r="43" spans="1:2">
      <c r="A43" t="s">
        <v>1213</v>
      </c>
      <c r="B43" t="s">
        <v>1252</v>
      </c>
    </row>
    <row r="44" spans="1:2">
      <c r="A44" t="s">
        <v>1213</v>
      </c>
      <c r="B44" t="s">
        <v>1253</v>
      </c>
    </row>
    <row r="45" spans="1:2">
      <c r="A45" t="s">
        <v>1213</v>
      </c>
      <c r="B45" t="s">
        <v>1254</v>
      </c>
    </row>
    <row r="46" spans="1:2">
      <c r="A46" t="s">
        <v>1213</v>
      </c>
      <c r="B46" t="s">
        <v>1255</v>
      </c>
    </row>
    <row r="47" spans="1:2">
      <c r="A47" t="s">
        <v>1213</v>
      </c>
      <c r="B47" t="s">
        <v>1256</v>
      </c>
    </row>
    <row r="48" spans="1:2">
      <c r="A48" t="s">
        <v>1213</v>
      </c>
      <c r="B48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2">
    <dataValidation type="list" allowBlank="1" showInputMessage="1" showErrorMessage="1" sqref="P2:P19">
      <formula1>In_the_books</formula1>
    </dataValidation>
    <dataValidation type="list" allowBlank="1" showInputMessage="1" showErrorMessage="1" sqref="H2:H19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C2:C19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1"/>
  <sheetViews>
    <sheetView rightToLeft="1" workbookViewId="0">
      <selection activeCell="N36" sqref="N36"/>
    </sheetView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>
      <c r="A1" s="17" t="s">
        <v>99</v>
      </c>
      <c r="B1" s="17" t="s">
        <v>50</v>
      </c>
      <c r="C1" s="17" t="s">
        <v>54</v>
      </c>
      <c r="D1" s="17" t="s">
        <v>100</v>
      </c>
      <c r="E1" s="17" t="s">
        <v>101</v>
      </c>
      <c r="F1" s="17" t="s">
        <v>102</v>
      </c>
      <c r="G1" s="17" t="s">
        <v>65</v>
      </c>
      <c r="H1" s="108"/>
    </row>
    <row r="2" spans="1:8">
      <c r="A2" t="s">
        <v>1213</v>
      </c>
      <c r="B2" t="s">
        <v>1214</v>
      </c>
      <c r="C2" s="109"/>
      <c r="G2" s="109"/>
      <c r="H2" s="108"/>
    </row>
    <row r="3" spans="1:8">
      <c r="A3" t="s">
        <v>1213</v>
      </c>
      <c r="B3" t="s">
        <v>1217</v>
      </c>
      <c r="C3" s="109"/>
      <c r="G3" s="109"/>
      <c r="H3" s="108"/>
    </row>
    <row r="4" spans="1:8">
      <c r="A4" t="s">
        <v>1213</v>
      </c>
      <c r="B4" t="s">
        <v>1220</v>
      </c>
      <c r="C4" s="109"/>
      <c r="G4" s="109"/>
      <c r="H4" s="108"/>
    </row>
    <row r="5" spans="1:8">
      <c r="A5" t="s">
        <v>1213</v>
      </c>
      <c r="B5" t="s">
        <v>1221</v>
      </c>
      <c r="C5" s="109"/>
      <c r="G5" s="109"/>
      <c r="H5" s="108"/>
    </row>
    <row r="6" spans="1:8">
      <c r="A6" t="s">
        <v>1213</v>
      </c>
      <c r="B6" t="s">
        <v>1222</v>
      </c>
      <c r="C6" s="109"/>
      <c r="G6" s="109"/>
      <c r="H6" s="108"/>
    </row>
    <row r="7" spans="1:8">
      <c r="A7" t="s">
        <v>1213</v>
      </c>
      <c r="B7" t="s">
        <v>1223</v>
      </c>
      <c r="C7" s="109"/>
      <c r="G7" s="109"/>
      <c r="H7" s="108"/>
    </row>
    <row r="8" spans="1:8">
      <c r="A8" t="s">
        <v>1213</v>
      </c>
      <c r="B8" t="s">
        <v>1224</v>
      </c>
      <c r="C8" s="109"/>
      <c r="G8" s="109"/>
      <c r="H8" s="108"/>
    </row>
    <row r="9" spans="1:8">
      <c r="A9" t="s">
        <v>1213</v>
      </c>
      <c r="B9" t="s">
        <v>1225</v>
      </c>
      <c r="C9" s="109"/>
      <c r="G9" s="109"/>
      <c r="H9" s="108"/>
    </row>
    <row r="10" spans="1:8">
      <c r="A10" t="s">
        <v>1213</v>
      </c>
      <c r="B10" t="s">
        <v>1230</v>
      </c>
      <c r="C10" s="109"/>
      <c r="G10" s="109"/>
      <c r="H10" s="108"/>
    </row>
    <row r="11" spans="1:8">
      <c r="A11" t="s">
        <v>1213</v>
      </c>
      <c r="B11" t="s">
        <v>1231</v>
      </c>
      <c r="C11" s="109"/>
      <c r="G11" s="109"/>
      <c r="H11" s="108"/>
    </row>
    <row r="12" spans="1:8">
      <c r="A12" t="s">
        <v>1213</v>
      </c>
      <c r="B12" t="s">
        <v>1232</v>
      </c>
      <c r="C12" s="109"/>
      <c r="G12" s="109"/>
      <c r="H12" s="108"/>
    </row>
    <row r="13" spans="1:8">
      <c r="A13" t="s">
        <v>1213</v>
      </c>
      <c r="B13" t="s">
        <v>1233</v>
      </c>
      <c r="C13" s="109"/>
      <c r="G13" s="109"/>
      <c r="H13" s="108"/>
    </row>
    <row r="14" spans="1:8">
      <c r="A14" t="s">
        <v>1213</v>
      </c>
      <c r="B14" t="s">
        <v>1234</v>
      </c>
      <c r="C14" s="109"/>
      <c r="G14" s="109"/>
      <c r="H14" s="108"/>
    </row>
    <row r="15" spans="1:8">
      <c r="A15" t="s">
        <v>1213</v>
      </c>
      <c r="B15" t="s">
        <v>1235</v>
      </c>
      <c r="C15" s="109"/>
      <c r="G15" s="109"/>
      <c r="H15" s="108"/>
    </row>
    <row r="16" spans="1:8">
      <c r="A16" t="s">
        <v>1213</v>
      </c>
      <c r="B16" t="s">
        <v>1238</v>
      </c>
      <c r="C16" s="109"/>
      <c r="G16" s="109"/>
    </row>
    <row r="17" spans="1:7">
      <c r="A17" t="s">
        <v>1213</v>
      </c>
      <c r="B17" t="s">
        <v>1241</v>
      </c>
      <c r="C17" s="109"/>
      <c r="G17" s="109"/>
    </row>
    <row r="18" spans="1:7">
      <c r="A18" t="s">
        <v>1213</v>
      </c>
      <c r="B18" t="s">
        <v>1242</v>
      </c>
      <c r="C18" s="109"/>
      <c r="G18" s="109"/>
    </row>
    <row r="19" spans="1:7">
      <c r="A19" t="s">
        <v>1213</v>
      </c>
      <c r="B19" t="s">
        <v>1243</v>
      </c>
      <c r="C19" s="109"/>
      <c r="G19" s="108"/>
    </row>
    <row r="20" spans="1:7">
      <c r="A20" t="s">
        <v>1213</v>
      </c>
      <c r="B20" t="s">
        <v>1244</v>
      </c>
      <c r="C20"/>
      <c r="G20" s="108"/>
    </row>
    <row r="21" spans="1:7">
      <c r="A21" t="s">
        <v>1213</v>
      </c>
      <c r="B21">
        <v>15108</v>
      </c>
      <c r="C21"/>
      <c r="G21" s="108"/>
    </row>
    <row r="22" spans="1:7">
      <c r="A22" t="s">
        <v>1213</v>
      </c>
      <c r="B22" t="s">
        <v>1247</v>
      </c>
      <c r="C22"/>
      <c r="G22" s="108"/>
    </row>
    <row r="23" spans="1:7">
      <c r="A23" t="s">
        <v>1213</v>
      </c>
      <c r="B23" t="s">
        <v>1248</v>
      </c>
      <c r="C23"/>
      <c r="G23" s="108"/>
    </row>
    <row r="24" spans="1:7">
      <c r="A24" t="s">
        <v>1213</v>
      </c>
      <c r="B24" t="s">
        <v>1250</v>
      </c>
      <c r="C24"/>
      <c r="G24" s="108"/>
    </row>
    <row r="25" spans="1:7">
      <c r="A25" t="s">
        <v>1213</v>
      </c>
      <c r="B25" t="s">
        <v>1251</v>
      </c>
      <c r="C25"/>
      <c r="G25" s="108"/>
    </row>
    <row r="26" spans="1:7">
      <c r="A26" t="s">
        <v>1213</v>
      </c>
      <c r="B26" t="s">
        <v>1252</v>
      </c>
      <c r="C26"/>
      <c r="G26" s="108"/>
    </row>
    <row r="27" spans="1:7">
      <c r="A27" t="s">
        <v>1213</v>
      </c>
      <c r="B27" t="s">
        <v>1253</v>
      </c>
    </row>
    <row r="28" spans="1:7">
      <c r="A28" t="s">
        <v>1213</v>
      </c>
      <c r="B28" t="s">
        <v>1254</v>
      </c>
    </row>
    <row r="29" spans="1:7">
      <c r="A29" t="s">
        <v>1213</v>
      </c>
      <c r="B29" t="s">
        <v>1255</v>
      </c>
    </row>
    <row r="30" spans="1:7">
      <c r="A30" t="s">
        <v>1213</v>
      </c>
      <c r="B30" t="s">
        <v>1256</v>
      </c>
    </row>
    <row r="31" spans="1:7">
      <c r="A31" t="s">
        <v>1213</v>
      </c>
      <c r="B31" t="s">
        <v>1257</v>
      </c>
    </row>
  </sheetData>
  <sheetProtection formatColumns="0"/>
  <dataValidations count="1">
    <dataValidation type="list" allowBlank="1" showInputMessage="1" showErrorMessage="1" sqref="C2:C19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31"/>
  <sheetViews>
    <sheetView rightToLeft="1" topLeftCell="K1" workbookViewId="0">
      <selection activeCell="P22" sqref="P22"/>
    </sheetView>
  </sheetViews>
  <sheetFormatPr defaultRowHeight="14.25"/>
  <cols>
    <col min="1" max="4" width="11.625" customWidth="1"/>
    <col min="5" max="5" width="11.625" style="4" customWidth="1"/>
    <col min="6" max="6" width="19" bestFit="1" customWidth="1"/>
    <col min="7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98</v>
      </c>
      <c r="U1" s="17" t="s">
        <v>85</v>
      </c>
      <c r="V1" s="17" t="s">
        <v>73</v>
      </c>
      <c r="W1" s="17" t="s">
        <v>62</v>
      </c>
      <c r="X1" s="17" t="s">
        <v>74</v>
      </c>
      <c r="Y1" s="17" t="s">
        <v>86</v>
      </c>
      <c r="Z1" s="17" t="s">
        <v>87</v>
      </c>
      <c r="AA1" s="17" t="s">
        <v>103</v>
      </c>
      <c r="AB1" s="17" t="s">
        <v>104</v>
      </c>
      <c r="AC1" s="17" t="s">
        <v>105</v>
      </c>
      <c r="AD1" s="17" t="s">
        <v>106</v>
      </c>
      <c r="AE1" s="17" t="s">
        <v>107</v>
      </c>
      <c r="AF1" s="17" t="s">
        <v>76</v>
      </c>
      <c r="AG1" s="17" t="s">
        <v>61</v>
      </c>
      <c r="AH1" s="17" t="s">
        <v>77</v>
      </c>
      <c r="AI1" s="17" t="s">
        <v>63</v>
      </c>
      <c r="AJ1" s="17" t="s">
        <v>78</v>
      </c>
      <c r="AK1" s="17" t="s">
        <v>88</v>
      </c>
      <c r="AL1" s="17" t="s">
        <v>17</v>
      </c>
      <c r="AM1" s="17" t="s">
        <v>64</v>
      </c>
      <c r="AN1" s="17" t="s">
        <v>65</v>
      </c>
    </row>
    <row r="2" spans="1:40">
      <c r="A2" t="s">
        <v>1213</v>
      </c>
      <c r="B2" t="s">
        <v>1214</v>
      </c>
      <c r="C2" t="s">
        <v>2361</v>
      </c>
      <c r="D2" t="s">
        <v>2362</v>
      </c>
      <c r="E2" t="s">
        <v>309</v>
      </c>
      <c r="F2" t="s">
        <v>4718</v>
      </c>
      <c r="G2" t="s">
        <v>4719</v>
      </c>
      <c r="H2" t="s">
        <v>312</v>
      </c>
      <c r="I2" t="s">
        <v>755</v>
      </c>
      <c r="J2" t="s">
        <v>204</v>
      </c>
      <c r="K2" t="s">
        <v>204</v>
      </c>
      <c r="L2" t="s">
        <v>446</v>
      </c>
      <c r="M2" t="s">
        <v>339</v>
      </c>
      <c r="N2" t="s">
        <v>4720</v>
      </c>
      <c r="O2" t="s">
        <v>1566</v>
      </c>
      <c r="P2" t="s">
        <v>413</v>
      </c>
      <c r="Q2" t="s">
        <v>407</v>
      </c>
      <c r="R2" t="s">
        <v>1216</v>
      </c>
      <c r="S2" s="109">
        <v>3.72</v>
      </c>
      <c r="T2" t="s">
        <v>755</v>
      </c>
      <c r="U2" t="s">
        <v>901</v>
      </c>
      <c r="V2" t="s">
        <v>4721</v>
      </c>
      <c r="W2" s="132">
        <v>1.7457E-2</v>
      </c>
      <c r="X2" s="109">
        <v>1.64</v>
      </c>
      <c r="Y2" t="s">
        <v>412</v>
      </c>
      <c r="Z2" t="s">
        <v>339</v>
      </c>
      <c r="AA2" t="s">
        <v>886</v>
      </c>
      <c r="AB2" t="s">
        <v>889</v>
      </c>
      <c r="AC2" t="s">
        <v>4722</v>
      </c>
      <c r="AD2" t="s">
        <v>4723</v>
      </c>
      <c r="AE2" t="s">
        <v>4723</v>
      </c>
      <c r="AF2" s="131">
        <v>60000</v>
      </c>
      <c r="AG2" s="131">
        <v>3.71</v>
      </c>
      <c r="AH2" s="131">
        <v>100.59</v>
      </c>
      <c r="AI2" s="131">
        <v>223.91300000000001</v>
      </c>
      <c r="AK2" s="109"/>
      <c r="AL2" s="109" t="s">
        <v>15</v>
      </c>
      <c r="AM2" s="132">
        <v>1</v>
      </c>
      <c r="AN2" s="132">
        <v>2.0999999999999999E-3</v>
      </c>
    </row>
    <row r="3" spans="1:40">
      <c r="A3" t="s">
        <v>1213</v>
      </c>
      <c r="B3" t="s">
        <v>1217</v>
      </c>
      <c r="C3" t="s">
        <v>2361</v>
      </c>
      <c r="D3" t="s">
        <v>2362</v>
      </c>
      <c r="E3" t="s">
        <v>309</v>
      </c>
      <c r="F3" t="s">
        <v>4718</v>
      </c>
      <c r="G3" t="s">
        <v>4719</v>
      </c>
      <c r="H3" t="s">
        <v>312</v>
      </c>
      <c r="I3" t="s">
        <v>755</v>
      </c>
      <c r="J3" t="s">
        <v>204</v>
      </c>
      <c r="K3" t="s">
        <v>204</v>
      </c>
      <c r="L3" t="s">
        <v>446</v>
      </c>
      <c r="M3" t="s">
        <v>339</v>
      </c>
      <c r="N3" t="s">
        <v>4720</v>
      </c>
      <c r="O3" t="s">
        <v>1566</v>
      </c>
      <c r="P3" t="s">
        <v>413</v>
      </c>
      <c r="Q3" t="s">
        <v>407</v>
      </c>
      <c r="R3" t="s">
        <v>1216</v>
      </c>
      <c r="S3" s="109">
        <v>3.72</v>
      </c>
      <c r="T3" t="s">
        <v>755</v>
      </c>
      <c r="U3" t="s">
        <v>901</v>
      </c>
      <c r="V3" t="s">
        <v>4721</v>
      </c>
      <c r="W3" s="132">
        <v>1.7457E-2</v>
      </c>
      <c r="X3" s="109">
        <v>1.64</v>
      </c>
      <c r="Y3" t="s">
        <v>412</v>
      </c>
      <c r="Z3" t="s">
        <v>339</v>
      </c>
      <c r="AA3" t="s">
        <v>886</v>
      </c>
      <c r="AB3" t="s">
        <v>889</v>
      </c>
      <c r="AC3" t="s">
        <v>4722</v>
      </c>
      <c r="AD3" t="s">
        <v>4723</v>
      </c>
      <c r="AE3" t="s">
        <v>4723</v>
      </c>
      <c r="AF3" s="131">
        <v>579000</v>
      </c>
      <c r="AG3" s="131">
        <v>3.71</v>
      </c>
      <c r="AH3" s="131">
        <v>100.59</v>
      </c>
      <c r="AI3" s="131">
        <v>2160.7640000000001</v>
      </c>
      <c r="AK3" s="109"/>
      <c r="AL3" s="109" t="s">
        <v>15</v>
      </c>
      <c r="AM3" s="132">
        <v>1</v>
      </c>
      <c r="AN3" s="132">
        <v>2E-3</v>
      </c>
    </row>
    <row r="4" spans="1:40">
      <c r="A4" t="s">
        <v>1213</v>
      </c>
      <c r="B4" t="s">
        <v>1247</v>
      </c>
      <c r="C4" t="s">
        <v>2361</v>
      </c>
      <c r="D4" t="s">
        <v>2362</v>
      </c>
      <c r="E4" t="s">
        <v>309</v>
      </c>
      <c r="F4" t="s">
        <v>4724</v>
      </c>
      <c r="G4" t="s">
        <v>4725</v>
      </c>
      <c r="H4" t="s">
        <v>312</v>
      </c>
      <c r="I4" t="s">
        <v>755</v>
      </c>
      <c r="J4" t="s">
        <v>204</v>
      </c>
      <c r="K4" t="s">
        <v>204</v>
      </c>
      <c r="L4" t="s">
        <v>446</v>
      </c>
      <c r="M4" t="s">
        <v>339</v>
      </c>
      <c r="N4" t="s">
        <v>4726</v>
      </c>
      <c r="O4" t="s">
        <v>1566</v>
      </c>
      <c r="P4" t="s">
        <v>413</v>
      </c>
      <c r="Q4" t="s">
        <v>407</v>
      </c>
      <c r="R4" t="s">
        <v>1216</v>
      </c>
      <c r="S4" s="109">
        <v>4.26</v>
      </c>
      <c r="T4" t="s">
        <v>755</v>
      </c>
      <c r="U4" t="s">
        <v>905</v>
      </c>
      <c r="V4" t="s">
        <v>4727</v>
      </c>
      <c r="W4" s="132">
        <v>5.9981E-2</v>
      </c>
      <c r="X4" s="109">
        <v>6.01</v>
      </c>
      <c r="Y4" t="s">
        <v>412</v>
      </c>
      <c r="Z4" t="s">
        <v>339</v>
      </c>
      <c r="AA4" t="s">
        <v>886</v>
      </c>
      <c r="AB4" t="s">
        <v>889</v>
      </c>
      <c r="AC4" t="s">
        <v>4722</v>
      </c>
      <c r="AD4" t="s">
        <v>4723</v>
      </c>
      <c r="AE4" t="s">
        <v>4723</v>
      </c>
      <c r="AF4" s="131">
        <v>330000</v>
      </c>
      <c r="AG4" s="131">
        <v>3.71</v>
      </c>
      <c r="AH4" s="131">
        <v>100.3</v>
      </c>
      <c r="AI4" s="131">
        <v>1227.973</v>
      </c>
      <c r="AK4" s="109"/>
      <c r="AL4" s="109" t="s">
        <v>15</v>
      </c>
      <c r="AM4" s="132">
        <v>1</v>
      </c>
      <c r="AN4" s="132">
        <v>4.0200000000000001E-3</v>
      </c>
    </row>
    <row r="5" spans="1:40">
      <c r="A5" t="s">
        <v>1213</v>
      </c>
      <c r="B5" t="s">
        <v>1248</v>
      </c>
      <c r="C5" t="s">
        <v>2361</v>
      </c>
      <c r="D5" t="s">
        <v>2362</v>
      </c>
      <c r="E5" t="s">
        <v>309</v>
      </c>
      <c r="F5" t="s">
        <v>4724</v>
      </c>
      <c r="G5" t="s">
        <v>4725</v>
      </c>
      <c r="H5" t="s">
        <v>312</v>
      </c>
      <c r="I5" t="s">
        <v>755</v>
      </c>
      <c r="J5" t="s">
        <v>204</v>
      </c>
      <c r="K5" t="s">
        <v>204</v>
      </c>
      <c r="L5" t="s">
        <v>446</v>
      </c>
      <c r="M5" t="s">
        <v>339</v>
      </c>
      <c r="N5" t="s">
        <v>4726</v>
      </c>
      <c r="O5" t="s">
        <v>1566</v>
      </c>
      <c r="P5" t="s">
        <v>413</v>
      </c>
      <c r="Q5" t="s">
        <v>407</v>
      </c>
      <c r="R5" t="s">
        <v>1216</v>
      </c>
      <c r="S5" s="109">
        <v>4.26</v>
      </c>
      <c r="T5" t="s">
        <v>755</v>
      </c>
      <c r="U5" t="s">
        <v>905</v>
      </c>
      <c r="V5" t="s">
        <v>4727</v>
      </c>
      <c r="W5" s="132">
        <v>5.9981E-2</v>
      </c>
      <c r="X5" s="109">
        <v>6.01</v>
      </c>
      <c r="Y5" t="s">
        <v>412</v>
      </c>
      <c r="Z5" t="s">
        <v>339</v>
      </c>
      <c r="AA5" t="s">
        <v>886</v>
      </c>
      <c r="AB5" t="s">
        <v>889</v>
      </c>
      <c r="AC5" t="s">
        <v>4722</v>
      </c>
      <c r="AD5" t="s">
        <v>4723</v>
      </c>
      <c r="AE5" t="s">
        <v>4723</v>
      </c>
      <c r="AF5" s="131">
        <v>170000</v>
      </c>
      <c r="AG5" s="131">
        <v>3.71</v>
      </c>
      <c r="AH5" s="131">
        <v>100.3</v>
      </c>
      <c r="AI5" s="131">
        <v>632.59199999999998</v>
      </c>
      <c r="AK5" s="109"/>
      <c r="AL5" s="109" t="s">
        <v>15</v>
      </c>
      <c r="AM5" s="132">
        <v>1</v>
      </c>
      <c r="AN5" s="132">
        <v>8.7000000000000001E-4</v>
      </c>
    </row>
    <row r="6" spans="1:40">
      <c r="A6" t="s">
        <v>1213</v>
      </c>
      <c r="B6" t="s">
        <v>1250</v>
      </c>
      <c r="C6" t="s">
        <v>2361</v>
      </c>
      <c r="D6" t="s">
        <v>2362</v>
      </c>
      <c r="E6" t="s">
        <v>309</v>
      </c>
      <c r="F6" t="s">
        <v>4724</v>
      </c>
      <c r="G6" t="s">
        <v>4725</v>
      </c>
      <c r="H6" t="s">
        <v>312</v>
      </c>
      <c r="I6" t="s">
        <v>755</v>
      </c>
      <c r="J6" t="s">
        <v>204</v>
      </c>
      <c r="K6" t="s">
        <v>204</v>
      </c>
      <c r="L6" t="s">
        <v>446</v>
      </c>
      <c r="M6" t="s">
        <v>339</v>
      </c>
      <c r="N6" t="s">
        <v>4726</v>
      </c>
      <c r="O6" t="s">
        <v>1566</v>
      </c>
      <c r="P6" t="s">
        <v>413</v>
      </c>
      <c r="Q6" t="s">
        <v>407</v>
      </c>
      <c r="R6" t="s">
        <v>1216</v>
      </c>
      <c r="S6" s="109">
        <v>4.26</v>
      </c>
      <c r="T6" t="s">
        <v>755</v>
      </c>
      <c r="U6" t="s">
        <v>905</v>
      </c>
      <c r="V6" t="s">
        <v>4727</v>
      </c>
      <c r="W6" s="132">
        <v>5.9981E-2</v>
      </c>
      <c r="X6" s="109">
        <v>6.01</v>
      </c>
      <c r="Y6" t="s">
        <v>412</v>
      </c>
      <c r="Z6" t="s">
        <v>339</v>
      </c>
      <c r="AA6" t="s">
        <v>886</v>
      </c>
      <c r="AB6" t="s">
        <v>889</v>
      </c>
      <c r="AC6" t="s">
        <v>4722</v>
      </c>
      <c r="AD6" t="s">
        <v>4723</v>
      </c>
      <c r="AE6" t="s">
        <v>4723</v>
      </c>
      <c r="AF6" s="131">
        <v>5500000</v>
      </c>
      <c r="AG6" s="131">
        <v>3.71</v>
      </c>
      <c r="AH6" s="131">
        <v>100.3</v>
      </c>
      <c r="AI6" s="131">
        <v>20466.215</v>
      </c>
      <c r="AK6" s="109"/>
      <c r="AL6" s="109" t="s">
        <v>15</v>
      </c>
      <c r="AM6" s="132">
        <v>1</v>
      </c>
      <c r="AN6" s="132">
        <v>6.1199999999999996E-3</v>
      </c>
    </row>
    <row r="7" spans="1:40">
      <c r="A7" t="s">
        <v>1213</v>
      </c>
      <c r="B7" t="s">
        <v>1220</v>
      </c>
      <c r="C7" s="109"/>
      <c r="D7" s="109"/>
      <c r="E7" s="16"/>
      <c r="F7" s="109"/>
      <c r="G7" s="109"/>
      <c r="H7" s="16"/>
      <c r="I7" s="109"/>
      <c r="J7" s="16"/>
      <c r="K7" s="16"/>
      <c r="L7" s="109"/>
      <c r="M7" s="109"/>
      <c r="N7" s="109"/>
      <c r="O7" s="109"/>
      <c r="P7" s="109"/>
      <c r="Q7" s="109"/>
      <c r="R7" s="16"/>
      <c r="S7" s="109"/>
      <c r="T7" s="109"/>
      <c r="U7" s="109"/>
      <c r="V7" s="109"/>
      <c r="W7" s="109"/>
      <c r="X7" s="109"/>
      <c r="Y7" s="16"/>
      <c r="Z7" s="16"/>
      <c r="AA7" s="109"/>
      <c r="AB7" s="109"/>
      <c r="AD7" s="109"/>
      <c r="AE7" s="109"/>
      <c r="AF7" s="109"/>
      <c r="AG7" s="109"/>
      <c r="AH7" s="109"/>
      <c r="AI7" s="109"/>
      <c r="AK7" s="109"/>
      <c r="AL7" s="109"/>
    </row>
    <row r="8" spans="1:40">
      <c r="A8" t="s">
        <v>1213</v>
      </c>
      <c r="B8" t="s">
        <v>1221</v>
      </c>
      <c r="C8" s="109"/>
      <c r="D8" s="109"/>
      <c r="E8" s="16"/>
      <c r="F8" s="109"/>
      <c r="G8" s="109"/>
      <c r="H8" s="16"/>
      <c r="I8" s="109"/>
      <c r="J8" s="16"/>
      <c r="K8" s="16"/>
      <c r="L8" s="109"/>
      <c r="M8" s="109"/>
      <c r="N8" s="109"/>
      <c r="O8" s="109"/>
      <c r="P8" s="109"/>
      <c r="Q8" s="109"/>
      <c r="R8" s="16"/>
      <c r="S8" s="109"/>
      <c r="T8" s="109"/>
      <c r="U8" s="109"/>
      <c r="V8" s="109"/>
      <c r="W8" s="109"/>
      <c r="X8" s="109"/>
      <c r="Y8" s="16"/>
      <c r="Z8" s="16"/>
      <c r="AA8" s="109"/>
      <c r="AB8" s="109"/>
      <c r="AD8" s="109"/>
      <c r="AE8" s="109"/>
      <c r="AF8" s="109"/>
      <c r="AG8" s="109"/>
      <c r="AH8" s="109"/>
      <c r="AL8" s="109"/>
    </row>
    <row r="9" spans="1:40">
      <c r="A9" t="s">
        <v>1213</v>
      </c>
      <c r="B9" t="s">
        <v>1222</v>
      </c>
      <c r="C9" s="109"/>
      <c r="D9" s="109"/>
      <c r="E9" s="16"/>
      <c r="F9" s="109"/>
      <c r="G9" s="109"/>
      <c r="H9" s="16"/>
      <c r="I9" s="109"/>
      <c r="J9" s="16"/>
      <c r="K9" s="16"/>
      <c r="L9" s="109"/>
      <c r="M9" s="109"/>
      <c r="N9" s="109"/>
      <c r="O9" s="109"/>
      <c r="P9" s="109"/>
      <c r="Q9" s="109"/>
      <c r="R9" s="16"/>
      <c r="S9" s="109"/>
      <c r="T9" s="109"/>
      <c r="U9" s="109"/>
      <c r="V9" s="109"/>
      <c r="W9" s="109"/>
      <c r="X9" s="109"/>
      <c r="Y9" s="16"/>
      <c r="Z9" s="16"/>
      <c r="AA9" s="109"/>
      <c r="AB9" s="109"/>
      <c r="AD9" s="109"/>
      <c r="AE9" s="109"/>
      <c r="AF9" s="109"/>
      <c r="AG9" s="109"/>
      <c r="AH9" s="109"/>
      <c r="AL9" s="109"/>
    </row>
    <row r="10" spans="1:40">
      <c r="A10" t="s">
        <v>1213</v>
      </c>
      <c r="B10" t="s">
        <v>1223</v>
      </c>
      <c r="C10" s="109"/>
      <c r="D10" s="109"/>
      <c r="E10" s="16"/>
      <c r="F10" s="109"/>
      <c r="G10" s="109"/>
      <c r="H10" s="16"/>
      <c r="I10" s="109"/>
      <c r="J10" s="16"/>
      <c r="K10" s="16"/>
      <c r="L10" s="109"/>
      <c r="M10" s="109"/>
      <c r="N10" s="109"/>
      <c r="O10" s="109"/>
      <c r="P10" s="109"/>
      <c r="Q10" s="109"/>
      <c r="R10" s="16"/>
      <c r="S10" s="109"/>
      <c r="T10" s="109"/>
      <c r="U10" s="109"/>
      <c r="V10" s="109"/>
      <c r="W10" s="109"/>
      <c r="X10" s="109"/>
      <c r="Y10" s="16"/>
      <c r="Z10" s="16"/>
      <c r="AA10" s="109"/>
      <c r="AB10" s="109"/>
      <c r="AD10" s="109"/>
      <c r="AE10" s="109"/>
      <c r="AF10" s="109"/>
      <c r="AG10" s="109"/>
      <c r="AH10" s="109"/>
      <c r="AI10" s="109"/>
      <c r="AK10" s="109"/>
      <c r="AL10" s="109"/>
    </row>
    <row r="11" spans="1:40">
      <c r="A11" t="s">
        <v>1213</v>
      </c>
      <c r="B11" t="s">
        <v>1224</v>
      </c>
      <c r="C11" s="109"/>
      <c r="D11" s="109"/>
      <c r="E11" s="16"/>
      <c r="F11" s="109"/>
      <c r="G11" s="109"/>
      <c r="H11" s="16"/>
      <c r="I11" s="109"/>
      <c r="J11" s="16"/>
      <c r="K11" s="16"/>
      <c r="L11" s="109"/>
      <c r="M11" s="109"/>
      <c r="N11" s="109"/>
      <c r="O11" s="109"/>
      <c r="P11" s="109"/>
      <c r="Q11" s="109"/>
      <c r="R11" s="16"/>
      <c r="S11" s="109"/>
      <c r="T11" s="109"/>
      <c r="U11" s="109"/>
      <c r="V11" s="109"/>
      <c r="W11" s="109"/>
      <c r="X11" s="109"/>
      <c r="Y11" s="16"/>
      <c r="Z11" s="16"/>
      <c r="AA11" s="109"/>
      <c r="AB11" s="109"/>
      <c r="AD11" s="109"/>
      <c r="AE11" s="109"/>
      <c r="AF11" s="109"/>
      <c r="AG11" s="109"/>
      <c r="AH11" s="109"/>
      <c r="AI11" s="109"/>
      <c r="AK11" s="109"/>
      <c r="AL11" s="109"/>
    </row>
    <row r="12" spans="1:40">
      <c r="A12" t="s">
        <v>1213</v>
      </c>
      <c r="B12" t="s">
        <v>1225</v>
      </c>
      <c r="C12" s="109"/>
      <c r="D12" s="109"/>
      <c r="E12" s="16"/>
      <c r="F12" s="109"/>
      <c r="G12" s="109"/>
      <c r="H12" s="16"/>
      <c r="I12" s="109"/>
      <c r="J12" s="16"/>
      <c r="K12" s="16"/>
      <c r="L12" s="109"/>
      <c r="M12" s="109"/>
      <c r="N12" s="109"/>
      <c r="O12" s="109"/>
      <c r="P12" s="109"/>
      <c r="Q12" s="109"/>
      <c r="R12" s="16"/>
      <c r="S12" s="109"/>
      <c r="T12" s="109"/>
      <c r="U12" s="109"/>
      <c r="V12" s="109"/>
      <c r="W12" s="109"/>
      <c r="X12" s="109"/>
      <c r="Y12" s="16"/>
      <c r="Z12" s="16"/>
      <c r="AA12" s="109"/>
      <c r="AB12" s="109"/>
      <c r="AD12" s="109"/>
      <c r="AE12" s="109"/>
      <c r="AF12" s="109"/>
      <c r="AG12" s="109"/>
      <c r="AH12" s="109"/>
      <c r="AI12" s="109"/>
      <c r="AK12" s="109"/>
      <c r="AL12" s="109"/>
    </row>
    <row r="13" spans="1:40">
      <c r="A13" t="s">
        <v>1213</v>
      </c>
      <c r="B13" t="s">
        <v>1230</v>
      </c>
      <c r="C13" s="109"/>
      <c r="D13" s="109"/>
      <c r="E13" s="16"/>
      <c r="F13" s="109"/>
      <c r="G13" s="109"/>
      <c r="H13" s="16"/>
      <c r="I13" s="109"/>
      <c r="J13" s="16"/>
      <c r="K13" s="16"/>
      <c r="L13" s="109"/>
      <c r="M13" s="109"/>
      <c r="N13" s="109"/>
      <c r="O13" s="109"/>
      <c r="P13" s="109"/>
      <c r="Q13" s="109"/>
      <c r="R13" s="16"/>
      <c r="S13" s="109"/>
      <c r="T13" s="109"/>
      <c r="U13" s="109"/>
      <c r="V13" s="109"/>
      <c r="W13" s="109"/>
      <c r="X13" s="109"/>
      <c r="Y13" s="16"/>
      <c r="Z13" s="16"/>
      <c r="AA13" s="109"/>
      <c r="AB13" s="109"/>
      <c r="AD13" s="109"/>
      <c r="AE13" s="109"/>
      <c r="AF13" s="109"/>
      <c r="AG13" s="109"/>
      <c r="AH13" s="109"/>
      <c r="AI13" s="109"/>
      <c r="AK13" s="109"/>
      <c r="AL13" s="109"/>
    </row>
    <row r="14" spans="1:40">
      <c r="A14" t="s">
        <v>1213</v>
      </c>
      <c r="B14" t="s">
        <v>1231</v>
      </c>
      <c r="C14" s="109"/>
      <c r="D14" s="109"/>
      <c r="E14" s="16"/>
      <c r="F14" s="109"/>
      <c r="G14" s="109"/>
      <c r="H14" s="16"/>
      <c r="I14" s="109"/>
      <c r="J14" s="16"/>
      <c r="K14" s="16"/>
      <c r="L14" s="109"/>
      <c r="M14" s="109"/>
      <c r="N14" s="109"/>
      <c r="O14" s="109"/>
      <c r="P14" s="109"/>
      <c r="Q14" s="109"/>
      <c r="R14" s="16"/>
      <c r="S14" s="109"/>
      <c r="T14" s="109"/>
      <c r="U14" s="109"/>
      <c r="V14" s="109"/>
      <c r="W14" s="109"/>
      <c r="X14" s="109"/>
      <c r="Y14" s="16"/>
      <c r="Z14" s="16"/>
      <c r="AA14" s="109"/>
      <c r="AB14" s="109"/>
      <c r="AD14" s="109"/>
      <c r="AE14" s="109"/>
      <c r="AF14" s="109"/>
      <c r="AG14" s="109"/>
      <c r="AH14" s="109"/>
      <c r="AI14" s="109"/>
      <c r="AK14" s="109"/>
      <c r="AL14" s="109"/>
    </row>
    <row r="15" spans="1:40">
      <c r="A15" t="s">
        <v>1213</v>
      </c>
      <c r="B15" t="s">
        <v>1232</v>
      </c>
      <c r="C15" s="109"/>
      <c r="D15" s="109"/>
      <c r="E15" s="16"/>
      <c r="F15" s="109"/>
      <c r="G15" s="109"/>
      <c r="H15" s="16"/>
      <c r="I15" s="109"/>
      <c r="J15" s="16"/>
      <c r="K15" s="16"/>
      <c r="L15" s="109"/>
      <c r="M15" s="109"/>
      <c r="N15" s="109"/>
      <c r="O15" s="109"/>
      <c r="P15" s="109"/>
      <c r="Q15" s="109"/>
      <c r="R15" s="16"/>
      <c r="S15" s="109"/>
      <c r="T15" s="109"/>
      <c r="U15" s="109"/>
      <c r="V15" s="109"/>
      <c r="W15" s="109"/>
      <c r="X15" s="109"/>
      <c r="Y15" s="16"/>
      <c r="Z15" s="16"/>
      <c r="AA15" s="109"/>
      <c r="AB15" s="109"/>
      <c r="AD15" s="109"/>
      <c r="AE15" s="109"/>
      <c r="AF15" s="109"/>
      <c r="AG15" s="109"/>
      <c r="AH15" s="109"/>
      <c r="AI15" s="109"/>
      <c r="AK15" s="109"/>
      <c r="AL15" s="109"/>
    </row>
    <row r="16" spans="1:40">
      <c r="A16" t="s">
        <v>1213</v>
      </c>
      <c r="B16" t="s">
        <v>1233</v>
      </c>
      <c r="C16" s="109"/>
      <c r="D16" s="109"/>
      <c r="E16" s="16"/>
      <c r="F16" s="109"/>
      <c r="G16" s="109"/>
      <c r="H16" s="16"/>
      <c r="I16" s="109"/>
      <c r="J16" s="16"/>
      <c r="K16" s="16"/>
      <c r="L16" s="109"/>
      <c r="M16" s="109"/>
      <c r="N16" s="109"/>
      <c r="O16" s="109"/>
      <c r="P16" s="109"/>
      <c r="Q16" s="109"/>
      <c r="R16" s="16"/>
      <c r="S16" s="109"/>
      <c r="T16" s="109"/>
      <c r="U16" s="109"/>
      <c r="V16" s="109"/>
      <c r="W16" s="109"/>
      <c r="X16" s="109"/>
      <c r="Y16" s="16"/>
      <c r="Z16" s="16"/>
      <c r="AA16" s="109"/>
      <c r="AB16" s="109"/>
      <c r="AD16" s="109"/>
      <c r="AE16" s="109"/>
      <c r="AF16" s="109"/>
      <c r="AG16" s="109"/>
      <c r="AH16" s="109"/>
      <c r="AI16" s="109"/>
      <c r="AK16" s="109"/>
      <c r="AL16" s="109"/>
    </row>
    <row r="17" spans="1:38">
      <c r="A17" t="s">
        <v>1213</v>
      </c>
      <c r="B17" t="s">
        <v>1234</v>
      </c>
      <c r="C17" s="109"/>
      <c r="D17" s="109"/>
      <c r="E17" s="16"/>
      <c r="F17" s="109"/>
      <c r="G17" s="109"/>
      <c r="H17" s="16"/>
      <c r="I17" s="109"/>
      <c r="J17" s="16"/>
      <c r="K17" s="16"/>
      <c r="L17" s="109"/>
      <c r="M17" s="109"/>
      <c r="N17" s="109"/>
      <c r="O17" s="109"/>
      <c r="P17" s="109"/>
      <c r="Q17" s="109"/>
      <c r="R17" s="16"/>
      <c r="S17" s="109"/>
      <c r="T17" s="109"/>
      <c r="U17" s="109"/>
      <c r="V17" s="109"/>
      <c r="W17" s="109"/>
      <c r="X17" s="109"/>
      <c r="Y17" s="16"/>
      <c r="Z17" s="16"/>
      <c r="AA17" s="109"/>
      <c r="AB17" s="109"/>
      <c r="AD17" s="109"/>
      <c r="AE17" s="109"/>
      <c r="AF17" s="109"/>
      <c r="AG17" s="109"/>
      <c r="AH17" s="109"/>
      <c r="AI17" s="109"/>
      <c r="AK17" s="109"/>
      <c r="AL17" s="109"/>
    </row>
    <row r="18" spans="1:38">
      <c r="A18" t="s">
        <v>1213</v>
      </c>
      <c r="B18" t="s">
        <v>1235</v>
      </c>
      <c r="C18" s="109"/>
      <c r="D18" s="109"/>
      <c r="E18" s="16"/>
      <c r="F18" s="109"/>
      <c r="G18" s="109"/>
      <c r="H18" s="16"/>
      <c r="I18" s="109"/>
      <c r="J18" s="16"/>
      <c r="K18" s="16"/>
      <c r="L18" s="109"/>
      <c r="M18" s="109"/>
      <c r="N18" s="109"/>
      <c r="O18" s="109"/>
      <c r="P18" s="109"/>
      <c r="Q18" s="109"/>
      <c r="R18" s="16"/>
      <c r="S18" s="109"/>
      <c r="T18" s="109"/>
      <c r="U18" s="109"/>
      <c r="V18" s="109"/>
      <c r="W18" s="109"/>
      <c r="X18" s="109"/>
      <c r="Y18" s="16"/>
      <c r="Z18" s="16"/>
      <c r="AA18" s="109"/>
      <c r="AB18" s="109"/>
      <c r="AD18" s="109"/>
      <c r="AE18" s="109"/>
      <c r="AF18" s="109"/>
      <c r="AG18" s="109"/>
      <c r="AH18" s="109"/>
      <c r="AI18" s="109"/>
      <c r="AK18" s="109"/>
      <c r="AL18" s="109"/>
    </row>
    <row r="19" spans="1:38">
      <c r="A19" t="s">
        <v>1213</v>
      </c>
      <c r="B19" t="s">
        <v>1238</v>
      </c>
      <c r="E19" s="16"/>
      <c r="H19" s="16"/>
      <c r="I19" s="109"/>
      <c r="J19" s="16"/>
      <c r="K19" s="16"/>
      <c r="L19" s="109"/>
      <c r="M19" s="109"/>
      <c r="P19" s="109"/>
      <c r="Q19" s="109"/>
      <c r="T19" s="109"/>
      <c r="U19" s="109"/>
      <c r="Y19" s="16"/>
      <c r="Z19" s="16"/>
      <c r="AA19" s="109"/>
      <c r="AB19" s="109"/>
      <c r="AL19" s="109"/>
    </row>
    <row r="20" spans="1:38">
      <c r="A20" t="s">
        <v>1213</v>
      </c>
      <c r="B20" t="s">
        <v>1241</v>
      </c>
      <c r="E20"/>
      <c r="L20"/>
      <c r="Z20"/>
      <c r="AL20" s="108"/>
    </row>
    <row r="21" spans="1:38">
      <c r="A21" t="s">
        <v>1213</v>
      </c>
      <c r="B21" t="s">
        <v>1242</v>
      </c>
      <c r="L21" s="108"/>
      <c r="T21" s="108"/>
      <c r="U21" s="108"/>
      <c r="AL21" s="108"/>
    </row>
    <row r="22" spans="1:38">
      <c r="A22" t="s">
        <v>1213</v>
      </c>
      <c r="B22" t="s">
        <v>1243</v>
      </c>
      <c r="L22" s="108"/>
      <c r="T22" s="108"/>
      <c r="U22" s="108"/>
    </row>
    <row r="23" spans="1:38">
      <c r="A23" t="s">
        <v>1213</v>
      </c>
      <c r="B23" t="s">
        <v>1244</v>
      </c>
      <c r="L23" s="108"/>
      <c r="T23" s="108"/>
      <c r="U23" s="108"/>
    </row>
    <row r="24" spans="1:38">
      <c r="A24" t="s">
        <v>1213</v>
      </c>
      <c r="B24">
        <v>15108</v>
      </c>
    </row>
    <row r="25" spans="1:38">
      <c r="A25" t="s">
        <v>1213</v>
      </c>
      <c r="B25" t="s">
        <v>1251</v>
      </c>
    </row>
    <row r="26" spans="1:38">
      <c r="A26" t="s">
        <v>1213</v>
      </c>
      <c r="B26" t="s">
        <v>1252</v>
      </c>
    </row>
    <row r="27" spans="1:38">
      <c r="A27" t="s">
        <v>1213</v>
      </c>
      <c r="B27" t="s">
        <v>1253</v>
      </c>
    </row>
    <row r="28" spans="1:38">
      <c r="A28" t="s">
        <v>1213</v>
      </c>
      <c r="B28" t="s">
        <v>1254</v>
      </c>
    </row>
    <row r="29" spans="1:38">
      <c r="A29" t="s">
        <v>1213</v>
      </c>
      <c r="B29" t="s">
        <v>1255</v>
      </c>
    </row>
    <row r="30" spans="1:38">
      <c r="A30" t="s">
        <v>1213</v>
      </c>
      <c r="B30" t="s">
        <v>1256</v>
      </c>
    </row>
    <row r="31" spans="1:38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AF3 AA2:AA19">
      <formula1>Valuation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Q2:Q19">
      <formula1>What_is_rated</formula1>
    </dataValidation>
    <dataValidation type="list" allowBlank="1" showInputMessage="1" showErrorMessage="1" sqref="P2:P19">
      <formula1>Rating_Agency</formula1>
    </dataValidation>
    <dataValidation type="list" allowBlank="1" showInputMessage="1" showErrorMessage="1" sqref="M2:M19">
      <formula1>Holding_interest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AB2:AB19">
      <formula1>Dependence_Independence</formula1>
    </dataValidation>
    <dataValidation type="list" allowBlank="1" showInputMessage="1" showErrorMessage="1" sqref="U2:U19">
      <formula1>Underlying_Interest_Rates</formula1>
    </dataValidation>
    <dataValidation type="list" allowBlank="1" showInputMessage="1" showErrorMessage="1" sqref="T2:T19">
      <formula1>Linked_Type</formula1>
    </dataValidation>
    <dataValidation type="list" allowBlank="1" showInputMessage="1" showErrorMessage="1" sqref="Z2:Z19">
      <formula1>Yes_No_Bad_Debt</formula1>
    </dataValidation>
    <dataValidation type="list" allowBlank="1" showInputMessage="1" showErrorMessage="1" sqref="E3:E19">
      <formula1>Issuer_Number_Type_2</formula1>
    </dataValidation>
    <dataValidation type="list" allowBlank="1" showInputMessage="1" showErrorMessage="1" sqref="H2:H19">
      <formula1>Type_of_Security_ID_Fund</formula1>
    </dataValidation>
    <dataValidation type="list" allowBlank="1" showInputMessage="1" showErrorMessage="1" sqref="Y2:Y19">
      <formula1>Subordination_Risk</formula1>
    </dataValidation>
    <dataValidation type="list" allowBlank="1" showInputMessage="1" showErrorMessage="1" sqref="AL2:AL19">
      <formula1>In_the_books</formula1>
    </dataValidation>
    <dataValidation type="list" allowBlank="1" showInputMessage="1" showErrorMessage="1" sqref="L2:L19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I2:I19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20"/>
  <sheetViews>
    <sheetView rightToLeft="1" topLeftCell="F1" workbookViewId="0">
      <selection activeCell="M137" sqref="M137"/>
    </sheetView>
  </sheetViews>
  <sheetFormatPr defaultColWidth="9" defaultRowHeight="14.25"/>
  <cols>
    <col min="1" max="4" width="11.625" style="2" customWidth="1"/>
    <col min="5" max="5" width="11.625" style="4" customWidth="1"/>
    <col min="6" max="6" width="29.25" style="2" bestFit="1" customWidth="1"/>
    <col min="7" max="11" width="11.625" style="2" customWidth="1"/>
    <col min="12" max="12" width="11.625" style="4" customWidth="1"/>
    <col min="13" max="23" width="11.625" style="2" customWidth="1"/>
    <col min="24" max="24" width="11.625" style="4"/>
    <col min="25" max="25" width="11.625" style="4" customWidth="1"/>
    <col min="26" max="38" width="11.625" style="2" customWidth="1"/>
    <col min="39" max="16384" width="9" style="2"/>
  </cols>
  <sheetData>
    <row r="1" spans="1:3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71</v>
      </c>
      <c r="Q1" s="17" t="s">
        <v>58</v>
      </c>
      <c r="R1" s="17" t="s">
        <v>84</v>
      </c>
      <c r="S1" s="17" t="s">
        <v>59</v>
      </c>
      <c r="T1" s="17" t="s">
        <v>72</v>
      </c>
      <c r="U1" s="17" t="s">
        <v>73</v>
      </c>
      <c r="V1" s="17" t="s">
        <v>74</v>
      </c>
      <c r="W1" s="17" t="s">
        <v>62</v>
      </c>
      <c r="X1" s="17" t="s">
        <v>86</v>
      </c>
      <c r="Y1" s="17" t="s">
        <v>87</v>
      </c>
      <c r="Z1" s="17" t="s">
        <v>103</v>
      </c>
      <c r="AA1" s="17" t="s">
        <v>104</v>
      </c>
      <c r="AB1" s="17" t="s">
        <v>106</v>
      </c>
      <c r="AC1" s="17" t="s">
        <v>107</v>
      </c>
      <c r="AD1" s="17" t="s">
        <v>76</v>
      </c>
      <c r="AE1" s="17" t="s">
        <v>61</v>
      </c>
      <c r="AF1" s="17" t="s">
        <v>77</v>
      </c>
      <c r="AG1" s="17" t="s">
        <v>63</v>
      </c>
      <c r="AH1" s="17" t="s">
        <v>78</v>
      </c>
      <c r="AI1" s="17" t="s">
        <v>88</v>
      </c>
      <c r="AJ1" s="17" t="s">
        <v>17</v>
      </c>
      <c r="AK1" s="17" t="s">
        <v>64</v>
      </c>
      <c r="AL1" s="17" t="s">
        <v>65</v>
      </c>
    </row>
    <row r="2" spans="1:38">
      <c r="A2" t="s">
        <v>1213</v>
      </c>
      <c r="B2" t="s">
        <v>1214</v>
      </c>
      <c r="C2" t="s">
        <v>4728</v>
      </c>
      <c r="D2" t="s">
        <v>4729</v>
      </c>
      <c r="E2" t="s">
        <v>309</v>
      </c>
      <c r="F2" t="s">
        <v>4730</v>
      </c>
      <c r="G2" t="s">
        <v>4731</v>
      </c>
      <c r="H2" t="s">
        <v>321</v>
      </c>
      <c r="I2" t="s">
        <v>754</v>
      </c>
      <c r="J2" t="s">
        <v>204</v>
      </c>
      <c r="K2" t="s">
        <v>204</v>
      </c>
      <c r="L2" t="s">
        <v>314</v>
      </c>
      <c r="M2" t="s">
        <v>443</v>
      </c>
      <c r="N2" t="s">
        <v>339</v>
      </c>
      <c r="O2" t="s">
        <v>4732</v>
      </c>
      <c r="P2" t="s">
        <v>1527</v>
      </c>
      <c r="Q2" t="s">
        <v>415</v>
      </c>
      <c r="R2" t="s">
        <v>407</v>
      </c>
      <c r="S2" t="s">
        <v>1212</v>
      </c>
      <c r="T2" s="131">
        <v>3.38</v>
      </c>
      <c r="U2" t="s">
        <v>2227</v>
      </c>
      <c r="V2" s="132">
        <v>4.3099999999999999E-2</v>
      </c>
      <c r="W2" s="132">
        <v>4.2889999999999998E-2</v>
      </c>
      <c r="X2" t="s">
        <v>412</v>
      </c>
      <c r="Y2" t="s">
        <v>339</v>
      </c>
      <c r="Z2" t="s">
        <v>886</v>
      </c>
      <c r="AA2" t="s">
        <v>889</v>
      </c>
      <c r="AB2" t="s">
        <v>4723</v>
      </c>
      <c r="AC2" t="s">
        <v>4723</v>
      </c>
      <c r="AD2" s="131">
        <v>525000</v>
      </c>
      <c r="AE2" s="131">
        <v>1</v>
      </c>
      <c r="AF2" s="131">
        <v>103.08</v>
      </c>
      <c r="AG2" s="131">
        <v>541.16999999999996</v>
      </c>
      <c r="AH2" s="109"/>
      <c r="AI2" s="109"/>
      <c r="AJ2" s="109" t="s">
        <v>15</v>
      </c>
      <c r="AK2" s="132">
        <v>0.15409999999999999</v>
      </c>
      <c r="AL2" s="132">
        <v>5.0899999999999999E-3</v>
      </c>
    </row>
    <row r="3" spans="1:38">
      <c r="A3" t="s">
        <v>1213</v>
      </c>
      <c r="B3" t="s">
        <v>1214</v>
      </c>
      <c r="C3" t="s">
        <v>4733</v>
      </c>
      <c r="D3" t="s">
        <v>4734</v>
      </c>
      <c r="E3" t="s">
        <v>309</v>
      </c>
      <c r="F3" t="s">
        <v>4735</v>
      </c>
      <c r="G3" t="s">
        <v>4736</v>
      </c>
      <c r="H3" t="s">
        <v>321</v>
      </c>
      <c r="I3" t="s">
        <v>754</v>
      </c>
      <c r="J3" t="s">
        <v>204</v>
      </c>
      <c r="K3" t="s">
        <v>204</v>
      </c>
      <c r="L3" s="109" t="s">
        <v>326</v>
      </c>
      <c r="M3" t="s">
        <v>464</v>
      </c>
      <c r="N3" t="s">
        <v>339</v>
      </c>
      <c r="O3" t="s">
        <v>4737</v>
      </c>
      <c r="P3" t="s">
        <v>1521</v>
      </c>
      <c r="Q3" t="s">
        <v>413</v>
      </c>
      <c r="R3" t="s">
        <v>407</v>
      </c>
      <c r="S3" t="s">
        <v>1212</v>
      </c>
      <c r="T3" s="131">
        <v>3.77</v>
      </c>
      <c r="U3" t="s">
        <v>1638</v>
      </c>
      <c r="V3" s="132">
        <v>4.5499999999999999E-2</v>
      </c>
      <c r="W3" s="132">
        <v>3.8679999999999999E-2</v>
      </c>
      <c r="X3" t="s">
        <v>412</v>
      </c>
      <c r="Y3" t="s">
        <v>339</v>
      </c>
      <c r="Z3" t="s">
        <v>886</v>
      </c>
      <c r="AA3" t="s">
        <v>889</v>
      </c>
      <c r="AB3" t="s">
        <v>4723</v>
      </c>
      <c r="AC3" t="s">
        <v>4723</v>
      </c>
      <c r="AD3" s="131">
        <v>435000</v>
      </c>
      <c r="AE3" s="131">
        <v>1</v>
      </c>
      <c r="AF3" s="131">
        <v>102.59</v>
      </c>
      <c r="AG3" s="131">
        <v>446.267</v>
      </c>
      <c r="AH3" s="109"/>
      <c r="AI3" s="109"/>
      <c r="AJ3" s="109" t="s">
        <v>15</v>
      </c>
      <c r="AK3" s="132">
        <v>0.12708</v>
      </c>
      <c r="AL3" s="132">
        <v>4.1900000000000001E-3</v>
      </c>
    </row>
    <row r="4" spans="1:38">
      <c r="A4" t="s">
        <v>1213</v>
      </c>
      <c r="B4" t="s">
        <v>1214</v>
      </c>
      <c r="C4" t="s">
        <v>4738</v>
      </c>
      <c r="D4" t="s">
        <v>4739</v>
      </c>
      <c r="E4" t="s">
        <v>309</v>
      </c>
      <c r="F4" t="s">
        <v>4740</v>
      </c>
      <c r="G4" t="s">
        <v>4741</v>
      </c>
      <c r="H4" t="s">
        <v>321</v>
      </c>
      <c r="I4" t="s">
        <v>951</v>
      </c>
      <c r="J4" t="s">
        <v>204</v>
      </c>
      <c r="K4" t="s">
        <v>204</v>
      </c>
      <c r="L4" s="109" t="s">
        <v>326</v>
      </c>
      <c r="M4" t="s">
        <v>446</v>
      </c>
      <c r="N4" t="s">
        <v>339</v>
      </c>
      <c r="O4" t="s">
        <v>4742</v>
      </c>
      <c r="P4" t="s">
        <v>1211</v>
      </c>
      <c r="Q4" t="s">
        <v>415</v>
      </c>
      <c r="R4" t="s">
        <v>407</v>
      </c>
      <c r="S4" t="s">
        <v>1212</v>
      </c>
      <c r="T4" s="131">
        <v>4.76</v>
      </c>
      <c r="U4" t="s">
        <v>4743</v>
      </c>
      <c r="V4" s="132">
        <v>5.04E-2</v>
      </c>
      <c r="W4" s="132">
        <v>1.0279999999999999E-2</v>
      </c>
      <c r="X4" t="s">
        <v>412</v>
      </c>
      <c r="Y4" t="s">
        <v>339</v>
      </c>
      <c r="Z4" t="s">
        <v>886</v>
      </c>
      <c r="AA4" t="s">
        <v>889</v>
      </c>
      <c r="AB4" t="s">
        <v>4723</v>
      </c>
      <c r="AC4" t="s">
        <v>4723</v>
      </c>
      <c r="AD4" s="131">
        <v>461289.67</v>
      </c>
      <c r="AE4" s="131">
        <v>1</v>
      </c>
      <c r="AF4" s="131">
        <v>92.16</v>
      </c>
      <c r="AG4" s="131">
        <v>425.125</v>
      </c>
      <c r="AH4" s="109"/>
      <c r="AI4" s="109"/>
      <c r="AJ4" s="109" t="s">
        <v>15</v>
      </c>
      <c r="AK4" s="132">
        <v>0.12106</v>
      </c>
      <c r="AL4" s="132">
        <v>4.0000000000000001E-3</v>
      </c>
    </row>
    <row r="5" spans="1:38">
      <c r="A5" t="s">
        <v>1213</v>
      </c>
      <c r="B5" t="s">
        <v>1214</v>
      </c>
      <c r="C5" t="s">
        <v>4744</v>
      </c>
      <c r="D5" t="s">
        <v>4745</v>
      </c>
      <c r="E5" t="s">
        <v>309</v>
      </c>
      <c r="F5" t="s">
        <v>4746</v>
      </c>
      <c r="G5" t="s">
        <v>4747</v>
      </c>
      <c r="H5" t="s">
        <v>321</v>
      </c>
      <c r="I5" t="s">
        <v>754</v>
      </c>
      <c r="J5" t="s">
        <v>204</v>
      </c>
      <c r="K5" t="s">
        <v>204</v>
      </c>
      <c r="L5" s="109" t="s">
        <v>326</v>
      </c>
      <c r="M5" t="s">
        <v>440</v>
      </c>
      <c r="N5" t="s">
        <v>339</v>
      </c>
      <c r="O5" t="s">
        <v>4748</v>
      </c>
      <c r="P5" t="s">
        <v>1211</v>
      </c>
      <c r="Q5" t="s">
        <v>415</v>
      </c>
      <c r="R5" t="s">
        <v>407</v>
      </c>
      <c r="S5" t="s">
        <v>1212</v>
      </c>
      <c r="T5" s="131">
        <v>7.39</v>
      </c>
      <c r="U5" t="s">
        <v>4749</v>
      </c>
      <c r="V5" s="132">
        <v>3.09E-2</v>
      </c>
      <c r="W5" s="132">
        <v>8.3000000000000001E-3</v>
      </c>
      <c r="X5" t="s">
        <v>412</v>
      </c>
      <c r="Y5" t="s">
        <v>339</v>
      </c>
      <c r="Z5" t="s">
        <v>886</v>
      </c>
      <c r="AA5" t="s">
        <v>889</v>
      </c>
      <c r="AB5" t="s">
        <v>4723</v>
      </c>
      <c r="AC5" t="s">
        <v>4723</v>
      </c>
      <c r="AD5" s="131">
        <v>432838.69</v>
      </c>
      <c r="AE5" s="131">
        <v>1</v>
      </c>
      <c r="AF5" s="131">
        <v>97.58</v>
      </c>
      <c r="AG5" s="131">
        <v>422.36399999999998</v>
      </c>
      <c r="AH5"/>
      <c r="AI5"/>
      <c r="AJ5" s="109" t="s">
        <v>15</v>
      </c>
      <c r="AK5" s="132">
        <v>0.12027</v>
      </c>
      <c r="AL5" s="132">
        <v>3.9699999999999996E-3</v>
      </c>
    </row>
    <row r="6" spans="1:38">
      <c r="A6" t="s">
        <v>1213</v>
      </c>
      <c r="B6" t="s">
        <v>1214</v>
      </c>
      <c r="C6" t="s">
        <v>4738</v>
      </c>
      <c r="D6" t="s">
        <v>4739</v>
      </c>
      <c r="E6" t="s">
        <v>309</v>
      </c>
      <c r="F6" t="s">
        <v>4750</v>
      </c>
      <c r="G6" t="s">
        <v>4751</v>
      </c>
      <c r="H6" t="s">
        <v>321</v>
      </c>
      <c r="I6" t="s">
        <v>951</v>
      </c>
      <c r="J6" t="s">
        <v>204</v>
      </c>
      <c r="K6" t="s">
        <v>204</v>
      </c>
      <c r="L6" s="109" t="s">
        <v>326</v>
      </c>
      <c r="M6" t="s">
        <v>446</v>
      </c>
      <c r="N6" t="s">
        <v>339</v>
      </c>
      <c r="O6" t="s">
        <v>4742</v>
      </c>
      <c r="P6" t="s">
        <v>1211</v>
      </c>
      <c r="Q6" t="s">
        <v>415</v>
      </c>
      <c r="R6" t="s">
        <v>407</v>
      </c>
      <c r="S6" t="s">
        <v>1212</v>
      </c>
      <c r="T6" s="131">
        <v>0.94</v>
      </c>
      <c r="U6" t="s">
        <v>3157</v>
      </c>
      <c r="V6" s="132">
        <v>4.4200000000000003E-2</v>
      </c>
      <c r="W6" s="132">
        <v>2.31E-3</v>
      </c>
      <c r="X6" t="s">
        <v>412</v>
      </c>
      <c r="Y6" t="s">
        <v>339</v>
      </c>
      <c r="Z6" t="s">
        <v>886</v>
      </c>
      <c r="AA6" t="s">
        <v>889</v>
      </c>
      <c r="AB6" t="s">
        <v>4723</v>
      </c>
      <c r="AC6" t="s">
        <v>4723</v>
      </c>
      <c r="AD6" s="131">
        <v>359773.17</v>
      </c>
      <c r="AE6" s="131">
        <v>1</v>
      </c>
      <c r="AF6" s="131">
        <v>97.82</v>
      </c>
      <c r="AG6" s="131">
        <v>351.93</v>
      </c>
      <c r="AH6"/>
      <c r="AI6"/>
      <c r="AJ6" s="109" t="s">
        <v>15</v>
      </c>
      <c r="AK6" s="132">
        <v>0.10022</v>
      </c>
      <c r="AL6" s="132">
        <v>3.31E-3</v>
      </c>
    </row>
    <row r="7" spans="1:38">
      <c r="A7" t="s">
        <v>1213</v>
      </c>
      <c r="B7" t="s">
        <v>1214</v>
      </c>
      <c r="C7" t="s">
        <v>4738</v>
      </c>
      <c r="D7" t="s">
        <v>4739</v>
      </c>
      <c r="E7" t="s">
        <v>309</v>
      </c>
      <c r="F7" t="s">
        <v>4752</v>
      </c>
      <c r="G7" t="s">
        <v>4753</v>
      </c>
      <c r="H7" t="s">
        <v>321</v>
      </c>
      <c r="I7" t="s">
        <v>754</v>
      </c>
      <c r="J7" t="s">
        <v>204</v>
      </c>
      <c r="K7" t="s">
        <v>204</v>
      </c>
      <c r="L7" s="109" t="s">
        <v>326</v>
      </c>
      <c r="M7" t="s">
        <v>446</v>
      </c>
      <c r="N7" t="s">
        <v>339</v>
      </c>
      <c r="O7" t="s">
        <v>4742</v>
      </c>
      <c r="P7" t="s">
        <v>1211</v>
      </c>
      <c r="Q7" t="s">
        <v>415</v>
      </c>
      <c r="R7" t="s">
        <v>407</v>
      </c>
      <c r="S7" t="s">
        <v>1212</v>
      </c>
      <c r="T7" s="131">
        <v>5.07</v>
      </c>
      <c r="U7" t="s">
        <v>4743</v>
      </c>
      <c r="V7" s="132">
        <v>2.6100000000000002E-2</v>
      </c>
      <c r="W7" s="132">
        <v>2.1399999999999999E-2</v>
      </c>
      <c r="X7" t="s">
        <v>412</v>
      </c>
      <c r="Y7" t="s">
        <v>339</v>
      </c>
      <c r="Z7" t="s">
        <v>886</v>
      </c>
      <c r="AA7" t="s">
        <v>889</v>
      </c>
      <c r="AB7" t="s">
        <v>4723</v>
      </c>
      <c r="AC7" t="s">
        <v>4723</v>
      </c>
      <c r="AD7" s="131">
        <v>303701.52</v>
      </c>
      <c r="AE7" s="131">
        <v>1</v>
      </c>
      <c r="AF7" s="131">
        <v>114.42</v>
      </c>
      <c r="AG7" s="131">
        <v>347.495</v>
      </c>
      <c r="AH7" s="109"/>
      <c r="AI7" s="109"/>
      <c r="AJ7" s="109" t="s">
        <v>15</v>
      </c>
      <c r="AK7" s="132">
        <v>9.8949999999999996E-2</v>
      </c>
      <c r="AL7" s="132">
        <v>3.2699999999999999E-3</v>
      </c>
    </row>
    <row r="8" spans="1:38">
      <c r="A8" t="s">
        <v>1213</v>
      </c>
      <c r="B8" t="s">
        <v>1214</v>
      </c>
      <c r="C8" t="s">
        <v>4754</v>
      </c>
      <c r="D8" t="s">
        <v>4755</v>
      </c>
      <c r="E8" t="s">
        <v>309</v>
      </c>
      <c r="F8" t="s">
        <v>4756</v>
      </c>
      <c r="G8" t="s">
        <v>4757</v>
      </c>
      <c r="H8" t="s">
        <v>321</v>
      </c>
      <c r="I8" t="s">
        <v>951</v>
      </c>
      <c r="J8" t="s">
        <v>204</v>
      </c>
      <c r="K8" t="s">
        <v>204</v>
      </c>
      <c r="L8" s="109" t="s">
        <v>326</v>
      </c>
      <c r="M8" t="s">
        <v>451</v>
      </c>
      <c r="N8" t="s">
        <v>339</v>
      </c>
      <c r="O8" t="s">
        <v>4758</v>
      </c>
      <c r="P8" t="s">
        <v>1544</v>
      </c>
      <c r="Q8" t="s">
        <v>415</v>
      </c>
      <c r="R8" t="s">
        <v>407</v>
      </c>
      <c r="S8" t="s">
        <v>1212</v>
      </c>
      <c r="T8" s="131">
        <v>1.76</v>
      </c>
      <c r="U8" t="s">
        <v>4759</v>
      </c>
      <c r="V8" s="132">
        <v>7.8700000000000006E-2</v>
      </c>
      <c r="W8" s="132">
        <v>2.1010000000000001E-2</v>
      </c>
      <c r="X8" t="s">
        <v>412</v>
      </c>
      <c r="Y8" t="s">
        <v>339</v>
      </c>
      <c r="Z8" t="s">
        <v>886</v>
      </c>
      <c r="AA8" t="s">
        <v>889</v>
      </c>
      <c r="AB8" t="s">
        <v>4723</v>
      </c>
      <c r="AC8" t="s">
        <v>4723</v>
      </c>
      <c r="AD8" s="131">
        <v>285714.5</v>
      </c>
      <c r="AE8" s="131">
        <v>1</v>
      </c>
      <c r="AF8" s="131">
        <v>95.42</v>
      </c>
      <c r="AG8" s="131">
        <v>272.62900000000002</v>
      </c>
      <c r="AH8" s="109"/>
      <c r="AI8" s="109"/>
      <c r="AJ8" s="109" t="s">
        <v>15</v>
      </c>
      <c r="AK8" s="132">
        <v>7.7630000000000005E-2</v>
      </c>
      <c r="AL8" s="132">
        <v>2.5600000000000002E-3</v>
      </c>
    </row>
    <row r="9" spans="1:38">
      <c r="A9" t="s">
        <v>1213</v>
      </c>
      <c r="B9" t="s">
        <v>1214</v>
      </c>
      <c r="C9" t="s">
        <v>4760</v>
      </c>
      <c r="D9" t="s">
        <v>4761</v>
      </c>
      <c r="E9" t="s">
        <v>311</v>
      </c>
      <c r="F9" t="s">
        <v>4762</v>
      </c>
      <c r="G9" t="s">
        <v>4763</v>
      </c>
      <c r="H9" t="s">
        <v>321</v>
      </c>
      <c r="I9" t="s">
        <v>951</v>
      </c>
      <c r="J9" t="s">
        <v>204</v>
      </c>
      <c r="K9" t="s">
        <v>224</v>
      </c>
      <c r="L9" t="s">
        <v>314</v>
      </c>
      <c r="M9" t="s">
        <v>447</v>
      </c>
      <c r="N9" t="s">
        <v>339</v>
      </c>
      <c r="O9" t="s">
        <v>4723</v>
      </c>
      <c r="P9" t="s">
        <v>410</v>
      </c>
      <c r="Q9" t="s">
        <v>413</v>
      </c>
      <c r="R9" t="s">
        <v>407</v>
      </c>
      <c r="S9" t="s">
        <v>1212</v>
      </c>
      <c r="T9" s="183">
        <v>3.63</v>
      </c>
      <c r="U9" t="s">
        <v>1722</v>
      </c>
      <c r="V9" s="184">
        <v>0.21460000000000001</v>
      </c>
      <c r="W9" s="132">
        <v>9.5000000000000001E-2</v>
      </c>
      <c r="X9" t="s">
        <v>412</v>
      </c>
      <c r="Y9" t="s">
        <v>339</v>
      </c>
      <c r="Z9" s="109"/>
      <c r="AA9" s="109"/>
      <c r="AB9" t="s">
        <v>4723</v>
      </c>
      <c r="AC9" t="s">
        <v>4723</v>
      </c>
      <c r="AD9" s="131">
        <v>266000</v>
      </c>
      <c r="AE9" s="131">
        <v>1</v>
      </c>
      <c r="AF9" s="131">
        <v>100.026</v>
      </c>
      <c r="AG9" s="131">
        <v>266.06900000000002</v>
      </c>
      <c r="AH9" s="109"/>
      <c r="AI9" s="109"/>
      <c r="AJ9" s="109" t="s">
        <v>15</v>
      </c>
      <c r="AK9" s="132">
        <v>7.5770000000000004E-2</v>
      </c>
      <c r="AL9" s="132">
        <v>2.5000000000000001E-3</v>
      </c>
    </row>
    <row r="10" spans="1:38">
      <c r="A10" t="s">
        <v>1213</v>
      </c>
      <c r="B10" t="s">
        <v>1214</v>
      </c>
      <c r="C10" t="s">
        <v>4764</v>
      </c>
      <c r="D10" t="s">
        <v>4765</v>
      </c>
      <c r="E10" t="s">
        <v>309</v>
      </c>
      <c r="F10" t="s">
        <v>4766</v>
      </c>
      <c r="G10" t="s">
        <v>4767</v>
      </c>
      <c r="H10" t="s">
        <v>321</v>
      </c>
      <c r="I10" t="s">
        <v>951</v>
      </c>
      <c r="J10" t="s">
        <v>204</v>
      </c>
      <c r="K10" t="s">
        <v>204</v>
      </c>
      <c r="L10" s="109" t="s">
        <v>326</v>
      </c>
      <c r="M10" t="s">
        <v>451</v>
      </c>
      <c r="N10" t="s">
        <v>339</v>
      </c>
      <c r="O10" t="s">
        <v>4768</v>
      </c>
      <c r="P10" t="s">
        <v>1614</v>
      </c>
      <c r="Q10" t="s">
        <v>415</v>
      </c>
      <c r="R10" t="s">
        <v>407</v>
      </c>
      <c r="S10" t="s">
        <v>1212</v>
      </c>
      <c r="T10" s="131">
        <v>2.11</v>
      </c>
      <c r="U10" t="s">
        <v>1572</v>
      </c>
      <c r="V10" s="132">
        <v>6.08E-2</v>
      </c>
      <c r="W10" s="132">
        <v>5.867E-2</v>
      </c>
      <c r="X10" t="s">
        <v>412</v>
      </c>
      <c r="Y10" t="s">
        <v>339</v>
      </c>
      <c r="Z10" t="s">
        <v>886</v>
      </c>
      <c r="AA10" t="s">
        <v>889</v>
      </c>
      <c r="AB10" t="s">
        <v>4723</v>
      </c>
      <c r="AC10" t="s">
        <v>4723</v>
      </c>
      <c r="AD10" s="131">
        <v>192187.51</v>
      </c>
      <c r="AE10" s="131">
        <v>1</v>
      </c>
      <c r="AF10" s="131">
        <v>97.54</v>
      </c>
      <c r="AG10" s="131">
        <v>187.46</v>
      </c>
      <c r="AH10" s="109"/>
      <c r="AI10" s="109"/>
      <c r="AJ10" s="109" t="s">
        <v>15</v>
      </c>
      <c r="AK10" s="132">
        <v>5.3379999999999997E-2</v>
      </c>
      <c r="AL10" s="132">
        <v>1.7600000000000001E-3</v>
      </c>
    </row>
    <row r="11" spans="1:38">
      <c r="A11" t="s">
        <v>1213</v>
      </c>
      <c r="B11" t="s">
        <v>1214</v>
      </c>
      <c r="C11" t="s">
        <v>4769</v>
      </c>
      <c r="D11" t="s">
        <v>4770</v>
      </c>
      <c r="E11" t="s">
        <v>309</v>
      </c>
      <c r="F11" t="s">
        <v>4771</v>
      </c>
      <c r="G11" t="s">
        <v>4772</v>
      </c>
      <c r="H11" t="s">
        <v>321</v>
      </c>
      <c r="I11" t="s">
        <v>951</v>
      </c>
      <c r="J11" t="s">
        <v>204</v>
      </c>
      <c r="K11" t="s">
        <v>204</v>
      </c>
      <c r="L11" s="109" t="s">
        <v>326</v>
      </c>
      <c r="M11" t="s">
        <v>464</v>
      </c>
      <c r="N11" t="s">
        <v>339</v>
      </c>
      <c r="O11" t="s">
        <v>4773</v>
      </c>
      <c r="P11" t="s">
        <v>2011</v>
      </c>
      <c r="Q11" t="s">
        <v>415</v>
      </c>
      <c r="R11" t="s">
        <v>407</v>
      </c>
      <c r="S11" t="s">
        <v>1212</v>
      </c>
      <c r="T11" s="131">
        <v>1.67</v>
      </c>
      <c r="U11" t="s">
        <v>1572</v>
      </c>
      <c r="V11" s="132">
        <v>7.3499999999999996E-2</v>
      </c>
      <c r="W11" s="132">
        <v>5.6259999999999998E-2</v>
      </c>
      <c r="X11" t="s">
        <v>412</v>
      </c>
      <c r="Y11" t="s">
        <v>339</v>
      </c>
      <c r="Z11" t="s">
        <v>886</v>
      </c>
      <c r="AA11" t="s">
        <v>889</v>
      </c>
      <c r="AB11" t="s">
        <v>4723</v>
      </c>
      <c r="AC11" t="s">
        <v>4723</v>
      </c>
      <c r="AD11" s="131">
        <v>100500.92</v>
      </c>
      <c r="AE11" s="131">
        <v>1</v>
      </c>
      <c r="AF11" s="131">
        <v>96.56</v>
      </c>
      <c r="AG11" s="131">
        <v>97.043999999999997</v>
      </c>
      <c r="AH11" s="109"/>
      <c r="AI11" s="109"/>
      <c r="AJ11" s="109" t="s">
        <v>15</v>
      </c>
      <c r="AK11" s="132">
        <v>2.7629999999999998E-2</v>
      </c>
      <c r="AL11" s="132">
        <v>9.1E-4</v>
      </c>
    </row>
    <row r="12" spans="1:38">
      <c r="A12" t="s">
        <v>1213</v>
      </c>
      <c r="B12" t="s">
        <v>1214</v>
      </c>
      <c r="C12" t="s">
        <v>4774</v>
      </c>
      <c r="D12" t="s">
        <v>4775</v>
      </c>
      <c r="E12" t="s">
        <v>309</v>
      </c>
      <c r="F12" t="s">
        <v>4776</v>
      </c>
      <c r="G12" t="s">
        <v>4777</v>
      </c>
      <c r="H12" t="s">
        <v>321</v>
      </c>
      <c r="I12" t="s">
        <v>951</v>
      </c>
      <c r="J12" t="s">
        <v>204</v>
      </c>
      <c r="K12" t="s">
        <v>204</v>
      </c>
      <c r="L12" s="109" t="s">
        <v>326</v>
      </c>
      <c r="M12" t="s">
        <v>478</v>
      </c>
      <c r="N12" t="s">
        <v>339</v>
      </c>
      <c r="O12" t="s">
        <v>4778</v>
      </c>
      <c r="P12" t="s">
        <v>1982</v>
      </c>
      <c r="Q12" t="s">
        <v>415</v>
      </c>
      <c r="R12" t="s">
        <v>407</v>
      </c>
      <c r="S12" t="s">
        <v>1212</v>
      </c>
      <c r="T12" s="131">
        <v>0.82</v>
      </c>
      <c r="U12" t="s">
        <v>3157</v>
      </c>
      <c r="V12" s="132">
        <v>7.0400000000000004E-2</v>
      </c>
      <c r="W12" s="132">
        <v>0</v>
      </c>
      <c r="X12" t="s">
        <v>412</v>
      </c>
      <c r="Y12" t="s">
        <v>339</v>
      </c>
      <c r="Z12" t="s">
        <v>886</v>
      </c>
      <c r="AA12" t="s">
        <v>889</v>
      </c>
      <c r="AB12" t="s">
        <v>4723</v>
      </c>
      <c r="AC12" t="s">
        <v>4723</v>
      </c>
      <c r="AD12" s="131">
        <v>82862.23</v>
      </c>
      <c r="AE12" s="131">
        <v>1</v>
      </c>
      <c r="AF12" s="131">
        <v>100.03</v>
      </c>
      <c r="AG12" s="131">
        <v>82.887</v>
      </c>
      <c r="AH12" s="109"/>
      <c r="AI12" s="109"/>
      <c r="AJ12" s="109" t="s">
        <v>15</v>
      </c>
      <c r="AK12" s="132">
        <v>2.3599999999999999E-2</v>
      </c>
      <c r="AL12" s="132">
        <v>7.7999999999999999E-4</v>
      </c>
    </row>
    <row r="13" spans="1:38">
      <c r="A13" t="s">
        <v>1213</v>
      </c>
      <c r="B13" t="s">
        <v>1214</v>
      </c>
      <c r="C13" t="s">
        <v>3125</v>
      </c>
      <c r="D13" t="s">
        <v>3126</v>
      </c>
      <c r="E13" t="s">
        <v>309</v>
      </c>
      <c r="F13" t="s">
        <v>4779</v>
      </c>
      <c r="G13" t="s">
        <v>4780</v>
      </c>
      <c r="H13" t="s">
        <v>321</v>
      </c>
      <c r="I13" t="s">
        <v>951</v>
      </c>
      <c r="J13" t="s">
        <v>204</v>
      </c>
      <c r="K13" t="s">
        <v>204</v>
      </c>
      <c r="L13" s="109" t="s">
        <v>326</v>
      </c>
      <c r="M13" t="s">
        <v>441</v>
      </c>
      <c r="N13" t="s">
        <v>339</v>
      </c>
      <c r="O13" t="s">
        <v>4781</v>
      </c>
      <c r="P13" t="s">
        <v>1566</v>
      </c>
      <c r="Q13" t="s">
        <v>413</v>
      </c>
      <c r="R13" t="s">
        <v>407</v>
      </c>
      <c r="S13" t="s">
        <v>1212</v>
      </c>
      <c r="T13" s="131">
        <v>3.3</v>
      </c>
      <c r="U13" t="s">
        <v>4782</v>
      </c>
      <c r="V13" s="132">
        <v>6.7000000000000004E-2</v>
      </c>
      <c r="W13" s="132">
        <v>3.0110000000000001E-2</v>
      </c>
      <c r="X13" t="s">
        <v>412</v>
      </c>
      <c r="Y13" t="s">
        <v>339</v>
      </c>
      <c r="Z13" t="s">
        <v>886</v>
      </c>
      <c r="AA13" t="s">
        <v>889</v>
      </c>
      <c r="AB13" t="s">
        <v>4723</v>
      </c>
      <c r="AC13" t="s">
        <v>4723</v>
      </c>
      <c r="AD13" s="131">
        <v>47940.9</v>
      </c>
      <c r="AE13" s="131">
        <v>1</v>
      </c>
      <c r="AF13" s="131">
        <v>91.84</v>
      </c>
      <c r="AG13" s="131">
        <v>44.029000000000003</v>
      </c>
      <c r="AH13" s="109"/>
      <c r="AI13" s="109"/>
      <c r="AJ13" s="109" t="s">
        <v>15</v>
      </c>
      <c r="AK13" s="132">
        <v>1.2540000000000001E-2</v>
      </c>
      <c r="AL13" s="132">
        <v>4.0999999999999999E-4</v>
      </c>
    </row>
    <row r="14" spans="1:38">
      <c r="A14" t="s">
        <v>1213</v>
      </c>
      <c r="B14" t="s">
        <v>1214</v>
      </c>
      <c r="C14" t="s">
        <v>4783</v>
      </c>
      <c r="D14" t="s">
        <v>4784</v>
      </c>
      <c r="E14" t="s">
        <v>309</v>
      </c>
      <c r="F14" t="s">
        <v>4785</v>
      </c>
      <c r="G14" t="s">
        <v>4786</v>
      </c>
      <c r="H14" t="s">
        <v>321</v>
      </c>
      <c r="I14" t="s">
        <v>951</v>
      </c>
      <c r="J14" t="s">
        <v>204</v>
      </c>
      <c r="K14" t="s">
        <v>204</v>
      </c>
      <c r="L14" s="109" t="s">
        <v>326</v>
      </c>
      <c r="M14" t="s">
        <v>451</v>
      </c>
      <c r="N14" t="s">
        <v>339</v>
      </c>
      <c r="O14" t="s">
        <v>4787</v>
      </c>
      <c r="P14" t="s">
        <v>1614</v>
      </c>
      <c r="Q14" t="s">
        <v>415</v>
      </c>
      <c r="R14" t="s">
        <v>407</v>
      </c>
      <c r="S14" t="s">
        <v>1212</v>
      </c>
      <c r="T14" s="131">
        <v>2.4900000000000002</v>
      </c>
      <c r="U14" t="s">
        <v>1744</v>
      </c>
      <c r="V14" s="132">
        <v>6.8699999999999997E-2</v>
      </c>
      <c r="W14" s="132">
        <v>4.2840000000000003E-2</v>
      </c>
      <c r="X14" t="s">
        <v>412</v>
      </c>
      <c r="Y14" t="s">
        <v>339</v>
      </c>
      <c r="Z14" t="s">
        <v>886</v>
      </c>
      <c r="AA14" t="s">
        <v>889</v>
      </c>
      <c r="AB14" t="s">
        <v>4723</v>
      </c>
      <c r="AC14" t="s">
        <v>4723</v>
      </c>
      <c r="AD14" s="131">
        <v>28048.77</v>
      </c>
      <c r="AE14" s="131">
        <v>1</v>
      </c>
      <c r="AF14" s="131">
        <v>97.11</v>
      </c>
      <c r="AG14" s="131">
        <v>27.238</v>
      </c>
      <c r="AH14" s="109"/>
      <c r="AI14" s="109"/>
      <c r="AJ14" s="109" t="s">
        <v>15</v>
      </c>
      <c r="AK14" s="132">
        <v>7.7600000000000004E-3</v>
      </c>
      <c r="AL14" s="132">
        <v>2.5999999999999998E-4</v>
      </c>
    </row>
    <row r="15" spans="1:38">
      <c r="A15" t="s">
        <v>1213</v>
      </c>
      <c r="B15" t="s">
        <v>1217</v>
      </c>
      <c r="C15" t="s">
        <v>4738</v>
      </c>
      <c r="D15" t="s">
        <v>4739</v>
      </c>
      <c r="E15" t="s">
        <v>309</v>
      </c>
      <c r="F15" t="s">
        <v>4740</v>
      </c>
      <c r="G15" t="s">
        <v>4741</v>
      </c>
      <c r="H15" t="s">
        <v>321</v>
      </c>
      <c r="I15" t="s">
        <v>951</v>
      </c>
      <c r="J15" t="s">
        <v>204</v>
      </c>
      <c r="K15" t="s">
        <v>204</v>
      </c>
      <c r="L15" s="109" t="s">
        <v>326</v>
      </c>
      <c r="M15" t="s">
        <v>446</v>
      </c>
      <c r="N15" t="s">
        <v>339</v>
      </c>
      <c r="O15" t="s">
        <v>4742</v>
      </c>
      <c r="P15" t="s">
        <v>1211</v>
      </c>
      <c r="Q15" t="s">
        <v>415</v>
      </c>
      <c r="R15" t="s">
        <v>407</v>
      </c>
      <c r="S15" t="s">
        <v>1212</v>
      </c>
      <c r="T15" s="131">
        <v>4.76</v>
      </c>
      <c r="U15" t="s">
        <v>4743</v>
      </c>
      <c r="V15" s="132">
        <v>5.04E-2</v>
      </c>
      <c r="W15" s="132">
        <v>1.0279999999999999E-2</v>
      </c>
      <c r="X15" t="s">
        <v>412</v>
      </c>
      <c r="Y15" t="s">
        <v>339</v>
      </c>
      <c r="Z15" t="s">
        <v>886</v>
      </c>
      <c r="AA15" t="s">
        <v>889</v>
      </c>
      <c r="AB15" t="s">
        <v>4723</v>
      </c>
      <c r="AC15" t="s">
        <v>4723</v>
      </c>
      <c r="AD15" s="131">
        <v>6074030.4400000004</v>
      </c>
      <c r="AE15" s="131">
        <v>1</v>
      </c>
      <c r="AF15" s="131">
        <v>92.16</v>
      </c>
      <c r="AG15" s="131">
        <v>5597.826</v>
      </c>
      <c r="AH15" s="109"/>
      <c r="AI15" s="109"/>
      <c r="AJ15" s="109" t="s">
        <v>15</v>
      </c>
      <c r="AK15" s="132">
        <v>0.16250999999999999</v>
      </c>
      <c r="AL15" s="132">
        <v>5.1799999999999997E-3</v>
      </c>
    </row>
    <row r="16" spans="1:38">
      <c r="A16" t="s">
        <v>1213</v>
      </c>
      <c r="B16" t="s">
        <v>1217</v>
      </c>
      <c r="C16" t="s">
        <v>4728</v>
      </c>
      <c r="D16" t="s">
        <v>4729</v>
      </c>
      <c r="E16" t="s">
        <v>309</v>
      </c>
      <c r="F16" t="s">
        <v>4730</v>
      </c>
      <c r="G16" t="s">
        <v>4731</v>
      </c>
      <c r="H16" t="s">
        <v>321</v>
      </c>
      <c r="I16" t="s">
        <v>754</v>
      </c>
      <c r="J16" t="s">
        <v>204</v>
      </c>
      <c r="K16" t="s">
        <v>204</v>
      </c>
      <c r="L16" t="s">
        <v>314</v>
      </c>
      <c r="M16" t="s">
        <v>443</v>
      </c>
      <c r="N16" t="s">
        <v>339</v>
      </c>
      <c r="O16" t="s">
        <v>4732</v>
      </c>
      <c r="P16" t="s">
        <v>1527</v>
      </c>
      <c r="Q16" t="s">
        <v>415</v>
      </c>
      <c r="R16" t="s">
        <v>407</v>
      </c>
      <c r="S16" t="s">
        <v>1212</v>
      </c>
      <c r="T16" s="131">
        <v>3.38</v>
      </c>
      <c r="U16" t="s">
        <v>2227</v>
      </c>
      <c r="V16" s="132">
        <v>4.3099999999999999E-2</v>
      </c>
      <c r="W16" s="132">
        <v>4.2889999999999998E-2</v>
      </c>
      <c r="X16" t="s">
        <v>412</v>
      </c>
      <c r="Y16" t="s">
        <v>339</v>
      </c>
      <c r="Z16" t="s">
        <v>886</v>
      </c>
      <c r="AA16" t="s">
        <v>889</v>
      </c>
      <c r="AB16" t="s">
        <v>4723</v>
      </c>
      <c r="AC16" t="s">
        <v>4723</v>
      </c>
      <c r="AD16" s="131">
        <v>5000000</v>
      </c>
      <c r="AE16" s="131">
        <v>1</v>
      </c>
      <c r="AF16" s="131">
        <v>103.08</v>
      </c>
      <c r="AG16" s="131">
        <v>5154</v>
      </c>
      <c r="AH16" s="109"/>
      <c r="AI16" s="109"/>
      <c r="AJ16" s="109" t="s">
        <v>15</v>
      </c>
      <c r="AK16" s="132">
        <v>0.14962</v>
      </c>
      <c r="AL16" s="132">
        <v>4.7699999999999999E-3</v>
      </c>
    </row>
    <row r="17" spans="1:38">
      <c r="A17" t="s">
        <v>1213</v>
      </c>
      <c r="B17" t="s">
        <v>1217</v>
      </c>
      <c r="C17" t="s">
        <v>4733</v>
      </c>
      <c r="D17" t="s">
        <v>4734</v>
      </c>
      <c r="E17" t="s">
        <v>309</v>
      </c>
      <c r="F17" t="s">
        <v>4735</v>
      </c>
      <c r="G17" t="s">
        <v>4736</v>
      </c>
      <c r="H17" t="s">
        <v>321</v>
      </c>
      <c r="I17" t="s">
        <v>754</v>
      </c>
      <c r="J17" t="s">
        <v>204</v>
      </c>
      <c r="K17" t="s">
        <v>204</v>
      </c>
      <c r="L17" s="109" t="s">
        <v>326</v>
      </c>
      <c r="M17" t="s">
        <v>464</v>
      </c>
      <c r="N17" t="s">
        <v>339</v>
      </c>
      <c r="O17" t="s">
        <v>4737</v>
      </c>
      <c r="P17" t="s">
        <v>1521</v>
      </c>
      <c r="Q17" t="s">
        <v>413</v>
      </c>
      <c r="R17" t="s">
        <v>407</v>
      </c>
      <c r="S17" t="s">
        <v>1212</v>
      </c>
      <c r="T17" s="131">
        <v>3.77</v>
      </c>
      <c r="U17" t="s">
        <v>1638</v>
      </c>
      <c r="V17" s="132">
        <v>4.5499999999999999E-2</v>
      </c>
      <c r="W17" s="132">
        <v>3.8679999999999999E-2</v>
      </c>
      <c r="X17" t="s">
        <v>412</v>
      </c>
      <c r="Y17" t="s">
        <v>339</v>
      </c>
      <c r="Z17" t="s">
        <v>886</v>
      </c>
      <c r="AA17" t="s">
        <v>889</v>
      </c>
      <c r="AB17" t="s">
        <v>4723</v>
      </c>
      <c r="AC17" t="s">
        <v>4723</v>
      </c>
      <c r="AD17" s="131">
        <v>4160000</v>
      </c>
      <c r="AE17" s="131">
        <v>1</v>
      </c>
      <c r="AF17" s="131">
        <v>102.59</v>
      </c>
      <c r="AG17" s="131">
        <v>4267.7439999999997</v>
      </c>
      <c r="AH17" s="109"/>
      <c r="AI17" s="109"/>
      <c r="AJ17" s="109" t="s">
        <v>15</v>
      </c>
      <c r="AK17" s="132">
        <v>0.1239</v>
      </c>
      <c r="AL17" s="132">
        <v>3.9500000000000004E-3</v>
      </c>
    </row>
    <row r="18" spans="1:38">
      <c r="A18" t="s">
        <v>1213</v>
      </c>
      <c r="B18" t="s">
        <v>1217</v>
      </c>
      <c r="C18" t="s">
        <v>4738</v>
      </c>
      <c r="D18" t="s">
        <v>4739</v>
      </c>
      <c r="E18" t="s">
        <v>309</v>
      </c>
      <c r="F18" t="s">
        <v>4750</v>
      </c>
      <c r="G18" t="s">
        <v>4751</v>
      </c>
      <c r="H18" t="s">
        <v>321</v>
      </c>
      <c r="I18" t="s">
        <v>951</v>
      </c>
      <c r="J18" t="s">
        <v>204</v>
      </c>
      <c r="K18" t="s">
        <v>204</v>
      </c>
      <c r="L18" s="109" t="s">
        <v>326</v>
      </c>
      <c r="M18" t="s">
        <v>446</v>
      </c>
      <c r="N18" t="s">
        <v>339</v>
      </c>
      <c r="O18" t="s">
        <v>4742</v>
      </c>
      <c r="P18" t="s">
        <v>1211</v>
      </c>
      <c r="Q18" t="s">
        <v>415</v>
      </c>
      <c r="R18" t="s">
        <v>407</v>
      </c>
      <c r="S18" t="s">
        <v>1212</v>
      </c>
      <c r="T18" s="131">
        <v>0.94</v>
      </c>
      <c r="U18" t="s">
        <v>3157</v>
      </c>
      <c r="V18" s="132">
        <v>4.4200000000000003E-2</v>
      </c>
      <c r="W18" s="132">
        <v>2.31E-3</v>
      </c>
      <c r="X18" t="s">
        <v>412</v>
      </c>
      <c r="Y18" t="s">
        <v>339</v>
      </c>
      <c r="Z18" t="s">
        <v>886</v>
      </c>
      <c r="AA18" t="s">
        <v>889</v>
      </c>
      <c r="AB18" t="s">
        <v>4723</v>
      </c>
      <c r="AC18" t="s">
        <v>4723</v>
      </c>
      <c r="AD18" s="131">
        <v>3397857.74</v>
      </c>
      <c r="AE18" s="131">
        <v>1</v>
      </c>
      <c r="AF18" s="131">
        <v>97.82</v>
      </c>
      <c r="AG18" s="131">
        <v>3323.7840000000001</v>
      </c>
      <c r="AH18" s="109"/>
      <c r="AI18" s="109"/>
      <c r="AJ18" s="109" t="s">
        <v>15</v>
      </c>
      <c r="AK18" s="132">
        <v>9.6490000000000006E-2</v>
      </c>
      <c r="AL18" s="132">
        <v>3.0699999999999998E-3</v>
      </c>
    </row>
    <row r="19" spans="1:38">
      <c r="A19" t="s">
        <v>1213</v>
      </c>
      <c r="B19" t="s">
        <v>1217</v>
      </c>
      <c r="C19" t="s">
        <v>4738</v>
      </c>
      <c r="D19" t="s">
        <v>4739</v>
      </c>
      <c r="E19" t="s">
        <v>309</v>
      </c>
      <c r="F19" t="s">
        <v>4752</v>
      </c>
      <c r="G19" t="s">
        <v>4753</v>
      </c>
      <c r="H19" t="s">
        <v>321</v>
      </c>
      <c r="I19" t="s">
        <v>754</v>
      </c>
      <c r="J19" t="s">
        <v>204</v>
      </c>
      <c r="K19" t="s">
        <v>204</v>
      </c>
      <c r="L19" s="109" t="s">
        <v>326</v>
      </c>
      <c r="M19" t="s">
        <v>446</v>
      </c>
      <c r="N19" t="s">
        <v>339</v>
      </c>
      <c r="O19" t="s">
        <v>4742</v>
      </c>
      <c r="P19" t="s">
        <v>1211</v>
      </c>
      <c r="Q19" t="s">
        <v>415</v>
      </c>
      <c r="R19" t="s">
        <v>407</v>
      </c>
      <c r="S19" t="s">
        <v>1212</v>
      </c>
      <c r="T19" s="131">
        <v>5.07</v>
      </c>
      <c r="U19" t="s">
        <v>4743</v>
      </c>
      <c r="V19" s="132">
        <v>2.6100000000000002E-2</v>
      </c>
      <c r="W19" s="132">
        <v>2.1399999999999999E-2</v>
      </c>
      <c r="X19" t="s">
        <v>412</v>
      </c>
      <c r="Y19" t="s">
        <v>339</v>
      </c>
      <c r="Z19" t="s">
        <v>886</v>
      </c>
      <c r="AA19" t="s">
        <v>889</v>
      </c>
      <c r="AB19" t="s">
        <v>4723</v>
      </c>
      <c r="AC19" t="s">
        <v>4723</v>
      </c>
      <c r="AD19" s="131">
        <v>2871944.51</v>
      </c>
      <c r="AE19" s="131">
        <v>1</v>
      </c>
      <c r="AF19" s="131">
        <v>114.42</v>
      </c>
      <c r="AG19" s="131">
        <v>3286.0790000000002</v>
      </c>
      <c r="AH19" s="109"/>
      <c r="AI19" s="109"/>
      <c r="AJ19" s="109" t="s">
        <v>15</v>
      </c>
      <c r="AK19" s="132">
        <v>9.5399999999999999E-2</v>
      </c>
      <c r="AL19" s="132">
        <v>3.0400000000000002E-3</v>
      </c>
    </row>
    <row r="20" spans="1:38">
      <c r="A20" t="s">
        <v>1213</v>
      </c>
      <c r="B20" t="s">
        <v>1217</v>
      </c>
      <c r="C20" t="s">
        <v>4760</v>
      </c>
      <c r="D20" t="s">
        <v>4761</v>
      </c>
      <c r="E20" t="s">
        <v>311</v>
      </c>
      <c r="F20" t="s">
        <v>4762</v>
      </c>
      <c r="G20" t="s">
        <v>4763</v>
      </c>
      <c r="H20" t="s">
        <v>321</v>
      </c>
      <c r="I20" t="s">
        <v>951</v>
      </c>
      <c r="J20" t="s">
        <v>204</v>
      </c>
      <c r="K20" t="s">
        <v>224</v>
      </c>
      <c r="L20" t="s">
        <v>314</v>
      </c>
      <c r="M20" t="s">
        <v>447</v>
      </c>
      <c r="N20" t="s">
        <v>339</v>
      </c>
      <c r="O20" t="s">
        <v>4723</v>
      </c>
      <c r="P20" t="s">
        <v>410</v>
      </c>
      <c r="Q20" t="s">
        <v>413</v>
      </c>
      <c r="R20" t="s">
        <v>407</v>
      </c>
      <c r="S20" t="s">
        <v>1212</v>
      </c>
      <c r="T20" s="183">
        <v>3.63</v>
      </c>
      <c r="U20" t="s">
        <v>1722</v>
      </c>
      <c r="V20" s="184">
        <v>0.21460000000000001</v>
      </c>
      <c r="W20" s="132">
        <v>9.5000000000000001E-2</v>
      </c>
      <c r="X20" t="s">
        <v>412</v>
      </c>
      <c r="Y20" t="s">
        <v>339</v>
      </c>
      <c r="Z20" s="108"/>
      <c r="AA20" s="109"/>
      <c r="AB20" t="s">
        <v>4723</v>
      </c>
      <c r="AC20" t="s">
        <v>4723</v>
      </c>
      <c r="AD20" s="131">
        <v>2672000</v>
      </c>
      <c r="AE20" s="131">
        <v>1</v>
      </c>
      <c r="AF20" s="131">
        <v>100.026</v>
      </c>
      <c r="AG20" s="131">
        <v>2672.6950000000002</v>
      </c>
      <c r="AH20" s="108"/>
      <c r="AI20" s="108"/>
      <c r="AJ20" s="109" t="s">
        <v>15</v>
      </c>
      <c r="AK20" s="132">
        <v>7.7590000000000006E-2</v>
      </c>
      <c r="AL20" s="132">
        <v>2.47E-3</v>
      </c>
    </row>
    <row r="21" spans="1:38" customFormat="1">
      <c r="A21" t="s">
        <v>1213</v>
      </c>
      <c r="B21" t="s">
        <v>1217</v>
      </c>
      <c r="C21" t="s">
        <v>4754</v>
      </c>
      <c r="D21" t="s">
        <v>4755</v>
      </c>
      <c r="E21" t="s">
        <v>309</v>
      </c>
      <c r="F21" t="s">
        <v>4756</v>
      </c>
      <c r="G21" t="s">
        <v>4757</v>
      </c>
      <c r="H21" t="s">
        <v>321</v>
      </c>
      <c r="I21" t="s">
        <v>951</v>
      </c>
      <c r="J21" t="s">
        <v>204</v>
      </c>
      <c r="K21" t="s">
        <v>204</v>
      </c>
      <c r="L21" s="109" t="s">
        <v>326</v>
      </c>
      <c r="M21" t="s">
        <v>451</v>
      </c>
      <c r="N21" t="s">
        <v>339</v>
      </c>
      <c r="O21" t="s">
        <v>4758</v>
      </c>
      <c r="P21" t="s">
        <v>1544</v>
      </c>
      <c r="Q21" t="s">
        <v>415</v>
      </c>
      <c r="R21" t="s">
        <v>407</v>
      </c>
      <c r="S21" t="s">
        <v>1212</v>
      </c>
      <c r="T21" s="131">
        <v>1.76</v>
      </c>
      <c r="U21" t="s">
        <v>4759</v>
      </c>
      <c r="V21" s="132">
        <v>7.8700000000000006E-2</v>
      </c>
      <c r="W21" s="132">
        <v>2.1010000000000001E-2</v>
      </c>
      <c r="X21" t="s">
        <v>412</v>
      </c>
      <c r="Y21" t="s">
        <v>339</v>
      </c>
      <c r="Z21" t="s">
        <v>886</v>
      </c>
      <c r="AA21" t="s">
        <v>889</v>
      </c>
      <c r="AB21" t="s">
        <v>4723</v>
      </c>
      <c r="AC21" t="s">
        <v>4723</v>
      </c>
      <c r="AD21" s="131">
        <v>2571430.5</v>
      </c>
      <c r="AE21" s="131">
        <v>1</v>
      </c>
      <c r="AF21" s="131">
        <v>95.42</v>
      </c>
      <c r="AG21" s="131">
        <v>2453.6590000000001</v>
      </c>
      <c r="AJ21" s="109" t="s">
        <v>15</v>
      </c>
      <c r="AK21" s="132">
        <v>7.1230000000000002E-2</v>
      </c>
      <c r="AL21" s="132">
        <v>2.2699999999999999E-3</v>
      </c>
    </row>
    <row r="22" spans="1:38">
      <c r="A22" t="s">
        <v>1213</v>
      </c>
      <c r="B22" t="s">
        <v>1217</v>
      </c>
      <c r="C22" t="s">
        <v>4744</v>
      </c>
      <c r="D22" t="s">
        <v>4745</v>
      </c>
      <c r="E22" t="s">
        <v>309</v>
      </c>
      <c r="F22" t="s">
        <v>4746</v>
      </c>
      <c r="G22" t="s">
        <v>4747</v>
      </c>
      <c r="H22" t="s">
        <v>321</v>
      </c>
      <c r="I22" t="s">
        <v>754</v>
      </c>
      <c r="J22" t="s">
        <v>204</v>
      </c>
      <c r="K22" t="s">
        <v>204</v>
      </c>
      <c r="L22" s="109" t="s">
        <v>326</v>
      </c>
      <c r="M22" t="s">
        <v>440</v>
      </c>
      <c r="N22" t="s">
        <v>339</v>
      </c>
      <c r="O22" t="s">
        <v>4748</v>
      </c>
      <c r="P22" t="s">
        <v>1211</v>
      </c>
      <c r="Q22" t="s">
        <v>415</v>
      </c>
      <c r="R22" t="s">
        <v>407</v>
      </c>
      <c r="S22" t="s">
        <v>1212</v>
      </c>
      <c r="T22" s="131">
        <v>7.39</v>
      </c>
      <c r="U22" t="s">
        <v>4749</v>
      </c>
      <c r="V22" s="132">
        <v>3.09E-2</v>
      </c>
      <c r="W22" s="132">
        <v>8.3000000000000001E-3</v>
      </c>
      <c r="X22" t="s">
        <v>412</v>
      </c>
      <c r="Y22" t="s">
        <v>339</v>
      </c>
      <c r="Z22" t="s">
        <v>886</v>
      </c>
      <c r="AA22" t="s">
        <v>889</v>
      </c>
      <c r="AB22" t="s">
        <v>4723</v>
      </c>
      <c r="AC22" t="s">
        <v>4723</v>
      </c>
      <c r="AD22" s="131">
        <v>2473362.6</v>
      </c>
      <c r="AE22" s="131">
        <v>1</v>
      </c>
      <c r="AF22" s="131">
        <v>97.58</v>
      </c>
      <c r="AG22" s="131">
        <v>2413.5070000000001</v>
      </c>
      <c r="AH22" s="108"/>
      <c r="AI22" s="108"/>
      <c r="AJ22" s="109" t="s">
        <v>15</v>
      </c>
      <c r="AK22" s="132">
        <v>7.0069999999999993E-2</v>
      </c>
      <c r="AL22" s="132">
        <v>2.2300000000000002E-3</v>
      </c>
    </row>
    <row r="23" spans="1:38">
      <c r="A23" t="s">
        <v>1213</v>
      </c>
      <c r="B23" t="s">
        <v>1217</v>
      </c>
      <c r="C23" t="s">
        <v>4764</v>
      </c>
      <c r="D23" t="s">
        <v>4765</v>
      </c>
      <c r="E23" t="s">
        <v>309</v>
      </c>
      <c r="F23" t="s">
        <v>4766</v>
      </c>
      <c r="G23" t="s">
        <v>4767</v>
      </c>
      <c r="H23" t="s">
        <v>321</v>
      </c>
      <c r="I23" t="s">
        <v>951</v>
      </c>
      <c r="J23" t="s">
        <v>204</v>
      </c>
      <c r="K23" t="s">
        <v>204</v>
      </c>
      <c r="L23" s="109" t="s">
        <v>326</v>
      </c>
      <c r="M23" t="s">
        <v>451</v>
      </c>
      <c r="N23" t="s">
        <v>339</v>
      </c>
      <c r="O23" t="s">
        <v>4768</v>
      </c>
      <c r="P23" t="s">
        <v>1614</v>
      </c>
      <c r="Q23" t="s">
        <v>415</v>
      </c>
      <c r="R23" t="s">
        <v>407</v>
      </c>
      <c r="S23" t="s">
        <v>1212</v>
      </c>
      <c r="T23" s="131">
        <v>2.11</v>
      </c>
      <c r="U23" t="s">
        <v>1572</v>
      </c>
      <c r="V23" s="132">
        <v>6.08E-2</v>
      </c>
      <c r="W23" s="132">
        <v>5.867E-2</v>
      </c>
      <c r="X23" t="s">
        <v>412</v>
      </c>
      <c r="Y23" t="s">
        <v>339</v>
      </c>
      <c r="Z23" t="s">
        <v>886</v>
      </c>
      <c r="AA23" t="s">
        <v>889</v>
      </c>
      <c r="AB23" t="s">
        <v>4723</v>
      </c>
      <c r="AC23" t="s">
        <v>4723</v>
      </c>
      <c r="AD23" s="131">
        <v>1781250.05</v>
      </c>
      <c r="AE23" s="131">
        <v>1</v>
      </c>
      <c r="AF23" s="131">
        <v>97.54</v>
      </c>
      <c r="AG23" s="131">
        <v>1737.431</v>
      </c>
      <c r="AH23" s="108"/>
      <c r="AI23" s="108"/>
      <c r="AJ23" s="109" t="s">
        <v>15</v>
      </c>
      <c r="AK23" s="132">
        <v>5.0439999999999999E-2</v>
      </c>
      <c r="AL23" s="132">
        <v>1.6100000000000001E-3</v>
      </c>
    </row>
    <row r="24" spans="1:38">
      <c r="A24" t="s">
        <v>1213</v>
      </c>
      <c r="B24" t="s">
        <v>1217</v>
      </c>
      <c r="C24" t="s">
        <v>4788</v>
      </c>
      <c r="D24" t="s">
        <v>4789</v>
      </c>
      <c r="E24" t="s">
        <v>309</v>
      </c>
      <c r="F24" t="s">
        <v>4790</v>
      </c>
      <c r="G24" t="s">
        <v>4791</v>
      </c>
      <c r="H24" t="s">
        <v>321</v>
      </c>
      <c r="I24" t="s">
        <v>951</v>
      </c>
      <c r="J24" t="s">
        <v>204</v>
      </c>
      <c r="K24" t="s">
        <v>204</v>
      </c>
      <c r="L24" s="109" t="s">
        <v>326</v>
      </c>
      <c r="M24" t="s">
        <v>451</v>
      </c>
      <c r="N24" t="s">
        <v>339</v>
      </c>
      <c r="O24" t="s">
        <v>4792</v>
      </c>
      <c r="P24" t="s">
        <v>1521</v>
      </c>
      <c r="Q24" t="s">
        <v>413</v>
      </c>
      <c r="R24" t="s">
        <v>407</v>
      </c>
      <c r="S24" t="s">
        <v>1212</v>
      </c>
      <c r="T24" s="131">
        <v>2.04</v>
      </c>
      <c r="U24" t="s">
        <v>1638</v>
      </c>
      <c r="V24" s="132">
        <v>8.0799999999999997E-2</v>
      </c>
      <c r="W24" s="132">
        <v>2.1329999999999998E-2</v>
      </c>
      <c r="X24" t="s">
        <v>412</v>
      </c>
      <c r="Y24" t="s">
        <v>339</v>
      </c>
      <c r="Z24" t="s">
        <v>886</v>
      </c>
      <c r="AA24" t="s">
        <v>889</v>
      </c>
      <c r="AB24" t="s">
        <v>4723</v>
      </c>
      <c r="AC24" t="s">
        <v>4723</v>
      </c>
      <c r="AD24" s="131">
        <v>1071428.7</v>
      </c>
      <c r="AE24" s="131">
        <v>1</v>
      </c>
      <c r="AF24" s="131">
        <v>95.51</v>
      </c>
      <c r="AG24" s="131">
        <v>1023.322</v>
      </c>
      <c r="AH24" s="108"/>
      <c r="AI24" s="108"/>
      <c r="AJ24" s="109" t="s">
        <v>15</v>
      </c>
      <c r="AK24" s="132">
        <v>2.971E-2</v>
      </c>
      <c r="AL24" s="132">
        <v>9.5E-4</v>
      </c>
    </row>
    <row r="25" spans="1:38">
      <c r="A25" t="s">
        <v>1213</v>
      </c>
      <c r="B25" t="s">
        <v>1217</v>
      </c>
      <c r="C25" t="s">
        <v>4769</v>
      </c>
      <c r="D25" t="s">
        <v>4770</v>
      </c>
      <c r="E25" t="s">
        <v>309</v>
      </c>
      <c r="F25" t="s">
        <v>4771</v>
      </c>
      <c r="G25" t="s">
        <v>4772</v>
      </c>
      <c r="H25" t="s">
        <v>321</v>
      </c>
      <c r="I25" t="s">
        <v>951</v>
      </c>
      <c r="J25" t="s">
        <v>204</v>
      </c>
      <c r="K25" t="s">
        <v>204</v>
      </c>
      <c r="L25" s="109" t="s">
        <v>326</v>
      </c>
      <c r="M25" t="s">
        <v>464</v>
      </c>
      <c r="N25" t="s">
        <v>339</v>
      </c>
      <c r="O25" t="s">
        <v>4773</v>
      </c>
      <c r="P25" t="s">
        <v>2011</v>
      </c>
      <c r="Q25" t="s">
        <v>415</v>
      </c>
      <c r="R25" t="s">
        <v>407</v>
      </c>
      <c r="S25" t="s">
        <v>1212</v>
      </c>
      <c r="T25" s="131">
        <v>1.67</v>
      </c>
      <c r="U25" t="s">
        <v>1572</v>
      </c>
      <c r="V25" s="132">
        <v>7.3499999999999996E-2</v>
      </c>
      <c r="W25" s="132">
        <v>5.6259999999999998E-2</v>
      </c>
      <c r="X25" t="s">
        <v>412</v>
      </c>
      <c r="Y25" t="s">
        <v>339</v>
      </c>
      <c r="Z25" t="s">
        <v>886</v>
      </c>
      <c r="AA25" t="s">
        <v>889</v>
      </c>
      <c r="AB25" t="s">
        <v>4723</v>
      </c>
      <c r="AC25" t="s">
        <v>4723</v>
      </c>
      <c r="AD25" s="131">
        <v>920848.62</v>
      </c>
      <c r="AE25" s="131">
        <v>1</v>
      </c>
      <c r="AF25" s="131">
        <v>96.56</v>
      </c>
      <c r="AG25" s="131">
        <v>889.17100000000005</v>
      </c>
      <c r="AH25" s="108"/>
      <c r="AI25" s="108"/>
      <c r="AJ25" s="109" t="s">
        <v>15</v>
      </c>
      <c r="AK25" s="132">
        <v>2.581E-2</v>
      </c>
      <c r="AL25" s="132">
        <v>8.1999999999999998E-4</v>
      </c>
    </row>
    <row r="26" spans="1:38">
      <c r="A26" t="s">
        <v>1213</v>
      </c>
      <c r="B26" t="s">
        <v>1217</v>
      </c>
      <c r="C26" t="s">
        <v>4774</v>
      </c>
      <c r="D26" t="s">
        <v>4775</v>
      </c>
      <c r="E26" t="s">
        <v>309</v>
      </c>
      <c r="F26" t="s">
        <v>4776</v>
      </c>
      <c r="G26" t="s">
        <v>4777</v>
      </c>
      <c r="H26" t="s">
        <v>321</v>
      </c>
      <c r="I26" t="s">
        <v>951</v>
      </c>
      <c r="J26" t="s">
        <v>204</v>
      </c>
      <c r="K26" t="s">
        <v>204</v>
      </c>
      <c r="L26" s="109" t="s">
        <v>326</v>
      </c>
      <c r="M26" t="s">
        <v>478</v>
      </c>
      <c r="N26" t="s">
        <v>339</v>
      </c>
      <c r="O26" t="s">
        <v>4778</v>
      </c>
      <c r="P26" t="s">
        <v>1982</v>
      </c>
      <c r="Q26" t="s">
        <v>415</v>
      </c>
      <c r="R26" t="s">
        <v>407</v>
      </c>
      <c r="S26" t="s">
        <v>1212</v>
      </c>
      <c r="T26" s="131">
        <v>0.82</v>
      </c>
      <c r="U26" t="s">
        <v>3157</v>
      </c>
      <c r="V26" s="132">
        <v>7.0400000000000004E-2</v>
      </c>
      <c r="W26" s="132">
        <v>0</v>
      </c>
      <c r="X26" t="s">
        <v>412</v>
      </c>
      <c r="Y26" t="s">
        <v>339</v>
      </c>
      <c r="Z26" t="s">
        <v>886</v>
      </c>
      <c r="AA26" t="s">
        <v>889</v>
      </c>
      <c r="AB26" t="s">
        <v>4723</v>
      </c>
      <c r="AC26" t="s">
        <v>4723</v>
      </c>
      <c r="AD26" s="131">
        <v>805352.73</v>
      </c>
      <c r="AE26" s="131">
        <v>1</v>
      </c>
      <c r="AF26" s="131">
        <v>100.03</v>
      </c>
      <c r="AG26" s="131">
        <v>805.59400000000005</v>
      </c>
      <c r="AJ26" s="109" t="s">
        <v>15</v>
      </c>
      <c r="AK26" s="132">
        <v>2.3390000000000001E-2</v>
      </c>
      <c r="AL26" s="132">
        <v>7.5000000000000002E-4</v>
      </c>
    </row>
    <row r="27" spans="1:38">
      <c r="A27" t="s">
        <v>1213</v>
      </c>
      <c r="B27" t="s">
        <v>1217</v>
      </c>
      <c r="C27" t="s">
        <v>3125</v>
      </c>
      <c r="D27" t="s">
        <v>3126</v>
      </c>
      <c r="E27" t="s">
        <v>309</v>
      </c>
      <c r="F27" t="s">
        <v>4779</v>
      </c>
      <c r="G27" t="s">
        <v>4780</v>
      </c>
      <c r="H27" t="s">
        <v>321</v>
      </c>
      <c r="I27" t="s">
        <v>951</v>
      </c>
      <c r="J27" t="s">
        <v>204</v>
      </c>
      <c r="K27" t="s">
        <v>204</v>
      </c>
      <c r="L27" s="109" t="s">
        <v>326</v>
      </c>
      <c r="M27" t="s">
        <v>441</v>
      </c>
      <c r="N27" t="s">
        <v>339</v>
      </c>
      <c r="O27" t="s">
        <v>4781</v>
      </c>
      <c r="P27" t="s">
        <v>1566</v>
      </c>
      <c r="Q27" t="s">
        <v>413</v>
      </c>
      <c r="R27" t="s">
        <v>407</v>
      </c>
      <c r="S27" t="s">
        <v>1212</v>
      </c>
      <c r="T27" s="131">
        <v>3.3</v>
      </c>
      <c r="U27" t="s">
        <v>4782</v>
      </c>
      <c r="V27" s="132">
        <v>6.7000000000000004E-2</v>
      </c>
      <c r="W27" s="132">
        <v>3.0110000000000001E-2</v>
      </c>
      <c r="X27" t="s">
        <v>412</v>
      </c>
      <c r="Y27" t="s">
        <v>339</v>
      </c>
      <c r="Z27" t="s">
        <v>886</v>
      </c>
      <c r="AA27" t="s">
        <v>889</v>
      </c>
      <c r="AB27" t="s">
        <v>4723</v>
      </c>
      <c r="AC27" t="s">
        <v>4723</v>
      </c>
      <c r="AD27" s="131">
        <v>479406.9</v>
      </c>
      <c r="AE27" s="131">
        <v>1</v>
      </c>
      <c r="AF27" s="131">
        <v>91.84</v>
      </c>
      <c r="AG27" s="131">
        <v>440.28699999999998</v>
      </c>
      <c r="AJ27" s="109" t="s">
        <v>15</v>
      </c>
      <c r="AK27" s="132">
        <v>1.278E-2</v>
      </c>
      <c r="AL27" s="132">
        <v>4.0999999999999999E-4</v>
      </c>
    </row>
    <row r="28" spans="1:38">
      <c r="A28" t="s">
        <v>1213</v>
      </c>
      <c r="B28" t="s">
        <v>1217</v>
      </c>
      <c r="C28" t="s">
        <v>4783</v>
      </c>
      <c r="D28" t="s">
        <v>4784</v>
      </c>
      <c r="E28" t="s">
        <v>309</v>
      </c>
      <c r="F28" t="s">
        <v>4785</v>
      </c>
      <c r="G28" t="s">
        <v>4786</v>
      </c>
      <c r="H28" t="s">
        <v>321</v>
      </c>
      <c r="I28" t="s">
        <v>951</v>
      </c>
      <c r="J28" t="s">
        <v>204</v>
      </c>
      <c r="K28" t="s">
        <v>204</v>
      </c>
      <c r="L28" s="109" t="s">
        <v>326</v>
      </c>
      <c r="M28" t="s">
        <v>451</v>
      </c>
      <c r="N28" t="s">
        <v>339</v>
      </c>
      <c r="O28" t="s">
        <v>4787</v>
      </c>
      <c r="P28" t="s">
        <v>1614</v>
      </c>
      <c r="Q28" t="s">
        <v>415</v>
      </c>
      <c r="R28" t="s">
        <v>407</v>
      </c>
      <c r="S28" t="s">
        <v>1212</v>
      </c>
      <c r="T28" s="131">
        <v>2.4900000000000002</v>
      </c>
      <c r="U28" t="s">
        <v>1744</v>
      </c>
      <c r="V28" s="132">
        <v>6.8699999999999997E-2</v>
      </c>
      <c r="W28" s="132">
        <v>4.2840000000000003E-2</v>
      </c>
      <c r="X28" t="s">
        <v>412</v>
      </c>
      <c r="Y28" t="s">
        <v>339</v>
      </c>
      <c r="Z28" t="s">
        <v>886</v>
      </c>
      <c r="AA28" t="s">
        <v>889</v>
      </c>
      <c r="AB28" t="s">
        <v>4723</v>
      </c>
      <c r="AC28" t="s">
        <v>4723</v>
      </c>
      <c r="AD28" s="131">
        <v>392682.94</v>
      </c>
      <c r="AE28" s="131">
        <v>1</v>
      </c>
      <c r="AF28" s="131">
        <v>97.11</v>
      </c>
      <c r="AG28" s="131">
        <v>381.334</v>
      </c>
      <c r="AJ28" s="109" t="s">
        <v>15</v>
      </c>
      <c r="AK28" s="132">
        <v>1.107E-2</v>
      </c>
      <c r="AL28" s="132">
        <v>3.5E-4</v>
      </c>
    </row>
    <row r="29" spans="1:38">
      <c r="A29" t="s">
        <v>1213</v>
      </c>
      <c r="B29" t="s">
        <v>1220</v>
      </c>
      <c r="C29" t="s">
        <v>4760</v>
      </c>
      <c r="D29" t="s">
        <v>4761</v>
      </c>
      <c r="E29" t="s">
        <v>311</v>
      </c>
      <c r="F29" t="s">
        <v>4762</v>
      </c>
      <c r="G29" t="s">
        <v>4763</v>
      </c>
      <c r="H29" t="s">
        <v>321</v>
      </c>
      <c r="I29" t="s">
        <v>951</v>
      </c>
      <c r="J29" t="s">
        <v>204</v>
      </c>
      <c r="K29" t="s">
        <v>224</v>
      </c>
      <c r="L29" t="s">
        <v>314</v>
      </c>
      <c r="M29" t="s">
        <v>447</v>
      </c>
      <c r="N29" t="s">
        <v>339</v>
      </c>
      <c r="O29" t="s">
        <v>4723</v>
      </c>
      <c r="P29" t="s">
        <v>410</v>
      </c>
      <c r="Q29" t="s">
        <v>413</v>
      </c>
      <c r="R29" t="s">
        <v>407</v>
      </c>
      <c r="S29" t="s">
        <v>1212</v>
      </c>
      <c r="T29" s="183">
        <v>3.63</v>
      </c>
      <c r="U29" t="s">
        <v>1722</v>
      </c>
      <c r="V29" s="184">
        <v>0.21460000000000001</v>
      </c>
      <c r="W29" s="132">
        <v>9.5000000000000001E-2</v>
      </c>
      <c r="X29" t="s">
        <v>412</v>
      </c>
      <c r="Y29" t="s">
        <v>339</v>
      </c>
      <c r="AB29" t="s">
        <v>4723</v>
      </c>
      <c r="AC29" t="s">
        <v>4723</v>
      </c>
      <c r="AD29" s="131">
        <v>662000</v>
      </c>
      <c r="AE29" s="131">
        <v>1</v>
      </c>
      <c r="AF29" s="131">
        <v>100.026</v>
      </c>
      <c r="AG29" s="131">
        <v>662.17200000000003</v>
      </c>
      <c r="AJ29" s="109" t="s">
        <v>15</v>
      </c>
      <c r="AK29" s="132">
        <v>1</v>
      </c>
      <c r="AL29" s="132">
        <v>2.9099999999999998E-3</v>
      </c>
    </row>
    <row r="30" spans="1:38">
      <c r="A30" t="s">
        <v>1213</v>
      </c>
      <c r="B30" t="s">
        <v>1221</v>
      </c>
      <c r="C30" t="s">
        <v>4783</v>
      </c>
      <c r="D30" t="s">
        <v>4784</v>
      </c>
      <c r="E30" t="s">
        <v>309</v>
      </c>
      <c r="F30" t="s">
        <v>4793</v>
      </c>
      <c r="G30" t="s">
        <v>4794</v>
      </c>
      <c r="H30" t="s">
        <v>321</v>
      </c>
      <c r="I30" t="s">
        <v>754</v>
      </c>
      <c r="J30" t="s">
        <v>204</v>
      </c>
      <c r="K30" t="s">
        <v>204</v>
      </c>
      <c r="L30" s="109" t="s">
        <v>326</v>
      </c>
      <c r="M30" t="s">
        <v>451</v>
      </c>
      <c r="N30" t="s">
        <v>339</v>
      </c>
      <c r="O30" t="s">
        <v>4795</v>
      </c>
      <c r="P30" t="s">
        <v>1614</v>
      </c>
      <c r="Q30" t="s">
        <v>415</v>
      </c>
      <c r="R30" t="s">
        <v>407</v>
      </c>
      <c r="S30" t="s">
        <v>1212</v>
      </c>
      <c r="T30" s="131">
        <v>6.27</v>
      </c>
      <c r="U30" t="s">
        <v>2481</v>
      </c>
      <c r="V30" s="132">
        <v>4.8599999999999997E-2</v>
      </c>
      <c r="W30" s="132">
        <v>4.3979999999999998E-2</v>
      </c>
      <c r="X30" t="s">
        <v>412</v>
      </c>
      <c r="Y30" t="s">
        <v>339</v>
      </c>
      <c r="AB30" t="s">
        <v>4723</v>
      </c>
      <c r="AC30" t="s">
        <v>4723</v>
      </c>
      <c r="AD30" s="131">
        <v>1500000</v>
      </c>
      <c r="AE30" s="131">
        <v>1</v>
      </c>
      <c r="AF30" s="131">
        <v>102.11</v>
      </c>
      <c r="AG30" s="131">
        <v>1531.65</v>
      </c>
      <c r="AJ30" s="109" t="s">
        <v>15</v>
      </c>
      <c r="AK30" s="132">
        <v>1</v>
      </c>
      <c r="AL30" s="132">
        <v>1.92E-3</v>
      </c>
    </row>
    <row r="31" spans="1:38">
      <c r="A31" t="s">
        <v>1213</v>
      </c>
      <c r="B31" t="s">
        <v>1224</v>
      </c>
      <c r="C31" t="s">
        <v>3125</v>
      </c>
      <c r="D31" t="s">
        <v>3126</v>
      </c>
      <c r="E31" t="s">
        <v>309</v>
      </c>
      <c r="F31" t="s">
        <v>4779</v>
      </c>
      <c r="G31" t="s">
        <v>4780</v>
      </c>
      <c r="H31" t="s">
        <v>321</v>
      </c>
      <c r="I31" t="s">
        <v>951</v>
      </c>
      <c r="J31" t="s">
        <v>204</v>
      </c>
      <c r="K31" t="s">
        <v>204</v>
      </c>
      <c r="L31" s="109" t="s">
        <v>326</v>
      </c>
      <c r="M31" t="s">
        <v>441</v>
      </c>
      <c r="N31" t="s">
        <v>339</v>
      </c>
      <c r="O31" t="s">
        <v>4781</v>
      </c>
      <c r="P31" t="s">
        <v>1566</v>
      </c>
      <c r="Q31" t="s">
        <v>413</v>
      </c>
      <c r="R31" t="s">
        <v>407</v>
      </c>
      <c r="S31" t="s">
        <v>1212</v>
      </c>
      <c r="T31" s="131">
        <v>3.3</v>
      </c>
      <c r="U31" t="s">
        <v>4782</v>
      </c>
      <c r="V31" s="132">
        <v>6.7000000000000004E-2</v>
      </c>
      <c r="W31" s="132">
        <v>3.0110000000000001E-2</v>
      </c>
      <c r="X31" t="s">
        <v>412</v>
      </c>
      <c r="Y31" t="s">
        <v>339</v>
      </c>
      <c r="Z31" t="s">
        <v>886</v>
      </c>
      <c r="AA31" t="s">
        <v>889</v>
      </c>
      <c r="AB31" t="s">
        <v>4723</v>
      </c>
      <c r="AC31" t="s">
        <v>4723</v>
      </c>
      <c r="AD31" s="131">
        <v>2100000</v>
      </c>
      <c r="AE31" s="131">
        <v>1</v>
      </c>
      <c r="AF31" s="131">
        <v>91.84</v>
      </c>
      <c r="AG31" s="131">
        <v>1928.64</v>
      </c>
      <c r="AJ31" s="109" t="s">
        <v>15</v>
      </c>
      <c r="AK31" s="132">
        <v>0.35904000000000003</v>
      </c>
      <c r="AL31" s="132">
        <v>5.1799999999999997E-3</v>
      </c>
    </row>
    <row r="32" spans="1:38">
      <c r="A32" t="s">
        <v>1213</v>
      </c>
      <c r="B32" t="s">
        <v>1224</v>
      </c>
      <c r="C32" t="s">
        <v>4733</v>
      </c>
      <c r="D32" t="s">
        <v>4734</v>
      </c>
      <c r="E32" t="s">
        <v>309</v>
      </c>
      <c r="F32" t="s">
        <v>4796</v>
      </c>
      <c r="G32" t="s">
        <v>4797</v>
      </c>
      <c r="H32" t="s">
        <v>321</v>
      </c>
      <c r="I32" t="s">
        <v>951</v>
      </c>
      <c r="J32" t="s">
        <v>204</v>
      </c>
      <c r="K32" t="s">
        <v>204</v>
      </c>
      <c r="L32" s="109" t="s">
        <v>326</v>
      </c>
      <c r="M32" t="s">
        <v>464</v>
      </c>
      <c r="N32" t="s">
        <v>339</v>
      </c>
      <c r="O32" t="s">
        <v>4798</v>
      </c>
      <c r="P32" t="s">
        <v>1521</v>
      </c>
      <c r="Q32" t="s">
        <v>413</v>
      </c>
      <c r="R32" t="s">
        <v>407</v>
      </c>
      <c r="S32" t="s">
        <v>1212</v>
      </c>
      <c r="T32" s="131">
        <v>0.25</v>
      </c>
      <c r="U32" t="s">
        <v>2541</v>
      </c>
      <c r="V32" s="132">
        <v>-0.14019999999999999</v>
      </c>
      <c r="W32" s="132">
        <v>3.3140000000000003E-2</v>
      </c>
      <c r="X32" t="s">
        <v>412</v>
      </c>
      <c r="Y32" t="s">
        <v>339</v>
      </c>
      <c r="Z32" t="s">
        <v>886</v>
      </c>
      <c r="AA32" t="s">
        <v>889</v>
      </c>
      <c r="AB32" t="s">
        <v>4723</v>
      </c>
      <c r="AC32" t="s">
        <v>4723</v>
      </c>
      <c r="AD32" s="131">
        <v>1020000</v>
      </c>
      <c r="AE32" s="131">
        <v>1</v>
      </c>
      <c r="AF32" s="131">
        <v>100.41</v>
      </c>
      <c r="AG32" s="131">
        <v>1024.182</v>
      </c>
      <c r="AJ32" s="109" t="s">
        <v>15</v>
      </c>
      <c r="AK32" s="132">
        <v>0.19066</v>
      </c>
      <c r="AL32" s="132">
        <v>2.7499999999999998E-3</v>
      </c>
    </row>
    <row r="33" spans="1:38">
      <c r="A33" t="s">
        <v>1213</v>
      </c>
      <c r="B33" t="s">
        <v>1224</v>
      </c>
      <c r="C33" t="s">
        <v>4769</v>
      </c>
      <c r="D33" t="s">
        <v>4770</v>
      </c>
      <c r="E33" t="s">
        <v>309</v>
      </c>
      <c r="F33" t="s">
        <v>4771</v>
      </c>
      <c r="G33" t="s">
        <v>4772</v>
      </c>
      <c r="H33" t="s">
        <v>321</v>
      </c>
      <c r="I33" t="s">
        <v>951</v>
      </c>
      <c r="J33" t="s">
        <v>204</v>
      </c>
      <c r="K33" t="s">
        <v>204</v>
      </c>
      <c r="L33" s="109" t="s">
        <v>326</v>
      </c>
      <c r="M33" t="s">
        <v>464</v>
      </c>
      <c r="N33" t="s">
        <v>339</v>
      </c>
      <c r="O33" t="s">
        <v>4799</v>
      </c>
      <c r="P33" t="s">
        <v>2011</v>
      </c>
      <c r="Q33" t="s">
        <v>415</v>
      </c>
      <c r="R33" t="s">
        <v>407</v>
      </c>
      <c r="S33" t="s">
        <v>1212</v>
      </c>
      <c r="T33" s="131">
        <v>1.67</v>
      </c>
      <c r="U33" t="s">
        <v>1572</v>
      </c>
      <c r="V33" s="132">
        <v>7.3499999999999996E-2</v>
      </c>
      <c r="W33" s="132">
        <v>2.6870000000000002E-2</v>
      </c>
      <c r="X33" t="s">
        <v>412</v>
      </c>
      <c r="Y33" t="s">
        <v>339</v>
      </c>
      <c r="Z33" t="s">
        <v>886</v>
      </c>
      <c r="AA33" t="s">
        <v>889</v>
      </c>
      <c r="AB33" t="s">
        <v>4723</v>
      </c>
      <c r="AC33" t="s">
        <v>4723</v>
      </c>
      <c r="AD33" s="131">
        <v>1056533.3500000001</v>
      </c>
      <c r="AE33" s="131">
        <v>1</v>
      </c>
      <c r="AF33" s="131">
        <v>96.56</v>
      </c>
      <c r="AG33" s="131">
        <v>1020.189</v>
      </c>
      <c r="AJ33" s="109" t="s">
        <v>15</v>
      </c>
      <c r="AK33" s="132">
        <v>0.18992000000000001</v>
      </c>
      <c r="AL33" s="132">
        <v>2.7399999999999998E-3</v>
      </c>
    </row>
    <row r="34" spans="1:38">
      <c r="A34" t="s">
        <v>1213</v>
      </c>
      <c r="B34" t="s">
        <v>1224</v>
      </c>
      <c r="C34" t="s">
        <v>4800</v>
      </c>
      <c r="D34" t="s">
        <v>4801</v>
      </c>
      <c r="E34" t="s">
        <v>309</v>
      </c>
      <c r="F34" t="s">
        <v>4802</v>
      </c>
      <c r="G34" t="s">
        <v>4803</v>
      </c>
      <c r="H34" t="s">
        <v>321</v>
      </c>
      <c r="I34" t="s">
        <v>951</v>
      </c>
      <c r="J34" t="s">
        <v>204</v>
      </c>
      <c r="K34" t="s">
        <v>204</v>
      </c>
      <c r="L34" s="109" t="s">
        <v>326</v>
      </c>
      <c r="M34" t="s">
        <v>445</v>
      </c>
      <c r="N34" t="s">
        <v>339</v>
      </c>
      <c r="O34" t="s">
        <v>4804</v>
      </c>
      <c r="P34" t="s">
        <v>1527</v>
      </c>
      <c r="Q34" t="s">
        <v>415</v>
      </c>
      <c r="R34" t="s">
        <v>407</v>
      </c>
      <c r="S34" t="s">
        <v>1212</v>
      </c>
      <c r="T34" s="131">
        <v>0.95</v>
      </c>
      <c r="U34" t="s">
        <v>4805</v>
      </c>
      <c r="V34" s="132">
        <v>4.3700000000000003E-2</v>
      </c>
      <c r="W34" s="132">
        <v>2.9530000000000001E-2</v>
      </c>
      <c r="X34" t="s">
        <v>412</v>
      </c>
      <c r="Y34" t="s">
        <v>339</v>
      </c>
      <c r="Z34" t="s">
        <v>886</v>
      </c>
      <c r="AA34" t="s">
        <v>889</v>
      </c>
      <c r="AB34" t="s">
        <v>4723</v>
      </c>
      <c r="AC34" t="s">
        <v>4723</v>
      </c>
      <c r="AD34" s="131">
        <v>875980.5</v>
      </c>
      <c r="AE34" s="131">
        <v>1</v>
      </c>
      <c r="AF34" s="131">
        <v>98.47</v>
      </c>
      <c r="AG34" s="131">
        <v>862.57799999999997</v>
      </c>
      <c r="AJ34" s="109" t="s">
        <v>15</v>
      </c>
      <c r="AK34" s="132">
        <v>0.16058</v>
      </c>
      <c r="AL34" s="132">
        <v>2.31E-3</v>
      </c>
    </row>
    <row r="35" spans="1:38">
      <c r="A35" t="s">
        <v>1213</v>
      </c>
      <c r="B35" t="s">
        <v>1224</v>
      </c>
      <c r="C35" t="s">
        <v>4783</v>
      </c>
      <c r="D35" t="s">
        <v>4784</v>
      </c>
      <c r="E35" t="s">
        <v>309</v>
      </c>
      <c r="F35" t="s">
        <v>4785</v>
      </c>
      <c r="G35" t="s">
        <v>4786</v>
      </c>
      <c r="H35" t="s">
        <v>321</v>
      </c>
      <c r="I35" t="s">
        <v>951</v>
      </c>
      <c r="J35" t="s">
        <v>204</v>
      </c>
      <c r="K35" t="s">
        <v>204</v>
      </c>
      <c r="L35" s="109" t="s">
        <v>326</v>
      </c>
      <c r="M35" t="s">
        <v>451</v>
      </c>
      <c r="N35" t="s">
        <v>339</v>
      </c>
      <c r="O35" t="s">
        <v>4806</v>
      </c>
      <c r="P35" t="s">
        <v>1614</v>
      </c>
      <c r="Q35" t="s">
        <v>415</v>
      </c>
      <c r="R35" t="s">
        <v>407</v>
      </c>
      <c r="S35" t="s">
        <v>1212</v>
      </c>
      <c r="T35" s="131">
        <v>2.4900000000000002</v>
      </c>
      <c r="U35" t="s">
        <v>1744</v>
      </c>
      <c r="V35" s="132">
        <v>6.8699999999999997E-2</v>
      </c>
      <c r="W35" s="132">
        <v>4.1450000000000001E-2</v>
      </c>
      <c r="X35" t="s">
        <v>412</v>
      </c>
      <c r="Y35" t="s">
        <v>339</v>
      </c>
      <c r="Z35" t="s">
        <v>886</v>
      </c>
      <c r="AA35" t="s">
        <v>889</v>
      </c>
      <c r="AB35" t="s">
        <v>4723</v>
      </c>
      <c r="AC35" t="s">
        <v>4723</v>
      </c>
      <c r="AD35" s="131">
        <v>552000</v>
      </c>
      <c r="AE35" s="131">
        <v>1</v>
      </c>
      <c r="AF35" s="131">
        <v>97.11</v>
      </c>
      <c r="AG35" s="131">
        <v>536.04700000000003</v>
      </c>
      <c r="AJ35" s="109" t="s">
        <v>15</v>
      </c>
      <c r="AK35" s="132">
        <v>9.9790000000000004E-2</v>
      </c>
      <c r="AL35" s="132">
        <v>1.4400000000000001E-3</v>
      </c>
    </row>
    <row r="36" spans="1:38">
      <c r="A36" t="s">
        <v>1213</v>
      </c>
      <c r="B36" t="s">
        <v>1230</v>
      </c>
      <c r="C36" t="s">
        <v>4769</v>
      </c>
      <c r="D36" t="s">
        <v>4770</v>
      </c>
      <c r="E36" t="s">
        <v>309</v>
      </c>
      <c r="F36" t="s">
        <v>4771</v>
      </c>
      <c r="G36" t="s">
        <v>4772</v>
      </c>
      <c r="H36" t="s">
        <v>321</v>
      </c>
      <c r="I36" t="s">
        <v>951</v>
      </c>
      <c r="J36" t="s">
        <v>204</v>
      </c>
      <c r="K36" t="s">
        <v>204</v>
      </c>
      <c r="L36" s="109" t="s">
        <v>326</v>
      </c>
      <c r="M36" t="s">
        <v>464</v>
      </c>
      <c r="N36" t="s">
        <v>339</v>
      </c>
      <c r="O36" t="s">
        <v>4799</v>
      </c>
      <c r="P36" t="s">
        <v>2011</v>
      </c>
      <c r="Q36" t="s">
        <v>415</v>
      </c>
      <c r="R36" t="s">
        <v>407</v>
      </c>
      <c r="S36" t="s">
        <v>1212</v>
      </c>
      <c r="T36" s="131">
        <v>1.67</v>
      </c>
      <c r="U36" t="s">
        <v>1572</v>
      </c>
      <c r="V36" s="132">
        <v>7.3499999999999996E-2</v>
      </c>
      <c r="W36" s="132">
        <v>2.7820000000000001E-2</v>
      </c>
      <c r="X36" t="s">
        <v>412</v>
      </c>
      <c r="Y36" t="s">
        <v>339</v>
      </c>
      <c r="Z36" t="s">
        <v>886</v>
      </c>
      <c r="AA36" t="s">
        <v>889</v>
      </c>
      <c r="AB36" t="s">
        <v>4723</v>
      </c>
      <c r="AC36" t="s">
        <v>4723</v>
      </c>
      <c r="AD36" s="131">
        <v>10015066.699999999</v>
      </c>
      <c r="AE36" s="131">
        <v>1</v>
      </c>
      <c r="AF36" s="131">
        <v>96.56</v>
      </c>
      <c r="AG36" s="131">
        <v>9670.5480000000007</v>
      </c>
      <c r="AJ36" s="109" t="s">
        <v>15</v>
      </c>
      <c r="AK36" s="132">
        <v>0.31291999999999998</v>
      </c>
      <c r="AL36" s="132">
        <v>3.4499999999999999E-3</v>
      </c>
    </row>
    <row r="37" spans="1:38">
      <c r="A37" t="s">
        <v>1213</v>
      </c>
      <c r="B37" t="s">
        <v>1230</v>
      </c>
      <c r="C37" t="s">
        <v>3125</v>
      </c>
      <c r="D37" t="s">
        <v>3126</v>
      </c>
      <c r="E37" t="s">
        <v>309</v>
      </c>
      <c r="F37" t="s">
        <v>4779</v>
      </c>
      <c r="G37" t="s">
        <v>4780</v>
      </c>
      <c r="H37" t="s">
        <v>321</v>
      </c>
      <c r="I37" t="s">
        <v>951</v>
      </c>
      <c r="J37" t="s">
        <v>204</v>
      </c>
      <c r="K37" t="s">
        <v>204</v>
      </c>
      <c r="L37" s="109" t="s">
        <v>326</v>
      </c>
      <c r="M37" t="s">
        <v>441</v>
      </c>
      <c r="N37" t="s">
        <v>339</v>
      </c>
      <c r="O37" t="s">
        <v>4781</v>
      </c>
      <c r="P37" t="s">
        <v>1566</v>
      </c>
      <c r="Q37" t="s">
        <v>413</v>
      </c>
      <c r="R37" t="s">
        <v>407</v>
      </c>
      <c r="S37" t="s">
        <v>1212</v>
      </c>
      <c r="T37" s="131">
        <v>3.3</v>
      </c>
      <c r="U37" t="s">
        <v>4782</v>
      </c>
      <c r="V37" s="132">
        <v>6.7000000000000004E-2</v>
      </c>
      <c r="W37" s="132">
        <v>3.0110000000000001E-2</v>
      </c>
      <c r="X37" t="s">
        <v>412</v>
      </c>
      <c r="Y37" t="s">
        <v>339</v>
      </c>
      <c r="Z37" t="s">
        <v>886</v>
      </c>
      <c r="AA37" t="s">
        <v>889</v>
      </c>
      <c r="AB37" t="s">
        <v>4723</v>
      </c>
      <c r="AC37" t="s">
        <v>4723</v>
      </c>
      <c r="AD37" s="131">
        <v>10500000</v>
      </c>
      <c r="AE37" s="131">
        <v>1</v>
      </c>
      <c r="AF37" s="131">
        <v>91.84</v>
      </c>
      <c r="AG37" s="131">
        <v>9643.2000000000007</v>
      </c>
      <c r="AJ37" s="109" t="s">
        <v>15</v>
      </c>
      <c r="AK37" s="132">
        <v>0.31203999999999998</v>
      </c>
      <c r="AL37" s="132">
        <v>3.4399999999999999E-3</v>
      </c>
    </row>
    <row r="38" spans="1:38">
      <c r="A38" t="s">
        <v>1213</v>
      </c>
      <c r="B38" t="s">
        <v>1230</v>
      </c>
      <c r="C38" t="s">
        <v>4733</v>
      </c>
      <c r="D38" t="s">
        <v>4734</v>
      </c>
      <c r="E38" t="s">
        <v>309</v>
      </c>
      <c r="F38" t="s">
        <v>4796</v>
      </c>
      <c r="G38" t="s">
        <v>4797</v>
      </c>
      <c r="H38" t="s">
        <v>321</v>
      </c>
      <c r="I38" t="s">
        <v>951</v>
      </c>
      <c r="J38" t="s">
        <v>204</v>
      </c>
      <c r="K38" t="s">
        <v>204</v>
      </c>
      <c r="L38" s="109" t="s">
        <v>326</v>
      </c>
      <c r="M38" t="s">
        <v>464</v>
      </c>
      <c r="N38" t="s">
        <v>339</v>
      </c>
      <c r="O38" t="s">
        <v>4798</v>
      </c>
      <c r="P38" t="s">
        <v>1521</v>
      </c>
      <c r="Q38" t="s">
        <v>413</v>
      </c>
      <c r="R38" t="s">
        <v>407</v>
      </c>
      <c r="S38" t="s">
        <v>1212</v>
      </c>
      <c r="T38" s="131">
        <v>0.25</v>
      </c>
      <c r="U38" t="s">
        <v>2541</v>
      </c>
      <c r="V38" s="132">
        <v>-0.14019999999999999</v>
      </c>
      <c r="W38" s="132">
        <v>3.3140000000000003E-2</v>
      </c>
      <c r="X38" t="s">
        <v>412</v>
      </c>
      <c r="Y38" t="s">
        <v>339</v>
      </c>
      <c r="Z38" t="s">
        <v>886</v>
      </c>
      <c r="AA38" t="s">
        <v>889</v>
      </c>
      <c r="AB38" t="s">
        <v>4723</v>
      </c>
      <c r="AC38" t="s">
        <v>4723</v>
      </c>
      <c r="AD38" s="131">
        <v>5400000.0099999998</v>
      </c>
      <c r="AE38" s="131">
        <v>1</v>
      </c>
      <c r="AF38" s="131">
        <v>100.41</v>
      </c>
      <c r="AG38" s="131">
        <v>5422.14</v>
      </c>
      <c r="AJ38" s="109" t="s">
        <v>15</v>
      </c>
      <c r="AK38" s="132">
        <v>0.17544999999999999</v>
      </c>
      <c r="AL38" s="132">
        <v>1.9300000000000001E-3</v>
      </c>
    </row>
    <row r="39" spans="1:38">
      <c r="A39" t="s">
        <v>1213</v>
      </c>
      <c r="B39" t="s">
        <v>1230</v>
      </c>
      <c r="C39" t="s">
        <v>4800</v>
      </c>
      <c r="D39" t="s">
        <v>4801</v>
      </c>
      <c r="E39" t="s">
        <v>309</v>
      </c>
      <c r="F39" t="s">
        <v>4802</v>
      </c>
      <c r="G39" t="s">
        <v>4803</v>
      </c>
      <c r="H39" t="s">
        <v>321</v>
      </c>
      <c r="I39" t="s">
        <v>951</v>
      </c>
      <c r="J39" t="s">
        <v>204</v>
      </c>
      <c r="K39" t="s">
        <v>204</v>
      </c>
      <c r="L39" s="109" t="s">
        <v>326</v>
      </c>
      <c r="M39" t="s">
        <v>445</v>
      </c>
      <c r="N39" t="s">
        <v>339</v>
      </c>
      <c r="O39" t="s">
        <v>4807</v>
      </c>
      <c r="P39" t="s">
        <v>1527</v>
      </c>
      <c r="Q39" t="s">
        <v>415</v>
      </c>
      <c r="R39" t="s">
        <v>407</v>
      </c>
      <c r="S39" t="s">
        <v>1212</v>
      </c>
      <c r="T39" s="131">
        <v>0.95</v>
      </c>
      <c r="U39" t="s">
        <v>4805</v>
      </c>
      <c r="V39" s="132">
        <v>4.3700000000000003E-2</v>
      </c>
      <c r="W39" s="132">
        <v>3.1099999999999999E-2</v>
      </c>
      <c r="X39" t="s">
        <v>412</v>
      </c>
      <c r="Y39" t="s">
        <v>339</v>
      </c>
      <c r="Z39" t="s">
        <v>886</v>
      </c>
      <c r="AA39" t="s">
        <v>889</v>
      </c>
      <c r="AB39" t="s">
        <v>4723</v>
      </c>
      <c r="AC39" t="s">
        <v>4723</v>
      </c>
      <c r="AD39" s="131">
        <v>5401879.7599999998</v>
      </c>
      <c r="AE39" s="131">
        <v>1</v>
      </c>
      <c r="AF39" s="131">
        <v>98.47</v>
      </c>
      <c r="AG39" s="131">
        <v>5319.2309999999998</v>
      </c>
      <c r="AJ39" s="109" t="s">
        <v>15</v>
      </c>
      <c r="AK39" s="132">
        <v>0.17212</v>
      </c>
      <c r="AL39" s="132">
        <v>1.9E-3</v>
      </c>
    </row>
    <row r="40" spans="1:38">
      <c r="A40" t="s">
        <v>1213</v>
      </c>
      <c r="B40" t="s">
        <v>1230</v>
      </c>
      <c r="C40" t="s">
        <v>4783</v>
      </c>
      <c r="D40" t="s">
        <v>4784</v>
      </c>
      <c r="E40" t="s">
        <v>309</v>
      </c>
      <c r="F40" t="s">
        <v>4785</v>
      </c>
      <c r="G40" t="s">
        <v>4786</v>
      </c>
      <c r="H40" t="s">
        <v>321</v>
      </c>
      <c r="I40" t="s">
        <v>951</v>
      </c>
      <c r="J40" t="s">
        <v>204</v>
      </c>
      <c r="K40" t="s">
        <v>204</v>
      </c>
      <c r="L40" s="109" t="s">
        <v>326</v>
      </c>
      <c r="M40" t="s">
        <v>451</v>
      </c>
      <c r="N40" t="s">
        <v>339</v>
      </c>
      <c r="O40" t="s">
        <v>4806</v>
      </c>
      <c r="P40" t="s">
        <v>1614</v>
      </c>
      <c r="Q40" t="s">
        <v>415</v>
      </c>
      <c r="R40" t="s">
        <v>407</v>
      </c>
      <c r="S40" t="s">
        <v>1212</v>
      </c>
      <c r="T40" s="131">
        <v>2.4900000000000002</v>
      </c>
      <c r="U40" t="s">
        <v>1744</v>
      </c>
      <c r="V40" s="132">
        <v>6.8699999999999997E-2</v>
      </c>
      <c r="W40" s="132">
        <v>4.1450000000000001E-2</v>
      </c>
      <c r="X40" t="s">
        <v>412</v>
      </c>
      <c r="Y40" t="s">
        <v>339</v>
      </c>
      <c r="Z40" t="s">
        <v>886</v>
      </c>
      <c r="AA40" t="s">
        <v>889</v>
      </c>
      <c r="AB40" t="s">
        <v>4723</v>
      </c>
      <c r="AC40" t="s">
        <v>4723</v>
      </c>
      <c r="AD40" s="131">
        <v>874000</v>
      </c>
      <c r="AE40" s="131">
        <v>1</v>
      </c>
      <c r="AF40" s="131">
        <v>97.11</v>
      </c>
      <c r="AG40" s="131">
        <v>848.74099999999999</v>
      </c>
      <c r="AJ40" s="109" t="s">
        <v>15</v>
      </c>
      <c r="AK40" s="132">
        <v>2.7459999999999998E-2</v>
      </c>
      <c r="AL40" s="132">
        <v>2.9999999999999997E-4</v>
      </c>
    </row>
    <row r="41" spans="1:38">
      <c r="A41" t="s">
        <v>1213</v>
      </c>
      <c r="B41" t="s">
        <v>1233</v>
      </c>
      <c r="C41" t="s">
        <v>4808</v>
      </c>
      <c r="D41" t="s">
        <v>4809</v>
      </c>
      <c r="E41" t="s">
        <v>309</v>
      </c>
      <c r="F41" t="s">
        <v>4810</v>
      </c>
      <c r="G41" t="s">
        <v>4811</v>
      </c>
      <c r="H41" t="s">
        <v>321</v>
      </c>
      <c r="I41" t="s">
        <v>754</v>
      </c>
      <c r="J41" t="s">
        <v>204</v>
      </c>
      <c r="K41" t="s">
        <v>204</v>
      </c>
      <c r="L41" s="109" t="s">
        <v>326</v>
      </c>
      <c r="M41" t="s">
        <v>477</v>
      </c>
      <c r="N41" t="s">
        <v>339</v>
      </c>
      <c r="O41" t="s">
        <v>4812</v>
      </c>
      <c r="P41" t="s">
        <v>1566</v>
      </c>
      <c r="Q41" t="s">
        <v>413</v>
      </c>
      <c r="R41" t="s">
        <v>407</v>
      </c>
      <c r="S41" t="s">
        <v>1212</v>
      </c>
      <c r="T41" s="131">
        <v>2.77</v>
      </c>
      <c r="U41" t="s">
        <v>1913</v>
      </c>
      <c r="V41" s="132">
        <v>2.9899999999999999E-2</v>
      </c>
      <c r="W41" s="132">
        <v>3.5900000000000001E-2</v>
      </c>
      <c r="X41" t="s">
        <v>412</v>
      </c>
      <c r="Y41" t="s">
        <v>339</v>
      </c>
      <c r="Z41" t="s">
        <v>886</v>
      </c>
      <c r="AA41" t="s">
        <v>889</v>
      </c>
      <c r="AB41" t="s">
        <v>4723</v>
      </c>
      <c r="AC41" t="s">
        <v>4723</v>
      </c>
      <c r="AD41" s="131">
        <v>727000</v>
      </c>
      <c r="AE41" s="131">
        <v>1</v>
      </c>
      <c r="AF41" s="131">
        <v>105.15</v>
      </c>
      <c r="AG41" s="131">
        <v>764.44100000000003</v>
      </c>
      <c r="AJ41" s="109" t="s">
        <v>15</v>
      </c>
      <c r="AK41" s="132">
        <v>1</v>
      </c>
      <c r="AL41" s="132">
        <v>2.0300000000000001E-3</v>
      </c>
    </row>
    <row r="42" spans="1:38">
      <c r="A42" t="s">
        <v>1213</v>
      </c>
      <c r="B42" t="s">
        <v>1235</v>
      </c>
      <c r="C42" t="s">
        <v>4764</v>
      </c>
      <c r="D42" t="s">
        <v>4765</v>
      </c>
      <c r="E42" t="s">
        <v>309</v>
      </c>
      <c r="F42" t="s">
        <v>4766</v>
      </c>
      <c r="G42" t="s">
        <v>4767</v>
      </c>
      <c r="H42" t="s">
        <v>321</v>
      </c>
      <c r="I42" t="s">
        <v>951</v>
      </c>
      <c r="J42" t="s">
        <v>204</v>
      </c>
      <c r="K42" t="s">
        <v>204</v>
      </c>
      <c r="L42" s="109" t="s">
        <v>326</v>
      </c>
      <c r="M42" t="s">
        <v>451</v>
      </c>
      <c r="N42" t="s">
        <v>339</v>
      </c>
      <c r="O42" t="s">
        <v>4813</v>
      </c>
      <c r="P42" t="s">
        <v>1614</v>
      </c>
      <c r="Q42" t="s">
        <v>415</v>
      </c>
      <c r="R42" t="s">
        <v>407</v>
      </c>
      <c r="S42" t="s">
        <v>1212</v>
      </c>
      <c r="T42" s="131">
        <v>2.11</v>
      </c>
      <c r="U42" t="s">
        <v>1572</v>
      </c>
      <c r="V42" s="132">
        <v>6.08E-2</v>
      </c>
      <c r="W42" s="132">
        <v>3.739E-2</v>
      </c>
      <c r="X42" t="s">
        <v>412</v>
      </c>
      <c r="Y42" t="s">
        <v>339</v>
      </c>
      <c r="Z42" t="s">
        <v>886</v>
      </c>
      <c r="AA42" t="s">
        <v>889</v>
      </c>
      <c r="AB42" t="s">
        <v>4723</v>
      </c>
      <c r="AC42" t="s">
        <v>4723</v>
      </c>
      <c r="AD42" s="131">
        <v>111323.07</v>
      </c>
      <c r="AE42" s="131">
        <v>1</v>
      </c>
      <c r="AF42" s="131">
        <v>97.54</v>
      </c>
      <c r="AG42" s="131">
        <v>108.58499999999999</v>
      </c>
      <c r="AJ42" s="109" t="s">
        <v>15</v>
      </c>
      <c r="AK42" s="132">
        <v>0.40483999999999998</v>
      </c>
      <c r="AL42" s="132">
        <v>1.57E-3</v>
      </c>
    </row>
    <row r="43" spans="1:38">
      <c r="A43" t="s">
        <v>1213</v>
      </c>
      <c r="B43" t="s">
        <v>1235</v>
      </c>
      <c r="C43" t="s">
        <v>4808</v>
      </c>
      <c r="D43" t="s">
        <v>4809</v>
      </c>
      <c r="E43" t="s">
        <v>309</v>
      </c>
      <c r="F43" t="s">
        <v>4810</v>
      </c>
      <c r="G43" t="s">
        <v>4811</v>
      </c>
      <c r="H43" t="s">
        <v>321</v>
      </c>
      <c r="I43" t="s">
        <v>754</v>
      </c>
      <c r="J43" t="s">
        <v>204</v>
      </c>
      <c r="K43" t="s">
        <v>204</v>
      </c>
      <c r="L43" s="109" t="s">
        <v>326</v>
      </c>
      <c r="M43" t="s">
        <v>477</v>
      </c>
      <c r="N43" t="s">
        <v>339</v>
      </c>
      <c r="O43" t="s">
        <v>4812</v>
      </c>
      <c r="P43" t="s">
        <v>1566</v>
      </c>
      <c r="Q43" t="s">
        <v>413</v>
      </c>
      <c r="R43" t="s">
        <v>407</v>
      </c>
      <c r="S43" t="s">
        <v>1212</v>
      </c>
      <c r="T43" s="131">
        <v>2.77</v>
      </c>
      <c r="U43" t="s">
        <v>1913</v>
      </c>
      <c r="V43" s="132">
        <v>2.9899999999999999E-2</v>
      </c>
      <c r="W43" s="132">
        <v>3.5900000000000001E-2</v>
      </c>
      <c r="X43" t="s">
        <v>412</v>
      </c>
      <c r="Y43" t="s">
        <v>339</v>
      </c>
      <c r="Z43" t="s">
        <v>886</v>
      </c>
      <c r="AA43" t="s">
        <v>889</v>
      </c>
      <c r="AB43" t="s">
        <v>4723</v>
      </c>
      <c r="AC43" t="s">
        <v>4723</v>
      </c>
      <c r="AD43" s="131">
        <v>96000</v>
      </c>
      <c r="AE43" s="131">
        <v>1</v>
      </c>
      <c r="AF43" s="131">
        <v>105.15</v>
      </c>
      <c r="AG43" s="131">
        <v>100.944</v>
      </c>
      <c r="AJ43" s="109" t="s">
        <v>15</v>
      </c>
      <c r="AK43" s="132">
        <v>0.37635999999999997</v>
      </c>
      <c r="AL43" s="132">
        <v>1.4599999999999999E-3</v>
      </c>
    </row>
    <row r="44" spans="1:38">
      <c r="A44" t="s">
        <v>1213</v>
      </c>
      <c r="B44" t="s">
        <v>1235</v>
      </c>
      <c r="C44" t="s">
        <v>4814</v>
      </c>
      <c r="D44" t="s">
        <v>4815</v>
      </c>
      <c r="E44" t="s">
        <v>309</v>
      </c>
      <c r="F44" t="s">
        <v>4816</v>
      </c>
      <c r="G44" t="s">
        <v>4817</v>
      </c>
      <c r="H44" t="s">
        <v>321</v>
      </c>
      <c r="I44" t="s">
        <v>951</v>
      </c>
      <c r="J44" t="s">
        <v>204</v>
      </c>
      <c r="K44" t="s">
        <v>204</v>
      </c>
      <c r="L44" s="109" t="s">
        <v>326</v>
      </c>
      <c r="M44" t="s">
        <v>462</v>
      </c>
      <c r="N44" t="s">
        <v>339</v>
      </c>
      <c r="O44" t="s">
        <v>4818</v>
      </c>
      <c r="P44" t="s">
        <v>1527</v>
      </c>
      <c r="Q44" t="s">
        <v>415</v>
      </c>
      <c r="R44" t="s">
        <v>407</v>
      </c>
      <c r="S44" t="s">
        <v>1212</v>
      </c>
      <c r="T44" s="131">
        <v>1.39</v>
      </c>
      <c r="U44" t="s">
        <v>1833</v>
      </c>
      <c r="V44" s="132">
        <v>0.1338</v>
      </c>
      <c r="W44" s="132">
        <v>3.5029999999999999E-2</v>
      </c>
      <c r="X44" t="s">
        <v>412</v>
      </c>
      <c r="Y44" t="s">
        <v>339</v>
      </c>
      <c r="Z44" t="s">
        <v>886</v>
      </c>
      <c r="AA44" t="s">
        <v>889</v>
      </c>
      <c r="AB44" t="s">
        <v>4723</v>
      </c>
      <c r="AC44" t="s">
        <v>4723</v>
      </c>
      <c r="AD44" s="131">
        <v>59500</v>
      </c>
      <c r="AE44" s="131">
        <v>1</v>
      </c>
      <c r="AF44" s="131">
        <v>98.63</v>
      </c>
      <c r="AG44" s="131">
        <v>58.685000000000002</v>
      </c>
      <c r="AJ44" s="109" t="s">
        <v>15</v>
      </c>
      <c r="AK44" s="132">
        <v>0.21879999999999999</v>
      </c>
      <c r="AL44" s="132">
        <v>8.4999999999999995E-4</v>
      </c>
    </row>
    <row r="45" spans="1:38">
      <c r="A45" t="s">
        <v>1213</v>
      </c>
      <c r="B45" t="s">
        <v>1238</v>
      </c>
      <c r="C45" t="s">
        <v>4808</v>
      </c>
      <c r="D45" t="s">
        <v>4809</v>
      </c>
      <c r="E45" t="s">
        <v>309</v>
      </c>
      <c r="F45" t="s">
        <v>4810</v>
      </c>
      <c r="G45" t="s">
        <v>4811</v>
      </c>
      <c r="H45" t="s">
        <v>321</v>
      </c>
      <c r="I45" t="s">
        <v>754</v>
      </c>
      <c r="J45" t="s">
        <v>204</v>
      </c>
      <c r="K45" t="s">
        <v>204</v>
      </c>
      <c r="L45" s="109" t="s">
        <v>326</v>
      </c>
      <c r="M45" t="s">
        <v>477</v>
      </c>
      <c r="N45" t="s">
        <v>339</v>
      </c>
      <c r="O45" t="s">
        <v>4812</v>
      </c>
      <c r="P45" t="s">
        <v>1566</v>
      </c>
      <c r="Q45" t="s">
        <v>413</v>
      </c>
      <c r="R45" t="s">
        <v>407</v>
      </c>
      <c r="S45" t="s">
        <v>1212</v>
      </c>
      <c r="T45" s="131">
        <v>2.77</v>
      </c>
      <c r="U45" t="s">
        <v>1913</v>
      </c>
      <c r="V45" s="132">
        <v>2.9899999999999999E-2</v>
      </c>
      <c r="W45" s="132">
        <v>3.5900000000000001E-2</v>
      </c>
      <c r="X45" t="s">
        <v>412</v>
      </c>
      <c r="Y45" t="s">
        <v>339</v>
      </c>
      <c r="Z45" t="s">
        <v>886</v>
      </c>
      <c r="AA45" t="s">
        <v>889</v>
      </c>
      <c r="AB45" t="s">
        <v>4723</v>
      </c>
      <c r="AC45" t="s">
        <v>4723</v>
      </c>
      <c r="AD45" s="131">
        <v>4695000</v>
      </c>
      <c r="AE45" s="131">
        <v>1</v>
      </c>
      <c r="AF45" s="131">
        <f>AG45*1000/AD45*100</f>
        <v>105.15001064962726</v>
      </c>
      <c r="AG45" s="131">
        <v>4936.7929999999997</v>
      </c>
      <c r="AJ45" s="109" t="s">
        <v>15</v>
      </c>
      <c r="AK45" s="132">
        <v>0.44893</v>
      </c>
      <c r="AL45" s="132">
        <v>2.7299999999999998E-3</v>
      </c>
    </row>
    <row r="46" spans="1:38">
      <c r="A46" t="s">
        <v>1213</v>
      </c>
      <c r="B46" t="s">
        <v>1238</v>
      </c>
      <c r="C46" t="s">
        <v>4764</v>
      </c>
      <c r="D46" t="s">
        <v>4765</v>
      </c>
      <c r="E46" t="s">
        <v>309</v>
      </c>
      <c r="F46" t="s">
        <v>4766</v>
      </c>
      <c r="G46" t="s">
        <v>4767</v>
      </c>
      <c r="H46" t="s">
        <v>321</v>
      </c>
      <c r="I46" t="s">
        <v>951</v>
      </c>
      <c r="J46" t="s">
        <v>204</v>
      </c>
      <c r="K46" t="s">
        <v>204</v>
      </c>
      <c r="L46" s="109" t="s">
        <v>326</v>
      </c>
      <c r="M46" t="s">
        <v>451</v>
      </c>
      <c r="N46" t="s">
        <v>339</v>
      </c>
      <c r="O46" t="s">
        <v>4813</v>
      </c>
      <c r="P46" t="s">
        <v>1614</v>
      </c>
      <c r="Q46" t="s">
        <v>415</v>
      </c>
      <c r="R46" t="s">
        <v>407</v>
      </c>
      <c r="S46" t="s">
        <v>1212</v>
      </c>
      <c r="T46" s="131">
        <v>2.11</v>
      </c>
      <c r="U46" t="s">
        <v>1572</v>
      </c>
      <c r="V46" s="132">
        <v>6.08E-2</v>
      </c>
      <c r="W46" s="132">
        <v>3.739E-2</v>
      </c>
      <c r="X46" t="s">
        <v>412</v>
      </c>
      <c r="Y46" t="s">
        <v>339</v>
      </c>
      <c r="Z46" t="s">
        <v>886</v>
      </c>
      <c r="AA46" t="s">
        <v>889</v>
      </c>
      <c r="AB46" t="s">
        <v>4723</v>
      </c>
      <c r="AC46" t="s">
        <v>4723</v>
      </c>
      <c r="AD46" s="131">
        <v>3791942.68</v>
      </c>
      <c r="AE46" s="131">
        <v>1</v>
      </c>
      <c r="AF46" s="131">
        <v>97.54</v>
      </c>
      <c r="AG46" s="131">
        <v>3698.6610000000001</v>
      </c>
      <c r="AJ46" s="109" t="s">
        <v>15</v>
      </c>
      <c r="AK46" s="132">
        <v>0.33633999999999997</v>
      </c>
      <c r="AL46" s="132">
        <v>2.0400000000000001E-3</v>
      </c>
    </row>
    <row r="47" spans="1:38">
      <c r="A47" t="s">
        <v>1213</v>
      </c>
      <c r="B47" t="s">
        <v>1238</v>
      </c>
      <c r="C47" t="s">
        <v>4814</v>
      </c>
      <c r="D47" t="s">
        <v>4815</v>
      </c>
      <c r="E47" t="s">
        <v>309</v>
      </c>
      <c r="F47" t="s">
        <v>4816</v>
      </c>
      <c r="G47" t="s">
        <v>4817</v>
      </c>
      <c r="H47" t="s">
        <v>321</v>
      </c>
      <c r="I47" t="s">
        <v>951</v>
      </c>
      <c r="J47" t="s">
        <v>204</v>
      </c>
      <c r="K47" t="s">
        <v>204</v>
      </c>
      <c r="L47" s="109" t="s">
        <v>326</v>
      </c>
      <c r="M47" t="s">
        <v>462</v>
      </c>
      <c r="N47" t="s">
        <v>339</v>
      </c>
      <c r="O47" t="s">
        <v>4818</v>
      </c>
      <c r="P47" t="s">
        <v>1527</v>
      </c>
      <c r="Q47" t="s">
        <v>415</v>
      </c>
      <c r="R47" t="s">
        <v>407</v>
      </c>
      <c r="S47" t="s">
        <v>1212</v>
      </c>
      <c r="T47" s="131">
        <v>1.39</v>
      </c>
      <c r="U47" t="s">
        <v>1833</v>
      </c>
      <c r="V47" s="132">
        <v>0.1338</v>
      </c>
      <c r="W47" s="132">
        <v>3.5029999999999999E-2</v>
      </c>
      <c r="X47" t="s">
        <v>412</v>
      </c>
      <c r="Y47" t="s">
        <v>339</v>
      </c>
      <c r="Z47" t="s">
        <v>886</v>
      </c>
      <c r="AA47" t="s">
        <v>889</v>
      </c>
      <c r="AB47" t="s">
        <v>4723</v>
      </c>
      <c r="AC47" t="s">
        <v>4723</v>
      </c>
      <c r="AD47" s="131">
        <v>1919400</v>
      </c>
      <c r="AE47" s="131">
        <v>1</v>
      </c>
      <c r="AF47" s="131">
        <v>98.63</v>
      </c>
      <c r="AG47" s="131">
        <v>1893.104</v>
      </c>
      <c r="AJ47" s="109" t="s">
        <v>15</v>
      </c>
      <c r="AK47" s="132">
        <v>0.17215</v>
      </c>
      <c r="AL47" s="132">
        <v>1.0499999999999999E-3</v>
      </c>
    </row>
    <row r="48" spans="1:38">
      <c r="A48" t="s">
        <v>1213</v>
      </c>
      <c r="B48" t="s">
        <v>1238</v>
      </c>
      <c r="C48" t="s">
        <v>1573</v>
      </c>
      <c r="D48" t="s">
        <v>1574</v>
      </c>
      <c r="E48" t="s">
        <v>309</v>
      </c>
      <c r="F48" t="s">
        <v>4819</v>
      </c>
      <c r="G48" t="s">
        <v>4820</v>
      </c>
      <c r="H48" t="s">
        <v>312</v>
      </c>
      <c r="I48" t="s">
        <v>754</v>
      </c>
      <c r="J48" t="s">
        <v>204</v>
      </c>
      <c r="K48" t="s">
        <v>204</v>
      </c>
      <c r="L48" s="109" t="s">
        <v>326</v>
      </c>
      <c r="M48" t="s">
        <v>448</v>
      </c>
      <c r="N48" t="s">
        <v>339</v>
      </c>
      <c r="O48" t="s">
        <v>4821</v>
      </c>
      <c r="P48" t="s">
        <v>1811</v>
      </c>
      <c r="Q48" t="s">
        <v>413</v>
      </c>
      <c r="R48" t="s">
        <v>407</v>
      </c>
      <c r="S48" t="s">
        <v>1212</v>
      </c>
      <c r="T48" s="182">
        <v>1.27</v>
      </c>
      <c r="U48" t="s">
        <v>2880</v>
      </c>
      <c r="V48" s="182">
        <v>1.86</v>
      </c>
      <c r="W48" s="132">
        <v>6.6000000000000003E-2</v>
      </c>
      <c r="X48" t="s">
        <v>412</v>
      </c>
      <c r="Y48" t="s">
        <v>339</v>
      </c>
      <c r="Z48" t="s">
        <v>886</v>
      </c>
      <c r="AA48" t="s">
        <v>889</v>
      </c>
      <c r="AB48" t="s">
        <v>4723</v>
      </c>
      <c r="AC48" t="s">
        <v>4723</v>
      </c>
      <c r="AD48" s="131">
        <v>300000</v>
      </c>
      <c r="AE48" s="131">
        <v>1</v>
      </c>
      <c r="AF48" s="131">
        <v>156.06</v>
      </c>
      <c r="AG48" s="131">
        <v>468.18</v>
      </c>
      <c r="AJ48" s="109" t="s">
        <v>15</v>
      </c>
      <c r="AK48" s="132">
        <v>4.2569999999999997E-2</v>
      </c>
      <c r="AL48" s="132">
        <v>2.5999999999999998E-4</v>
      </c>
    </row>
    <row r="49" spans="1:38">
      <c r="A49" t="s">
        <v>1213</v>
      </c>
      <c r="B49" t="s">
        <v>1238</v>
      </c>
      <c r="C49" t="s">
        <v>4822</v>
      </c>
      <c r="D49" t="s">
        <v>4823</v>
      </c>
      <c r="E49" t="s">
        <v>80</v>
      </c>
      <c r="F49" t="s">
        <v>4824</v>
      </c>
      <c r="G49" t="s">
        <v>4825</v>
      </c>
      <c r="H49" t="s">
        <v>312</v>
      </c>
      <c r="I49" t="s">
        <v>754</v>
      </c>
      <c r="J49" t="s">
        <v>204</v>
      </c>
      <c r="K49" t="s">
        <v>204</v>
      </c>
      <c r="L49" t="s">
        <v>314</v>
      </c>
      <c r="M49" t="s">
        <v>464</v>
      </c>
      <c r="N49" t="s">
        <v>339</v>
      </c>
      <c r="O49" t="s">
        <v>4826</v>
      </c>
      <c r="P49" t="s">
        <v>410</v>
      </c>
      <c r="Q49" t="s">
        <v>413</v>
      </c>
      <c r="R49" t="s">
        <v>407</v>
      </c>
      <c r="S49" t="s">
        <v>1212</v>
      </c>
      <c r="T49" s="131"/>
      <c r="U49" t="s">
        <v>4827</v>
      </c>
      <c r="V49" s="132"/>
      <c r="W49" s="132">
        <v>0.08</v>
      </c>
      <c r="X49" t="s">
        <v>412</v>
      </c>
      <c r="Y49" t="s">
        <v>339</v>
      </c>
      <c r="Z49" t="s">
        <v>886</v>
      </c>
      <c r="AA49" t="s">
        <v>889</v>
      </c>
      <c r="AB49" t="s">
        <v>4723</v>
      </c>
      <c r="AC49" t="s">
        <v>4723</v>
      </c>
      <c r="AD49" s="131">
        <v>2815079.1</v>
      </c>
      <c r="AE49" s="131">
        <v>1</v>
      </c>
      <c r="AF49" s="131">
        <v>0</v>
      </c>
      <c r="AG49" s="131">
        <v>0</v>
      </c>
      <c r="AJ49" s="109" t="s">
        <v>15</v>
      </c>
      <c r="AK49" s="132">
        <v>0</v>
      </c>
      <c r="AL49" s="132">
        <v>0</v>
      </c>
    </row>
    <row r="50" spans="1:38">
      <c r="A50" t="s">
        <v>1213</v>
      </c>
      <c r="B50" t="s">
        <v>1238</v>
      </c>
      <c r="C50" t="s">
        <v>4828</v>
      </c>
      <c r="D50" t="s">
        <v>4829</v>
      </c>
      <c r="E50" t="s">
        <v>80</v>
      </c>
      <c r="F50" t="s">
        <v>4830</v>
      </c>
      <c r="G50" t="s">
        <v>4831</v>
      </c>
      <c r="H50" t="s">
        <v>312</v>
      </c>
      <c r="I50" t="s">
        <v>754</v>
      </c>
      <c r="J50" t="s">
        <v>204</v>
      </c>
      <c r="K50" t="s">
        <v>204</v>
      </c>
      <c r="L50" t="s">
        <v>314</v>
      </c>
      <c r="M50" t="s">
        <v>451</v>
      </c>
      <c r="N50" t="s">
        <v>339</v>
      </c>
      <c r="O50" t="s">
        <v>4832</v>
      </c>
      <c r="P50" t="s">
        <v>410</v>
      </c>
      <c r="Q50" t="s">
        <v>413</v>
      </c>
      <c r="R50" t="s">
        <v>407</v>
      </c>
      <c r="S50" t="s">
        <v>1212</v>
      </c>
      <c r="T50" s="131"/>
      <c r="U50" t="s">
        <v>4833</v>
      </c>
      <c r="V50" s="132"/>
      <c r="W50" s="132">
        <v>7.4499999999999997E-2</v>
      </c>
      <c r="X50" t="s">
        <v>412</v>
      </c>
      <c r="Y50" t="s">
        <v>339</v>
      </c>
      <c r="Z50" t="s">
        <v>886</v>
      </c>
      <c r="AA50" t="s">
        <v>889</v>
      </c>
      <c r="AB50" t="s">
        <v>4723</v>
      </c>
      <c r="AC50" t="s">
        <v>4723</v>
      </c>
      <c r="AD50" s="131">
        <v>608840</v>
      </c>
      <c r="AE50" s="131">
        <v>1</v>
      </c>
      <c r="AF50" s="131">
        <v>0</v>
      </c>
      <c r="AG50" s="131">
        <v>0</v>
      </c>
      <c r="AJ50" s="109" t="s">
        <v>15</v>
      </c>
      <c r="AK50" s="132">
        <v>0</v>
      </c>
      <c r="AL50" s="132">
        <v>0</v>
      </c>
    </row>
    <row r="51" spans="1:38">
      <c r="A51" t="s">
        <v>1213</v>
      </c>
      <c r="B51" t="s">
        <v>1238</v>
      </c>
      <c r="C51" t="s">
        <v>4828</v>
      </c>
      <c r="D51" t="s">
        <v>4829</v>
      </c>
      <c r="E51" t="s">
        <v>80</v>
      </c>
      <c r="F51" t="s">
        <v>4834</v>
      </c>
      <c r="G51" t="s">
        <v>4835</v>
      </c>
      <c r="H51" t="s">
        <v>312</v>
      </c>
      <c r="I51" t="s">
        <v>754</v>
      </c>
      <c r="J51" t="s">
        <v>204</v>
      </c>
      <c r="K51" t="s">
        <v>204</v>
      </c>
      <c r="L51" t="s">
        <v>314</v>
      </c>
      <c r="M51" t="s">
        <v>451</v>
      </c>
      <c r="N51" t="s">
        <v>339</v>
      </c>
      <c r="O51" t="s">
        <v>4836</v>
      </c>
      <c r="P51" t="s">
        <v>410</v>
      </c>
      <c r="Q51" t="s">
        <v>413</v>
      </c>
      <c r="R51" t="s">
        <v>407</v>
      </c>
      <c r="S51" t="s">
        <v>1212</v>
      </c>
      <c r="T51" s="131"/>
      <c r="U51" t="s">
        <v>4837</v>
      </c>
      <c r="V51" s="132"/>
      <c r="W51" s="132">
        <v>7.4999999999999997E-2</v>
      </c>
      <c r="X51" t="s">
        <v>412</v>
      </c>
      <c r="Y51" t="s">
        <v>339</v>
      </c>
      <c r="Z51" t="s">
        <v>886</v>
      </c>
      <c r="AA51" t="s">
        <v>889</v>
      </c>
      <c r="AB51" t="s">
        <v>4723</v>
      </c>
      <c r="AC51" t="s">
        <v>4723</v>
      </c>
      <c r="AD51" s="131">
        <v>475854.14</v>
      </c>
      <c r="AE51" s="131">
        <v>1</v>
      </c>
      <c r="AF51" s="131">
        <v>0</v>
      </c>
      <c r="AG51" s="131">
        <v>0</v>
      </c>
      <c r="AJ51" s="109" t="s">
        <v>15</v>
      </c>
      <c r="AK51" s="132">
        <v>0</v>
      </c>
      <c r="AL51" s="132">
        <v>0</v>
      </c>
    </row>
    <row r="52" spans="1:38">
      <c r="A52" t="s">
        <v>1213</v>
      </c>
      <c r="B52" t="s">
        <v>1238</v>
      </c>
      <c r="C52" t="s">
        <v>4828</v>
      </c>
      <c r="D52" t="s">
        <v>4829</v>
      </c>
      <c r="E52" t="s">
        <v>80</v>
      </c>
      <c r="F52" t="s">
        <v>4838</v>
      </c>
      <c r="G52" t="s">
        <v>4839</v>
      </c>
      <c r="H52" t="s">
        <v>312</v>
      </c>
      <c r="I52" t="s">
        <v>754</v>
      </c>
      <c r="J52" t="s">
        <v>204</v>
      </c>
      <c r="K52" t="s">
        <v>204</v>
      </c>
      <c r="L52" t="s">
        <v>314</v>
      </c>
      <c r="M52" t="s">
        <v>451</v>
      </c>
      <c r="N52" t="s">
        <v>339</v>
      </c>
      <c r="O52" s="179">
        <v>40029</v>
      </c>
      <c r="P52" t="s">
        <v>410</v>
      </c>
      <c r="Q52" t="s">
        <v>312</v>
      </c>
      <c r="R52" t="s">
        <v>407</v>
      </c>
      <c r="S52" t="s">
        <v>1212</v>
      </c>
      <c r="U52" t="s">
        <v>4837</v>
      </c>
      <c r="W52" s="132">
        <v>7.4999999999999997E-2</v>
      </c>
      <c r="X52" t="s">
        <v>412</v>
      </c>
      <c r="Y52" t="s">
        <v>338</v>
      </c>
      <c r="Z52" t="s">
        <v>314</v>
      </c>
      <c r="AA52" t="s">
        <v>889</v>
      </c>
      <c r="AB52" t="s">
        <v>4723</v>
      </c>
      <c r="AC52" t="s">
        <v>4723</v>
      </c>
      <c r="AD52" s="131">
        <v>158617.87</v>
      </c>
      <c r="AE52" s="131">
        <v>1</v>
      </c>
      <c r="AF52" s="131">
        <v>0</v>
      </c>
      <c r="AG52" s="131">
        <v>0</v>
      </c>
      <c r="AJ52" s="109" t="s">
        <v>15</v>
      </c>
      <c r="AK52" s="132">
        <v>0</v>
      </c>
      <c r="AL52" s="132">
        <v>0</v>
      </c>
    </row>
    <row r="53" spans="1:38">
      <c r="A53" t="s">
        <v>1213</v>
      </c>
      <c r="B53" t="s">
        <v>1238</v>
      </c>
      <c r="C53" t="s">
        <v>4840</v>
      </c>
      <c r="D53" t="s">
        <v>4841</v>
      </c>
      <c r="E53" t="s">
        <v>309</v>
      </c>
      <c r="F53" t="s">
        <v>4842</v>
      </c>
      <c r="G53" t="s">
        <v>4843</v>
      </c>
      <c r="H53" t="s">
        <v>312</v>
      </c>
      <c r="I53" t="s">
        <v>754</v>
      </c>
      <c r="J53" t="s">
        <v>204</v>
      </c>
      <c r="K53" t="s">
        <v>204</v>
      </c>
      <c r="L53" t="s">
        <v>314</v>
      </c>
      <c r="M53" t="s">
        <v>477</v>
      </c>
      <c r="N53" t="s">
        <v>339</v>
      </c>
      <c r="O53" t="s">
        <v>4844</v>
      </c>
      <c r="P53" t="s">
        <v>410</v>
      </c>
      <c r="Q53" t="s">
        <v>413</v>
      </c>
      <c r="R53" t="s">
        <v>407</v>
      </c>
      <c r="S53" t="s">
        <v>1212</v>
      </c>
      <c r="U53" t="s">
        <v>4845</v>
      </c>
      <c r="W53" s="132">
        <v>7.3999999999999996E-2</v>
      </c>
      <c r="X53" t="s">
        <v>412</v>
      </c>
      <c r="Y53" t="s">
        <v>339</v>
      </c>
      <c r="Z53" t="s">
        <v>886</v>
      </c>
      <c r="AA53" t="s">
        <v>889</v>
      </c>
      <c r="AB53" t="s">
        <v>4723</v>
      </c>
      <c r="AC53" t="s">
        <v>4723</v>
      </c>
      <c r="AD53" s="131">
        <v>44576.85</v>
      </c>
      <c r="AE53" s="131">
        <v>1</v>
      </c>
      <c r="AF53" s="131">
        <v>0</v>
      </c>
      <c r="AG53" s="131">
        <v>0</v>
      </c>
      <c r="AJ53" s="109" t="s">
        <v>15</v>
      </c>
      <c r="AK53" s="132">
        <v>0</v>
      </c>
      <c r="AL53" s="132">
        <v>0</v>
      </c>
    </row>
    <row r="54" spans="1:38">
      <c r="A54" t="s">
        <v>1213</v>
      </c>
      <c r="B54" t="s">
        <v>1241</v>
      </c>
      <c r="C54" t="s">
        <v>4764</v>
      </c>
      <c r="D54" t="s">
        <v>4765</v>
      </c>
      <c r="E54" t="s">
        <v>309</v>
      </c>
      <c r="F54" t="s">
        <v>4766</v>
      </c>
      <c r="G54" t="s">
        <v>4767</v>
      </c>
      <c r="H54" t="s">
        <v>321</v>
      </c>
      <c r="I54" t="s">
        <v>951</v>
      </c>
      <c r="J54" t="s">
        <v>204</v>
      </c>
      <c r="K54" t="s">
        <v>204</v>
      </c>
      <c r="L54" s="109" t="s">
        <v>326</v>
      </c>
      <c r="M54" t="s">
        <v>451</v>
      </c>
      <c r="N54" t="s">
        <v>339</v>
      </c>
      <c r="O54" t="s">
        <v>4813</v>
      </c>
      <c r="P54" t="s">
        <v>1614</v>
      </c>
      <c r="Q54" t="s">
        <v>415</v>
      </c>
      <c r="R54" t="s">
        <v>407</v>
      </c>
      <c r="S54" t="s">
        <v>1212</v>
      </c>
      <c r="T54" s="131">
        <v>2.11</v>
      </c>
      <c r="U54" t="s">
        <v>1572</v>
      </c>
      <c r="V54" s="132">
        <v>6.08E-2</v>
      </c>
      <c r="W54" s="132">
        <v>3.739E-2</v>
      </c>
      <c r="X54" t="s">
        <v>412</v>
      </c>
      <c r="Y54" t="s">
        <v>339</v>
      </c>
      <c r="Z54" t="s">
        <v>886</v>
      </c>
      <c r="AA54" t="s">
        <v>889</v>
      </c>
      <c r="AB54" t="s">
        <v>4723</v>
      </c>
      <c r="AC54" t="s">
        <v>4723</v>
      </c>
      <c r="AD54" s="131">
        <v>605319.30000000005</v>
      </c>
      <c r="AE54" s="131">
        <v>1</v>
      </c>
      <c r="AF54" s="131">
        <v>97.54</v>
      </c>
      <c r="AG54" s="131">
        <v>590.428</v>
      </c>
      <c r="AJ54" s="109" t="s">
        <v>15</v>
      </c>
      <c r="AK54" s="132">
        <v>0.63058000000000003</v>
      </c>
      <c r="AL54" s="132">
        <v>1.56E-3</v>
      </c>
    </row>
    <row r="55" spans="1:38">
      <c r="A55" t="s">
        <v>1213</v>
      </c>
      <c r="B55" t="s">
        <v>1241</v>
      </c>
      <c r="C55" t="s">
        <v>4814</v>
      </c>
      <c r="D55" t="s">
        <v>4815</v>
      </c>
      <c r="E55" t="s">
        <v>309</v>
      </c>
      <c r="F55" t="s">
        <v>4816</v>
      </c>
      <c r="G55" t="s">
        <v>4817</v>
      </c>
      <c r="H55" t="s">
        <v>321</v>
      </c>
      <c r="I55" t="s">
        <v>951</v>
      </c>
      <c r="J55" t="s">
        <v>204</v>
      </c>
      <c r="K55" t="s">
        <v>204</v>
      </c>
      <c r="L55" s="109" t="s">
        <v>326</v>
      </c>
      <c r="M55" t="s">
        <v>462</v>
      </c>
      <c r="N55" t="s">
        <v>339</v>
      </c>
      <c r="O55" t="s">
        <v>4818</v>
      </c>
      <c r="P55" t="s">
        <v>1527</v>
      </c>
      <c r="Q55" t="s">
        <v>415</v>
      </c>
      <c r="R55" t="s">
        <v>407</v>
      </c>
      <c r="S55" t="s">
        <v>1212</v>
      </c>
      <c r="T55" s="131">
        <v>1.39</v>
      </c>
      <c r="U55" t="s">
        <v>1833</v>
      </c>
      <c r="V55" s="132">
        <v>0.1338</v>
      </c>
      <c r="W55" s="132">
        <v>3.5029999999999999E-2</v>
      </c>
      <c r="X55" t="s">
        <v>412</v>
      </c>
      <c r="Y55" t="s">
        <v>339</v>
      </c>
      <c r="Z55" t="s">
        <v>886</v>
      </c>
      <c r="AA55" t="s">
        <v>889</v>
      </c>
      <c r="AB55" t="s">
        <v>4723</v>
      </c>
      <c r="AC55" t="s">
        <v>4723</v>
      </c>
      <c r="AD55" s="131">
        <v>350700</v>
      </c>
      <c r="AE55" s="131">
        <v>1</v>
      </c>
      <c r="AF55" s="131">
        <v>98.63</v>
      </c>
      <c r="AG55" s="131">
        <v>345.89499999999998</v>
      </c>
      <c r="AJ55" s="109" t="s">
        <v>15</v>
      </c>
      <c r="AK55" s="132">
        <v>0.36942000000000003</v>
      </c>
      <c r="AL55" s="132">
        <v>9.1E-4</v>
      </c>
    </row>
    <row r="56" spans="1:38">
      <c r="A56" t="s">
        <v>1213</v>
      </c>
      <c r="B56" t="s">
        <v>1243</v>
      </c>
      <c r="C56" t="s">
        <v>4808</v>
      </c>
      <c r="D56" t="s">
        <v>4809</v>
      </c>
      <c r="E56" t="s">
        <v>309</v>
      </c>
      <c r="F56" t="s">
        <v>4810</v>
      </c>
      <c r="G56" t="s">
        <v>4811</v>
      </c>
      <c r="H56" t="s">
        <v>321</v>
      </c>
      <c r="I56" t="s">
        <v>754</v>
      </c>
      <c r="J56" t="s">
        <v>204</v>
      </c>
      <c r="K56" t="s">
        <v>204</v>
      </c>
      <c r="L56" s="109" t="s">
        <v>326</v>
      </c>
      <c r="M56" t="s">
        <v>477</v>
      </c>
      <c r="N56" t="s">
        <v>339</v>
      </c>
      <c r="O56" t="s">
        <v>4812</v>
      </c>
      <c r="P56" t="s">
        <v>1566</v>
      </c>
      <c r="Q56" t="s">
        <v>413</v>
      </c>
      <c r="R56" t="s">
        <v>407</v>
      </c>
      <c r="S56" t="s">
        <v>1212</v>
      </c>
      <c r="T56" s="131">
        <v>2.77</v>
      </c>
      <c r="U56" t="s">
        <v>1913</v>
      </c>
      <c r="V56" s="132">
        <v>2.9899999999999999E-2</v>
      </c>
      <c r="W56" s="132">
        <v>3.5900000000000001E-2</v>
      </c>
      <c r="X56" t="s">
        <v>412</v>
      </c>
      <c r="Y56" t="s">
        <v>339</v>
      </c>
      <c r="Z56" t="s">
        <v>886</v>
      </c>
      <c r="AA56" t="s">
        <v>889</v>
      </c>
      <c r="AB56" t="s">
        <v>4723</v>
      </c>
      <c r="AC56" t="s">
        <v>4723</v>
      </c>
      <c r="AD56" s="131">
        <v>11133000</v>
      </c>
      <c r="AE56" s="131">
        <v>1</v>
      </c>
      <c r="AF56" s="131">
        <f>AG56*1000/AD56*100</f>
        <v>105.15000449115244</v>
      </c>
      <c r="AG56" s="131">
        <v>11706.35</v>
      </c>
      <c r="AJ56" s="109" t="s">
        <v>15</v>
      </c>
      <c r="AK56" s="132">
        <v>0.63695999999999997</v>
      </c>
      <c r="AL56" s="132">
        <v>2.63E-3</v>
      </c>
    </row>
    <row r="57" spans="1:38">
      <c r="A57" t="s">
        <v>1213</v>
      </c>
      <c r="B57" t="s">
        <v>1243</v>
      </c>
      <c r="C57" t="s">
        <v>4764</v>
      </c>
      <c r="D57" t="s">
        <v>4765</v>
      </c>
      <c r="E57" t="s">
        <v>309</v>
      </c>
      <c r="F57" t="s">
        <v>4766</v>
      </c>
      <c r="G57" t="s">
        <v>4767</v>
      </c>
      <c r="H57" t="s">
        <v>321</v>
      </c>
      <c r="I57" t="s">
        <v>951</v>
      </c>
      <c r="J57" t="s">
        <v>204</v>
      </c>
      <c r="K57" t="s">
        <v>204</v>
      </c>
      <c r="L57" s="109" t="s">
        <v>326</v>
      </c>
      <c r="M57" t="s">
        <v>451</v>
      </c>
      <c r="N57" t="s">
        <v>339</v>
      </c>
      <c r="O57" t="s">
        <v>4813</v>
      </c>
      <c r="P57" t="s">
        <v>1614</v>
      </c>
      <c r="Q57" t="s">
        <v>415</v>
      </c>
      <c r="R57" t="s">
        <v>407</v>
      </c>
      <c r="S57" t="s">
        <v>1212</v>
      </c>
      <c r="T57" s="131">
        <v>2.11</v>
      </c>
      <c r="U57" t="s">
        <v>1572</v>
      </c>
      <c r="V57" s="132">
        <v>6.08E-2</v>
      </c>
      <c r="W57" s="132">
        <v>3.739E-2</v>
      </c>
      <c r="X57" t="s">
        <v>412</v>
      </c>
      <c r="Y57" t="s">
        <v>339</v>
      </c>
      <c r="Z57" t="s">
        <v>886</v>
      </c>
      <c r="AA57" t="s">
        <v>889</v>
      </c>
      <c r="AB57" t="s">
        <v>4723</v>
      </c>
      <c r="AC57" t="s">
        <v>4723</v>
      </c>
      <c r="AD57" s="131">
        <v>4529458.1500000004</v>
      </c>
      <c r="AE57" s="131">
        <v>1</v>
      </c>
      <c r="AF57" s="131">
        <v>97.54</v>
      </c>
      <c r="AG57" s="131">
        <v>4418.0330000000004</v>
      </c>
      <c r="AJ57" s="109" t="s">
        <v>15</v>
      </c>
      <c r="AK57" s="132">
        <v>0.24038999999999999</v>
      </c>
      <c r="AL57" s="132">
        <v>9.8999999999999999E-4</v>
      </c>
    </row>
    <row r="58" spans="1:38">
      <c r="A58" t="s">
        <v>1213</v>
      </c>
      <c r="B58" t="s">
        <v>1243</v>
      </c>
      <c r="C58" t="s">
        <v>4814</v>
      </c>
      <c r="D58" t="s">
        <v>4815</v>
      </c>
      <c r="E58" t="s">
        <v>309</v>
      </c>
      <c r="F58" t="s">
        <v>4816</v>
      </c>
      <c r="G58" t="s">
        <v>4817</v>
      </c>
      <c r="H58" t="s">
        <v>321</v>
      </c>
      <c r="I58" t="s">
        <v>951</v>
      </c>
      <c r="J58" t="s">
        <v>204</v>
      </c>
      <c r="K58" t="s">
        <v>204</v>
      </c>
      <c r="L58" s="109" t="s">
        <v>326</v>
      </c>
      <c r="M58" t="s">
        <v>462</v>
      </c>
      <c r="N58" t="s">
        <v>339</v>
      </c>
      <c r="O58" t="s">
        <v>4818</v>
      </c>
      <c r="P58" t="s">
        <v>1527</v>
      </c>
      <c r="Q58" t="s">
        <v>415</v>
      </c>
      <c r="R58" t="s">
        <v>407</v>
      </c>
      <c r="S58" t="s">
        <v>1212</v>
      </c>
      <c r="T58" s="131">
        <v>1.39</v>
      </c>
      <c r="U58" t="s">
        <v>1833</v>
      </c>
      <c r="V58" s="132">
        <v>0.1338</v>
      </c>
      <c r="W58" s="132">
        <v>3.5029999999999999E-2</v>
      </c>
      <c r="X58" t="s">
        <v>412</v>
      </c>
      <c r="Y58" t="s">
        <v>339</v>
      </c>
      <c r="Z58" t="s">
        <v>886</v>
      </c>
      <c r="AA58" t="s">
        <v>889</v>
      </c>
      <c r="AB58" t="s">
        <v>4723</v>
      </c>
      <c r="AC58" t="s">
        <v>4723</v>
      </c>
      <c r="AD58" s="131">
        <v>2285500</v>
      </c>
      <c r="AE58" s="131">
        <v>1</v>
      </c>
      <c r="AF58" s="131">
        <v>98.63</v>
      </c>
      <c r="AG58" s="131">
        <v>2254.1889999999999</v>
      </c>
      <c r="AJ58" s="109" t="s">
        <v>15</v>
      </c>
      <c r="AK58" s="132">
        <v>0.12265</v>
      </c>
      <c r="AL58" s="132">
        <v>5.1000000000000004E-4</v>
      </c>
    </row>
    <row r="59" spans="1:38">
      <c r="A59" t="s">
        <v>1213</v>
      </c>
      <c r="B59" t="s">
        <v>1247</v>
      </c>
      <c r="C59" t="s">
        <v>2273</v>
      </c>
      <c r="D59" t="s">
        <v>2274</v>
      </c>
      <c r="E59" t="s">
        <v>309</v>
      </c>
      <c r="F59" t="s">
        <v>4846</v>
      </c>
      <c r="G59" t="s">
        <v>4847</v>
      </c>
      <c r="H59" t="s">
        <v>321</v>
      </c>
      <c r="I59" t="s">
        <v>754</v>
      </c>
      <c r="J59" t="s">
        <v>204</v>
      </c>
      <c r="K59" t="s">
        <v>204</v>
      </c>
      <c r="L59" s="109" t="s">
        <v>326</v>
      </c>
      <c r="M59" t="s">
        <v>477</v>
      </c>
      <c r="N59" t="s">
        <v>339</v>
      </c>
      <c r="O59" t="s">
        <v>4848</v>
      </c>
      <c r="P59" t="s">
        <v>1215</v>
      </c>
      <c r="Q59" t="s">
        <v>413</v>
      </c>
      <c r="R59" t="s">
        <v>407</v>
      </c>
      <c r="S59" t="s">
        <v>1212</v>
      </c>
      <c r="T59" s="131">
        <v>9.51</v>
      </c>
      <c r="U59" t="s">
        <v>4849</v>
      </c>
      <c r="V59" s="132">
        <v>3.3700000000000001E-2</v>
      </c>
      <c r="W59" s="132">
        <v>2.341E-2</v>
      </c>
      <c r="X59" t="s">
        <v>412</v>
      </c>
      <c r="Y59" t="s">
        <v>339</v>
      </c>
      <c r="Z59" t="s">
        <v>886</v>
      </c>
      <c r="AA59" t="s">
        <v>889</v>
      </c>
      <c r="AB59" t="s">
        <v>4723</v>
      </c>
      <c r="AC59" t="s">
        <v>4723</v>
      </c>
      <c r="AD59" s="131">
        <v>738461.7</v>
      </c>
      <c r="AE59" s="131">
        <v>1</v>
      </c>
      <c r="AF59" s="131">
        <v>128.75</v>
      </c>
      <c r="AG59" s="131">
        <v>950.76900000000001</v>
      </c>
      <c r="AJ59" s="109" t="s">
        <v>15</v>
      </c>
      <c r="AK59" s="132">
        <v>0.31368000000000001</v>
      </c>
      <c r="AL59" s="132">
        <v>3.1099999999999999E-3</v>
      </c>
    </row>
    <row r="60" spans="1:38">
      <c r="A60" t="s">
        <v>1213</v>
      </c>
      <c r="B60" t="s">
        <v>1247</v>
      </c>
      <c r="C60" t="s">
        <v>4850</v>
      </c>
      <c r="D60" t="s">
        <v>4851</v>
      </c>
      <c r="E60" t="s">
        <v>309</v>
      </c>
      <c r="F60" t="s">
        <v>4852</v>
      </c>
      <c r="G60" t="s">
        <v>4853</v>
      </c>
      <c r="H60" t="s">
        <v>321</v>
      </c>
      <c r="I60" t="s">
        <v>754</v>
      </c>
      <c r="J60" t="s">
        <v>204</v>
      </c>
      <c r="K60" t="s">
        <v>204</v>
      </c>
      <c r="L60" s="109" t="s">
        <v>326</v>
      </c>
      <c r="M60" t="s">
        <v>477</v>
      </c>
      <c r="N60" t="s">
        <v>339</v>
      </c>
      <c r="O60" t="s">
        <v>4854</v>
      </c>
      <c r="P60" t="s">
        <v>1211</v>
      </c>
      <c r="Q60" t="s">
        <v>415</v>
      </c>
      <c r="R60" t="s">
        <v>407</v>
      </c>
      <c r="S60" t="s">
        <v>1212</v>
      </c>
      <c r="T60" s="131">
        <v>3.83</v>
      </c>
      <c r="U60" t="s">
        <v>2227</v>
      </c>
      <c r="V60" s="132">
        <v>3.6200000000000003E-2</v>
      </c>
      <c r="W60" s="132">
        <v>1.2E-2</v>
      </c>
      <c r="X60" t="s">
        <v>412</v>
      </c>
      <c r="Y60" t="s">
        <v>339</v>
      </c>
      <c r="Z60" t="s">
        <v>886</v>
      </c>
      <c r="AA60" t="s">
        <v>889</v>
      </c>
      <c r="AB60" t="s">
        <v>4723</v>
      </c>
      <c r="AC60" t="s">
        <v>4723</v>
      </c>
      <c r="AD60" s="131">
        <v>481074.3</v>
      </c>
      <c r="AE60" s="131">
        <v>1</v>
      </c>
      <c r="AF60" s="131">
        <v>103.64</v>
      </c>
      <c r="AG60" s="131">
        <v>498.58499999999998</v>
      </c>
      <c r="AJ60" s="109" t="s">
        <v>15</v>
      </c>
      <c r="AK60" s="132">
        <v>0.16449</v>
      </c>
      <c r="AL60" s="132">
        <v>1.6299999999999999E-3</v>
      </c>
    </row>
    <row r="61" spans="1:38">
      <c r="A61" t="s">
        <v>1213</v>
      </c>
      <c r="B61" t="s">
        <v>1247</v>
      </c>
      <c r="C61" t="s">
        <v>4814</v>
      </c>
      <c r="D61" t="s">
        <v>4815</v>
      </c>
      <c r="E61" t="s">
        <v>309</v>
      </c>
      <c r="F61" t="s">
        <v>4816</v>
      </c>
      <c r="G61" t="s">
        <v>4817</v>
      </c>
      <c r="H61" t="s">
        <v>321</v>
      </c>
      <c r="I61" t="s">
        <v>951</v>
      </c>
      <c r="J61" t="s">
        <v>204</v>
      </c>
      <c r="K61" t="s">
        <v>204</v>
      </c>
      <c r="L61" s="109" t="s">
        <v>326</v>
      </c>
      <c r="M61" t="s">
        <v>462</v>
      </c>
      <c r="N61" t="s">
        <v>339</v>
      </c>
      <c r="O61" t="s">
        <v>4818</v>
      </c>
      <c r="P61" t="s">
        <v>1527</v>
      </c>
      <c r="Q61" t="s">
        <v>415</v>
      </c>
      <c r="R61" t="s">
        <v>407</v>
      </c>
      <c r="S61" t="s">
        <v>1212</v>
      </c>
      <c r="T61" s="131">
        <v>1.39</v>
      </c>
      <c r="U61" t="s">
        <v>1833</v>
      </c>
      <c r="V61" s="132">
        <v>0.1338</v>
      </c>
      <c r="W61" s="132">
        <v>3.5029999999999999E-2</v>
      </c>
      <c r="X61" t="s">
        <v>412</v>
      </c>
      <c r="Y61" t="s">
        <v>339</v>
      </c>
      <c r="Z61" t="s">
        <v>886</v>
      </c>
      <c r="AA61" t="s">
        <v>889</v>
      </c>
      <c r="AB61" t="s">
        <v>4723</v>
      </c>
      <c r="AC61" t="s">
        <v>4723</v>
      </c>
      <c r="AD61" s="131">
        <v>280000</v>
      </c>
      <c r="AE61" s="131">
        <v>1</v>
      </c>
      <c r="AF61" s="131">
        <v>98.63</v>
      </c>
      <c r="AG61" s="131">
        <v>276.16399999999999</v>
      </c>
      <c r="AJ61" s="109" t="s">
        <v>15</v>
      </c>
      <c r="AK61" s="132">
        <v>9.1109999999999997E-2</v>
      </c>
      <c r="AL61" s="132">
        <v>8.9999999999999998E-4</v>
      </c>
    </row>
    <row r="62" spans="1:38">
      <c r="A62" t="s">
        <v>1213</v>
      </c>
      <c r="B62" t="s">
        <v>1247</v>
      </c>
      <c r="C62" t="s">
        <v>3125</v>
      </c>
      <c r="D62" t="s">
        <v>3126</v>
      </c>
      <c r="E62" t="s">
        <v>309</v>
      </c>
      <c r="F62" t="s">
        <v>4779</v>
      </c>
      <c r="G62" t="s">
        <v>4780</v>
      </c>
      <c r="H62" t="s">
        <v>321</v>
      </c>
      <c r="I62" t="s">
        <v>951</v>
      </c>
      <c r="J62" t="s">
        <v>204</v>
      </c>
      <c r="K62" t="s">
        <v>204</v>
      </c>
      <c r="L62" s="109" t="s">
        <v>326</v>
      </c>
      <c r="M62" t="s">
        <v>441</v>
      </c>
      <c r="N62" t="s">
        <v>339</v>
      </c>
      <c r="O62" t="s">
        <v>4781</v>
      </c>
      <c r="P62" t="s">
        <v>1566</v>
      </c>
      <c r="Q62" t="s">
        <v>413</v>
      </c>
      <c r="R62" t="s">
        <v>407</v>
      </c>
      <c r="S62" t="s">
        <v>1212</v>
      </c>
      <c r="T62" s="131">
        <v>3.3</v>
      </c>
      <c r="U62" t="s">
        <v>4782</v>
      </c>
      <c r="V62" s="132">
        <v>6.7000000000000004E-2</v>
      </c>
      <c r="W62" s="132">
        <v>3.0110000000000001E-2</v>
      </c>
      <c r="X62" t="s">
        <v>412</v>
      </c>
      <c r="Y62" t="s">
        <v>339</v>
      </c>
      <c r="Z62" t="s">
        <v>886</v>
      </c>
      <c r="AA62" t="s">
        <v>889</v>
      </c>
      <c r="AB62" t="s">
        <v>4723</v>
      </c>
      <c r="AC62" t="s">
        <v>4723</v>
      </c>
      <c r="AD62" s="131">
        <v>210000</v>
      </c>
      <c r="AE62" s="131">
        <v>1</v>
      </c>
      <c r="AF62" s="131">
        <v>91.84</v>
      </c>
      <c r="AG62" s="131">
        <v>192.864</v>
      </c>
      <c r="AJ62" s="109" t="s">
        <v>15</v>
      </c>
      <c r="AK62" s="132">
        <v>6.3630000000000006E-2</v>
      </c>
      <c r="AL62" s="132">
        <v>6.3000000000000003E-4</v>
      </c>
    </row>
    <row r="63" spans="1:38">
      <c r="A63" t="s">
        <v>1213</v>
      </c>
      <c r="B63" t="s">
        <v>1247</v>
      </c>
      <c r="C63" t="s">
        <v>4788</v>
      </c>
      <c r="D63" t="s">
        <v>4789</v>
      </c>
      <c r="E63" t="s">
        <v>309</v>
      </c>
      <c r="F63" t="s">
        <v>4790</v>
      </c>
      <c r="G63" t="s">
        <v>4791</v>
      </c>
      <c r="H63" t="s">
        <v>321</v>
      </c>
      <c r="I63" t="s">
        <v>951</v>
      </c>
      <c r="J63" t="s">
        <v>204</v>
      </c>
      <c r="K63" t="s">
        <v>204</v>
      </c>
      <c r="L63" s="109" t="s">
        <v>326</v>
      </c>
      <c r="M63" t="s">
        <v>451</v>
      </c>
      <c r="N63" t="s">
        <v>339</v>
      </c>
      <c r="O63" t="s">
        <v>4792</v>
      </c>
      <c r="P63" t="s">
        <v>1521</v>
      </c>
      <c r="Q63" t="s">
        <v>413</v>
      </c>
      <c r="R63" t="s">
        <v>407</v>
      </c>
      <c r="S63" t="s">
        <v>1212</v>
      </c>
      <c r="T63" s="131">
        <v>2.04</v>
      </c>
      <c r="U63" t="s">
        <v>1638</v>
      </c>
      <c r="V63" s="132">
        <v>8.0799999999999997E-2</v>
      </c>
      <c r="W63" s="132">
        <v>2.1329999999999998E-2</v>
      </c>
      <c r="X63" t="s">
        <v>412</v>
      </c>
      <c r="Y63" t="s">
        <v>339</v>
      </c>
      <c r="Z63" t="s">
        <v>886</v>
      </c>
      <c r="AA63" t="s">
        <v>889</v>
      </c>
      <c r="AB63" t="s">
        <v>4723</v>
      </c>
      <c r="AC63" t="s">
        <v>4723</v>
      </c>
      <c r="AD63" s="131">
        <v>164285.74</v>
      </c>
      <c r="AE63" s="131">
        <v>1</v>
      </c>
      <c r="AF63" s="131">
        <v>95.51</v>
      </c>
      <c r="AG63" s="131">
        <v>156.90899999999999</v>
      </c>
      <c r="AJ63" s="109" t="s">
        <v>15</v>
      </c>
      <c r="AK63" s="132">
        <v>5.1769999999999997E-2</v>
      </c>
      <c r="AL63" s="132">
        <v>5.1000000000000004E-4</v>
      </c>
    </row>
    <row r="64" spans="1:38">
      <c r="A64" t="s">
        <v>1213</v>
      </c>
      <c r="B64" t="s">
        <v>1247</v>
      </c>
      <c r="C64" t="s">
        <v>4733</v>
      </c>
      <c r="D64" t="s">
        <v>4734</v>
      </c>
      <c r="E64" t="s">
        <v>309</v>
      </c>
      <c r="F64" t="s">
        <v>4735</v>
      </c>
      <c r="G64" t="s">
        <v>4736</v>
      </c>
      <c r="H64" t="s">
        <v>321</v>
      </c>
      <c r="I64" t="s">
        <v>754</v>
      </c>
      <c r="J64" t="s">
        <v>204</v>
      </c>
      <c r="K64" t="s">
        <v>204</v>
      </c>
      <c r="L64" s="109" t="s">
        <v>326</v>
      </c>
      <c r="M64" t="s">
        <v>464</v>
      </c>
      <c r="N64" t="s">
        <v>339</v>
      </c>
      <c r="O64" t="s">
        <v>4737</v>
      </c>
      <c r="P64" t="s">
        <v>1521</v>
      </c>
      <c r="Q64" t="s">
        <v>413</v>
      </c>
      <c r="R64" t="s">
        <v>407</v>
      </c>
      <c r="S64" t="s">
        <v>1212</v>
      </c>
      <c r="T64" s="131">
        <v>3.77</v>
      </c>
      <c r="U64" t="s">
        <v>1638</v>
      </c>
      <c r="V64" s="132">
        <v>4.5499999999999999E-2</v>
      </c>
      <c r="W64" s="132">
        <v>3.8679999999999999E-2</v>
      </c>
      <c r="X64" t="s">
        <v>412</v>
      </c>
      <c r="Y64" t="s">
        <v>339</v>
      </c>
      <c r="Z64" t="s">
        <v>886</v>
      </c>
      <c r="AA64" t="s">
        <v>889</v>
      </c>
      <c r="AB64" t="s">
        <v>4723</v>
      </c>
      <c r="AC64" t="s">
        <v>4723</v>
      </c>
      <c r="AD64" s="131">
        <v>150000</v>
      </c>
      <c r="AE64" s="131">
        <v>1</v>
      </c>
      <c r="AF64" s="131">
        <v>102.59</v>
      </c>
      <c r="AG64" s="131">
        <v>153.88499999999999</v>
      </c>
      <c r="AJ64" s="109" t="s">
        <v>15</v>
      </c>
      <c r="AK64" s="132">
        <v>5.0770000000000003E-2</v>
      </c>
      <c r="AL64" s="132">
        <v>5.0000000000000001E-4</v>
      </c>
    </row>
    <row r="65" spans="1:38">
      <c r="A65" t="s">
        <v>1213</v>
      </c>
      <c r="B65" t="s">
        <v>1247</v>
      </c>
      <c r="C65" t="s">
        <v>4850</v>
      </c>
      <c r="D65" t="s">
        <v>4851</v>
      </c>
      <c r="E65" t="s">
        <v>309</v>
      </c>
      <c r="F65" t="s">
        <v>4855</v>
      </c>
      <c r="G65" t="s">
        <v>4856</v>
      </c>
      <c r="H65" t="s">
        <v>321</v>
      </c>
      <c r="I65" t="s">
        <v>754</v>
      </c>
      <c r="J65" t="s">
        <v>204</v>
      </c>
      <c r="K65" t="s">
        <v>204</v>
      </c>
      <c r="L65" s="109" t="s">
        <v>326</v>
      </c>
      <c r="M65" t="s">
        <v>477</v>
      </c>
      <c r="N65" t="s">
        <v>339</v>
      </c>
      <c r="O65" t="s">
        <v>4854</v>
      </c>
      <c r="P65" t="s">
        <v>1211</v>
      </c>
      <c r="Q65" t="s">
        <v>415</v>
      </c>
      <c r="R65" t="s">
        <v>407</v>
      </c>
      <c r="S65" t="s">
        <v>1212</v>
      </c>
      <c r="T65" s="131">
        <v>6.57</v>
      </c>
      <c r="U65" t="s">
        <v>4857</v>
      </c>
      <c r="V65" s="132">
        <v>3.5200000000000002E-2</v>
      </c>
      <c r="W65" s="132">
        <v>1.5350000000000001E-2</v>
      </c>
      <c r="X65" t="s">
        <v>412</v>
      </c>
      <c r="Y65" t="s">
        <v>339</v>
      </c>
      <c r="Z65" t="s">
        <v>886</v>
      </c>
      <c r="AA65" t="s">
        <v>889</v>
      </c>
      <c r="AB65" t="s">
        <v>4723</v>
      </c>
      <c r="AC65" t="s">
        <v>4723</v>
      </c>
      <c r="AD65" s="131">
        <v>142500</v>
      </c>
      <c r="AE65" s="131">
        <v>1</v>
      </c>
      <c r="AF65" s="131">
        <v>99.46</v>
      </c>
      <c r="AG65" s="131">
        <v>141.73099999999999</v>
      </c>
      <c r="AJ65" s="109" t="s">
        <v>15</v>
      </c>
      <c r="AK65" s="132">
        <v>4.6760000000000003E-2</v>
      </c>
      <c r="AL65" s="132">
        <v>4.6000000000000001E-4</v>
      </c>
    </row>
    <row r="66" spans="1:38">
      <c r="A66" t="s">
        <v>1213</v>
      </c>
      <c r="B66" t="s">
        <v>1247</v>
      </c>
      <c r="C66" t="s">
        <v>4738</v>
      </c>
      <c r="D66" t="s">
        <v>4739</v>
      </c>
      <c r="E66" t="s">
        <v>309</v>
      </c>
      <c r="F66" t="s">
        <v>4740</v>
      </c>
      <c r="G66" t="s">
        <v>4741</v>
      </c>
      <c r="H66" t="s">
        <v>321</v>
      </c>
      <c r="I66" t="s">
        <v>951</v>
      </c>
      <c r="J66" t="s">
        <v>204</v>
      </c>
      <c r="K66" t="s">
        <v>204</v>
      </c>
      <c r="L66" s="109" t="s">
        <v>326</v>
      </c>
      <c r="M66" t="s">
        <v>446</v>
      </c>
      <c r="N66" t="s">
        <v>339</v>
      </c>
      <c r="O66" t="s">
        <v>4742</v>
      </c>
      <c r="P66" t="s">
        <v>1211</v>
      </c>
      <c r="Q66" t="s">
        <v>415</v>
      </c>
      <c r="R66" t="s">
        <v>407</v>
      </c>
      <c r="S66" t="s">
        <v>1212</v>
      </c>
      <c r="T66" s="131">
        <v>4.76</v>
      </c>
      <c r="U66" t="s">
        <v>4743</v>
      </c>
      <c r="V66" s="132">
        <v>5.04E-2</v>
      </c>
      <c r="W66" s="132">
        <v>1.0279999999999999E-2</v>
      </c>
      <c r="X66" t="s">
        <v>412</v>
      </c>
      <c r="Y66" t="s">
        <v>339</v>
      </c>
      <c r="Z66" t="s">
        <v>886</v>
      </c>
      <c r="AA66" t="s">
        <v>889</v>
      </c>
      <c r="AB66" t="s">
        <v>4723</v>
      </c>
      <c r="AC66" t="s">
        <v>4723</v>
      </c>
      <c r="AD66" s="131">
        <v>142918.35999999999</v>
      </c>
      <c r="AE66" s="131">
        <v>1</v>
      </c>
      <c r="AF66" s="131">
        <v>92.16</v>
      </c>
      <c r="AG66" s="131">
        <v>131.714</v>
      </c>
      <c r="AJ66" s="109" t="s">
        <v>15</v>
      </c>
      <c r="AK66" s="132">
        <v>4.3450000000000003E-2</v>
      </c>
      <c r="AL66" s="132">
        <v>4.2999999999999999E-4</v>
      </c>
    </row>
    <row r="67" spans="1:38">
      <c r="A67" t="s">
        <v>1213</v>
      </c>
      <c r="B67" t="s">
        <v>1247</v>
      </c>
      <c r="C67" t="s">
        <v>4744</v>
      </c>
      <c r="D67" t="s">
        <v>4745</v>
      </c>
      <c r="E67" t="s">
        <v>309</v>
      </c>
      <c r="F67" t="s">
        <v>4746</v>
      </c>
      <c r="G67" t="s">
        <v>4747</v>
      </c>
      <c r="H67" t="s">
        <v>321</v>
      </c>
      <c r="I67" t="s">
        <v>754</v>
      </c>
      <c r="J67" t="s">
        <v>204</v>
      </c>
      <c r="K67" t="s">
        <v>204</v>
      </c>
      <c r="L67" s="109" t="s">
        <v>326</v>
      </c>
      <c r="M67" t="s">
        <v>440</v>
      </c>
      <c r="N67" t="s">
        <v>339</v>
      </c>
      <c r="O67" t="s">
        <v>4748</v>
      </c>
      <c r="P67" t="s">
        <v>1211</v>
      </c>
      <c r="Q67" t="s">
        <v>415</v>
      </c>
      <c r="R67" t="s">
        <v>407</v>
      </c>
      <c r="S67" t="s">
        <v>1212</v>
      </c>
      <c r="T67" s="131">
        <v>7.39</v>
      </c>
      <c r="U67" t="s">
        <v>4749</v>
      </c>
      <c r="V67" s="132">
        <v>3.09E-2</v>
      </c>
      <c r="W67" s="132">
        <v>8.3000000000000001E-3</v>
      </c>
      <c r="X67" t="s">
        <v>412</v>
      </c>
      <c r="Y67" t="s">
        <v>339</v>
      </c>
      <c r="Z67" t="s">
        <v>886</v>
      </c>
      <c r="AA67" t="s">
        <v>889</v>
      </c>
      <c r="AB67" t="s">
        <v>4723</v>
      </c>
      <c r="AC67" t="s">
        <v>4723</v>
      </c>
      <c r="AD67" s="131">
        <v>123667.66</v>
      </c>
      <c r="AE67" s="131">
        <v>1</v>
      </c>
      <c r="AF67" s="131">
        <v>97.58</v>
      </c>
      <c r="AG67" s="131">
        <v>120.675</v>
      </c>
      <c r="AJ67" s="109" t="s">
        <v>15</v>
      </c>
      <c r="AK67" s="132">
        <v>3.9809999999999998E-2</v>
      </c>
      <c r="AL67" s="132">
        <v>4.0000000000000002E-4</v>
      </c>
    </row>
    <row r="68" spans="1:38">
      <c r="A68" t="s">
        <v>1213</v>
      </c>
      <c r="B68" t="s">
        <v>1247</v>
      </c>
      <c r="C68" t="s">
        <v>4760</v>
      </c>
      <c r="D68" t="s">
        <v>4761</v>
      </c>
      <c r="E68" t="s">
        <v>311</v>
      </c>
      <c r="F68" t="s">
        <v>4762</v>
      </c>
      <c r="G68" t="s">
        <v>4763</v>
      </c>
      <c r="H68" t="s">
        <v>321</v>
      </c>
      <c r="I68" t="s">
        <v>951</v>
      </c>
      <c r="J68" t="s">
        <v>204</v>
      </c>
      <c r="K68" t="s">
        <v>224</v>
      </c>
      <c r="L68" t="s">
        <v>314</v>
      </c>
      <c r="M68" t="s">
        <v>447</v>
      </c>
      <c r="N68" t="s">
        <v>339</v>
      </c>
      <c r="O68" t="s">
        <v>4723</v>
      </c>
      <c r="P68" t="s">
        <v>410</v>
      </c>
      <c r="Q68" t="s">
        <v>413</v>
      </c>
      <c r="R68" t="s">
        <v>407</v>
      </c>
      <c r="S68" t="s">
        <v>1212</v>
      </c>
      <c r="T68" s="183">
        <v>3.63</v>
      </c>
      <c r="U68" t="s">
        <v>1722</v>
      </c>
      <c r="V68" s="184">
        <v>0.21460000000000001</v>
      </c>
      <c r="W68" s="132">
        <v>9.5000000000000001E-2</v>
      </c>
      <c r="X68" t="s">
        <v>412</v>
      </c>
      <c r="Y68" t="s">
        <v>339</v>
      </c>
      <c r="AB68" t="s">
        <v>4723</v>
      </c>
      <c r="AC68" t="s">
        <v>4723</v>
      </c>
      <c r="AD68" s="131">
        <v>110000</v>
      </c>
      <c r="AE68" s="131">
        <v>1</v>
      </c>
      <c r="AF68" s="131">
        <v>100.026</v>
      </c>
      <c r="AG68" s="131">
        <v>110.029</v>
      </c>
      <c r="AJ68" s="109" t="s">
        <v>15</v>
      </c>
      <c r="AK68" s="132">
        <v>3.6299999999999999E-2</v>
      </c>
      <c r="AL68" s="132">
        <v>3.6000000000000002E-4</v>
      </c>
    </row>
    <row r="69" spans="1:38">
      <c r="A69" t="s">
        <v>1213</v>
      </c>
      <c r="B69" t="s">
        <v>1247</v>
      </c>
      <c r="C69" t="s">
        <v>4764</v>
      </c>
      <c r="D69" t="s">
        <v>4765</v>
      </c>
      <c r="E69" t="s">
        <v>309</v>
      </c>
      <c r="F69" t="s">
        <v>4766</v>
      </c>
      <c r="G69" t="s">
        <v>4767</v>
      </c>
      <c r="H69" t="s">
        <v>321</v>
      </c>
      <c r="I69" t="s">
        <v>951</v>
      </c>
      <c r="J69" t="s">
        <v>204</v>
      </c>
      <c r="K69" t="s">
        <v>204</v>
      </c>
      <c r="L69" s="109" t="s">
        <v>326</v>
      </c>
      <c r="M69" t="s">
        <v>451</v>
      </c>
      <c r="N69" t="s">
        <v>339</v>
      </c>
      <c r="O69" t="s">
        <v>4813</v>
      </c>
      <c r="P69" t="s">
        <v>1614</v>
      </c>
      <c r="Q69" t="s">
        <v>415</v>
      </c>
      <c r="R69" t="s">
        <v>407</v>
      </c>
      <c r="S69" t="s">
        <v>1212</v>
      </c>
      <c r="T69" s="131">
        <v>2.11</v>
      </c>
      <c r="U69" t="s">
        <v>1572</v>
      </c>
      <c r="V69" s="132">
        <v>6.08E-2</v>
      </c>
      <c r="W69" s="132">
        <v>3.739E-2</v>
      </c>
      <c r="X69" t="s">
        <v>412</v>
      </c>
      <c r="Y69" t="s">
        <v>339</v>
      </c>
      <c r="Z69" t="s">
        <v>886</v>
      </c>
      <c r="AA69" t="s">
        <v>889</v>
      </c>
      <c r="AB69" t="s">
        <v>4723</v>
      </c>
      <c r="AC69" t="s">
        <v>4723</v>
      </c>
      <c r="AD69" s="131">
        <v>108611.53</v>
      </c>
      <c r="AE69" s="131">
        <v>1</v>
      </c>
      <c r="AF69" s="131">
        <v>97.54</v>
      </c>
      <c r="AG69" s="131">
        <v>105.94</v>
      </c>
      <c r="AJ69" s="109" t="s">
        <v>15</v>
      </c>
      <c r="AK69" s="132">
        <v>3.4950000000000002E-2</v>
      </c>
      <c r="AL69" s="132">
        <v>3.5E-4</v>
      </c>
    </row>
    <row r="70" spans="1:38">
      <c r="A70" t="s">
        <v>1213</v>
      </c>
      <c r="B70" t="s">
        <v>1247</v>
      </c>
      <c r="C70" t="s">
        <v>4808</v>
      </c>
      <c r="D70" t="s">
        <v>4809</v>
      </c>
      <c r="E70" t="s">
        <v>309</v>
      </c>
      <c r="F70" t="s">
        <v>4810</v>
      </c>
      <c r="G70" t="s">
        <v>4811</v>
      </c>
      <c r="H70" t="s">
        <v>321</v>
      </c>
      <c r="I70" t="s">
        <v>754</v>
      </c>
      <c r="J70" t="s">
        <v>204</v>
      </c>
      <c r="K70" t="s">
        <v>204</v>
      </c>
      <c r="L70" s="109" t="s">
        <v>326</v>
      </c>
      <c r="M70" t="s">
        <v>477</v>
      </c>
      <c r="N70" t="s">
        <v>339</v>
      </c>
      <c r="O70" t="s">
        <v>4812</v>
      </c>
      <c r="P70" t="s">
        <v>1566</v>
      </c>
      <c r="Q70" t="s">
        <v>413</v>
      </c>
      <c r="R70" t="s">
        <v>407</v>
      </c>
      <c r="S70" t="s">
        <v>1212</v>
      </c>
      <c r="T70" s="131">
        <v>2.77</v>
      </c>
      <c r="U70" t="s">
        <v>1913</v>
      </c>
      <c r="V70" s="132">
        <v>2.9899999999999999E-2</v>
      </c>
      <c r="W70" s="132">
        <v>3.5900000000000001E-2</v>
      </c>
      <c r="X70" t="s">
        <v>412</v>
      </c>
      <c r="Y70" t="s">
        <v>339</v>
      </c>
      <c r="Z70" t="s">
        <v>886</v>
      </c>
      <c r="AA70" t="s">
        <v>889</v>
      </c>
      <c r="AB70" t="s">
        <v>4723</v>
      </c>
      <c r="AC70" t="s">
        <v>4723</v>
      </c>
      <c r="AD70" s="131">
        <v>100000</v>
      </c>
      <c r="AE70" s="131">
        <v>1</v>
      </c>
      <c r="AF70" s="131">
        <v>105.15</v>
      </c>
      <c r="AG70" s="131">
        <v>105.15</v>
      </c>
      <c r="AJ70" s="109" t="s">
        <v>15</v>
      </c>
      <c r="AK70" s="132">
        <v>3.4689999999999999E-2</v>
      </c>
      <c r="AL70" s="132">
        <v>3.4000000000000002E-4</v>
      </c>
    </row>
    <row r="71" spans="1:38">
      <c r="A71" t="s">
        <v>1213</v>
      </c>
      <c r="B71" t="s">
        <v>1247</v>
      </c>
      <c r="C71" t="s">
        <v>4738</v>
      </c>
      <c r="D71" t="s">
        <v>4739</v>
      </c>
      <c r="E71" t="s">
        <v>309</v>
      </c>
      <c r="F71" t="s">
        <v>4750</v>
      </c>
      <c r="G71" t="s">
        <v>4751</v>
      </c>
      <c r="H71" t="s">
        <v>321</v>
      </c>
      <c r="I71" t="s">
        <v>951</v>
      </c>
      <c r="J71" t="s">
        <v>204</v>
      </c>
      <c r="K71" t="s">
        <v>204</v>
      </c>
      <c r="L71" s="109" t="s">
        <v>326</v>
      </c>
      <c r="M71" t="s">
        <v>446</v>
      </c>
      <c r="N71" t="s">
        <v>339</v>
      </c>
      <c r="O71" t="s">
        <v>4742</v>
      </c>
      <c r="P71" t="s">
        <v>1211</v>
      </c>
      <c r="Q71" t="s">
        <v>415</v>
      </c>
      <c r="R71" t="s">
        <v>407</v>
      </c>
      <c r="S71" t="s">
        <v>1212</v>
      </c>
      <c r="T71" s="131">
        <v>0.94</v>
      </c>
      <c r="U71" t="s">
        <v>3157</v>
      </c>
      <c r="V71" s="132">
        <v>4.4200000000000003E-2</v>
      </c>
      <c r="W71" s="132">
        <v>2.31E-3</v>
      </c>
      <c r="X71" t="s">
        <v>412</v>
      </c>
      <c r="Y71" t="s">
        <v>339</v>
      </c>
      <c r="Z71" t="s">
        <v>886</v>
      </c>
      <c r="AA71" t="s">
        <v>889</v>
      </c>
      <c r="AB71" t="s">
        <v>4723</v>
      </c>
      <c r="AC71" t="s">
        <v>4723</v>
      </c>
      <c r="AD71" s="131">
        <v>79949.600000000006</v>
      </c>
      <c r="AE71" s="131">
        <v>1</v>
      </c>
      <c r="AF71" s="131">
        <v>97.82</v>
      </c>
      <c r="AG71" s="131">
        <v>78.206999999999994</v>
      </c>
      <c r="AJ71" s="109" t="s">
        <v>15</v>
      </c>
      <c r="AK71" s="132">
        <v>2.58E-2</v>
      </c>
      <c r="AL71" s="132">
        <v>2.5999999999999998E-4</v>
      </c>
    </row>
    <row r="72" spans="1:38">
      <c r="A72" t="s">
        <v>1213</v>
      </c>
      <c r="B72" t="s">
        <v>1247</v>
      </c>
      <c r="C72" t="s">
        <v>4858</v>
      </c>
      <c r="D72" t="s">
        <v>4859</v>
      </c>
      <c r="E72" t="s">
        <v>309</v>
      </c>
      <c r="F72" t="s">
        <v>4860</v>
      </c>
      <c r="G72" t="s">
        <v>4861</v>
      </c>
      <c r="H72" t="s">
        <v>312</v>
      </c>
      <c r="I72" t="s">
        <v>951</v>
      </c>
      <c r="J72" t="s">
        <v>204</v>
      </c>
      <c r="K72" t="s">
        <v>204</v>
      </c>
      <c r="L72" t="s">
        <v>314</v>
      </c>
      <c r="M72" t="s">
        <v>447</v>
      </c>
      <c r="N72" t="s">
        <v>339</v>
      </c>
      <c r="O72" t="s">
        <v>4862</v>
      </c>
      <c r="P72" s="134" t="s">
        <v>410</v>
      </c>
      <c r="Q72" t="s">
        <v>415</v>
      </c>
      <c r="R72" t="s">
        <v>407</v>
      </c>
      <c r="S72" t="s">
        <v>1212</v>
      </c>
      <c r="T72" s="131"/>
      <c r="U72" t="s">
        <v>4863</v>
      </c>
      <c r="V72" s="132"/>
      <c r="W72" s="132">
        <v>8.6499999999999994E-2</v>
      </c>
      <c r="X72" t="s">
        <v>412</v>
      </c>
      <c r="Y72" t="s">
        <v>338</v>
      </c>
      <c r="Z72" t="s">
        <v>884</v>
      </c>
      <c r="AA72" t="s">
        <v>889</v>
      </c>
      <c r="AB72" t="s">
        <v>4723</v>
      </c>
      <c r="AC72" t="s">
        <v>4723</v>
      </c>
      <c r="AD72" s="131">
        <v>4199.99</v>
      </c>
      <c r="AE72" s="131">
        <v>1</v>
      </c>
      <c r="AF72" s="131">
        <v>201</v>
      </c>
      <c r="AG72" s="131">
        <v>8.4420000000000002</v>
      </c>
      <c r="AJ72" s="109" t="s">
        <v>15</v>
      </c>
      <c r="AK72" s="132">
        <v>2.7899999999999999E-3</v>
      </c>
      <c r="AL72" s="132">
        <v>3.0000000000000001E-5</v>
      </c>
    </row>
    <row r="73" spans="1:38">
      <c r="A73" t="s">
        <v>1213</v>
      </c>
      <c r="B73" t="s">
        <v>1248</v>
      </c>
      <c r="C73" t="s">
        <v>4850</v>
      </c>
      <c r="D73" t="s">
        <v>4851</v>
      </c>
      <c r="E73" t="s">
        <v>309</v>
      </c>
      <c r="F73" t="s">
        <v>4852</v>
      </c>
      <c r="G73" t="s">
        <v>4853</v>
      </c>
      <c r="H73" t="s">
        <v>321</v>
      </c>
      <c r="I73" t="s">
        <v>754</v>
      </c>
      <c r="J73" t="s">
        <v>204</v>
      </c>
      <c r="K73" t="s">
        <v>204</v>
      </c>
      <c r="L73" s="109" t="s">
        <v>326</v>
      </c>
      <c r="M73" t="s">
        <v>477</v>
      </c>
      <c r="N73" t="s">
        <v>339</v>
      </c>
      <c r="O73" t="s">
        <v>4854</v>
      </c>
      <c r="P73" t="s">
        <v>1211</v>
      </c>
      <c r="Q73" t="s">
        <v>415</v>
      </c>
      <c r="R73" t="s">
        <v>407</v>
      </c>
      <c r="S73" t="s">
        <v>1212</v>
      </c>
      <c r="T73" s="131">
        <v>3.83</v>
      </c>
      <c r="U73" t="s">
        <v>2227</v>
      </c>
      <c r="V73" s="132">
        <v>3.6200000000000003E-2</v>
      </c>
      <c r="W73" s="132">
        <v>1.221E-2</v>
      </c>
      <c r="X73" t="s">
        <v>412</v>
      </c>
      <c r="Y73" t="s">
        <v>339</v>
      </c>
      <c r="Z73" t="s">
        <v>886</v>
      </c>
      <c r="AA73" t="s">
        <v>889</v>
      </c>
      <c r="AB73" t="s">
        <v>4723</v>
      </c>
      <c r="AC73" t="s">
        <v>4723</v>
      </c>
      <c r="AD73" s="131">
        <v>94144.05</v>
      </c>
      <c r="AE73" s="131">
        <v>1</v>
      </c>
      <c r="AF73" s="131">
        <v>103.64</v>
      </c>
      <c r="AG73" s="131">
        <v>97.570999999999998</v>
      </c>
      <c r="AJ73" s="109" t="s">
        <v>15</v>
      </c>
      <c r="AK73" s="132">
        <v>0.22721</v>
      </c>
      <c r="AL73" s="132">
        <v>1.2999999999999999E-4</v>
      </c>
    </row>
    <row r="74" spans="1:38">
      <c r="A74" t="s">
        <v>1213</v>
      </c>
      <c r="B74" t="s">
        <v>1248</v>
      </c>
      <c r="C74" t="s">
        <v>3125</v>
      </c>
      <c r="D74" t="s">
        <v>3126</v>
      </c>
      <c r="E74" t="s">
        <v>309</v>
      </c>
      <c r="F74" t="s">
        <v>4779</v>
      </c>
      <c r="G74" t="s">
        <v>4780</v>
      </c>
      <c r="H74" t="s">
        <v>321</v>
      </c>
      <c r="I74" t="s">
        <v>951</v>
      </c>
      <c r="J74" t="s">
        <v>204</v>
      </c>
      <c r="K74" t="s">
        <v>204</v>
      </c>
      <c r="L74" s="109" t="s">
        <v>326</v>
      </c>
      <c r="M74" t="s">
        <v>441</v>
      </c>
      <c r="N74" t="s">
        <v>339</v>
      </c>
      <c r="O74" t="s">
        <v>4781</v>
      </c>
      <c r="P74" t="s">
        <v>1566</v>
      </c>
      <c r="Q74" t="s">
        <v>413</v>
      </c>
      <c r="R74" t="s">
        <v>407</v>
      </c>
      <c r="S74" t="s">
        <v>1212</v>
      </c>
      <c r="T74" s="131">
        <v>3.3</v>
      </c>
      <c r="U74" t="s">
        <v>4782</v>
      </c>
      <c r="V74" s="132">
        <v>6.7000000000000004E-2</v>
      </c>
      <c r="W74" s="132">
        <v>3.0110000000000001E-2</v>
      </c>
      <c r="X74" t="s">
        <v>412</v>
      </c>
      <c r="Y74" t="s">
        <v>339</v>
      </c>
      <c r="Z74" t="s">
        <v>886</v>
      </c>
      <c r="AA74" t="s">
        <v>889</v>
      </c>
      <c r="AB74" t="s">
        <v>4723</v>
      </c>
      <c r="AC74" t="s">
        <v>4723</v>
      </c>
      <c r="AD74" s="131">
        <v>70000</v>
      </c>
      <c r="AE74" s="131">
        <v>1</v>
      </c>
      <c r="AF74" s="131">
        <v>91.84</v>
      </c>
      <c r="AG74" s="131">
        <v>64.287999999999997</v>
      </c>
      <c r="AJ74" s="109" t="s">
        <v>15</v>
      </c>
      <c r="AK74" s="132">
        <v>0.14971000000000001</v>
      </c>
      <c r="AL74" s="132">
        <v>9.0000000000000006E-5</v>
      </c>
    </row>
    <row r="75" spans="1:38">
      <c r="A75" t="s">
        <v>1213</v>
      </c>
      <c r="B75" t="s">
        <v>1248</v>
      </c>
      <c r="C75" t="s">
        <v>4760</v>
      </c>
      <c r="D75" t="s">
        <v>4761</v>
      </c>
      <c r="E75" t="s">
        <v>311</v>
      </c>
      <c r="F75" t="s">
        <v>4762</v>
      </c>
      <c r="G75" t="s">
        <v>4763</v>
      </c>
      <c r="H75" t="s">
        <v>321</v>
      </c>
      <c r="I75" t="s">
        <v>951</v>
      </c>
      <c r="J75" t="s">
        <v>204</v>
      </c>
      <c r="K75" t="s">
        <v>224</v>
      </c>
      <c r="L75" t="s">
        <v>314</v>
      </c>
      <c r="M75" t="s">
        <v>447</v>
      </c>
      <c r="N75" t="s">
        <v>339</v>
      </c>
      <c r="O75" t="s">
        <v>4723</v>
      </c>
      <c r="P75" t="s">
        <v>410</v>
      </c>
      <c r="Q75" t="s">
        <v>413</v>
      </c>
      <c r="R75" t="s">
        <v>407</v>
      </c>
      <c r="S75" t="s">
        <v>1212</v>
      </c>
      <c r="T75" s="183">
        <v>3.63</v>
      </c>
      <c r="U75" t="s">
        <v>1722</v>
      </c>
      <c r="V75" s="184">
        <v>0.21460000000000001</v>
      </c>
      <c r="W75" s="132">
        <v>9.5000000000000001E-2</v>
      </c>
      <c r="X75" t="s">
        <v>412</v>
      </c>
      <c r="Y75" t="s">
        <v>339</v>
      </c>
      <c r="AB75" t="s">
        <v>4723</v>
      </c>
      <c r="AC75" t="s">
        <v>4723</v>
      </c>
      <c r="AD75" s="131">
        <v>60000</v>
      </c>
      <c r="AE75" s="131">
        <v>1</v>
      </c>
      <c r="AF75" s="131">
        <v>100.026</v>
      </c>
      <c r="AG75" s="131">
        <v>60.015999999999998</v>
      </c>
      <c r="AJ75" s="109" t="s">
        <v>15</v>
      </c>
      <c r="AK75" s="132">
        <v>0.13976</v>
      </c>
      <c r="AL75" s="132">
        <v>8.0000000000000007E-5</v>
      </c>
    </row>
    <row r="76" spans="1:38">
      <c r="A76" t="s">
        <v>1213</v>
      </c>
      <c r="B76" t="s">
        <v>1248</v>
      </c>
      <c r="C76" t="s">
        <v>4808</v>
      </c>
      <c r="D76" t="s">
        <v>4809</v>
      </c>
      <c r="E76" t="s">
        <v>309</v>
      </c>
      <c r="F76" t="s">
        <v>4810</v>
      </c>
      <c r="G76" t="s">
        <v>4811</v>
      </c>
      <c r="H76" t="s">
        <v>321</v>
      </c>
      <c r="I76" t="s">
        <v>754</v>
      </c>
      <c r="J76" t="s">
        <v>204</v>
      </c>
      <c r="K76" t="s">
        <v>204</v>
      </c>
      <c r="L76" s="109" t="s">
        <v>326</v>
      </c>
      <c r="M76" t="s">
        <v>477</v>
      </c>
      <c r="N76" t="s">
        <v>339</v>
      </c>
      <c r="O76" t="s">
        <v>4812</v>
      </c>
      <c r="P76" t="s">
        <v>1566</v>
      </c>
      <c r="Q76" t="s">
        <v>413</v>
      </c>
      <c r="R76" t="s">
        <v>407</v>
      </c>
      <c r="S76" t="s">
        <v>1212</v>
      </c>
      <c r="T76" s="131">
        <v>2.77</v>
      </c>
      <c r="U76" t="s">
        <v>1913</v>
      </c>
      <c r="V76" s="132">
        <v>2.9899999999999999E-2</v>
      </c>
      <c r="W76" s="132">
        <v>3.5900000000000001E-2</v>
      </c>
      <c r="X76" t="s">
        <v>412</v>
      </c>
      <c r="Y76" t="s">
        <v>339</v>
      </c>
      <c r="Z76" t="s">
        <v>886</v>
      </c>
      <c r="AA76" t="s">
        <v>889</v>
      </c>
      <c r="AB76" t="s">
        <v>4723</v>
      </c>
      <c r="AC76" t="s">
        <v>4723</v>
      </c>
      <c r="AD76" s="131">
        <v>50000</v>
      </c>
      <c r="AE76" s="131">
        <v>1</v>
      </c>
      <c r="AF76" s="131">
        <v>105.15</v>
      </c>
      <c r="AG76" s="131">
        <v>52.575000000000003</v>
      </c>
      <c r="AJ76" s="109" t="s">
        <v>15</v>
      </c>
      <c r="AK76" s="132">
        <v>0.12243</v>
      </c>
      <c r="AL76" s="132">
        <v>6.9999999999999994E-5</v>
      </c>
    </row>
    <row r="77" spans="1:38">
      <c r="A77" t="s">
        <v>1213</v>
      </c>
      <c r="B77" t="s">
        <v>1248</v>
      </c>
      <c r="C77" t="s">
        <v>4814</v>
      </c>
      <c r="D77" t="s">
        <v>4815</v>
      </c>
      <c r="E77" t="s">
        <v>309</v>
      </c>
      <c r="F77" t="s">
        <v>4816</v>
      </c>
      <c r="G77" t="s">
        <v>4817</v>
      </c>
      <c r="H77" t="s">
        <v>321</v>
      </c>
      <c r="I77" t="s">
        <v>951</v>
      </c>
      <c r="J77" t="s">
        <v>204</v>
      </c>
      <c r="K77" t="s">
        <v>204</v>
      </c>
      <c r="L77" s="109" t="s">
        <v>326</v>
      </c>
      <c r="M77" t="s">
        <v>462</v>
      </c>
      <c r="N77" t="s">
        <v>339</v>
      </c>
      <c r="O77" t="s">
        <v>4818</v>
      </c>
      <c r="P77" t="s">
        <v>1527</v>
      </c>
      <c r="Q77" t="s">
        <v>415</v>
      </c>
      <c r="R77" t="s">
        <v>407</v>
      </c>
      <c r="S77" t="s">
        <v>1212</v>
      </c>
      <c r="T77" s="131">
        <v>1.39</v>
      </c>
      <c r="U77" t="s">
        <v>1833</v>
      </c>
      <c r="V77" s="132">
        <v>0.1338</v>
      </c>
      <c r="W77" s="132">
        <v>3.5029999999999999E-2</v>
      </c>
      <c r="X77" t="s">
        <v>412</v>
      </c>
      <c r="Y77" t="s">
        <v>339</v>
      </c>
      <c r="Z77" t="s">
        <v>886</v>
      </c>
      <c r="AA77" t="s">
        <v>889</v>
      </c>
      <c r="AB77" t="s">
        <v>4723</v>
      </c>
      <c r="AC77" t="s">
        <v>4723</v>
      </c>
      <c r="AD77" s="131">
        <v>49000</v>
      </c>
      <c r="AE77" s="131">
        <v>1</v>
      </c>
      <c r="AF77" s="131">
        <v>98.63</v>
      </c>
      <c r="AG77" s="131">
        <v>48.329000000000001</v>
      </c>
      <c r="AJ77" s="109" t="s">
        <v>15</v>
      </c>
      <c r="AK77" s="132">
        <v>0.11254</v>
      </c>
      <c r="AL77" s="132">
        <v>6.9999999999999994E-5</v>
      </c>
    </row>
    <row r="78" spans="1:38">
      <c r="A78" t="s">
        <v>1213</v>
      </c>
      <c r="B78" t="s">
        <v>1248</v>
      </c>
      <c r="C78" t="s">
        <v>4788</v>
      </c>
      <c r="D78" t="s">
        <v>4789</v>
      </c>
      <c r="E78" t="s">
        <v>309</v>
      </c>
      <c r="F78" t="s">
        <v>4790</v>
      </c>
      <c r="G78" t="s">
        <v>4791</v>
      </c>
      <c r="H78" t="s">
        <v>321</v>
      </c>
      <c r="I78" t="s">
        <v>951</v>
      </c>
      <c r="J78" t="s">
        <v>204</v>
      </c>
      <c r="K78" t="s">
        <v>204</v>
      </c>
      <c r="L78" s="109" t="s">
        <v>326</v>
      </c>
      <c r="M78" t="s">
        <v>451</v>
      </c>
      <c r="N78" t="s">
        <v>339</v>
      </c>
      <c r="O78" t="s">
        <v>4792</v>
      </c>
      <c r="P78" t="s">
        <v>1521</v>
      </c>
      <c r="Q78" t="s">
        <v>413</v>
      </c>
      <c r="R78" t="s">
        <v>407</v>
      </c>
      <c r="S78" t="s">
        <v>1212</v>
      </c>
      <c r="T78" s="131">
        <v>2.04</v>
      </c>
      <c r="U78" t="s">
        <v>1638</v>
      </c>
      <c r="V78" s="132">
        <v>8.0799999999999997E-2</v>
      </c>
      <c r="W78" s="132">
        <v>2.1329999999999998E-2</v>
      </c>
      <c r="X78" t="s">
        <v>412</v>
      </c>
      <c r="Y78" t="s">
        <v>339</v>
      </c>
      <c r="Z78" t="s">
        <v>886</v>
      </c>
      <c r="AA78" t="s">
        <v>889</v>
      </c>
      <c r="AB78" t="s">
        <v>4723</v>
      </c>
      <c r="AC78" t="s">
        <v>4723</v>
      </c>
      <c r="AD78" s="131">
        <v>50000</v>
      </c>
      <c r="AE78" s="131">
        <v>1</v>
      </c>
      <c r="AF78" s="131">
        <v>95.51</v>
      </c>
      <c r="AG78" s="131">
        <v>47.755000000000003</v>
      </c>
      <c r="AJ78" s="109" t="s">
        <v>15</v>
      </c>
      <c r="AK78" s="132">
        <v>0.11121</v>
      </c>
      <c r="AL78" s="132">
        <v>6.9999999999999994E-5</v>
      </c>
    </row>
    <row r="79" spans="1:38">
      <c r="A79" t="s">
        <v>1213</v>
      </c>
      <c r="B79" t="s">
        <v>1248</v>
      </c>
      <c r="C79" t="s">
        <v>4733</v>
      </c>
      <c r="D79" t="s">
        <v>4734</v>
      </c>
      <c r="E79" t="s">
        <v>309</v>
      </c>
      <c r="F79" t="s">
        <v>4735</v>
      </c>
      <c r="G79" t="s">
        <v>4736</v>
      </c>
      <c r="H79" t="s">
        <v>321</v>
      </c>
      <c r="I79" t="s">
        <v>754</v>
      </c>
      <c r="J79" t="s">
        <v>204</v>
      </c>
      <c r="K79" t="s">
        <v>204</v>
      </c>
      <c r="L79" s="109" t="s">
        <v>326</v>
      </c>
      <c r="M79" t="s">
        <v>464</v>
      </c>
      <c r="N79" t="s">
        <v>339</v>
      </c>
      <c r="O79" t="s">
        <v>4737</v>
      </c>
      <c r="P79" t="s">
        <v>1521</v>
      </c>
      <c r="Q79" t="s">
        <v>413</v>
      </c>
      <c r="R79" t="s">
        <v>407</v>
      </c>
      <c r="S79" t="s">
        <v>1212</v>
      </c>
      <c r="T79" s="131">
        <v>3.77</v>
      </c>
      <c r="U79" t="s">
        <v>1638</v>
      </c>
      <c r="V79" s="132">
        <v>4.5499999999999999E-2</v>
      </c>
      <c r="W79" s="132">
        <v>3.8679999999999999E-2</v>
      </c>
      <c r="X79" t="s">
        <v>412</v>
      </c>
      <c r="Y79" t="s">
        <v>339</v>
      </c>
      <c r="Z79" t="s">
        <v>886</v>
      </c>
      <c r="AA79" t="s">
        <v>889</v>
      </c>
      <c r="AB79" t="s">
        <v>4723</v>
      </c>
      <c r="AC79" t="s">
        <v>4723</v>
      </c>
      <c r="AD79" s="131">
        <v>38000</v>
      </c>
      <c r="AE79" s="131">
        <v>1</v>
      </c>
      <c r="AF79" s="131">
        <v>102.59</v>
      </c>
      <c r="AG79" s="131">
        <v>38.984000000000002</v>
      </c>
      <c r="AJ79" s="109" t="s">
        <v>15</v>
      </c>
      <c r="AK79" s="132">
        <v>9.078E-2</v>
      </c>
      <c r="AL79" s="132">
        <v>5.0000000000000002E-5</v>
      </c>
    </row>
    <row r="80" spans="1:38">
      <c r="A80" t="s">
        <v>1213</v>
      </c>
      <c r="B80" t="s">
        <v>1248</v>
      </c>
      <c r="C80" t="s">
        <v>4744</v>
      </c>
      <c r="D80" t="s">
        <v>4745</v>
      </c>
      <c r="E80" t="s">
        <v>309</v>
      </c>
      <c r="F80" t="s">
        <v>4746</v>
      </c>
      <c r="G80" t="s">
        <v>4747</v>
      </c>
      <c r="H80" t="s">
        <v>321</v>
      </c>
      <c r="I80" t="s">
        <v>754</v>
      </c>
      <c r="J80" t="s">
        <v>204</v>
      </c>
      <c r="K80" t="s">
        <v>204</v>
      </c>
      <c r="L80" s="109" t="s">
        <v>326</v>
      </c>
      <c r="M80" t="s">
        <v>440</v>
      </c>
      <c r="N80" t="s">
        <v>339</v>
      </c>
      <c r="O80" t="s">
        <v>4748</v>
      </c>
      <c r="P80" t="s">
        <v>1211</v>
      </c>
      <c r="Q80" t="s">
        <v>415</v>
      </c>
      <c r="R80" t="s">
        <v>407</v>
      </c>
      <c r="S80" t="s">
        <v>1212</v>
      </c>
      <c r="T80" s="131">
        <v>7.39</v>
      </c>
      <c r="U80" t="s">
        <v>4749</v>
      </c>
      <c r="V80" s="132">
        <v>3.09E-2</v>
      </c>
      <c r="W80" s="132">
        <v>8.3000000000000001E-3</v>
      </c>
      <c r="X80" t="s">
        <v>412</v>
      </c>
      <c r="Y80" t="s">
        <v>339</v>
      </c>
      <c r="Z80" t="s">
        <v>886</v>
      </c>
      <c r="AA80" t="s">
        <v>889</v>
      </c>
      <c r="AB80" t="s">
        <v>4723</v>
      </c>
      <c r="AC80" t="s">
        <v>4723</v>
      </c>
      <c r="AD80" s="131">
        <v>18550.14</v>
      </c>
      <c r="AE80" s="131">
        <v>1</v>
      </c>
      <c r="AF80" s="131">
        <v>97.58</v>
      </c>
      <c r="AG80" s="131">
        <v>18.100999999999999</v>
      </c>
      <c r="AJ80" s="109" t="s">
        <v>15</v>
      </c>
      <c r="AK80" s="132">
        <v>4.215E-2</v>
      </c>
      <c r="AL80" s="132">
        <v>2.0000000000000002E-5</v>
      </c>
    </row>
    <row r="81" spans="1:38">
      <c r="A81" t="s">
        <v>1213</v>
      </c>
      <c r="B81" t="s">
        <v>1248</v>
      </c>
      <c r="C81" t="s">
        <v>4858</v>
      </c>
      <c r="D81" t="s">
        <v>4859</v>
      </c>
      <c r="E81" t="s">
        <v>309</v>
      </c>
      <c r="F81" t="s">
        <v>4860</v>
      </c>
      <c r="G81" t="s">
        <v>4861</v>
      </c>
      <c r="H81" t="s">
        <v>312</v>
      </c>
      <c r="I81" t="s">
        <v>951</v>
      </c>
      <c r="J81" t="s">
        <v>204</v>
      </c>
      <c r="K81" t="s">
        <v>204</v>
      </c>
      <c r="L81" t="s">
        <v>314</v>
      </c>
      <c r="M81" t="s">
        <v>447</v>
      </c>
      <c r="N81" t="s">
        <v>339</v>
      </c>
      <c r="O81" t="s">
        <v>4864</v>
      </c>
      <c r="P81" s="134" t="s">
        <v>410</v>
      </c>
      <c r="Q81" t="s">
        <v>415</v>
      </c>
      <c r="R81" t="s">
        <v>407</v>
      </c>
      <c r="S81" t="s">
        <v>1212</v>
      </c>
      <c r="T81" s="131"/>
      <c r="U81" t="s">
        <v>4863</v>
      </c>
      <c r="V81" s="132"/>
      <c r="W81" s="132">
        <v>8.6499999999999994E-2</v>
      </c>
      <c r="X81" t="s">
        <v>412</v>
      </c>
      <c r="Y81" t="s">
        <v>338</v>
      </c>
      <c r="Z81" t="s">
        <v>884</v>
      </c>
      <c r="AA81" t="s">
        <v>889</v>
      </c>
      <c r="AB81" t="s">
        <v>4723</v>
      </c>
      <c r="AC81" t="s">
        <v>4723</v>
      </c>
      <c r="AD81" s="131">
        <v>899.99</v>
      </c>
      <c r="AE81" s="131">
        <v>1</v>
      </c>
      <c r="AF81" s="131">
        <v>201</v>
      </c>
      <c r="AG81" s="131">
        <v>1.8089999999999999</v>
      </c>
      <c r="AJ81" s="109" t="s">
        <v>15</v>
      </c>
      <c r="AK81" s="132">
        <v>4.2100000000000002E-3</v>
      </c>
      <c r="AL81" s="132">
        <v>0</v>
      </c>
    </row>
    <row r="82" spans="1:38">
      <c r="A82" t="s">
        <v>1213</v>
      </c>
      <c r="B82" t="s">
        <v>1250</v>
      </c>
      <c r="C82" t="s">
        <v>2273</v>
      </c>
      <c r="D82" t="s">
        <v>2274</v>
      </c>
      <c r="E82" t="s">
        <v>309</v>
      </c>
      <c r="F82" t="s">
        <v>4846</v>
      </c>
      <c r="G82" t="s">
        <v>4847</v>
      </c>
      <c r="H82" t="s">
        <v>321</v>
      </c>
      <c r="I82" t="s">
        <v>754</v>
      </c>
      <c r="J82" t="s">
        <v>204</v>
      </c>
      <c r="K82" t="s">
        <v>204</v>
      </c>
      <c r="L82" s="109" t="s">
        <v>326</v>
      </c>
      <c r="M82" t="s">
        <v>477</v>
      </c>
      <c r="N82" t="s">
        <v>339</v>
      </c>
      <c r="O82" t="s">
        <v>4848</v>
      </c>
      <c r="P82" t="s">
        <v>1215</v>
      </c>
      <c r="Q82" t="s">
        <v>413</v>
      </c>
      <c r="R82" t="s">
        <v>407</v>
      </c>
      <c r="S82" t="s">
        <v>1212</v>
      </c>
      <c r="T82" s="131">
        <v>9.51</v>
      </c>
      <c r="U82" t="s">
        <v>4849</v>
      </c>
      <c r="V82" s="132">
        <v>3.3700000000000001E-2</v>
      </c>
      <c r="W82" s="132">
        <v>2.3349999999999999E-2</v>
      </c>
      <c r="X82" t="s">
        <v>412</v>
      </c>
      <c r="Y82" t="s">
        <v>339</v>
      </c>
      <c r="Z82" t="s">
        <v>886</v>
      </c>
      <c r="AA82" t="s">
        <v>889</v>
      </c>
      <c r="AB82" t="s">
        <v>4723</v>
      </c>
      <c r="AC82" t="s">
        <v>4723</v>
      </c>
      <c r="AD82" s="131">
        <v>6830770.7000000002</v>
      </c>
      <c r="AE82" s="131">
        <v>1</v>
      </c>
      <c r="AF82" s="131">
        <v>128.75</v>
      </c>
      <c r="AG82" s="131">
        <v>8794.6170000000002</v>
      </c>
      <c r="AJ82" s="109" t="s">
        <v>15</v>
      </c>
      <c r="AK82" s="132">
        <v>0.2213</v>
      </c>
      <c r="AL82" s="132">
        <v>2.63E-3</v>
      </c>
    </row>
    <row r="83" spans="1:38">
      <c r="A83" t="s">
        <v>1213</v>
      </c>
      <c r="B83" t="s">
        <v>1250</v>
      </c>
      <c r="C83" t="s">
        <v>4850</v>
      </c>
      <c r="D83" t="s">
        <v>4851</v>
      </c>
      <c r="E83" t="s">
        <v>309</v>
      </c>
      <c r="F83" t="s">
        <v>4852</v>
      </c>
      <c r="G83" t="s">
        <v>4853</v>
      </c>
      <c r="H83" t="s">
        <v>321</v>
      </c>
      <c r="I83" t="s">
        <v>754</v>
      </c>
      <c r="J83" t="s">
        <v>204</v>
      </c>
      <c r="K83" t="s">
        <v>204</v>
      </c>
      <c r="L83" s="109" t="s">
        <v>326</v>
      </c>
      <c r="M83" t="s">
        <v>477</v>
      </c>
      <c r="N83" t="s">
        <v>339</v>
      </c>
      <c r="O83" t="s">
        <v>4854</v>
      </c>
      <c r="P83" t="s">
        <v>1211</v>
      </c>
      <c r="Q83" t="s">
        <v>415</v>
      </c>
      <c r="R83" t="s">
        <v>407</v>
      </c>
      <c r="S83" t="s">
        <v>1212</v>
      </c>
      <c r="T83" s="131">
        <v>3.83</v>
      </c>
      <c r="U83" t="s">
        <v>2227</v>
      </c>
      <c r="V83" s="132">
        <v>3.6200000000000003E-2</v>
      </c>
      <c r="W83" s="132">
        <v>1.2200000000000001E-2</v>
      </c>
      <c r="X83" t="s">
        <v>412</v>
      </c>
      <c r="Y83" t="s">
        <v>339</v>
      </c>
      <c r="Z83" t="s">
        <v>886</v>
      </c>
      <c r="AA83" t="s">
        <v>889</v>
      </c>
      <c r="AB83" t="s">
        <v>4723</v>
      </c>
      <c r="AC83" t="s">
        <v>4723</v>
      </c>
      <c r="AD83" s="131">
        <v>7146278.0999999996</v>
      </c>
      <c r="AE83" s="131">
        <v>1</v>
      </c>
      <c r="AF83" s="131">
        <v>103.64</v>
      </c>
      <c r="AG83" s="131">
        <v>7406.4030000000002</v>
      </c>
      <c r="AJ83" s="109" t="s">
        <v>15</v>
      </c>
      <c r="AK83" s="132">
        <v>0.18637000000000001</v>
      </c>
      <c r="AL83" s="132">
        <v>2.2200000000000002E-3</v>
      </c>
    </row>
    <row r="84" spans="1:38">
      <c r="A84" t="s">
        <v>1213</v>
      </c>
      <c r="B84" t="s">
        <v>1250</v>
      </c>
      <c r="C84" t="s">
        <v>4808</v>
      </c>
      <c r="D84" t="s">
        <v>4809</v>
      </c>
      <c r="E84" t="s">
        <v>309</v>
      </c>
      <c r="F84" t="s">
        <v>4810</v>
      </c>
      <c r="G84" t="s">
        <v>4811</v>
      </c>
      <c r="H84" t="s">
        <v>321</v>
      </c>
      <c r="I84" t="s">
        <v>754</v>
      </c>
      <c r="J84" t="s">
        <v>204</v>
      </c>
      <c r="K84" t="s">
        <v>204</v>
      </c>
      <c r="L84" s="109" t="s">
        <v>326</v>
      </c>
      <c r="M84" t="s">
        <v>477</v>
      </c>
      <c r="N84" t="s">
        <v>339</v>
      </c>
      <c r="O84" t="s">
        <v>4812</v>
      </c>
      <c r="P84" t="s">
        <v>1566</v>
      </c>
      <c r="Q84" t="s">
        <v>413</v>
      </c>
      <c r="R84" t="s">
        <v>407</v>
      </c>
      <c r="S84" t="s">
        <v>1212</v>
      </c>
      <c r="T84" s="131">
        <v>2.77</v>
      </c>
      <c r="U84" t="s">
        <v>1913</v>
      </c>
      <c r="V84" s="132">
        <v>2.9899999999999999E-2</v>
      </c>
      <c r="W84" s="132">
        <v>3.5900000000000001E-2</v>
      </c>
      <c r="X84" t="s">
        <v>412</v>
      </c>
      <c r="Y84" t="s">
        <v>339</v>
      </c>
      <c r="Z84" t="s">
        <v>886</v>
      </c>
      <c r="AA84" t="s">
        <v>889</v>
      </c>
      <c r="AB84" t="s">
        <v>4723</v>
      </c>
      <c r="AC84" t="s">
        <v>4723</v>
      </c>
      <c r="AD84" s="131">
        <v>2850000</v>
      </c>
      <c r="AE84" s="131">
        <v>1</v>
      </c>
      <c r="AF84" s="131">
        <v>105.15</v>
      </c>
      <c r="AG84" s="131">
        <v>2996.7750000000001</v>
      </c>
      <c r="AJ84" s="109" t="s">
        <v>15</v>
      </c>
      <c r="AK84" s="132">
        <v>7.5410000000000005E-2</v>
      </c>
      <c r="AL84" s="132">
        <v>8.9999999999999998E-4</v>
      </c>
    </row>
    <row r="85" spans="1:38">
      <c r="A85" t="s">
        <v>1213</v>
      </c>
      <c r="B85" t="s">
        <v>1250</v>
      </c>
      <c r="C85" t="s">
        <v>3125</v>
      </c>
      <c r="D85" t="s">
        <v>3126</v>
      </c>
      <c r="E85" t="s">
        <v>309</v>
      </c>
      <c r="F85" t="s">
        <v>4779</v>
      </c>
      <c r="G85" t="s">
        <v>4780</v>
      </c>
      <c r="H85" t="s">
        <v>321</v>
      </c>
      <c r="I85" t="s">
        <v>951</v>
      </c>
      <c r="J85" t="s">
        <v>204</v>
      </c>
      <c r="K85" t="s">
        <v>204</v>
      </c>
      <c r="L85" s="109" t="s">
        <v>326</v>
      </c>
      <c r="M85" t="s">
        <v>441</v>
      </c>
      <c r="N85" t="s">
        <v>339</v>
      </c>
      <c r="O85" t="s">
        <v>4781</v>
      </c>
      <c r="P85" t="s">
        <v>1566</v>
      </c>
      <c r="Q85" t="s">
        <v>413</v>
      </c>
      <c r="R85" t="s">
        <v>407</v>
      </c>
      <c r="S85" t="s">
        <v>1212</v>
      </c>
      <c r="T85" s="131">
        <v>3.3</v>
      </c>
      <c r="U85" t="s">
        <v>4782</v>
      </c>
      <c r="V85" s="132">
        <v>6.7000000000000004E-2</v>
      </c>
      <c r="W85" s="132">
        <v>3.0110000000000001E-2</v>
      </c>
      <c r="X85" t="s">
        <v>412</v>
      </c>
      <c r="Y85" t="s">
        <v>339</v>
      </c>
      <c r="Z85" t="s">
        <v>886</v>
      </c>
      <c r="AA85" t="s">
        <v>889</v>
      </c>
      <c r="AB85" t="s">
        <v>4723</v>
      </c>
      <c r="AC85" t="s">
        <v>4723</v>
      </c>
      <c r="AD85" s="131">
        <v>3220000</v>
      </c>
      <c r="AE85" s="131">
        <v>1</v>
      </c>
      <c r="AF85" s="131">
        <v>91.84</v>
      </c>
      <c r="AG85" s="131">
        <v>2957.248</v>
      </c>
      <c r="AJ85" s="109" t="s">
        <v>15</v>
      </c>
      <c r="AK85" s="132">
        <v>7.4410000000000004E-2</v>
      </c>
      <c r="AL85" s="132">
        <v>8.8000000000000003E-4</v>
      </c>
    </row>
    <row r="86" spans="1:38">
      <c r="A86" t="s">
        <v>1213</v>
      </c>
      <c r="B86" t="s">
        <v>1250</v>
      </c>
      <c r="C86" t="s">
        <v>4733</v>
      </c>
      <c r="D86" t="s">
        <v>4734</v>
      </c>
      <c r="E86" t="s">
        <v>309</v>
      </c>
      <c r="F86" t="s">
        <v>4735</v>
      </c>
      <c r="G86" t="s">
        <v>4736</v>
      </c>
      <c r="H86" t="s">
        <v>321</v>
      </c>
      <c r="I86" t="s">
        <v>754</v>
      </c>
      <c r="J86" t="s">
        <v>204</v>
      </c>
      <c r="K86" t="s">
        <v>204</v>
      </c>
      <c r="L86" s="109" t="s">
        <v>326</v>
      </c>
      <c r="M86" t="s">
        <v>464</v>
      </c>
      <c r="N86" t="s">
        <v>339</v>
      </c>
      <c r="O86" t="s">
        <v>4737</v>
      </c>
      <c r="P86" t="s">
        <v>1521</v>
      </c>
      <c r="Q86" t="s">
        <v>413</v>
      </c>
      <c r="R86" t="s">
        <v>407</v>
      </c>
      <c r="S86" t="s">
        <v>1212</v>
      </c>
      <c r="T86" s="131">
        <v>3.77</v>
      </c>
      <c r="U86" t="s">
        <v>1638</v>
      </c>
      <c r="V86" s="132">
        <v>4.5499999999999999E-2</v>
      </c>
      <c r="W86" s="132">
        <v>3.8679999999999999E-2</v>
      </c>
      <c r="X86" t="s">
        <v>412</v>
      </c>
      <c r="Y86" t="s">
        <v>339</v>
      </c>
      <c r="Z86" t="s">
        <v>886</v>
      </c>
      <c r="AA86" t="s">
        <v>889</v>
      </c>
      <c r="AB86" t="s">
        <v>4723</v>
      </c>
      <c r="AC86" t="s">
        <v>4723</v>
      </c>
      <c r="AD86" s="131">
        <v>2812000</v>
      </c>
      <c r="AE86" s="131">
        <v>1</v>
      </c>
      <c r="AF86" s="131">
        <v>102.59</v>
      </c>
      <c r="AG86" s="131">
        <v>2884.8310000000001</v>
      </c>
      <c r="AJ86" s="109" t="s">
        <v>15</v>
      </c>
      <c r="AK86" s="132">
        <v>7.2590000000000002E-2</v>
      </c>
      <c r="AL86" s="132">
        <v>8.5999999999999998E-4</v>
      </c>
    </row>
    <row r="87" spans="1:38">
      <c r="A87" t="s">
        <v>1213</v>
      </c>
      <c r="B87" t="s">
        <v>1250</v>
      </c>
      <c r="C87" t="s">
        <v>4850</v>
      </c>
      <c r="D87" t="s">
        <v>4851</v>
      </c>
      <c r="E87" t="s">
        <v>309</v>
      </c>
      <c r="F87" t="s">
        <v>4855</v>
      </c>
      <c r="G87" t="s">
        <v>4856</v>
      </c>
      <c r="H87" t="s">
        <v>321</v>
      </c>
      <c r="I87" t="s">
        <v>754</v>
      </c>
      <c r="J87" t="s">
        <v>204</v>
      </c>
      <c r="K87" t="s">
        <v>204</v>
      </c>
      <c r="L87" s="109" t="s">
        <v>326</v>
      </c>
      <c r="M87" t="s">
        <v>477</v>
      </c>
      <c r="N87" t="s">
        <v>339</v>
      </c>
      <c r="O87" t="s">
        <v>4854</v>
      </c>
      <c r="P87" t="s">
        <v>1211</v>
      </c>
      <c r="Q87" t="s">
        <v>415</v>
      </c>
      <c r="R87" t="s">
        <v>407</v>
      </c>
      <c r="S87" t="s">
        <v>1212</v>
      </c>
      <c r="T87" s="131">
        <v>6.57</v>
      </c>
      <c r="U87" t="s">
        <v>4857</v>
      </c>
      <c r="V87" s="132">
        <v>3.5200000000000002E-2</v>
      </c>
      <c r="W87" s="132">
        <v>1.5350000000000001E-2</v>
      </c>
      <c r="X87" t="s">
        <v>412</v>
      </c>
      <c r="Y87" t="s">
        <v>339</v>
      </c>
      <c r="Z87" t="s">
        <v>886</v>
      </c>
      <c r="AA87" t="s">
        <v>889</v>
      </c>
      <c r="AB87" t="s">
        <v>4723</v>
      </c>
      <c r="AC87" t="s">
        <v>4723</v>
      </c>
      <c r="AD87" s="131">
        <v>2707500</v>
      </c>
      <c r="AE87" s="131">
        <v>1</v>
      </c>
      <c r="AF87" s="131">
        <f>AG87*1000/AD87*100</f>
        <v>99.460018467220678</v>
      </c>
      <c r="AG87" s="131">
        <v>2692.88</v>
      </c>
      <c r="AJ87" s="109" t="s">
        <v>15</v>
      </c>
      <c r="AK87" s="132">
        <v>6.7760000000000001E-2</v>
      </c>
      <c r="AL87" s="132">
        <v>8.0999999999999996E-4</v>
      </c>
    </row>
    <row r="88" spans="1:38">
      <c r="A88" t="s">
        <v>1213</v>
      </c>
      <c r="B88" t="s">
        <v>1250</v>
      </c>
      <c r="C88" t="s">
        <v>4814</v>
      </c>
      <c r="D88" t="s">
        <v>4815</v>
      </c>
      <c r="E88" t="s">
        <v>309</v>
      </c>
      <c r="F88" t="s">
        <v>4816</v>
      </c>
      <c r="G88" t="s">
        <v>4817</v>
      </c>
      <c r="H88" t="s">
        <v>321</v>
      </c>
      <c r="I88" t="s">
        <v>951</v>
      </c>
      <c r="J88" t="s">
        <v>204</v>
      </c>
      <c r="K88" t="s">
        <v>204</v>
      </c>
      <c r="L88" s="109" t="s">
        <v>326</v>
      </c>
      <c r="M88" t="s">
        <v>462</v>
      </c>
      <c r="N88" t="s">
        <v>339</v>
      </c>
      <c r="O88" t="s">
        <v>4818</v>
      </c>
      <c r="P88" t="s">
        <v>1527</v>
      </c>
      <c r="Q88" t="s">
        <v>415</v>
      </c>
      <c r="R88" t="s">
        <v>407</v>
      </c>
      <c r="S88" t="s">
        <v>1212</v>
      </c>
      <c r="T88" s="131">
        <v>1.39</v>
      </c>
      <c r="U88" t="s">
        <v>1833</v>
      </c>
      <c r="V88" s="132">
        <v>0.1338</v>
      </c>
      <c r="W88" s="132">
        <v>3.5029999999999999E-2</v>
      </c>
      <c r="X88" t="s">
        <v>412</v>
      </c>
      <c r="Y88" t="s">
        <v>339</v>
      </c>
      <c r="Z88" t="s">
        <v>886</v>
      </c>
      <c r="AA88" t="s">
        <v>889</v>
      </c>
      <c r="AB88" t="s">
        <v>4723</v>
      </c>
      <c r="AC88" t="s">
        <v>4723</v>
      </c>
      <c r="AD88" s="131">
        <v>2471000</v>
      </c>
      <c r="AE88" s="131">
        <v>1</v>
      </c>
      <c r="AF88" s="131">
        <v>98.63</v>
      </c>
      <c r="AG88" s="131">
        <v>2437.1469999999999</v>
      </c>
      <c r="AJ88" s="109" t="s">
        <v>15</v>
      </c>
      <c r="AK88" s="132">
        <v>6.1330000000000003E-2</v>
      </c>
      <c r="AL88" s="132">
        <v>7.2999999999999996E-4</v>
      </c>
    </row>
    <row r="89" spans="1:38">
      <c r="A89" t="s">
        <v>1213</v>
      </c>
      <c r="B89" t="s">
        <v>1250</v>
      </c>
      <c r="C89" t="s">
        <v>4760</v>
      </c>
      <c r="D89" t="s">
        <v>4761</v>
      </c>
      <c r="E89" t="s">
        <v>311</v>
      </c>
      <c r="F89" t="s">
        <v>4762</v>
      </c>
      <c r="G89" t="s">
        <v>4763</v>
      </c>
      <c r="H89" t="s">
        <v>321</v>
      </c>
      <c r="I89" t="s">
        <v>951</v>
      </c>
      <c r="J89" t="s">
        <v>204</v>
      </c>
      <c r="K89" t="s">
        <v>224</v>
      </c>
      <c r="L89" t="s">
        <v>314</v>
      </c>
      <c r="M89" t="s">
        <v>447</v>
      </c>
      <c r="N89" t="s">
        <v>339</v>
      </c>
      <c r="O89" t="s">
        <v>4723</v>
      </c>
      <c r="P89" t="s">
        <v>410</v>
      </c>
      <c r="Q89" t="s">
        <v>413</v>
      </c>
      <c r="R89" t="s">
        <v>407</v>
      </c>
      <c r="S89" t="s">
        <v>1212</v>
      </c>
      <c r="T89" s="183">
        <v>3.63</v>
      </c>
      <c r="U89" t="s">
        <v>1722</v>
      </c>
      <c r="V89" s="184">
        <v>0.21460000000000001</v>
      </c>
      <c r="W89" s="132">
        <v>9.5000000000000001E-2</v>
      </c>
      <c r="X89" t="s">
        <v>412</v>
      </c>
      <c r="Y89" t="s">
        <v>339</v>
      </c>
      <c r="AB89" t="s">
        <v>4723</v>
      </c>
      <c r="AC89" t="s">
        <v>4723</v>
      </c>
      <c r="AD89" s="131">
        <v>2330000</v>
      </c>
      <c r="AE89" s="131">
        <v>1</v>
      </c>
      <c r="AF89" s="131">
        <v>100.026</v>
      </c>
      <c r="AG89" s="131">
        <v>2330.6060000000002</v>
      </c>
      <c r="AJ89" s="109" t="s">
        <v>15</v>
      </c>
      <c r="AK89" s="132">
        <v>5.8650000000000001E-2</v>
      </c>
      <c r="AL89" s="132">
        <v>6.9999999999999999E-4</v>
      </c>
    </row>
    <row r="90" spans="1:38">
      <c r="A90" t="s">
        <v>1213</v>
      </c>
      <c r="B90" t="s">
        <v>1250</v>
      </c>
      <c r="C90" t="s">
        <v>4788</v>
      </c>
      <c r="D90" t="s">
        <v>4789</v>
      </c>
      <c r="E90" t="s">
        <v>309</v>
      </c>
      <c r="F90" t="s">
        <v>4790</v>
      </c>
      <c r="G90" t="s">
        <v>4791</v>
      </c>
      <c r="H90" t="s">
        <v>321</v>
      </c>
      <c r="I90" t="s">
        <v>951</v>
      </c>
      <c r="J90" t="s">
        <v>204</v>
      </c>
      <c r="K90" t="s">
        <v>204</v>
      </c>
      <c r="L90" s="109" t="s">
        <v>326</v>
      </c>
      <c r="M90" t="s">
        <v>451</v>
      </c>
      <c r="N90" t="s">
        <v>339</v>
      </c>
      <c r="O90" t="s">
        <v>4792</v>
      </c>
      <c r="P90" t="s">
        <v>1521</v>
      </c>
      <c r="Q90" t="s">
        <v>413</v>
      </c>
      <c r="R90" t="s">
        <v>407</v>
      </c>
      <c r="S90" t="s">
        <v>1212</v>
      </c>
      <c r="T90" s="131">
        <v>2.04</v>
      </c>
      <c r="U90" t="s">
        <v>1638</v>
      </c>
      <c r="V90" s="132">
        <v>8.0799999999999997E-2</v>
      </c>
      <c r="W90" s="132">
        <v>2.1329999999999998E-2</v>
      </c>
      <c r="X90" t="s">
        <v>412</v>
      </c>
      <c r="Y90" t="s">
        <v>339</v>
      </c>
      <c r="Z90" t="s">
        <v>886</v>
      </c>
      <c r="AA90" t="s">
        <v>889</v>
      </c>
      <c r="AB90" t="s">
        <v>4723</v>
      </c>
      <c r="AC90" t="s">
        <v>4723</v>
      </c>
      <c r="AD90" s="131">
        <v>2285714.56</v>
      </c>
      <c r="AE90" s="131">
        <v>1</v>
      </c>
      <c r="AF90" s="131">
        <v>95.51</v>
      </c>
      <c r="AG90" s="131">
        <v>2183.0859999999998</v>
      </c>
      <c r="AJ90" s="109" t="s">
        <v>15</v>
      </c>
      <c r="AK90" s="132">
        <v>5.493E-2</v>
      </c>
      <c r="AL90" s="132">
        <v>6.4999999999999997E-4</v>
      </c>
    </row>
    <row r="91" spans="1:38">
      <c r="A91" t="s">
        <v>1213</v>
      </c>
      <c r="B91" t="s">
        <v>1250</v>
      </c>
      <c r="C91" t="s">
        <v>4764</v>
      </c>
      <c r="D91" t="s">
        <v>4765</v>
      </c>
      <c r="E91" t="s">
        <v>309</v>
      </c>
      <c r="F91" t="s">
        <v>4766</v>
      </c>
      <c r="G91" t="s">
        <v>4767</v>
      </c>
      <c r="H91" t="s">
        <v>321</v>
      </c>
      <c r="I91" t="s">
        <v>951</v>
      </c>
      <c r="J91" t="s">
        <v>204</v>
      </c>
      <c r="K91" t="s">
        <v>204</v>
      </c>
      <c r="L91" s="109" t="s">
        <v>326</v>
      </c>
      <c r="M91" t="s">
        <v>451</v>
      </c>
      <c r="N91" t="s">
        <v>339</v>
      </c>
      <c r="O91" t="s">
        <v>4813</v>
      </c>
      <c r="P91" t="s">
        <v>1614</v>
      </c>
      <c r="Q91" t="s">
        <v>415</v>
      </c>
      <c r="R91" t="s">
        <v>407</v>
      </c>
      <c r="S91" t="s">
        <v>1212</v>
      </c>
      <c r="T91" s="131">
        <v>2.11</v>
      </c>
      <c r="U91" t="s">
        <v>1572</v>
      </c>
      <c r="V91" s="132">
        <v>6.08E-2</v>
      </c>
      <c r="W91" s="132">
        <v>3.739E-2</v>
      </c>
      <c r="X91" t="s">
        <v>412</v>
      </c>
      <c r="Y91" t="s">
        <v>339</v>
      </c>
      <c r="Z91" t="s">
        <v>886</v>
      </c>
      <c r="AA91" t="s">
        <v>889</v>
      </c>
      <c r="AB91" t="s">
        <v>4723</v>
      </c>
      <c r="AC91" t="s">
        <v>4723</v>
      </c>
      <c r="AD91" s="131">
        <v>2118760.4700000002</v>
      </c>
      <c r="AE91" s="131">
        <v>1</v>
      </c>
      <c r="AF91" s="131">
        <v>97.54</v>
      </c>
      <c r="AG91" s="131">
        <v>2066.6390000000001</v>
      </c>
      <c r="AJ91" s="109" t="s">
        <v>15</v>
      </c>
      <c r="AK91" s="132">
        <v>5.1999999999999998E-2</v>
      </c>
      <c r="AL91" s="132">
        <v>6.2E-4</v>
      </c>
    </row>
    <row r="92" spans="1:38">
      <c r="A92" t="s">
        <v>1213</v>
      </c>
      <c r="B92" t="s">
        <v>1250</v>
      </c>
      <c r="C92" t="s">
        <v>4738</v>
      </c>
      <c r="D92" t="s">
        <v>4739</v>
      </c>
      <c r="E92" t="s">
        <v>309</v>
      </c>
      <c r="F92" t="s">
        <v>4740</v>
      </c>
      <c r="G92" t="s">
        <v>4741</v>
      </c>
      <c r="H92" t="s">
        <v>321</v>
      </c>
      <c r="I92" t="s">
        <v>951</v>
      </c>
      <c r="J92" t="s">
        <v>204</v>
      </c>
      <c r="K92" t="s">
        <v>204</v>
      </c>
      <c r="L92" s="109" t="s">
        <v>326</v>
      </c>
      <c r="M92" t="s">
        <v>446</v>
      </c>
      <c r="N92" t="s">
        <v>339</v>
      </c>
      <c r="O92" t="s">
        <v>4742</v>
      </c>
      <c r="P92" t="s">
        <v>1211</v>
      </c>
      <c r="Q92" t="s">
        <v>415</v>
      </c>
      <c r="R92" t="s">
        <v>407</v>
      </c>
      <c r="S92" t="s">
        <v>1212</v>
      </c>
      <c r="T92" s="131">
        <v>4.76</v>
      </c>
      <c r="U92" t="s">
        <v>4743</v>
      </c>
      <c r="V92" s="132">
        <v>5.04E-2</v>
      </c>
      <c r="W92" s="132">
        <v>1.0279999999999999E-2</v>
      </c>
      <c r="X92" t="s">
        <v>412</v>
      </c>
      <c r="Y92" t="s">
        <v>339</v>
      </c>
      <c r="Z92" t="s">
        <v>886</v>
      </c>
      <c r="AA92" t="s">
        <v>889</v>
      </c>
      <c r="AB92" t="s">
        <v>4723</v>
      </c>
      <c r="AC92" t="s">
        <v>4723</v>
      </c>
      <c r="AD92" s="131">
        <v>1286265.28</v>
      </c>
      <c r="AE92" s="131">
        <v>1</v>
      </c>
      <c r="AF92" s="131">
        <v>92.16</v>
      </c>
      <c r="AG92" s="131">
        <v>1185.422</v>
      </c>
      <c r="AJ92" s="109" t="s">
        <v>15</v>
      </c>
      <c r="AK92" s="132">
        <v>2.9829999999999999E-2</v>
      </c>
      <c r="AL92" s="132">
        <v>3.5E-4</v>
      </c>
    </row>
    <row r="93" spans="1:38">
      <c r="A93" t="s">
        <v>1213</v>
      </c>
      <c r="B93" t="s">
        <v>1250</v>
      </c>
      <c r="C93" t="s">
        <v>4744</v>
      </c>
      <c r="D93" t="s">
        <v>4745</v>
      </c>
      <c r="E93" t="s">
        <v>309</v>
      </c>
      <c r="F93" t="s">
        <v>4746</v>
      </c>
      <c r="G93" t="s">
        <v>4747</v>
      </c>
      <c r="H93" t="s">
        <v>321</v>
      </c>
      <c r="I93" t="s">
        <v>754</v>
      </c>
      <c r="J93" t="s">
        <v>204</v>
      </c>
      <c r="K93" t="s">
        <v>204</v>
      </c>
      <c r="L93" s="109" t="s">
        <v>326</v>
      </c>
      <c r="M93" t="s">
        <v>440</v>
      </c>
      <c r="N93" t="s">
        <v>339</v>
      </c>
      <c r="O93" t="s">
        <v>4748</v>
      </c>
      <c r="P93" t="s">
        <v>1211</v>
      </c>
      <c r="Q93" t="s">
        <v>415</v>
      </c>
      <c r="R93" t="s">
        <v>407</v>
      </c>
      <c r="S93" t="s">
        <v>1212</v>
      </c>
      <c r="T93" s="131">
        <v>7.39</v>
      </c>
      <c r="U93" t="s">
        <v>4749</v>
      </c>
      <c r="V93" s="132">
        <v>3.09E-2</v>
      </c>
      <c r="W93" s="132">
        <v>8.3000000000000001E-3</v>
      </c>
      <c r="X93" t="s">
        <v>412</v>
      </c>
      <c r="Y93" t="s">
        <v>339</v>
      </c>
      <c r="Z93" t="s">
        <v>886</v>
      </c>
      <c r="AA93" t="s">
        <v>889</v>
      </c>
      <c r="AB93" t="s">
        <v>4723</v>
      </c>
      <c r="AC93" t="s">
        <v>4723</v>
      </c>
      <c r="AD93" s="131">
        <v>1094463.47</v>
      </c>
      <c r="AE93" s="131">
        <v>1</v>
      </c>
      <c r="AF93" s="131">
        <v>97.58</v>
      </c>
      <c r="AG93" s="131">
        <v>1067.9770000000001</v>
      </c>
      <c r="AJ93" s="109" t="s">
        <v>15</v>
      </c>
      <c r="AK93" s="132">
        <v>2.6870000000000002E-2</v>
      </c>
      <c r="AL93" s="132">
        <v>3.2000000000000003E-4</v>
      </c>
    </row>
    <row r="94" spans="1:38">
      <c r="A94" t="s">
        <v>1213</v>
      </c>
      <c r="B94" t="s">
        <v>1250</v>
      </c>
      <c r="C94" t="s">
        <v>4738</v>
      </c>
      <c r="D94" t="s">
        <v>4739</v>
      </c>
      <c r="E94" t="s">
        <v>309</v>
      </c>
      <c r="F94" t="s">
        <v>4750</v>
      </c>
      <c r="G94" t="s">
        <v>4751</v>
      </c>
      <c r="H94" t="s">
        <v>321</v>
      </c>
      <c r="I94" t="s">
        <v>951</v>
      </c>
      <c r="J94" t="s">
        <v>204</v>
      </c>
      <c r="K94" t="s">
        <v>204</v>
      </c>
      <c r="L94" s="109" t="s">
        <v>326</v>
      </c>
      <c r="M94" t="s">
        <v>446</v>
      </c>
      <c r="N94" t="s">
        <v>339</v>
      </c>
      <c r="O94" t="s">
        <v>4742</v>
      </c>
      <c r="P94" t="s">
        <v>1211</v>
      </c>
      <c r="Q94" t="s">
        <v>415</v>
      </c>
      <c r="R94" t="s">
        <v>407</v>
      </c>
      <c r="S94" t="s">
        <v>1212</v>
      </c>
      <c r="T94" s="131">
        <v>0.94</v>
      </c>
      <c r="U94" t="s">
        <v>3157</v>
      </c>
      <c r="V94" s="132">
        <v>4.4200000000000003E-2</v>
      </c>
      <c r="W94" s="132">
        <v>2.31E-3</v>
      </c>
      <c r="X94" t="s">
        <v>412</v>
      </c>
      <c r="Y94" t="s">
        <v>339</v>
      </c>
      <c r="Z94" t="s">
        <v>886</v>
      </c>
      <c r="AA94" t="s">
        <v>889</v>
      </c>
      <c r="AB94" t="s">
        <v>4723</v>
      </c>
      <c r="AC94" t="s">
        <v>4723</v>
      </c>
      <c r="AD94" s="131">
        <v>719546.34</v>
      </c>
      <c r="AE94" s="131">
        <v>1</v>
      </c>
      <c r="AF94" s="131">
        <v>97.82</v>
      </c>
      <c r="AG94" s="131">
        <v>703.86</v>
      </c>
      <c r="AJ94" s="109" t="s">
        <v>15</v>
      </c>
      <c r="AK94" s="132">
        <v>1.771E-2</v>
      </c>
      <c r="AL94" s="132">
        <v>2.1000000000000001E-4</v>
      </c>
    </row>
    <row r="95" spans="1:38">
      <c r="A95" t="s">
        <v>1213</v>
      </c>
      <c r="B95" t="s">
        <v>1250</v>
      </c>
      <c r="C95" t="s">
        <v>4858</v>
      </c>
      <c r="D95" t="s">
        <v>4859</v>
      </c>
      <c r="E95" t="s">
        <v>309</v>
      </c>
      <c r="F95" t="s">
        <v>4860</v>
      </c>
      <c r="G95" t="s">
        <v>4861</v>
      </c>
      <c r="H95" t="s">
        <v>312</v>
      </c>
      <c r="I95" t="s">
        <v>951</v>
      </c>
      <c r="J95" t="s">
        <v>204</v>
      </c>
      <c r="K95" t="s">
        <v>204</v>
      </c>
      <c r="L95" t="s">
        <v>314</v>
      </c>
      <c r="M95" t="s">
        <v>447</v>
      </c>
      <c r="N95" t="s">
        <v>339</v>
      </c>
      <c r="O95" t="s">
        <v>4862</v>
      </c>
      <c r="P95" s="134" t="s">
        <v>410</v>
      </c>
      <c r="Q95" t="s">
        <v>415</v>
      </c>
      <c r="R95" t="s">
        <v>407</v>
      </c>
      <c r="S95" t="s">
        <v>1212</v>
      </c>
      <c r="T95" s="131"/>
      <c r="U95" t="s">
        <v>4863</v>
      </c>
      <c r="V95" s="132"/>
      <c r="W95" s="132">
        <v>8.6499999999999994E-2</v>
      </c>
      <c r="X95" t="s">
        <v>412</v>
      </c>
      <c r="Y95" t="s">
        <v>338</v>
      </c>
      <c r="Z95" t="s">
        <v>884</v>
      </c>
      <c r="AA95" t="s">
        <v>889</v>
      </c>
      <c r="AB95" t="s">
        <v>4723</v>
      </c>
      <c r="AC95" t="s">
        <v>4723</v>
      </c>
      <c r="AD95" s="131">
        <v>16577.849999999999</v>
      </c>
      <c r="AE95" s="131">
        <v>1</v>
      </c>
      <c r="AF95" s="131">
        <v>201</v>
      </c>
      <c r="AG95" s="131">
        <v>33.320999999999998</v>
      </c>
      <c r="AJ95" s="109" t="s">
        <v>15</v>
      </c>
      <c r="AK95" s="132">
        <v>8.4000000000000003E-4</v>
      </c>
      <c r="AL95" s="132">
        <v>1.0000000000000001E-5</v>
      </c>
    </row>
    <row r="96" spans="1:38">
      <c r="A96" t="s">
        <v>1213</v>
      </c>
      <c r="B96" t="s">
        <v>1251</v>
      </c>
      <c r="C96" t="s">
        <v>4764</v>
      </c>
      <c r="D96" t="s">
        <v>4765</v>
      </c>
      <c r="E96" t="s">
        <v>309</v>
      </c>
      <c r="F96" t="s">
        <v>4766</v>
      </c>
      <c r="G96" t="s">
        <v>4767</v>
      </c>
      <c r="H96" t="s">
        <v>321</v>
      </c>
      <c r="I96" t="s">
        <v>951</v>
      </c>
      <c r="J96" t="s">
        <v>204</v>
      </c>
      <c r="K96" t="s">
        <v>204</v>
      </c>
      <c r="L96" s="109" t="s">
        <v>326</v>
      </c>
      <c r="M96" t="s">
        <v>451</v>
      </c>
      <c r="N96" t="s">
        <v>339</v>
      </c>
      <c r="O96" t="s">
        <v>4813</v>
      </c>
      <c r="P96" t="s">
        <v>1614</v>
      </c>
      <c r="Q96" t="s">
        <v>415</v>
      </c>
      <c r="R96" t="s">
        <v>407</v>
      </c>
      <c r="S96" t="s">
        <v>1212</v>
      </c>
      <c r="T96" s="131">
        <v>2.11</v>
      </c>
      <c r="U96" t="s">
        <v>1572</v>
      </c>
      <c r="V96" s="132">
        <v>6.08E-2</v>
      </c>
      <c r="W96" s="132">
        <v>3.739E-2</v>
      </c>
      <c r="X96" t="s">
        <v>412</v>
      </c>
      <c r="Y96" t="s">
        <v>339</v>
      </c>
      <c r="Z96" t="s">
        <v>886</v>
      </c>
      <c r="AA96" t="s">
        <v>889</v>
      </c>
      <c r="AB96" t="s">
        <v>4723</v>
      </c>
      <c r="AC96" t="s">
        <v>4723</v>
      </c>
      <c r="AD96" s="131">
        <v>688811.63</v>
      </c>
      <c r="AE96" s="131">
        <v>1</v>
      </c>
      <c r="AF96" s="131">
        <v>97.54</v>
      </c>
      <c r="AG96" s="131">
        <v>671.86699999999996</v>
      </c>
      <c r="AJ96" s="109" t="s">
        <v>15</v>
      </c>
      <c r="AK96" s="132">
        <v>0.40603</v>
      </c>
      <c r="AL96" s="132">
        <v>2.4199999999999998E-3</v>
      </c>
    </row>
    <row r="97" spans="1:38">
      <c r="A97" t="s">
        <v>1213</v>
      </c>
      <c r="B97" t="s">
        <v>1251</v>
      </c>
      <c r="C97" t="s">
        <v>4808</v>
      </c>
      <c r="D97" t="s">
        <v>4809</v>
      </c>
      <c r="E97" t="s">
        <v>309</v>
      </c>
      <c r="F97" t="s">
        <v>4810</v>
      </c>
      <c r="G97" t="s">
        <v>4811</v>
      </c>
      <c r="H97" t="s">
        <v>321</v>
      </c>
      <c r="I97" t="s">
        <v>754</v>
      </c>
      <c r="J97" t="s">
        <v>204</v>
      </c>
      <c r="K97" t="s">
        <v>204</v>
      </c>
      <c r="L97" s="109" t="s">
        <v>326</v>
      </c>
      <c r="M97" t="s">
        <v>477</v>
      </c>
      <c r="N97" t="s">
        <v>339</v>
      </c>
      <c r="O97" t="s">
        <v>4812</v>
      </c>
      <c r="P97" t="s">
        <v>1566</v>
      </c>
      <c r="Q97" t="s">
        <v>413</v>
      </c>
      <c r="R97" t="s">
        <v>407</v>
      </c>
      <c r="S97" t="s">
        <v>1212</v>
      </c>
      <c r="T97" s="131">
        <v>2.77</v>
      </c>
      <c r="U97" t="s">
        <v>1913</v>
      </c>
      <c r="V97" s="132">
        <v>2.9899999999999999E-2</v>
      </c>
      <c r="W97" s="132">
        <v>3.5900000000000001E-2</v>
      </c>
      <c r="X97" t="s">
        <v>412</v>
      </c>
      <c r="Y97" t="s">
        <v>339</v>
      </c>
      <c r="Z97" t="s">
        <v>886</v>
      </c>
      <c r="AA97" t="s">
        <v>889</v>
      </c>
      <c r="AB97" t="s">
        <v>4723</v>
      </c>
      <c r="AC97" t="s">
        <v>4723</v>
      </c>
      <c r="AD97" s="131">
        <v>613000</v>
      </c>
      <c r="AE97" s="131">
        <v>1</v>
      </c>
      <c r="AF97" s="131">
        <f>AG97*1000/AD97*100</f>
        <v>105.15008156606851</v>
      </c>
      <c r="AG97" s="131">
        <v>644.57000000000005</v>
      </c>
      <c r="AJ97" s="109" t="s">
        <v>15</v>
      </c>
      <c r="AK97" s="132">
        <v>0.38952999999999999</v>
      </c>
      <c r="AL97" s="132">
        <v>2.32E-3</v>
      </c>
    </row>
    <row r="98" spans="1:38">
      <c r="A98" t="s">
        <v>1213</v>
      </c>
      <c r="B98" t="s">
        <v>1251</v>
      </c>
      <c r="C98" t="s">
        <v>4814</v>
      </c>
      <c r="D98" t="s">
        <v>4815</v>
      </c>
      <c r="E98" t="s">
        <v>309</v>
      </c>
      <c r="F98" t="s">
        <v>4816</v>
      </c>
      <c r="G98" t="s">
        <v>4817</v>
      </c>
      <c r="H98" t="s">
        <v>321</v>
      </c>
      <c r="I98" t="s">
        <v>951</v>
      </c>
      <c r="J98" t="s">
        <v>204</v>
      </c>
      <c r="K98" t="s">
        <v>204</v>
      </c>
      <c r="L98" s="109" t="s">
        <v>326</v>
      </c>
      <c r="M98" t="s">
        <v>462</v>
      </c>
      <c r="N98" t="s">
        <v>339</v>
      </c>
      <c r="O98" t="s">
        <v>4818</v>
      </c>
      <c r="P98" t="s">
        <v>1527</v>
      </c>
      <c r="Q98" t="s">
        <v>415</v>
      </c>
      <c r="R98" t="s">
        <v>407</v>
      </c>
      <c r="S98" t="s">
        <v>1212</v>
      </c>
      <c r="T98" s="131">
        <v>1.39</v>
      </c>
      <c r="U98" t="s">
        <v>1833</v>
      </c>
      <c r="V98" s="132">
        <v>0.1338</v>
      </c>
      <c r="W98" s="132">
        <v>3.5029999999999999E-2</v>
      </c>
      <c r="X98" t="s">
        <v>412</v>
      </c>
      <c r="Y98" t="s">
        <v>339</v>
      </c>
      <c r="Z98" t="s">
        <v>886</v>
      </c>
      <c r="AA98" t="s">
        <v>889</v>
      </c>
      <c r="AB98" t="s">
        <v>4723</v>
      </c>
      <c r="AC98" t="s">
        <v>4723</v>
      </c>
      <c r="AD98" s="131">
        <v>343000</v>
      </c>
      <c r="AE98" s="131">
        <v>1</v>
      </c>
      <c r="AF98" s="131">
        <v>98.63</v>
      </c>
      <c r="AG98" s="131">
        <v>338.30099999999999</v>
      </c>
      <c r="AJ98" s="109" t="s">
        <v>15</v>
      </c>
      <c r="AK98" s="132">
        <v>0.20444000000000001</v>
      </c>
      <c r="AL98" s="132">
        <v>1.2199999999999999E-3</v>
      </c>
    </row>
    <row r="99" spans="1:38">
      <c r="A99" t="s">
        <v>1213</v>
      </c>
      <c r="B99" t="s">
        <v>1252</v>
      </c>
      <c r="C99" t="s">
        <v>4808</v>
      </c>
      <c r="D99" t="s">
        <v>4809</v>
      </c>
      <c r="E99" t="s">
        <v>309</v>
      </c>
      <c r="F99" t="s">
        <v>4810</v>
      </c>
      <c r="G99" t="s">
        <v>4811</v>
      </c>
      <c r="H99" t="s">
        <v>321</v>
      </c>
      <c r="I99" t="s">
        <v>754</v>
      </c>
      <c r="J99" t="s">
        <v>204</v>
      </c>
      <c r="K99" t="s">
        <v>204</v>
      </c>
      <c r="L99" s="109" t="s">
        <v>326</v>
      </c>
      <c r="M99" t="s">
        <v>477</v>
      </c>
      <c r="N99" t="s">
        <v>339</v>
      </c>
      <c r="O99" t="s">
        <v>4812</v>
      </c>
      <c r="P99" t="s">
        <v>1566</v>
      </c>
      <c r="Q99" t="s">
        <v>413</v>
      </c>
      <c r="R99" t="s">
        <v>407</v>
      </c>
      <c r="S99" t="s">
        <v>1212</v>
      </c>
      <c r="T99" s="131">
        <v>2.77</v>
      </c>
      <c r="U99" t="s">
        <v>1913</v>
      </c>
      <c r="V99" s="132">
        <v>2.9899999999999999E-2</v>
      </c>
      <c r="W99" s="132">
        <v>3.5900000000000001E-2</v>
      </c>
      <c r="X99" t="s">
        <v>412</v>
      </c>
      <c r="Y99" t="s">
        <v>339</v>
      </c>
      <c r="Z99" t="s">
        <v>886</v>
      </c>
      <c r="AA99" t="s">
        <v>889</v>
      </c>
      <c r="AB99" t="s">
        <v>4723</v>
      </c>
      <c r="AC99" t="s">
        <v>4723</v>
      </c>
      <c r="AD99" s="131">
        <v>511000</v>
      </c>
      <c r="AE99" s="131">
        <v>1</v>
      </c>
      <c r="AF99" s="131">
        <v>105.15</v>
      </c>
      <c r="AG99" s="131">
        <v>537.31700000000001</v>
      </c>
      <c r="AJ99" s="109" t="s">
        <v>15</v>
      </c>
      <c r="AK99" s="132">
        <v>0.59440999999999999</v>
      </c>
      <c r="AL99" s="132">
        <v>3.0599999999999998E-3</v>
      </c>
    </row>
    <row r="100" spans="1:38">
      <c r="A100" t="s">
        <v>1213</v>
      </c>
      <c r="B100" t="s">
        <v>1252</v>
      </c>
      <c r="C100" t="s">
        <v>4764</v>
      </c>
      <c r="D100" t="s">
        <v>4765</v>
      </c>
      <c r="E100" t="s">
        <v>309</v>
      </c>
      <c r="F100" t="s">
        <v>4766</v>
      </c>
      <c r="G100" t="s">
        <v>4767</v>
      </c>
      <c r="H100" t="s">
        <v>321</v>
      </c>
      <c r="I100" t="s">
        <v>951</v>
      </c>
      <c r="J100" t="s">
        <v>204</v>
      </c>
      <c r="K100" t="s">
        <v>204</v>
      </c>
      <c r="L100" s="109" t="s">
        <v>326</v>
      </c>
      <c r="M100" t="s">
        <v>451</v>
      </c>
      <c r="N100" t="s">
        <v>339</v>
      </c>
      <c r="O100" t="s">
        <v>4813</v>
      </c>
      <c r="P100" t="s">
        <v>1614</v>
      </c>
      <c r="Q100" t="s">
        <v>415</v>
      </c>
      <c r="R100" t="s">
        <v>407</v>
      </c>
      <c r="S100" t="s">
        <v>1212</v>
      </c>
      <c r="T100" s="131">
        <v>2.11</v>
      </c>
      <c r="U100" t="s">
        <v>1572</v>
      </c>
      <c r="V100" s="132">
        <v>6.08E-2</v>
      </c>
      <c r="W100" s="132">
        <v>3.739E-2</v>
      </c>
      <c r="X100" t="s">
        <v>412</v>
      </c>
      <c r="Y100" t="s">
        <v>339</v>
      </c>
      <c r="Z100" t="s">
        <v>886</v>
      </c>
      <c r="AA100" t="s">
        <v>889</v>
      </c>
      <c r="AB100" t="s">
        <v>4723</v>
      </c>
      <c r="AC100" t="s">
        <v>4723</v>
      </c>
      <c r="AD100" s="131">
        <v>243519.25</v>
      </c>
      <c r="AE100" s="131">
        <v>1</v>
      </c>
      <c r="AF100" s="131">
        <v>97.54</v>
      </c>
      <c r="AG100" s="131">
        <v>237.529</v>
      </c>
      <c r="AJ100" s="109" t="s">
        <v>15</v>
      </c>
      <c r="AK100" s="132">
        <v>0.26277</v>
      </c>
      <c r="AL100" s="132">
        <v>1.3500000000000001E-3</v>
      </c>
    </row>
    <row r="101" spans="1:38">
      <c r="A101" t="s">
        <v>1213</v>
      </c>
      <c r="B101" t="s">
        <v>1252</v>
      </c>
      <c r="C101" t="s">
        <v>4814</v>
      </c>
      <c r="D101" t="s">
        <v>4815</v>
      </c>
      <c r="E101" t="s">
        <v>309</v>
      </c>
      <c r="F101" t="s">
        <v>4816</v>
      </c>
      <c r="G101" t="s">
        <v>4817</v>
      </c>
      <c r="H101" t="s">
        <v>321</v>
      </c>
      <c r="I101" t="s">
        <v>951</v>
      </c>
      <c r="J101" t="s">
        <v>204</v>
      </c>
      <c r="K101" t="s">
        <v>204</v>
      </c>
      <c r="L101" s="109" t="s">
        <v>326</v>
      </c>
      <c r="M101" t="s">
        <v>462</v>
      </c>
      <c r="N101" t="s">
        <v>339</v>
      </c>
      <c r="O101" t="s">
        <v>4818</v>
      </c>
      <c r="P101" t="s">
        <v>1527</v>
      </c>
      <c r="Q101" t="s">
        <v>415</v>
      </c>
      <c r="R101" t="s">
        <v>407</v>
      </c>
      <c r="S101" t="s">
        <v>1212</v>
      </c>
      <c r="T101" s="131">
        <v>1.39</v>
      </c>
      <c r="U101" t="s">
        <v>1833</v>
      </c>
      <c r="V101" s="132">
        <v>0.1338</v>
      </c>
      <c r="W101" s="132">
        <v>3.5029999999999999E-2</v>
      </c>
      <c r="X101" t="s">
        <v>412</v>
      </c>
      <c r="Y101" t="s">
        <v>339</v>
      </c>
      <c r="Z101" t="s">
        <v>886</v>
      </c>
      <c r="AA101" t="s">
        <v>889</v>
      </c>
      <c r="AB101" t="s">
        <v>4723</v>
      </c>
      <c r="AC101" t="s">
        <v>4723</v>
      </c>
      <c r="AD101" s="131">
        <v>130900</v>
      </c>
      <c r="AE101" s="131">
        <v>1</v>
      </c>
      <c r="AF101" s="131">
        <v>98.63</v>
      </c>
      <c r="AG101" s="131">
        <v>129.107</v>
      </c>
      <c r="AJ101" s="109" t="s">
        <v>15</v>
      </c>
      <c r="AK101" s="132">
        <v>0.14282</v>
      </c>
      <c r="AL101" s="132">
        <v>7.3999999999999999E-4</v>
      </c>
    </row>
    <row r="102" spans="1:38">
      <c r="A102" t="s">
        <v>1213</v>
      </c>
      <c r="B102" t="s">
        <v>1253</v>
      </c>
      <c r="C102" t="s">
        <v>4808</v>
      </c>
      <c r="D102" t="s">
        <v>4809</v>
      </c>
      <c r="E102" t="s">
        <v>309</v>
      </c>
      <c r="F102" t="s">
        <v>4810</v>
      </c>
      <c r="G102" t="s">
        <v>4811</v>
      </c>
      <c r="H102" t="s">
        <v>321</v>
      </c>
      <c r="I102" t="s">
        <v>754</v>
      </c>
      <c r="J102" t="s">
        <v>204</v>
      </c>
      <c r="K102" t="s">
        <v>204</v>
      </c>
      <c r="L102" s="109" t="s">
        <v>326</v>
      </c>
      <c r="M102" t="s">
        <v>477</v>
      </c>
      <c r="N102" t="s">
        <v>339</v>
      </c>
      <c r="O102" t="s">
        <v>4812</v>
      </c>
      <c r="P102" t="s">
        <v>1566</v>
      </c>
      <c r="Q102" t="s">
        <v>413</v>
      </c>
      <c r="R102" t="s">
        <v>407</v>
      </c>
      <c r="S102" t="s">
        <v>1212</v>
      </c>
      <c r="T102" s="131">
        <v>2.77</v>
      </c>
      <c r="U102" t="s">
        <v>1913</v>
      </c>
      <c r="V102" s="132">
        <v>2.9899999999999999E-2</v>
      </c>
      <c r="W102" s="132">
        <v>3.5900000000000001E-2</v>
      </c>
      <c r="X102" t="s">
        <v>412</v>
      </c>
      <c r="Y102" t="s">
        <v>339</v>
      </c>
      <c r="Z102" t="s">
        <v>886</v>
      </c>
      <c r="AA102" t="s">
        <v>889</v>
      </c>
      <c r="AB102" t="s">
        <v>4723</v>
      </c>
      <c r="AC102" t="s">
        <v>4723</v>
      </c>
      <c r="AD102" s="131">
        <v>390000</v>
      </c>
      <c r="AE102" s="131">
        <v>1</v>
      </c>
      <c r="AF102" s="131">
        <v>105.15</v>
      </c>
      <c r="AG102" s="131">
        <v>410.08499999999998</v>
      </c>
      <c r="AJ102" s="109" t="s">
        <v>15</v>
      </c>
      <c r="AK102" s="132">
        <v>0.58277999999999996</v>
      </c>
      <c r="AL102" s="132">
        <v>3.5000000000000001E-3</v>
      </c>
    </row>
    <row r="103" spans="1:38">
      <c r="A103" t="s">
        <v>1213</v>
      </c>
      <c r="B103" t="s">
        <v>1253</v>
      </c>
      <c r="C103" t="s">
        <v>4764</v>
      </c>
      <c r="D103" t="s">
        <v>4765</v>
      </c>
      <c r="E103" t="s">
        <v>309</v>
      </c>
      <c r="F103" t="s">
        <v>4766</v>
      </c>
      <c r="G103" t="s">
        <v>4767</v>
      </c>
      <c r="H103" t="s">
        <v>321</v>
      </c>
      <c r="I103" t="s">
        <v>951</v>
      </c>
      <c r="J103" t="s">
        <v>204</v>
      </c>
      <c r="K103" t="s">
        <v>204</v>
      </c>
      <c r="L103" s="109" t="s">
        <v>326</v>
      </c>
      <c r="M103" t="s">
        <v>451</v>
      </c>
      <c r="N103" t="s">
        <v>339</v>
      </c>
      <c r="O103" t="s">
        <v>4813</v>
      </c>
      <c r="P103" t="s">
        <v>1614</v>
      </c>
      <c r="Q103" t="s">
        <v>415</v>
      </c>
      <c r="R103" t="s">
        <v>407</v>
      </c>
      <c r="S103" t="s">
        <v>1212</v>
      </c>
      <c r="T103" s="131">
        <v>2.11</v>
      </c>
      <c r="U103" t="s">
        <v>1572</v>
      </c>
      <c r="V103" s="132">
        <v>6.08E-2</v>
      </c>
      <c r="W103" s="132">
        <v>3.739E-2</v>
      </c>
      <c r="X103" t="s">
        <v>412</v>
      </c>
      <c r="Y103" t="s">
        <v>339</v>
      </c>
      <c r="Z103" t="s">
        <v>886</v>
      </c>
      <c r="AA103" t="s">
        <v>889</v>
      </c>
      <c r="AB103" t="s">
        <v>4723</v>
      </c>
      <c r="AC103" t="s">
        <v>4723</v>
      </c>
      <c r="AD103" s="131">
        <v>194815.39</v>
      </c>
      <c r="AE103" s="131">
        <v>1</v>
      </c>
      <c r="AF103" s="131">
        <v>97.54</v>
      </c>
      <c r="AG103" s="131">
        <v>190.023</v>
      </c>
      <c r="AJ103" s="109" t="s">
        <v>15</v>
      </c>
      <c r="AK103" s="132">
        <v>0.27005000000000001</v>
      </c>
      <c r="AL103" s="132">
        <v>1.6199999999999999E-3</v>
      </c>
    </row>
    <row r="104" spans="1:38">
      <c r="A104" t="s">
        <v>1213</v>
      </c>
      <c r="B104" t="s">
        <v>1253</v>
      </c>
      <c r="C104" t="s">
        <v>4814</v>
      </c>
      <c r="D104" t="s">
        <v>4815</v>
      </c>
      <c r="E104" t="s">
        <v>309</v>
      </c>
      <c r="F104" t="s">
        <v>4816</v>
      </c>
      <c r="G104" t="s">
        <v>4817</v>
      </c>
      <c r="H104" t="s">
        <v>321</v>
      </c>
      <c r="I104" t="s">
        <v>951</v>
      </c>
      <c r="J104" t="s">
        <v>204</v>
      </c>
      <c r="K104" t="s">
        <v>204</v>
      </c>
      <c r="L104" s="109" t="s">
        <v>326</v>
      </c>
      <c r="M104" t="s">
        <v>462</v>
      </c>
      <c r="N104" t="s">
        <v>339</v>
      </c>
      <c r="O104" t="s">
        <v>4818</v>
      </c>
      <c r="P104" t="s">
        <v>1527</v>
      </c>
      <c r="Q104" t="s">
        <v>415</v>
      </c>
      <c r="R104" t="s">
        <v>407</v>
      </c>
      <c r="S104" t="s">
        <v>1212</v>
      </c>
      <c r="T104" s="131">
        <v>1.39</v>
      </c>
      <c r="U104" t="s">
        <v>1833</v>
      </c>
      <c r="V104" s="132">
        <v>0.1338</v>
      </c>
      <c r="W104" s="132">
        <v>3.5029999999999999E-2</v>
      </c>
      <c r="X104" t="s">
        <v>412</v>
      </c>
      <c r="Y104" t="s">
        <v>339</v>
      </c>
      <c r="Z104" t="s">
        <v>886</v>
      </c>
      <c r="AA104" t="s">
        <v>889</v>
      </c>
      <c r="AB104" t="s">
        <v>4723</v>
      </c>
      <c r="AC104" t="s">
        <v>4723</v>
      </c>
      <c r="AD104" s="131">
        <v>105000</v>
      </c>
      <c r="AE104" s="131">
        <v>1</v>
      </c>
      <c r="AF104" s="131">
        <f>AG104*1000/AD104*100</f>
        <v>98.630476190476188</v>
      </c>
      <c r="AG104" s="131">
        <v>103.562</v>
      </c>
      <c r="AJ104" s="109" t="s">
        <v>15</v>
      </c>
      <c r="AK104" s="132">
        <v>0.14717</v>
      </c>
      <c r="AL104" s="132">
        <v>8.8000000000000003E-4</v>
      </c>
    </row>
    <row r="105" spans="1:38">
      <c r="A105" t="s">
        <v>1213</v>
      </c>
      <c r="B105" t="s">
        <v>1254</v>
      </c>
      <c r="C105" t="s">
        <v>4764</v>
      </c>
      <c r="D105" t="s">
        <v>4765</v>
      </c>
      <c r="E105" t="s">
        <v>309</v>
      </c>
      <c r="F105" t="s">
        <v>4766</v>
      </c>
      <c r="G105" t="s">
        <v>4767</v>
      </c>
      <c r="H105" t="s">
        <v>321</v>
      </c>
      <c r="I105" t="s">
        <v>951</v>
      </c>
      <c r="J105" t="s">
        <v>204</v>
      </c>
      <c r="K105" t="s">
        <v>204</v>
      </c>
      <c r="L105" s="109" t="s">
        <v>326</v>
      </c>
      <c r="M105" t="s">
        <v>451</v>
      </c>
      <c r="N105" t="s">
        <v>339</v>
      </c>
      <c r="O105" t="s">
        <v>4813</v>
      </c>
      <c r="P105" t="s">
        <v>1614</v>
      </c>
      <c r="Q105" t="s">
        <v>415</v>
      </c>
      <c r="R105" t="s">
        <v>407</v>
      </c>
      <c r="S105" t="s">
        <v>1212</v>
      </c>
      <c r="T105" s="131">
        <v>2.11</v>
      </c>
      <c r="U105" t="s">
        <v>1572</v>
      </c>
      <c r="V105" s="132">
        <v>6.08E-2</v>
      </c>
      <c r="W105" s="132">
        <v>3.739E-2</v>
      </c>
      <c r="X105" t="s">
        <v>412</v>
      </c>
      <c r="Y105" t="s">
        <v>339</v>
      </c>
      <c r="Z105" t="s">
        <v>886</v>
      </c>
      <c r="AA105" t="s">
        <v>889</v>
      </c>
      <c r="AB105" t="s">
        <v>4723</v>
      </c>
      <c r="AC105" t="s">
        <v>4723</v>
      </c>
      <c r="AD105" s="131">
        <v>1530692.46</v>
      </c>
      <c r="AE105" s="131">
        <v>1</v>
      </c>
      <c r="AF105" s="131">
        <v>97.54</v>
      </c>
      <c r="AG105" s="131">
        <v>1493.037</v>
      </c>
      <c r="AJ105" s="109" t="s">
        <v>15</v>
      </c>
      <c r="AK105" s="132">
        <v>0.73211999999999999</v>
      </c>
      <c r="AL105" s="132">
        <v>4.8999999999999998E-4</v>
      </c>
    </row>
    <row r="106" spans="1:38">
      <c r="A106" t="s">
        <v>1213</v>
      </c>
      <c r="B106" t="s">
        <v>1254</v>
      </c>
      <c r="C106" t="s">
        <v>4800</v>
      </c>
      <c r="D106" t="s">
        <v>4801</v>
      </c>
      <c r="E106" t="s">
        <v>309</v>
      </c>
      <c r="F106" t="s">
        <v>4802</v>
      </c>
      <c r="G106" t="s">
        <v>4803</v>
      </c>
      <c r="H106" t="s">
        <v>321</v>
      </c>
      <c r="I106" t="s">
        <v>951</v>
      </c>
      <c r="J106" t="s">
        <v>204</v>
      </c>
      <c r="K106" t="s">
        <v>204</v>
      </c>
      <c r="L106" s="109" t="s">
        <v>326</v>
      </c>
      <c r="M106" t="s">
        <v>445</v>
      </c>
      <c r="N106" t="s">
        <v>339</v>
      </c>
      <c r="O106" t="s">
        <v>4807</v>
      </c>
      <c r="P106" t="s">
        <v>1527</v>
      </c>
      <c r="Q106" t="s">
        <v>415</v>
      </c>
      <c r="R106" t="s">
        <v>407</v>
      </c>
      <c r="S106" t="s">
        <v>1212</v>
      </c>
      <c r="T106" s="131">
        <v>0.95</v>
      </c>
      <c r="U106" t="s">
        <v>4805</v>
      </c>
      <c r="V106" s="132">
        <v>4.3700000000000003E-2</v>
      </c>
      <c r="W106" s="132">
        <v>3.1800000000000002E-2</v>
      </c>
      <c r="X106" t="s">
        <v>412</v>
      </c>
      <c r="Y106" t="s">
        <v>339</v>
      </c>
      <c r="Z106" t="s">
        <v>886</v>
      </c>
      <c r="AA106" t="s">
        <v>889</v>
      </c>
      <c r="AB106" t="s">
        <v>4723</v>
      </c>
      <c r="AC106" t="s">
        <v>4723</v>
      </c>
      <c r="AD106" s="131">
        <v>554787.65</v>
      </c>
      <c r="AE106" s="131">
        <v>1</v>
      </c>
      <c r="AF106" s="131">
        <v>98.47</v>
      </c>
      <c r="AG106" s="131">
        <v>546.29899999999998</v>
      </c>
      <c r="AJ106" s="109" t="s">
        <v>15</v>
      </c>
      <c r="AK106" s="132">
        <v>0.26788000000000001</v>
      </c>
      <c r="AL106" s="132">
        <v>1.8000000000000001E-4</v>
      </c>
    </row>
    <row r="107" spans="1:38">
      <c r="A107" t="s">
        <v>1213</v>
      </c>
      <c r="B107" t="s">
        <v>1255</v>
      </c>
      <c r="C107" t="s">
        <v>4800</v>
      </c>
      <c r="D107" t="s">
        <v>4801</v>
      </c>
      <c r="E107" t="s">
        <v>309</v>
      </c>
      <c r="F107" t="s">
        <v>4802</v>
      </c>
      <c r="G107" t="s">
        <v>4803</v>
      </c>
      <c r="H107" t="s">
        <v>321</v>
      </c>
      <c r="I107" t="s">
        <v>951</v>
      </c>
      <c r="J107" t="s">
        <v>204</v>
      </c>
      <c r="K107" t="s">
        <v>204</v>
      </c>
      <c r="L107" s="109" t="s">
        <v>326</v>
      </c>
      <c r="M107" t="s">
        <v>445</v>
      </c>
      <c r="N107" t="s">
        <v>339</v>
      </c>
      <c r="O107" t="s">
        <v>4807</v>
      </c>
      <c r="P107" t="s">
        <v>1527</v>
      </c>
      <c r="Q107" t="s">
        <v>415</v>
      </c>
      <c r="R107" t="s">
        <v>407</v>
      </c>
      <c r="S107" t="s">
        <v>1212</v>
      </c>
      <c r="T107" s="131">
        <v>0.95</v>
      </c>
      <c r="U107" t="s">
        <v>4805</v>
      </c>
      <c r="V107" s="132">
        <v>4.3700000000000003E-2</v>
      </c>
      <c r="W107" s="132">
        <v>3.1800000000000002E-2</v>
      </c>
      <c r="X107" t="s">
        <v>412</v>
      </c>
      <c r="Y107" t="s">
        <v>339</v>
      </c>
      <c r="Z107" t="s">
        <v>886</v>
      </c>
      <c r="AA107" t="s">
        <v>889</v>
      </c>
      <c r="AB107" t="s">
        <v>4723</v>
      </c>
      <c r="AC107" t="s">
        <v>4723</v>
      </c>
      <c r="AD107" s="131">
        <v>37959.160000000003</v>
      </c>
      <c r="AE107" s="131">
        <v>1</v>
      </c>
      <c r="AF107" s="131">
        <v>98.47</v>
      </c>
      <c r="AG107" s="131">
        <v>37.378</v>
      </c>
      <c r="AJ107" s="109" t="s">
        <v>15</v>
      </c>
      <c r="AK107" s="132">
        <v>1</v>
      </c>
      <c r="AL107" s="132">
        <v>4.0000000000000003E-5</v>
      </c>
    </row>
    <row r="108" spans="1:38">
      <c r="A108" t="s">
        <v>1213</v>
      </c>
      <c r="B108" t="s">
        <v>1256</v>
      </c>
      <c r="C108" t="s">
        <v>4800</v>
      </c>
      <c r="D108" t="s">
        <v>4801</v>
      </c>
      <c r="E108" t="s">
        <v>309</v>
      </c>
      <c r="F108" t="s">
        <v>4802</v>
      </c>
      <c r="G108" t="s">
        <v>4803</v>
      </c>
      <c r="H108" t="s">
        <v>321</v>
      </c>
      <c r="I108" t="s">
        <v>951</v>
      </c>
      <c r="J108" t="s">
        <v>204</v>
      </c>
      <c r="K108" t="s">
        <v>204</v>
      </c>
      <c r="L108" s="109" t="s">
        <v>326</v>
      </c>
      <c r="M108" t="s">
        <v>445</v>
      </c>
      <c r="N108" t="s">
        <v>339</v>
      </c>
      <c r="O108" t="s">
        <v>4807</v>
      </c>
      <c r="P108" t="s">
        <v>1527</v>
      </c>
      <c r="Q108" t="s">
        <v>415</v>
      </c>
      <c r="R108" t="s">
        <v>407</v>
      </c>
      <c r="S108" t="s">
        <v>1212</v>
      </c>
      <c r="T108" s="131">
        <v>0.95</v>
      </c>
      <c r="U108" t="s">
        <v>4805</v>
      </c>
      <c r="V108" s="132">
        <v>4.3700000000000003E-2</v>
      </c>
      <c r="W108" s="132">
        <v>3.1800000000000002E-2</v>
      </c>
      <c r="X108" t="s">
        <v>412</v>
      </c>
      <c r="Y108" t="s">
        <v>339</v>
      </c>
      <c r="Z108" t="s">
        <v>886</v>
      </c>
      <c r="AA108" t="s">
        <v>889</v>
      </c>
      <c r="AB108" t="s">
        <v>4723</v>
      </c>
      <c r="AC108" t="s">
        <v>4723</v>
      </c>
      <c r="AD108" s="131">
        <v>94897.89</v>
      </c>
      <c r="AE108" s="131">
        <v>1</v>
      </c>
      <c r="AF108" s="131">
        <v>98.47</v>
      </c>
      <c r="AG108" s="131">
        <v>93.445999999999998</v>
      </c>
      <c r="AJ108" s="109" t="s">
        <v>15</v>
      </c>
      <c r="AK108" s="132">
        <v>1</v>
      </c>
      <c r="AL108" s="132">
        <v>4.8000000000000001E-4</v>
      </c>
    </row>
    <row r="109" spans="1:38">
      <c r="A109" t="s">
        <v>1213</v>
      </c>
      <c r="B109" t="s">
        <v>1257</v>
      </c>
      <c r="C109" t="s">
        <v>4808</v>
      </c>
      <c r="D109" t="s">
        <v>4809</v>
      </c>
      <c r="E109" t="s">
        <v>309</v>
      </c>
      <c r="F109" t="s">
        <v>4810</v>
      </c>
      <c r="G109" t="s">
        <v>4811</v>
      </c>
      <c r="H109" t="s">
        <v>321</v>
      </c>
      <c r="I109" t="s">
        <v>754</v>
      </c>
      <c r="J109" t="s">
        <v>204</v>
      </c>
      <c r="K109" t="s">
        <v>204</v>
      </c>
      <c r="L109" s="109" t="s">
        <v>326</v>
      </c>
      <c r="M109" t="s">
        <v>477</v>
      </c>
      <c r="N109" t="s">
        <v>339</v>
      </c>
      <c r="O109" t="s">
        <v>4812</v>
      </c>
      <c r="P109" t="s">
        <v>1566</v>
      </c>
      <c r="Q109" t="s">
        <v>413</v>
      </c>
      <c r="R109" t="s">
        <v>407</v>
      </c>
      <c r="S109" t="s">
        <v>1212</v>
      </c>
      <c r="T109" s="131">
        <v>2.77</v>
      </c>
      <c r="U109" t="s">
        <v>1913</v>
      </c>
      <c r="V109" s="132">
        <v>2.9899999999999999E-2</v>
      </c>
      <c r="W109" s="132">
        <v>3.5900000000000001E-2</v>
      </c>
      <c r="X109" t="s">
        <v>412</v>
      </c>
      <c r="Y109" t="s">
        <v>339</v>
      </c>
      <c r="Z109" t="s">
        <v>886</v>
      </c>
      <c r="AA109" t="s">
        <v>889</v>
      </c>
      <c r="AB109" t="s">
        <v>4723</v>
      </c>
      <c r="AC109" t="s">
        <v>4723</v>
      </c>
      <c r="AD109" s="131">
        <v>737000</v>
      </c>
      <c r="AE109" s="131">
        <v>1</v>
      </c>
      <c r="AF109" s="131">
        <v>105.15</v>
      </c>
      <c r="AG109" s="131">
        <v>774.95600000000002</v>
      </c>
      <c r="AJ109" s="109" t="s">
        <v>15</v>
      </c>
      <c r="AK109" s="132">
        <v>0.83150999999999997</v>
      </c>
      <c r="AL109" s="132">
        <v>2.8500000000000001E-3</v>
      </c>
    </row>
    <row r="110" spans="1:38">
      <c r="A110" t="s">
        <v>1213</v>
      </c>
      <c r="B110" t="s">
        <v>1257</v>
      </c>
      <c r="C110" t="s">
        <v>4764</v>
      </c>
      <c r="D110" t="s">
        <v>4765</v>
      </c>
      <c r="E110" t="s">
        <v>309</v>
      </c>
      <c r="F110" t="s">
        <v>4766</v>
      </c>
      <c r="G110" t="s">
        <v>4767</v>
      </c>
      <c r="H110" t="s">
        <v>321</v>
      </c>
      <c r="I110" t="s">
        <v>951</v>
      </c>
      <c r="J110" t="s">
        <v>204</v>
      </c>
      <c r="K110" t="s">
        <v>204</v>
      </c>
      <c r="L110" s="109" t="s">
        <v>326</v>
      </c>
      <c r="M110" t="s">
        <v>451</v>
      </c>
      <c r="N110" t="s">
        <v>339</v>
      </c>
      <c r="O110" t="s">
        <v>4813</v>
      </c>
      <c r="P110" t="s">
        <v>1614</v>
      </c>
      <c r="Q110" t="s">
        <v>415</v>
      </c>
      <c r="R110" t="s">
        <v>407</v>
      </c>
      <c r="S110" t="s">
        <v>1212</v>
      </c>
      <c r="T110" s="131">
        <v>2.11</v>
      </c>
      <c r="U110" t="s">
        <v>1572</v>
      </c>
      <c r="V110" s="132">
        <v>6.08E-2</v>
      </c>
      <c r="W110" s="132">
        <v>3.739E-2</v>
      </c>
      <c r="X110" t="s">
        <v>412</v>
      </c>
      <c r="Y110" t="s">
        <v>339</v>
      </c>
      <c r="Z110" t="s">
        <v>886</v>
      </c>
      <c r="AA110" t="s">
        <v>889</v>
      </c>
      <c r="AB110" t="s">
        <v>4723</v>
      </c>
      <c r="AC110" t="s">
        <v>4723</v>
      </c>
      <c r="AD110" s="131">
        <v>104365.39</v>
      </c>
      <c r="AE110" s="131">
        <v>1</v>
      </c>
      <c r="AF110" s="131">
        <v>97.54</v>
      </c>
      <c r="AG110" s="131">
        <v>101.798</v>
      </c>
      <c r="AJ110" s="109" t="s">
        <v>15</v>
      </c>
      <c r="AK110" s="132">
        <v>0.10922999999999999</v>
      </c>
      <c r="AL110" s="132">
        <v>3.6999999999999999E-4</v>
      </c>
    </row>
    <row r="111" spans="1:38">
      <c r="A111" t="s">
        <v>1213</v>
      </c>
      <c r="B111" t="s">
        <v>1257</v>
      </c>
      <c r="C111" t="s">
        <v>4814</v>
      </c>
      <c r="D111" t="s">
        <v>4815</v>
      </c>
      <c r="E111" t="s">
        <v>309</v>
      </c>
      <c r="F111" t="s">
        <v>4816</v>
      </c>
      <c r="G111" t="s">
        <v>4817</v>
      </c>
      <c r="H111" t="s">
        <v>321</v>
      </c>
      <c r="I111" t="s">
        <v>951</v>
      </c>
      <c r="J111" t="s">
        <v>204</v>
      </c>
      <c r="K111" t="s">
        <v>204</v>
      </c>
      <c r="L111" s="109" t="s">
        <v>326</v>
      </c>
      <c r="M111" t="s">
        <v>462</v>
      </c>
      <c r="N111" t="s">
        <v>339</v>
      </c>
      <c r="O111" t="s">
        <v>4818</v>
      </c>
      <c r="P111" t="s">
        <v>1527</v>
      </c>
      <c r="Q111" t="s">
        <v>415</v>
      </c>
      <c r="R111" t="s">
        <v>407</v>
      </c>
      <c r="S111" t="s">
        <v>1212</v>
      </c>
      <c r="T111" s="131">
        <v>1.39</v>
      </c>
      <c r="U111" t="s">
        <v>1833</v>
      </c>
      <c r="V111" s="132">
        <v>0.1338</v>
      </c>
      <c r="W111" s="132">
        <v>3.5029999999999999E-2</v>
      </c>
      <c r="X111" t="s">
        <v>412</v>
      </c>
      <c r="Y111" t="s">
        <v>339</v>
      </c>
      <c r="Z111" t="s">
        <v>886</v>
      </c>
      <c r="AA111" t="s">
        <v>889</v>
      </c>
      <c r="AB111" t="s">
        <v>4723</v>
      </c>
      <c r="AC111" t="s">
        <v>4723</v>
      </c>
      <c r="AD111" s="131">
        <v>56000</v>
      </c>
      <c r="AE111" s="131">
        <v>1</v>
      </c>
      <c r="AF111" s="131">
        <v>98.63</v>
      </c>
      <c r="AG111" s="131">
        <v>55.232999999999997</v>
      </c>
      <c r="AJ111" s="109" t="s">
        <v>15</v>
      </c>
      <c r="AK111" s="132">
        <v>5.926E-2</v>
      </c>
      <c r="AL111" s="132">
        <v>2.0000000000000001E-4</v>
      </c>
    </row>
    <row r="112" spans="1:38">
      <c r="A112" t="s">
        <v>1213</v>
      </c>
      <c r="B112" t="s">
        <v>1222</v>
      </c>
    </row>
    <row r="113" spans="1:2">
      <c r="A113" t="s">
        <v>1213</v>
      </c>
      <c r="B113" t="s">
        <v>1223</v>
      </c>
    </row>
    <row r="114" spans="1:2">
      <c r="A114" t="s">
        <v>1213</v>
      </c>
      <c r="B114" t="s">
        <v>1225</v>
      </c>
    </row>
    <row r="115" spans="1:2">
      <c r="A115" t="s">
        <v>1213</v>
      </c>
      <c r="B115" t="s">
        <v>1231</v>
      </c>
    </row>
    <row r="116" spans="1:2">
      <c r="A116" t="s">
        <v>1213</v>
      </c>
      <c r="B116" t="s">
        <v>1232</v>
      </c>
    </row>
    <row r="117" spans="1:2">
      <c r="A117" t="s">
        <v>1213</v>
      </c>
      <c r="B117" t="s">
        <v>1234</v>
      </c>
    </row>
    <row r="118" spans="1:2">
      <c r="A118" t="s">
        <v>1213</v>
      </c>
      <c r="B118" t="s">
        <v>1242</v>
      </c>
    </row>
    <row r="119" spans="1:2">
      <c r="A119" t="s">
        <v>1213</v>
      </c>
      <c r="B119" t="s">
        <v>1244</v>
      </c>
    </row>
    <row r="120" spans="1:2">
      <c r="A120" t="s">
        <v>1213</v>
      </c>
      <c r="B120">
        <v>15108</v>
      </c>
    </row>
  </sheetData>
  <sheetProtection formatColumns="0"/>
  <autoFilter ref="A1:AM12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P29:Q29 P9 P20:Q20 Q2:Q19 P49:Q53 P68:Q68 P75:Q75 P89:Q89">
      <formula1>Rating_Agency</formula1>
    </dataValidation>
    <dataValidation type="list" allowBlank="1" showInputMessage="1" showErrorMessage="1" sqref="P4 R95 R72 R81 R2:R20 R29 R49:R53 R68 R75 R89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111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8 L30:L48 L54:L67 L69:L71 L73:L74 L76:L80 L82:L88 L90:L94 L96:L111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37"/>
  <sheetViews>
    <sheetView rightToLeft="1" topLeftCell="O1" workbookViewId="0">
      <selection activeCell="AC12" sqref="AC12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0" width="11.625" style="2" customWidth="1"/>
    <col min="21" max="21" width="13.5" style="2" bestFit="1" customWidth="1"/>
    <col min="22" max="26" width="11.625" style="2" customWidth="1"/>
    <col min="27" max="16384" width="9" style="2"/>
  </cols>
  <sheetData>
    <row r="1" spans="1:26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89</v>
      </c>
      <c r="M1" s="17" t="s">
        <v>83</v>
      </c>
      <c r="N1" s="17" t="s">
        <v>56</v>
      </c>
      <c r="O1" s="17" t="s">
        <v>97</v>
      </c>
      <c r="P1" s="17" t="s">
        <v>59</v>
      </c>
      <c r="Q1" s="17" t="s">
        <v>103</v>
      </c>
      <c r="R1" s="17" t="s">
        <v>104</v>
      </c>
      <c r="S1" s="17" t="s">
        <v>106</v>
      </c>
      <c r="T1" s="17" t="s">
        <v>107</v>
      </c>
      <c r="U1" s="17" t="s">
        <v>76</v>
      </c>
      <c r="V1" s="17" t="s">
        <v>61</v>
      </c>
      <c r="W1" s="17" t="s">
        <v>77</v>
      </c>
      <c r="X1" s="17" t="s">
        <v>63</v>
      </c>
      <c r="Y1" s="17" t="s">
        <v>64</v>
      </c>
      <c r="Z1" s="17" t="s">
        <v>65</v>
      </c>
    </row>
    <row r="2" spans="1:26">
      <c r="A2" t="s">
        <v>1213</v>
      </c>
      <c r="B2" t="s">
        <v>1235</v>
      </c>
      <c r="C2" t="s">
        <v>3330</v>
      </c>
      <c r="D2" t="s">
        <v>3331</v>
      </c>
      <c r="E2" t="s">
        <v>80</v>
      </c>
      <c r="F2" t="s">
        <v>4865</v>
      </c>
      <c r="G2" t="s">
        <v>4866</v>
      </c>
      <c r="H2" t="s">
        <v>312</v>
      </c>
      <c r="I2" t="s">
        <v>765</v>
      </c>
      <c r="J2" t="s">
        <v>204</v>
      </c>
      <c r="K2" t="s">
        <v>238</v>
      </c>
      <c r="L2" s="109" t="s">
        <v>326</v>
      </c>
      <c r="M2" t="s">
        <v>464</v>
      </c>
      <c r="N2" t="s">
        <v>339</v>
      </c>
      <c r="O2" t="s">
        <v>4867</v>
      </c>
      <c r="P2" t="s">
        <v>1212</v>
      </c>
      <c r="Q2" t="s">
        <v>314</v>
      </c>
      <c r="R2" t="s">
        <v>889</v>
      </c>
      <c r="S2" t="s">
        <v>4867</v>
      </c>
      <c r="T2" s="161">
        <v>45565</v>
      </c>
      <c r="U2" s="131">
        <v>11.79</v>
      </c>
      <c r="V2" s="131">
        <v>1</v>
      </c>
      <c r="W2" s="131">
        <f>X2*1000/U2/V2*100</f>
        <v>11255114.503816795</v>
      </c>
      <c r="X2" s="131">
        <v>1326.9780000000001</v>
      </c>
      <c r="Y2" s="132">
        <v>0.52232000000000001</v>
      </c>
      <c r="Z2" s="132">
        <v>1.9230000000000001E-2</v>
      </c>
    </row>
    <row r="3" spans="1:26">
      <c r="A3" t="s">
        <v>1213</v>
      </c>
      <c r="B3" t="s">
        <v>1235</v>
      </c>
      <c r="C3" t="s">
        <v>3330</v>
      </c>
      <c r="D3" t="s">
        <v>3331</v>
      </c>
      <c r="E3" t="s">
        <v>80</v>
      </c>
      <c r="F3" t="s">
        <v>4868</v>
      </c>
      <c r="G3" t="s">
        <v>4869</v>
      </c>
      <c r="H3" t="s">
        <v>312</v>
      </c>
      <c r="I3" t="s">
        <v>765</v>
      </c>
      <c r="J3" t="s">
        <v>204</v>
      </c>
      <c r="K3" t="s">
        <v>238</v>
      </c>
      <c r="L3" s="109" t="s">
        <v>326</v>
      </c>
      <c r="M3" t="s">
        <v>464</v>
      </c>
      <c r="N3" t="s">
        <v>339</v>
      </c>
      <c r="O3" t="s">
        <v>4870</v>
      </c>
      <c r="P3" t="s">
        <v>1212</v>
      </c>
      <c r="Q3" t="s">
        <v>314</v>
      </c>
      <c r="R3" s="109"/>
      <c r="S3" t="s">
        <v>4870</v>
      </c>
      <c r="T3" s="161">
        <v>45565</v>
      </c>
      <c r="U3" s="131">
        <v>585025.4</v>
      </c>
      <c r="V3" s="131">
        <v>1</v>
      </c>
      <c r="W3" s="131">
        <f t="shared" ref="W3:W66" si="0">X3*1000/U3/V3*100</f>
        <v>99.999931626900292</v>
      </c>
      <c r="X3" s="131">
        <v>585.02499999999998</v>
      </c>
      <c r="Y3" s="132">
        <v>0.23028000000000001</v>
      </c>
      <c r="Z3" s="132">
        <v>8.4799999999999997E-3</v>
      </c>
    </row>
    <row r="4" spans="1:26">
      <c r="A4" t="s">
        <v>1213</v>
      </c>
      <c r="B4" t="s">
        <v>1235</v>
      </c>
      <c r="C4" t="s">
        <v>4871</v>
      </c>
      <c r="D4" t="s">
        <v>4872</v>
      </c>
      <c r="E4" t="s">
        <v>309</v>
      </c>
      <c r="F4" t="s">
        <v>4873</v>
      </c>
      <c r="G4" t="s">
        <v>4874</v>
      </c>
      <c r="H4" t="s">
        <v>312</v>
      </c>
      <c r="I4" t="s">
        <v>765</v>
      </c>
      <c r="J4" t="s">
        <v>204</v>
      </c>
      <c r="K4" t="s">
        <v>204</v>
      </c>
      <c r="L4" s="109" t="s">
        <v>326</v>
      </c>
      <c r="M4" t="s">
        <v>461</v>
      </c>
      <c r="N4" t="s">
        <v>339</v>
      </c>
      <c r="O4" t="s">
        <v>4875</v>
      </c>
      <c r="P4" t="s">
        <v>1212</v>
      </c>
      <c r="Q4" t="s">
        <v>887</v>
      </c>
      <c r="R4" t="s">
        <v>889</v>
      </c>
      <c r="S4" t="s">
        <v>4876</v>
      </c>
      <c r="T4" s="161">
        <v>45565</v>
      </c>
      <c r="U4" s="131">
        <v>4</v>
      </c>
      <c r="V4" s="131">
        <v>1</v>
      </c>
      <c r="W4" s="131">
        <f t="shared" si="0"/>
        <v>7094025</v>
      </c>
      <c r="X4" s="131">
        <v>283.76100000000002</v>
      </c>
      <c r="Y4" s="132">
        <v>0.11169</v>
      </c>
      <c r="Z4" s="132">
        <v>4.1099999999999999E-3</v>
      </c>
    </row>
    <row r="5" spans="1:26">
      <c r="A5" t="s">
        <v>1213</v>
      </c>
      <c r="B5" t="s">
        <v>1235</v>
      </c>
      <c r="C5" t="s">
        <v>3330</v>
      </c>
      <c r="D5" t="s">
        <v>3331</v>
      </c>
      <c r="E5" t="s">
        <v>80</v>
      </c>
      <c r="F5" t="s">
        <v>4878</v>
      </c>
      <c r="G5" t="s">
        <v>4879</v>
      </c>
      <c r="H5" t="s">
        <v>312</v>
      </c>
      <c r="I5" t="s">
        <v>765</v>
      </c>
      <c r="J5" t="s">
        <v>204</v>
      </c>
      <c r="K5" t="s">
        <v>238</v>
      </c>
      <c r="L5" s="109" t="s">
        <v>326</v>
      </c>
      <c r="M5" t="s">
        <v>464</v>
      </c>
      <c r="N5" t="s">
        <v>339</v>
      </c>
      <c r="O5" t="s">
        <v>4867</v>
      </c>
      <c r="P5" t="s">
        <v>1212</v>
      </c>
      <c r="Q5" t="s">
        <v>314</v>
      </c>
      <c r="R5" t="s">
        <v>889</v>
      </c>
      <c r="S5" t="s">
        <v>4867</v>
      </c>
      <c r="T5" s="161">
        <v>45565</v>
      </c>
      <c r="U5" s="131">
        <v>281415</v>
      </c>
      <c r="V5" s="131">
        <v>1</v>
      </c>
      <c r="W5" s="131">
        <f t="shared" si="0"/>
        <v>100</v>
      </c>
      <c r="X5" s="131">
        <v>281.41500000000002</v>
      </c>
      <c r="Y5" s="132">
        <v>0.11076999999999999</v>
      </c>
      <c r="Z5" s="132">
        <v>4.0800000000000003E-3</v>
      </c>
    </row>
    <row r="6" spans="1:26">
      <c r="A6" t="s">
        <v>1213</v>
      </c>
      <c r="B6" t="s">
        <v>1235</v>
      </c>
      <c r="C6" t="s">
        <v>3789</v>
      </c>
      <c r="D6" t="s">
        <v>3790</v>
      </c>
      <c r="E6" t="s">
        <v>309</v>
      </c>
      <c r="F6" t="s">
        <v>4880</v>
      </c>
      <c r="G6" t="s">
        <v>4881</v>
      </c>
      <c r="H6" t="s">
        <v>312</v>
      </c>
      <c r="I6" t="s">
        <v>765</v>
      </c>
      <c r="J6" t="s">
        <v>204</v>
      </c>
      <c r="K6" t="s">
        <v>204</v>
      </c>
      <c r="L6" s="109" t="s">
        <v>326</v>
      </c>
      <c r="M6" t="s">
        <v>450</v>
      </c>
      <c r="N6" t="s">
        <v>339</v>
      </c>
      <c r="O6" t="s">
        <v>4882</v>
      </c>
      <c r="P6" t="s">
        <v>1212</v>
      </c>
      <c r="Q6" t="s">
        <v>314</v>
      </c>
      <c r="R6" s="109"/>
      <c r="S6" t="s">
        <v>4883</v>
      </c>
      <c r="T6" s="161">
        <v>45565</v>
      </c>
      <c r="U6" s="131">
        <v>341</v>
      </c>
      <c r="V6" s="131">
        <v>1</v>
      </c>
      <c r="W6" s="131">
        <f t="shared" si="0"/>
        <v>0</v>
      </c>
      <c r="X6" s="131">
        <v>0</v>
      </c>
      <c r="Y6" s="109"/>
      <c r="Z6" s="109"/>
    </row>
    <row r="7" spans="1:26">
      <c r="A7" t="s">
        <v>1213</v>
      </c>
      <c r="B7" t="s">
        <v>1235</v>
      </c>
      <c r="C7" t="s">
        <v>4871</v>
      </c>
      <c r="D7" t="s">
        <v>4872</v>
      </c>
      <c r="E7" t="s">
        <v>309</v>
      </c>
      <c r="F7" t="s">
        <v>4884</v>
      </c>
      <c r="G7" t="s">
        <v>4885</v>
      </c>
      <c r="H7" t="s">
        <v>312</v>
      </c>
      <c r="I7" t="s">
        <v>765</v>
      </c>
      <c r="J7" t="s">
        <v>205</v>
      </c>
      <c r="K7" t="s">
        <v>204</v>
      </c>
      <c r="L7" s="109" t="s">
        <v>326</v>
      </c>
      <c r="M7" t="s">
        <v>541</v>
      </c>
      <c r="N7" t="s">
        <v>339</v>
      </c>
      <c r="O7" t="s">
        <v>4875</v>
      </c>
      <c r="P7" t="s">
        <v>1218</v>
      </c>
      <c r="Q7" t="s">
        <v>887</v>
      </c>
      <c r="R7" t="s">
        <v>889</v>
      </c>
      <c r="S7" t="s">
        <v>4886</v>
      </c>
      <c r="T7" s="161">
        <v>45565</v>
      </c>
      <c r="U7" s="131">
        <v>24143.83</v>
      </c>
      <c r="V7" s="131">
        <v>4.1524000000000001</v>
      </c>
      <c r="W7" s="131">
        <f t="shared" si="0"/>
        <v>63.187971966858612</v>
      </c>
      <c r="X7" s="131">
        <v>63.348999999999997</v>
      </c>
      <c r="Y7" s="132">
        <v>2.494E-2</v>
      </c>
      <c r="Z7" s="132">
        <v>9.2000000000000003E-4</v>
      </c>
    </row>
    <row r="8" spans="1:26">
      <c r="A8" t="s">
        <v>1213</v>
      </c>
      <c r="B8" t="s">
        <v>1238</v>
      </c>
      <c r="C8" t="s">
        <v>3330</v>
      </c>
      <c r="D8" t="s">
        <v>3331</v>
      </c>
      <c r="E8" t="s">
        <v>80</v>
      </c>
      <c r="F8" t="s">
        <v>4865</v>
      </c>
      <c r="G8" t="s">
        <v>4866</v>
      </c>
      <c r="H8" t="s">
        <v>312</v>
      </c>
      <c r="I8" t="s">
        <v>765</v>
      </c>
      <c r="J8" t="s">
        <v>204</v>
      </c>
      <c r="K8" t="s">
        <v>238</v>
      </c>
      <c r="L8" s="109" t="s">
        <v>326</v>
      </c>
      <c r="M8" t="s">
        <v>464</v>
      </c>
      <c r="N8" t="s">
        <v>339</v>
      </c>
      <c r="O8" t="s">
        <v>4867</v>
      </c>
      <c r="P8" t="s">
        <v>1212</v>
      </c>
      <c r="Q8" t="s">
        <v>314</v>
      </c>
      <c r="R8" t="s">
        <v>889</v>
      </c>
      <c r="S8" t="s">
        <v>4867</v>
      </c>
      <c r="T8" s="161">
        <v>45565</v>
      </c>
      <c r="U8" s="131">
        <v>280.54000000000002</v>
      </c>
      <c r="V8" s="131">
        <v>1</v>
      </c>
      <c r="W8" s="131">
        <f t="shared" si="0"/>
        <v>11255115.848007414</v>
      </c>
      <c r="X8" s="131">
        <v>31575.101999999999</v>
      </c>
      <c r="Y8" s="132">
        <v>0.22689999999999999</v>
      </c>
      <c r="Z8" s="132">
        <v>1.746E-2</v>
      </c>
    </row>
    <row r="9" spans="1:26">
      <c r="A9" t="s">
        <v>1213</v>
      </c>
      <c r="B9" t="s">
        <v>1238</v>
      </c>
      <c r="C9" t="s">
        <v>4887</v>
      </c>
      <c r="D9" t="s">
        <v>4888</v>
      </c>
      <c r="E9" t="s">
        <v>309</v>
      </c>
      <c r="F9" t="s">
        <v>4889</v>
      </c>
      <c r="G9" t="s">
        <v>4890</v>
      </c>
      <c r="H9" t="s">
        <v>312</v>
      </c>
      <c r="I9" t="s">
        <v>765</v>
      </c>
      <c r="J9" t="s">
        <v>204</v>
      </c>
      <c r="K9" t="s">
        <v>204</v>
      </c>
      <c r="L9" s="109" t="s">
        <v>326</v>
      </c>
      <c r="M9" t="s">
        <v>451</v>
      </c>
      <c r="N9" t="s">
        <v>339</v>
      </c>
      <c r="O9" t="s">
        <v>4891</v>
      </c>
      <c r="P9" t="s">
        <v>1212</v>
      </c>
      <c r="Q9" t="s">
        <v>887</v>
      </c>
      <c r="R9" t="s">
        <v>889</v>
      </c>
      <c r="S9" t="s">
        <v>4892</v>
      </c>
      <c r="T9" s="161">
        <v>45565</v>
      </c>
      <c r="U9" s="131">
        <v>66273</v>
      </c>
      <c r="V9" s="131">
        <v>1</v>
      </c>
      <c r="W9" s="131">
        <f t="shared" si="0"/>
        <v>37602.326739396136</v>
      </c>
      <c r="X9" s="131">
        <v>24920.19</v>
      </c>
      <c r="Y9" s="132">
        <v>0.17907999999999999</v>
      </c>
      <c r="Z9" s="132">
        <v>1.3780000000000001E-2</v>
      </c>
    </row>
    <row r="10" spans="1:26">
      <c r="A10" t="s">
        <v>1213</v>
      </c>
      <c r="B10" t="s">
        <v>1238</v>
      </c>
      <c r="C10" t="s">
        <v>3330</v>
      </c>
      <c r="D10" t="s">
        <v>3331</v>
      </c>
      <c r="E10" t="s">
        <v>80</v>
      </c>
      <c r="F10" t="s">
        <v>4868</v>
      </c>
      <c r="G10" t="s">
        <v>4869</v>
      </c>
      <c r="H10" t="s">
        <v>312</v>
      </c>
      <c r="I10" t="s">
        <v>765</v>
      </c>
      <c r="J10" t="s">
        <v>204</v>
      </c>
      <c r="K10" t="s">
        <v>238</v>
      </c>
      <c r="L10" s="109" t="s">
        <v>326</v>
      </c>
      <c r="M10" t="s">
        <v>464</v>
      </c>
      <c r="N10" t="s">
        <v>339</v>
      </c>
      <c r="O10" t="s">
        <v>4870</v>
      </c>
      <c r="P10" t="s">
        <v>1212</v>
      </c>
      <c r="Q10" t="s">
        <v>314</v>
      </c>
      <c r="R10" s="109"/>
      <c r="S10" t="s">
        <v>4870</v>
      </c>
      <c r="T10" s="161">
        <v>45565</v>
      </c>
      <c r="U10" s="131">
        <v>13923549</v>
      </c>
      <c r="V10" s="131">
        <v>1</v>
      </c>
      <c r="W10" s="131">
        <f t="shared" si="0"/>
        <v>100</v>
      </c>
      <c r="X10" s="131">
        <v>13923.549000000001</v>
      </c>
      <c r="Y10" s="132">
        <v>0.10006</v>
      </c>
      <c r="Z10" s="132">
        <v>7.7000000000000002E-3</v>
      </c>
    </row>
    <row r="11" spans="1:26">
      <c r="A11" t="s">
        <v>1213</v>
      </c>
      <c r="B11" t="s">
        <v>1238</v>
      </c>
      <c r="C11" t="s">
        <v>4893</v>
      </c>
      <c r="D11" t="s">
        <v>4894</v>
      </c>
      <c r="E11" t="s">
        <v>309</v>
      </c>
      <c r="F11" t="s">
        <v>4895</v>
      </c>
      <c r="G11" t="s">
        <v>4896</v>
      </c>
      <c r="H11" t="s">
        <v>312</v>
      </c>
      <c r="I11" t="s">
        <v>765</v>
      </c>
      <c r="J11" t="s">
        <v>204</v>
      </c>
      <c r="K11" t="s">
        <v>204</v>
      </c>
      <c r="L11" s="109" t="s">
        <v>326</v>
      </c>
      <c r="M11" t="s">
        <v>478</v>
      </c>
      <c r="N11" t="s">
        <v>339</v>
      </c>
      <c r="O11" t="s">
        <v>4897</v>
      </c>
      <c r="P11" t="s">
        <v>1216</v>
      </c>
      <c r="Q11" t="s">
        <v>887</v>
      </c>
      <c r="R11" t="s">
        <v>889</v>
      </c>
      <c r="S11" t="s">
        <v>4898</v>
      </c>
      <c r="T11" s="161">
        <v>45565</v>
      </c>
      <c r="U11" s="131">
        <v>781628.2</v>
      </c>
      <c r="V11" s="131">
        <v>3.71</v>
      </c>
      <c r="W11" s="131">
        <f t="shared" si="0"/>
        <v>376.95530289043592</v>
      </c>
      <c r="X11" s="131">
        <v>10931.102999999999</v>
      </c>
      <c r="Y11" s="132">
        <v>7.8549999999999995E-2</v>
      </c>
      <c r="Z11" s="132">
        <v>6.0400000000000002E-3</v>
      </c>
    </row>
    <row r="12" spans="1:26">
      <c r="A12" t="s">
        <v>1213</v>
      </c>
      <c r="B12" t="s">
        <v>1238</v>
      </c>
      <c r="C12" t="s">
        <v>4899</v>
      </c>
      <c r="D12" t="s">
        <v>4900</v>
      </c>
      <c r="E12" t="s">
        <v>309</v>
      </c>
      <c r="F12" t="s">
        <v>4901</v>
      </c>
      <c r="G12" t="s">
        <v>4902</v>
      </c>
      <c r="H12" t="s">
        <v>312</v>
      </c>
      <c r="I12" t="s">
        <v>765</v>
      </c>
      <c r="J12" t="s">
        <v>204</v>
      </c>
      <c r="K12" t="s">
        <v>204</v>
      </c>
      <c r="L12" s="109" t="s">
        <v>326</v>
      </c>
      <c r="M12" t="s">
        <v>464</v>
      </c>
      <c r="N12" t="s">
        <v>339</v>
      </c>
      <c r="O12" t="s">
        <v>4903</v>
      </c>
      <c r="P12" t="s">
        <v>1212</v>
      </c>
      <c r="Q12" t="s">
        <v>314</v>
      </c>
      <c r="R12" t="s">
        <v>889</v>
      </c>
      <c r="S12" t="s">
        <v>4737</v>
      </c>
      <c r="T12" s="161">
        <v>45565</v>
      </c>
      <c r="U12" s="131">
        <v>540.12</v>
      </c>
      <c r="V12" s="131">
        <v>1</v>
      </c>
      <c r="W12" s="131">
        <f t="shared" si="0"/>
        <v>1895088.1285640229</v>
      </c>
      <c r="X12" s="131">
        <v>10235.75</v>
      </c>
      <c r="Y12" s="132">
        <v>7.356E-2</v>
      </c>
      <c r="Z12" s="132">
        <v>5.6600000000000001E-3</v>
      </c>
    </row>
    <row r="13" spans="1:26">
      <c r="A13" t="s">
        <v>1213</v>
      </c>
      <c r="B13" t="s">
        <v>1238</v>
      </c>
      <c r="C13" t="s">
        <v>4904</v>
      </c>
      <c r="D13" t="s">
        <v>4905</v>
      </c>
      <c r="E13" t="s">
        <v>309</v>
      </c>
      <c r="F13" t="s">
        <v>4906</v>
      </c>
      <c r="G13" t="s">
        <v>4907</v>
      </c>
      <c r="H13" t="s">
        <v>312</v>
      </c>
      <c r="I13" t="s">
        <v>765</v>
      </c>
      <c r="J13" t="s">
        <v>204</v>
      </c>
      <c r="K13" t="s">
        <v>204</v>
      </c>
      <c r="L13" s="109" t="s">
        <v>326</v>
      </c>
      <c r="M13" t="s">
        <v>462</v>
      </c>
      <c r="N13" t="s">
        <v>339</v>
      </c>
      <c r="O13" t="s">
        <v>4908</v>
      </c>
      <c r="P13" t="s">
        <v>1216</v>
      </c>
      <c r="Q13" t="s">
        <v>314</v>
      </c>
      <c r="R13" t="s">
        <v>889</v>
      </c>
      <c r="S13" t="s">
        <v>4909</v>
      </c>
      <c r="T13" s="161">
        <v>45565</v>
      </c>
      <c r="U13" s="131">
        <v>3148</v>
      </c>
      <c r="V13" s="131">
        <v>3.71</v>
      </c>
      <c r="W13" s="131">
        <f t="shared" si="0"/>
        <v>69959.757104155477</v>
      </c>
      <c r="X13" s="131">
        <v>8170.6559999999999</v>
      </c>
      <c r="Y13" s="132">
        <v>5.8720000000000001E-2</v>
      </c>
      <c r="Z13" s="132">
        <v>4.5199999999999997E-3</v>
      </c>
    </row>
    <row r="14" spans="1:26">
      <c r="A14" t="s">
        <v>1213</v>
      </c>
      <c r="B14" t="s">
        <v>1238</v>
      </c>
      <c r="C14" t="s">
        <v>4910</v>
      </c>
      <c r="D14" t="s">
        <v>4911</v>
      </c>
      <c r="E14" t="s">
        <v>309</v>
      </c>
      <c r="F14" t="s">
        <v>4910</v>
      </c>
      <c r="G14" t="s">
        <v>4912</v>
      </c>
      <c r="H14" t="s">
        <v>312</v>
      </c>
      <c r="I14" t="s">
        <v>765</v>
      </c>
      <c r="J14" t="s">
        <v>204</v>
      </c>
      <c r="K14" t="s">
        <v>204</v>
      </c>
      <c r="L14" s="109" t="s">
        <v>326</v>
      </c>
      <c r="M14" t="s">
        <v>464</v>
      </c>
      <c r="N14" t="s">
        <v>339</v>
      </c>
      <c r="O14" t="s">
        <v>4913</v>
      </c>
      <c r="P14" t="s">
        <v>1212</v>
      </c>
      <c r="Q14" t="s">
        <v>887</v>
      </c>
      <c r="R14" t="s">
        <v>889</v>
      </c>
      <c r="S14" t="s">
        <v>4914</v>
      </c>
      <c r="T14" s="161">
        <v>45565</v>
      </c>
      <c r="U14" s="131">
        <v>140541</v>
      </c>
      <c r="V14" s="131">
        <v>1</v>
      </c>
      <c r="W14" s="131">
        <f t="shared" si="0"/>
        <v>5588.2475576522156</v>
      </c>
      <c r="X14" s="131">
        <v>7853.7790000000005</v>
      </c>
      <c r="Y14" s="132">
        <v>5.6439999999999997E-2</v>
      </c>
      <c r="Z14" s="132">
        <v>4.3400000000000001E-3</v>
      </c>
    </row>
    <row r="15" spans="1:26">
      <c r="A15" t="s">
        <v>1213</v>
      </c>
      <c r="B15" t="s">
        <v>1238</v>
      </c>
      <c r="C15" t="s">
        <v>4915</v>
      </c>
      <c r="D15" t="s">
        <v>4916</v>
      </c>
      <c r="E15" t="s">
        <v>309</v>
      </c>
      <c r="F15" t="s">
        <v>4917</v>
      </c>
      <c r="G15" t="s">
        <v>4918</v>
      </c>
      <c r="H15" t="s">
        <v>312</v>
      </c>
      <c r="I15" t="s">
        <v>765</v>
      </c>
      <c r="J15" t="s">
        <v>204</v>
      </c>
      <c r="K15" t="s">
        <v>204</v>
      </c>
      <c r="L15" s="109" t="s">
        <v>326</v>
      </c>
      <c r="M15" t="s">
        <v>446</v>
      </c>
      <c r="N15" t="s">
        <v>339</v>
      </c>
      <c r="O15" t="s">
        <v>4919</v>
      </c>
      <c r="P15" t="s">
        <v>1216</v>
      </c>
      <c r="Q15" t="s">
        <v>887</v>
      </c>
      <c r="R15" t="s">
        <v>889</v>
      </c>
      <c r="S15" t="s">
        <v>4920</v>
      </c>
      <c r="T15" s="161">
        <v>45565</v>
      </c>
      <c r="U15" s="131">
        <v>464817.15</v>
      </c>
      <c r="V15" s="131">
        <v>3.71</v>
      </c>
      <c r="W15" s="131">
        <f t="shared" si="0"/>
        <v>428.05691242261787</v>
      </c>
      <c r="X15" s="131">
        <v>7381.72</v>
      </c>
      <c r="Y15" s="132">
        <v>5.305E-2</v>
      </c>
      <c r="Z15" s="132">
        <v>4.0800000000000003E-3</v>
      </c>
    </row>
    <row r="16" spans="1:26">
      <c r="A16" t="s">
        <v>1213</v>
      </c>
      <c r="B16" t="s">
        <v>1238</v>
      </c>
      <c r="C16" t="s">
        <v>3330</v>
      </c>
      <c r="D16" t="s">
        <v>3331</v>
      </c>
      <c r="E16" t="s">
        <v>80</v>
      </c>
      <c r="F16" t="s">
        <v>4878</v>
      </c>
      <c r="G16" t="s">
        <v>4879</v>
      </c>
      <c r="H16" t="s">
        <v>312</v>
      </c>
      <c r="I16" t="s">
        <v>765</v>
      </c>
      <c r="J16" t="s">
        <v>204</v>
      </c>
      <c r="K16" t="s">
        <v>238</v>
      </c>
      <c r="L16" s="109" t="s">
        <v>326</v>
      </c>
      <c r="M16" t="s">
        <v>464</v>
      </c>
      <c r="N16" t="s">
        <v>339</v>
      </c>
      <c r="O16" t="s">
        <v>4867</v>
      </c>
      <c r="P16" t="s">
        <v>1212</v>
      </c>
      <c r="Q16" t="s">
        <v>314</v>
      </c>
      <c r="R16" t="s">
        <v>889</v>
      </c>
      <c r="S16" t="s">
        <v>4867</v>
      </c>
      <c r="T16" s="161">
        <v>45565</v>
      </c>
      <c r="U16" s="131">
        <v>6697648</v>
      </c>
      <c r="V16" s="131">
        <v>1</v>
      </c>
      <c r="W16" s="131">
        <f t="shared" si="0"/>
        <v>100</v>
      </c>
      <c r="X16" s="131">
        <v>6697.6480000000001</v>
      </c>
      <c r="Y16" s="132">
        <v>4.8129999999999999E-2</v>
      </c>
      <c r="Z16" s="132">
        <v>3.7000000000000002E-3</v>
      </c>
    </row>
    <row r="17" spans="1:26">
      <c r="A17" t="s">
        <v>1213</v>
      </c>
      <c r="B17" t="s">
        <v>1238</v>
      </c>
      <c r="C17" t="s">
        <v>4871</v>
      </c>
      <c r="D17" t="s">
        <v>4872</v>
      </c>
      <c r="E17" t="s">
        <v>309</v>
      </c>
      <c r="F17" t="s">
        <v>4873</v>
      </c>
      <c r="G17" t="s">
        <v>4874</v>
      </c>
      <c r="H17" t="s">
        <v>312</v>
      </c>
      <c r="I17" t="s">
        <v>765</v>
      </c>
      <c r="J17" t="s">
        <v>204</v>
      </c>
      <c r="K17" t="s">
        <v>204</v>
      </c>
      <c r="L17" s="109" t="s">
        <v>326</v>
      </c>
      <c r="M17" t="s">
        <v>461</v>
      </c>
      <c r="N17" t="s">
        <v>339</v>
      </c>
      <c r="O17" t="s">
        <v>4875</v>
      </c>
      <c r="P17" t="s">
        <v>1212</v>
      </c>
      <c r="Q17" t="s">
        <v>887</v>
      </c>
      <c r="R17" t="s">
        <v>889</v>
      </c>
      <c r="S17" t="s">
        <v>4876</v>
      </c>
      <c r="T17" s="161">
        <v>45565</v>
      </c>
      <c r="U17" s="131">
        <v>81</v>
      </c>
      <c r="V17" s="131">
        <v>1</v>
      </c>
      <c r="W17" s="131">
        <f t="shared" si="0"/>
        <v>7094028.3950617285</v>
      </c>
      <c r="X17" s="131">
        <v>5746.1629999999996</v>
      </c>
      <c r="Y17" s="132">
        <v>4.129E-2</v>
      </c>
      <c r="Z17" s="132">
        <v>3.1800000000000001E-3</v>
      </c>
    </row>
    <row r="18" spans="1:26">
      <c r="A18" t="s">
        <v>1213</v>
      </c>
      <c r="B18" t="s">
        <v>1238</v>
      </c>
      <c r="C18" t="s">
        <v>4904</v>
      </c>
      <c r="D18" t="s">
        <v>4905</v>
      </c>
      <c r="E18" t="s">
        <v>309</v>
      </c>
      <c r="F18" t="s">
        <v>4921</v>
      </c>
      <c r="G18" t="s">
        <v>4922</v>
      </c>
      <c r="H18" t="s">
        <v>312</v>
      </c>
      <c r="I18" t="s">
        <v>765</v>
      </c>
      <c r="J18" t="s">
        <v>204</v>
      </c>
      <c r="K18" t="s">
        <v>204</v>
      </c>
      <c r="L18" s="109" t="s">
        <v>326</v>
      </c>
      <c r="M18" t="s">
        <v>462</v>
      </c>
      <c r="N18" t="s">
        <v>339</v>
      </c>
      <c r="O18" t="s">
        <v>4923</v>
      </c>
      <c r="P18" t="s">
        <v>1216</v>
      </c>
      <c r="Q18" t="s">
        <v>314</v>
      </c>
      <c r="R18" t="s">
        <v>889</v>
      </c>
      <c r="S18" t="s">
        <v>4909</v>
      </c>
      <c r="T18" s="161">
        <v>45565</v>
      </c>
      <c r="U18" s="131">
        <v>1376</v>
      </c>
      <c r="V18" s="131">
        <v>3.71</v>
      </c>
      <c r="W18" s="131">
        <f t="shared" si="0"/>
        <v>72042.131573998617</v>
      </c>
      <c r="X18" s="131">
        <v>3677.7220000000002</v>
      </c>
      <c r="Y18" s="132">
        <v>2.6429999999999999E-2</v>
      </c>
      <c r="Z18" s="132">
        <v>2.0300000000000001E-3</v>
      </c>
    </row>
    <row r="19" spans="1:26">
      <c r="A19" t="s">
        <v>1213</v>
      </c>
      <c r="B19" t="s">
        <v>1238</v>
      </c>
      <c r="C19" t="s">
        <v>3789</v>
      </c>
      <c r="D19" t="s">
        <v>3790</v>
      </c>
      <c r="E19" t="s">
        <v>309</v>
      </c>
      <c r="F19" t="s">
        <v>4880</v>
      </c>
      <c r="G19" t="s">
        <v>4881</v>
      </c>
      <c r="H19" t="s">
        <v>312</v>
      </c>
      <c r="I19" t="s">
        <v>765</v>
      </c>
      <c r="J19" t="s">
        <v>204</v>
      </c>
      <c r="K19" t="s">
        <v>204</v>
      </c>
      <c r="L19" s="109" t="s">
        <v>326</v>
      </c>
      <c r="M19" t="s">
        <v>450</v>
      </c>
      <c r="N19" t="s">
        <v>339</v>
      </c>
      <c r="O19" t="s">
        <v>4882</v>
      </c>
      <c r="P19" t="s">
        <v>1212</v>
      </c>
      <c r="Q19" t="s">
        <v>314</v>
      </c>
      <c r="R19" s="109"/>
      <c r="S19" t="s">
        <v>4883</v>
      </c>
      <c r="T19" s="161">
        <v>45565</v>
      </c>
      <c r="U19" s="131">
        <v>9219</v>
      </c>
      <c r="V19" s="131">
        <v>1</v>
      </c>
      <c r="W19" s="131">
        <f t="shared" si="0"/>
        <v>0</v>
      </c>
      <c r="X19" s="131">
        <v>0</v>
      </c>
      <c r="Y19" s="109"/>
      <c r="Z19" s="109"/>
    </row>
    <row r="20" spans="1:26">
      <c r="A20" t="s">
        <v>1213</v>
      </c>
      <c r="B20" t="s">
        <v>1238</v>
      </c>
      <c r="C20" t="s">
        <v>4924</v>
      </c>
      <c r="D20" t="s">
        <v>4925</v>
      </c>
      <c r="E20" t="s">
        <v>80</v>
      </c>
      <c r="F20" t="s">
        <v>4924</v>
      </c>
      <c r="G20" t="s">
        <v>4926</v>
      </c>
      <c r="H20" t="s">
        <v>312</v>
      </c>
      <c r="I20" t="s">
        <v>765</v>
      </c>
      <c r="J20" t="s">
        <v>205</v>
      </c>
      <c r="K20" t="s">
        <v>238</v>
      </c>
      <c r="L20" s="109" t="s">
        <v>326</v>
      </c>
      <c r="M20" t="s">
        <v>541</v>
      </c>
      <c r="N20" t="s">
        <v>339</v>
      </c>
      <c r="O20" t="s">
        <v>4927</v>
      </c>
      <c r="P20" t="s">
        <v>1218</v>
      </c>
      <c r="Q20" t="s">
        <v>314</v>
      </c>
      <c r="R20" t="s">
        <v>889</v>
      </c>
      <c r="S20" t="s">
        <v>4877</v>
      </c>
      <c r="T20" s="161">
        <v>45565</v>
      </c>
      <c r="U20" s="131">
        <v>3489.31</v>
      </c>
      <c r="V20" s="131">
        <v>4.1524000000000001</v>
      </c>
      <c r="W20" s="131">
        <f t="shared" si="0"/>
        <v>28954.875147583261</v>
      </c>
      <c r="X20" s="131">
        <v>4195.2749999999996</v>
      </c>
      <c r="Y20" s="132">
        <v>3.015E-2</v>
      </c>
      <c r="Z20" s="132">
        <v>2.32E-3</v>
      </c>
    </row>
    <row r="21" spans="1:26" customFormat="1">
      <c r="A21" t="s">
        <v>1213</v>
      </c>
      <c r="B21" t="s">
        <v>1238</v>
      </c>
      <c r="C21" t="s">
        <v>4928</v>
      </c>
      <c r="D21" t="s">
        <v>4929</v>
      </c>
      <c r="E21" t="s">
        <v>80</v>
      </c>
      <c r="F21" t="s">
        <v>4928</v>
      </c>
      <c r="G21" t="s">
        <v>4930</v>
      </c>
      <c r="H21" t="s">
        <v>312</v>
      </c>
      <c r="I21" t="s">
        <v>765</v>
      </c>
      <c r="J21" t="s">
        <v>205</v>
      </c>
      <c r="K21" t="s">
        <v>281</v>
      </c>
      <c r="L21" s="109" t="s">
        <v>326</v>
      </c>
      <c r="M21" t="s">
        <v>465</v>
      </c>
      <c r="N21" t="s">
        <v>339</v>
      </c>
      <c r="O21" t="s">
        <v>4931</v>
      </c>
      <c r="P21" t="s">
        <v>1218</v>
      </c>
      <c r="Q21" t="s">
        <v>314</v>
      </c>
      <c r="R21" t="s">
        <v>889</v>
      </c>
      <c r="S21" t="s">
        <v>4932</v>
      </c>
      <c r="T21" s="161">
        <v>45565</v>
      </c>
      <c r="U21" s="131">
        <v>2804215</v>
      </c>
      <c r="V21" s="131">
        <v>4.1524000000000001</v>
      </c>
      <c r="W21" s="131">
        <f t="shared" si="0"/>
        <v>20.089722838259306</v>
      </c>
      <c r="X21" s="131">
        <v>2339.2919999999999</v>
      </c>
      <c r="Y21" s="132">
        <v>1.6809999999999999E-2</v>
      </c>
      <c r="Z21" s="132">
        <v>1.2899999999999999E-3</v>
      </c>
    </row>
    <row r="22" spans="1:26">
      <c r="A22" t="s">
        <v>1213</v>
      </c>
      <c r="B22" t="s">
        <v>1238</v>
      </c>
      <c r="C22" t="s">
        <v>4871</v>
      </c>
      <c r="D22" t="s">
        <v>4872</v>
      </c>
      <c r="E22" t="s">
        <v>309</v>
      </c>
      <c r="F22" t="s">
        <v>4884</v>
      </c>
      <c r="G22" t="s">
        <v>4885</v>
      </c>
      <c r="H22" t="s">
        <v>312</v>
      </c>
      <c r="I22" t="s">
        <v>765</v>
      </c>
      <c r="J22" t="s">
        <v>205</v>
      </c>
      <c r="K22" t="s">
        <v>204</v>
      </c>
      <c r="L22" s="109" t="s">
        <v>326</v>
      </c>
      <c r="M22" t="s">
        <v>541</v>
      </c>
      <c r="N22" t="s">
        <v>339</v>
      </c>
      <c r="O22" t="s">
        <v>4875</v>
      </c>
      <c r="P22" t="s">
        <v>1218</v>
      </c>
      <c r="Q22" t="s">
        <v>887</v>
      </c>
      <c r="R22" t="s">
        <v>889</v>
      </c>
      <c r="S22" t="s">
        <v>4886</v>
      </c>
      <c r="T22" s="161">
        <v>45565</v>
      </c>
      <c r="U22" s="131">
        <v>574620.93999999994</v>
      </c>
      <c r="V22" s="131">
        <v>4.1524000000000001</v>
      </c>
      <c r="W22" s="131">
        <f t="shared" si="0"/>
        <v>63.188290866818896</v>
      </c>
      <c r="X22" s="131">
        <v>1507.7080000000001</v>
      </c>
      <c r="Y22" s="132">
        <v>1.0829999999999999E-2</v>
      </c>
      <c r="Z22" s="132">
        <v>8.3000000000000001E-4</v>
      </c>
    </row>
    <row r="23" spans="1:26">
      <c r="A23" t="s">
        <v>1213</v>
      </c>
      <c r="B23" t="s">
        <v>1238</v>
      </c>
      <c r="C23" t="s">
        <v>4933</v>
      </c>
      <c r="D23" t="s">
        <v>4934</v>
      </c>
      <c r="E23" t="s">
        <v>309</v>
      </c>
      <c r="F23" t="s">
        <v>4935</v>
      </c>
      <c r="G23" t="s">
        <v>4936</v>
      </c>
      <c r="H23" t="s">
        <v>312</v>
      </c>
      <c r="I23" t="s">
        <v>765</v>
      </c>
      <c r="J23" t="s">
        <v>205</v>
      </c>
      <c r="K23" t="s">
        <v>204</v>
      </c>
      <c r="L23" s="109" t="s">
        <v>326</v>
      </c>
      <c r="M23" t="s">
        <v>464</v>
      </c>
      <c r="N23" t="s">
        <v>339</v>
      </c>
      <c r="O23" t="s">
        <v>4937</v>
      </c>
      <c r="P23" t="s">
        <v>1218</v>
      </c>
      <c r="Q23" t="s">
        <v>314</v>
      </c>
      <c r="S23" t="s">
        <v>4938</v>
      </c>
      <c r="T23" s="161">
        <v>45565</v>
      </c>
      <c r="U23" s="131">
        <v>500000</v>
      </c>
      <c r="V23" s="131">
        <v>4.1524000000000001</v>
      </c>
      <c r="W23" s="131">
        <f t="shared" si="0"/>
        <v>0</v>
      </c>
      <c r="X23" s="131">
        <v>0</v>
      </c>
    </row>
    <row r="24" spans="1:26">
      <c r="A24" t="s">
        <v>1213</v>
      </c>
      <c r="B24" t="s">
        <v>1241</v>
      </c>
      <c r="C24" t="s">
        <v>3330</v>
      </c>
      <c r="D24" t="s">
        <v>3331</v>
      </c>
      <c r="E24" t="s">
        <v>80</v>
      </c>
      <c r="F24" t="s">
        <v>4865</v>
      </c>
      <c r="G24" t="s">
        <v>4866</v>
      </c>
      <c r="H24" t="s">
        <v>312</v>
      </c>
      <c r="I24" t="s">
        <v>765</v>
      </c>
      <c r="J24" t="s">
        <v>204</v>
      </c>
      <c r="K24" t="s">
        <v>238</v>
      </c>
      <c r="L24" s="109" t="s">
        <v>326</v>
      </c>
      <c r="M24" t="s">
        <v>464</v>
      </c>
      <c r="N24" t="s">
        <v>339</v>
      </c>
      <c r="O24" t="s">
        <v>4867</v>
      </c>
      <c r="P24" t="s">
        <v>1212</v>
      </c>
      <c r="Q24" t="s">
        <v>314</v>
      </c>
      <c r="R24" t="s">
        <v>889</v>
      </c>
      <c r="S24" t="s">
        <v>4867</v>
      </c>
      <c r="T24" s="161">
        <v>45565</v>
      </c>
      <c r="U24" s="131">
        <v>41.2</v>
      </c>
      <c r="V24" s="131">
        <v>1</v>
      </c>
      <c r="W24" s="131">
        <f t="shared" si="0"/>
        <v>11255116.504854368</v>
      </c>
      <c r="X24" s="131">
        <v>4637.1080000000002</v>
      </c>
      <c r="Y24" s="132">
        <v>0.28865000000000002</v>
      </c>
      <c r="Z24" s="132">
        <v>1.223E-2</v>
      </c>
    </row>
    <row r="25" spans="1:26">
      <c r="A25" t="s">
        <v>1213</v>
      </c>
      <c r="B25" t="s">
        <v>1241</v>
      </c>
      <c r="C25" t="s">
        <v>4893</v>
      </c>
      <c r="D25" t="s">
        <v>4894</v>
      </c>
      <c r="E25" t="s">
        <v>309</v>
      </c>
      <c r="F25" t="s">
        <v>4895</v>
      </c>
      <c r="G25" t="s">
        <v>4896</v>
      </c>
      <c r="H25" t="s">
        <v>312</v>
      </c>
      <c r="I25" t="s">
        <v>765</v>
      </c>
      <c r="J25" t="s">
        <v>204</v>
      </c>
      <c r="K25" t="s">
        <v>204</v>
      </c>
      <c r="L25" s="109" t="s">
        <v>326</v>
      </c>
      <c r="M25" t="s">
        <v>478</v>
      </c>
      <c r="N25" t="s">
        <v>339</v>
      </c>
      <c r="O25" t="s">
        <v>4897</v>
      </c>
      <c r="P25" t="s">
        <v>1216</v>
      </c>
      <c r="Q25" t="s">
        <v>887</v>
      </c>
      <c r="R25" t="s">
        <v>889</v>
      </c>
      <c r="S25" t="s">
        <v>4898</v>
      </c>
      <c r="T25" s="161">
        <v>45565</v>
      </c>
      <c r="U25" s="131">
        <v>244336.33</v>
      </c>
      <c r="V25" s="131">
        <v>3.71</v>
      </c>
      <c r="W25" s="131">
        <f t="shared" si="0"/>
        <v>376.95532793513451</v>
      </c>
      <c r="X25" s="131">
        <v>3417.0540000000001</v>
      </c>
      <c r="Y25" s="132">
        <v>0.2127</v>
      </c>
      <c r="Z25" s="132">
        <v>9.0100000000000006E-3</v>
      </c>
    </row>
    <row r="26" spans="1:26">
      <c r="A26" t="s">
        <v>1213</v>
      </c>
      <c r="B26" t="s">
        <v>1241</v>
      </c>
      <c r="C26" t="s">
        <v>4899</v>
      </c>
      <c r="D26" t="s">
        <v>4900</v>
      </c>
      <c r="E26" t="s">
        <v>309</v>
      </c>
      <c r="F26" t="s">
        <v>4901</v>
      </c>
      <c r="G26" t="s">
        <v>4902</v>
      </c>
      <c r="H26" t="s">
        <v>312</v>
      </c>
      <c r="I26" t="s">
        <v>765</v>
      </c>
      <c r="J26" t="s">
        <v>204</v>
      </c>
      <c r="K26" t="s">
        <v>204</v>
      </c>
      <c r="L26" s="109" t="s">
        <v>326</v>
      </c>
      <c r="M26" t="s">
        <v>464</v>
      </c>
      <c r="N26" t="s">
        <v>339</v>
      </c>
      <c r="O26" t="s">
        <v>4903</v>
      </c>
      <c r="P26" t="s">
        <v>1212</v>
      </c>
      <c r="Q26" t="s">
        <v>314</v>
      </c>
      <c r="R26" t="s">
        <v>889</v>
      </c>
      <c r="S26" t="s">
        <v>4737</v>
      </c>
      <c r="T26" s="161">
        <v>45565</v>
      </c>
      <c r="U26" s="131">
        <v>123.09</v>
      </c>
      <c r="V26" s="131">
        <v>1</v>
      </c>
      <c r="W26" s="131">
        <f t="shared" si="0"/>
        <v>1895088.1468843934</v>
      </c>
      <c r="X26" s="131">
        <v>2332.6640000000002</v>
      </c>
      <c r="Y26" s="132">
        <v>0.1452</v>
      </c>
      <c r="Z26" s="132">
        <v>6.1500000000000001E-3</v>
      </c>
    </row>
    <row r="27" spans="1:26">
      <c r="A27" t="s">
        <v>1213</v>
      </c>
      <c r="B27" t="s">
        <v>1241</v>
      </c>
      <c r="C27" t="s">
        <v>3330</v>
      </c>
      <c r="D27" t="s">
        <v>3331</v>
      </c>
      <c r="E27" t="s">
        <v>80</v>
      </c>
      <c r="F27" t="s">
        <v>4868</v>
      </c>
      <c r="G27" t="s">
        <v>4869</v>
      </c>
      <c r="H27" t="s">
        <v>312</v>
      </c>
      <c r="I27" t="s">
        <v>765</v>
      </c>
      <c r="J27" t="s">
        <v>204</v>
      </c>
      <c r="K27" t="s">
        <v>238</v>
      </c>
      <c r="L27" s="109" t="s">
        <v>326</v>
      </c>
      <c r="M27" t="s">
        <v>464</v>
      </c>
      <c r="N27" t="s">
        <v>339</v>
      </c>
      <c r="O27" t="s">
        <v>4870</v>
      </c>
      <c r="P27" t="s">
        <v>1212</v>
      </c>
      <c r="Q27" t="s">
        <v>314</v>
      </c>
      <c r="S27" t="s">
        <v>4870</v>
      </c>
      <c r="T27" s="161">
        <v>45565</v>
      </c>
      <c r="U27" s="131">
        <v>2044839.2</v>
      </c>
      <c r="V27" s="131">
        <v>1</v>
      </c>
      <c r="W27" s="131">
        <f t="shared" si="0"/>
        <v>99.999990219279837</v>
      </c>
      <c r="X27" s="131">
        <v>2044.8389999999999</v>
      </c>
      <c r="Y27" s="132">
        <v>0.12728999999999999</v>
      </c>
      <c r="Z27" s="132">
        <v>5.3899999999999998E-3</v>
      </c>
    </row>
    <row r="28" spans="1:26">
      <c r="A28" t="s">
        <v>1213</v>
      </c>
      <c r="B28" t="s">
        <v>1241</v>
      </c>
      <c r="C28" t="s">
        <v>3330</v>
      </c>
      <c r="D28" t="s">
        <v>3331</v>
      </c>
      <c r="E28" t="s">
        <v>80</v>
      </c>
      <c r="F28" t="s">
        <v>4878</v>
      </c>
      <c r="G28" t="s">
        <v>4879</v>
      </c>
      <c r="H28" t="s">
        <v>312</v>
      </c>
      <c r="I28" t="s">
        <v>765</v>
      </c>
      <c r="J28" t="s">
        <v>204</v>
      </c>
      <c r="K28" t="s">
        <v>238</v>
      </c>
      <c r="L28" s="109" t="s">
        <v>326</v>
      </c>
      <c r="M28" t="s">
        <v>464</v>
      </c>
      <c r="N28" t="s">
        <v>339</v>
      </c>
      <c r="O28" t="s">
        <v>4867</v>
      </c>
      <c r="P28" t="s">
        <v>1212</v>
      </c>
      <c r="Q28" t="s">
        <v>314</v>
      </c>
      <c r="R28" t="s">
        <v>889</v>
      </c>
      <c r="S28" t="s">
        <v>4867</v>
      </c>
      <c r="T28" s="161">
        <v>45565</v>
      </c>
      <c r="U28" s="131">
        <v>983629</v>
      </c>
      <c r="V28" s="131">
        <v>1</v>
      </c>
      <c r="W28" s="131">
        <f t="shared" si="0"/>
        <v>100</v>
      </c>
      <c r="X28" s="131">
        <v>983.62900000000002</v>
      </c>
      <c r="Y28" s="132">
        <v>6.123E-2</v>
      </c>
      <c r="Z28" s="132">
        <v>2.5899999999999999E-3</v>
      </c>
    </row>
    <row r="29" spans="1:26">
      <c r="A29" t="s">
        <v>1213</v>
      </c>
      <c r="B29" t="s">
        <v>1241</v>
      </c>
      <c r="C29" t="s">
        <v>4871</v>
      </c>
      <c r="D29" t="s">
        <v>4872</v>
      </c>
      <c r="E29" t="s">
        <v>309</v>
      </c>
      <c r="F29" t="s">
        <v>4873</v>
      </c>
      <c r="G29" t="s">
        <v>4874</v>
      </c>
      <c r="H29" t="s">
        <v>312</v>
      </c>
      <c r="I29" t="s">
        <v>765</v>
      </c>
      <c r="J29" t="s">
        <v>204</v>
      </c>
      <c r="K29" t="s">
        <v>204</v>
      </c>
      <c r="L29" s="109" t="s">
        <v>326</v>
      </c>
      <c r="M29" t="s">
        <v>461</v>
      </c>
      <c r="N29" t="s">
        <v>339</v>
      </c>
      <c r="O29" t="s">
        <v>4875</v>
      </c>
      <c r="P29" t="s">
        <v>1212</v>
      </c>
      <c r="Q29" t="s">
        <v>887</v>
      </c>
      <c r="R29" t="s">
        <v>889</v>
      </c>
      <c r="S29" t="s">
        <v>4876</v>
      </c>
      <c r="T29" s="161">
        <v>45565</v>
      </c>
      <c r="U29" s="131">
        <v>12</v>
      </c>
      <c r="V29" s="131">
        <v>1</v>
      </c>
      <c r="W29" s="131">
        <f t="shared" si="0"/>
        <v>7094025</v>
      </c>
      <c r="X29" s="131">
        <v>851.28300000000002</v>
      </c>
      <c r="Y29" s="132">
        <v>5.2990000000000002E-2</v>
      </c>
      <c r="Z29" s="132">
        <v>2.2399999999999998E-3</v>
      </c>
    </row>
    <row r="30" spans="1:26">
      <c r="A30" t="s">
        <v>1213</v>
      </c>
      <c r="B30" t="s">
        <v>1241</v>
      </c>
      <c r="C30" t="s">
        <v>4924</v>
      </c>
      <c r="D30" t="s">
        <v>4925</v>
      </c>
      <c r="E30" t="s">
        <v>80</v>
      </c>
      <c r="F30" t="s">
        <v>4924</v>
      </c>
      <c r="G30" t="s">
        <v>4926</v>
      </c>
      <c r="H30" t="s">
        <v>312</v>
      </c>
      <c r="I30" t="s">
        <v>765</v>
      </c>
      <c r="J30" t="s">
        <v>205</v>
      </c>
      <c r="K30" t="s">
        <v>238</v>
      </c>
      <c r="L30" s="109" t="s">
        <v>326</v>
      </c>
      <c r="M30" t="s">
        <v>541</v>
      </c>
      <c r="N30" t="s">
        <v>339</v>
      </c>
      <c r="O30" t="s">
        <v>4927</v>
      </c>
      <c r="P30" t="s">
        <v>1218</v>
      </c>
      <c r="Q30" t="s">
        <v>314</v>
      </c>
      <c r="R30" t="s">
        <v>889</v>
      </c>
      <c r="S30" t="s">
        <v>4877</v>
      </c>
      <c r="T30" s="161">
        <v>45565</v>
      </c>
      <c r="U30" s="131">
        <v>1025.07</v>
      </c>
      <c r="V30" s="131">
        <v>4.1524000000000001</v>
      </c>
      <c r="W30" s="131">
        <f t="shared" si="0"/>
        <v>28954.864479772237</v>
      </c>
      <c r="X30" s="131">
        <v>1232.4639999999999</v>
      </c>
      <c r="Y30" s="132">
        <v>7.6719999999999997E-2</v>
      </c>
      <c r="Z30" s="132">
        <v>3.2499999999999999E-3</v>
      </c>
    </row>
    <row r="31" spans="1:26">
      <c r="A31" t="s">
        <v>1213</v>
      </c>
      <c r="B31" t="s">
        <v>1241</v>
      </c>
      <c r="C31" t="s">
        <v>4928</v>
      </c>
      <c r="D31" t="s">
        <v>4929</v>
      </c>
      <c r="E31" t="s">
        <v>80</v>
      </c>
      <c r="F31" t="s">
        <v>4928</v>
      </c>
      <c r="G31" t="s">
        <v>4930</v>
      </c>
      <c r="H31" t="s">
        <v>312</v>
      </c>
      <c r="I31" t="s">
        <v>765</v>
      </c>
      <c r="J31" t="s">
        <v>205</v>
      </c>
      <c r="K31" t="s">
        <v>281</v>
      </c>
      <c r="L31" s="109" t="s">
        <v>326</v>
      </c>
      <c r="M31" t="s">
        <v>465</v>
      </c>
      <c r="N31" t="s">
        <v>339</v>
      </c>
      <c r="O31" t="s">
        <v>4931</v>
      </c>
      <c r="P31" t="s">
        <v>1218</v>
      </c>
      <c r="Q31" t="s">
        <v>314</v>
      </c>
      <c r="R31" t="s">
        <v>889</v>
      </c>
      <c r="S31" t="s">
        <v>4932</v>
      </c>
      <c r="T31" s="161">
        <v>45565</v>
      </c>
      <c r="U31" s="131">
        <v>412820</v>
      </c>
      <c r="V31" s="131">
        <v>4.1524000000000001</v>
      </c>
      <c r="W31" s="131">
        <f t="shared" si="0"/>
        <v>20.089735853012385</v>
      </c>
      <c r="X31" s="131">
        <v>344.37700000000001</v>
      </c>
      <c r="Y31" s="132">
        <v>2.1440000000000001E-2</v>
      </c>
      <c r="Z31" s="132">
        <v>9.1E-4</v>
      </c>
    </row>
    <row r="32" spans="1:26">
      <c r="A32" t="s">
        <v>1213</v>
      </c>
      <c r="B32" t="s">
        <v>1241</v>
      </c>
      <c r="C32" t="s">
        <v>4871</v>
      </c>
      <c r="D32" t="s">
        <v>4872</v>
      </c>
      <c r="E32" t="s">
        <v>309</v>
      </c>
      <c r="F32" t="s">
        <v>4884</v>
      </c>
      <c r="G32" t="s">
        <v>4885</v>
      </c>
      <c r="H32" t="s">
        <v>312</v>
      </c>
      <c r="I32" t="s">
        <v>765</v>
      </c>
      <c r="J32" t="s">
        <v>205</v>
      </c>
      <c r="K32" t="s">
        <v>204</v>
      </c>
      <c r="L32" s="109" t="s">
        <v>326</v>
      </c>
      <c r="M32" t="s">
        <v>541</v>
      </c>
      <c r="N32" t="s">
        <v>339</v>
      </c>
      <c r="O32" t="s">
        <v>4875</v>
      </c>
      <c r="P32" t="s">
        <v>1218</v>
      </c>
      <c r="Q32" t="s">
        <v>887</v>
      </c>
      <c r="R32" t="s">
        <v>889</v>
      </c>
      <c r="S32" t="s">
        <v>4886</v>
      </c>
      <c r="T32" s="161">
        <v>45565</v>
      </c>
      <c r="U32" s="131">
        <v>84389.94</v>
      </c>
      <c r="V32" s="131">
        <v>4.1524000000000001</v>
      </c>
      <c r="W32" s="131">
        <f t="shared" si="0"/>
        <v>63.188317675626692</v>
      </c>
      <c r="X32" s="131">
        <v>221.42500000000001</v>
      </c>
      <c r="Y32" s="132">
        <v>1.3780000000000001E-2</v>
      </c>
      <c r="Z32" s="132">
        <v>5.8E-4</v>
      </c>
    </row>
    <row r="33" spans="1:26">
      <c r="A33" t="s">
        <v>1213</v>
      </c>
      <c r="B33" t="s">
        <v>1242</v>
      </c>
      <c r="C33" t="s">
        <v>4893</v>
      </c>
      <c r="D33" t="s">
        <v>4894</v>
      </c>
      <c r="E33" t="s">
        <v>309</v>
      </c>
      <c r="F33" t="s">
        <v>4895</v>
      </c>
      <c r="G33" t="s">
        <v>4896</v>
      </c>
      <c r="H33" t="s">
        <v>312</v>
      </c>
      <c r="I33" t="s">
        <v>765</v>
      </c>
      <c r="J33" t="s">
        <v>204</v>
      </c>
      <c r="K33" t="s">
        <v>204</v>
      </c>
      <c r="L33" s="109" t="s">
        <v>326</v>
      </c>
      <c r="M33" t="s">
        <v>478</v>
      </c>
      <c r="N33" t="s">
        <v>339</v>
      </c>
      <c r="O33" t="s">
        <v>4897</v>
      </c>
      <c r="P33" t="s">
        <v>1216</v>
      </c>
      <c r="Q33" t="s">
        <v>887</v>
      </c>
      <c r="R33" t="s">
        <v>889</v>
      </c>
      <c r="S33" t="s">
        <v>4898</v>
      </c>
      <c r="T33" s="161">
        <v>45565</v>
      </c>
      <c r="U33" s="131">
        <v>216634.68</v>
      </c>
      <c r="V33" s="131">
        <v>3.71</v>
      </c>
      <c r="W33" s="131">
        <f t="shared" si="0"/>
        <v>376.95529772285744</v>
      </c>
      <c r="X33" s="131">
        <v>3029.645</v>
      </c>
      <c r="Y33" s="132">
        <v>0.24636</v>
      </c>
      <c r="Z33" s="132">
        <v>7.92E-3</v>
      </c>
    </row>
    <row r="34" spans="1:26">
      <c r="A34" t="s">
        <v>1213</v>
      </c>
      <c r="B34" t="s">
        <v>1242</v>
      </c>
      <c r="C34" t="s">
        <v>4904</v>
      </c>
      <c r="D34" t="s">
        <v>4905</v>
      </c>
      <c r="E34" t="s">
        <v>309</v>
      </c>
      <c r="F34" t="s">
        <v>4906</v>
      </c>
      <c r="G34" t="s">
        <v>4907</v>
      </c>
      <c r="H34" t="s">
        <v>312</v>
      </c>
      <c r="I34" t="s">
        <v>765</v>
      </c>
      <c r="J34" t="s">
        <v>204</v>
      </c>
      <c r="K34" t="s">
        <v>204</v>
      </c>
      <c r="L34" s="109" t="s">
        <v>326</v>
      </c>
      <c r="M34" t="s">
        <v>462</v>
      </c>
      <c r="N34" t="s">
        <v>339</v>
      </c>
      <c r="O34" t="s">
        <v>4908</v>
      </c>
      <c r="P34" t="s">
        <v>1216</v>
      </c>
      <c r="Q34" t="s">
        <v>314</v>
      </c>
      <c r="R34" t="s">
        <v>889</v>
      </c>
      <c r="S34" t="s">
        <v>4909</v>
      </c>
      <c r="T34" s="161">
        <v>45565</v>
      </c>
      <c r="U34" s="131">
        <v>813</v>
      </c>
      <c r="V34" s="131">
        <v>3.71</v>
      </c>
      <c r="W34" s="131">
        <f t="shared" si="0"/>
        <v>69959.751079990587</v>
      </c>
      <c r="X34" s="131">
        <v>2110.1469999999999</v>
      </c>
      <c r="Y34" s="132">
        <v>0.17158999999999999</v>
      </c>
      <c r="Z34" s="132">
        <v>5.5100000000000001E-3</v>
      </c>
    </row>
    <row r="35" spans="1:26">
      <c r="A35" t="s">
        <v>1213</v>
      </c>
      <c r="B35" t="s">
        <v>1242</v>
      </c>
      <c r="C35" t="s">
        <v>4910</v>
      </c>
      <c r="D35" t="s">
        <v>4911</v>
      </c>
      <c r="E35" t="s">
        <v>309</v>
      </c>
      <c r="F35" t="s">
        <v>4910</v>
      </c>
      <c r="G35" t="s">
        <v>4912</v>
      </c>
      <c r="H35" t="s">
        <v>312</v>
      </c>
      <c r="I35" t="s">
        <v>765</v>
      </c>
      <c r="J35" t="s">
        <v>204</v>
      </c>
      <c r="K35" t="s">
        <v>204</v>
      </c>
      <c r="L35" s="109" t="s">
        <v>326</v>
      </c>
      <c r="M35" t="s">
        <v>464</v>
      </c>
      <c r="N35" t="s">
        <v>339</v>
      </c>
      <c r="O35" t="s">
        <v>4913</v>
      </c>
      <c r="P35" t="s">
        <v>1212</v>
      </c>
      <c r="Q35" t="s">
        <v>887</v>
      </c>
      <c r="R35" t="s">
        <v>889</v>
      </c>
      <c r="S35" t="s">
        <v>4914</v>
      </c>
      <c r="T35" s="161">
        <v>45565</v>
      </c>
      <c r="U35" s="131">
        <v>27000</v>
      </c>
      <c r="V35" s="131">
        <v>1</v>
      </c>
      <c r="W35" s="131">
        <f t="shared" si="0"/>
        <v>5588.2481481481482</v>
      </c>
      <c r="X35" s="131">
        <v>1508.827</v>
      </c>
      <c r="Y35" s="132">
        <v>0.12268999999999999</v>
      </c>
      <c r="Z35" s="132">
        <v>3.9399999999999999E-3</v>
      </c>
    </row>
    <row r="36" spans="1:26">
      <c r="A36" t="s">
        <v>1213</v>
      </c>
      <c r="B36" t="s">
        <v>1242</v>
      </c>
      <c r="C36" t="s">
        <v>4899</v>
      </c>
      <c r="D36" t="s">
        <v>4900</v>
      </c>
      <c r="E36" t="s">
        <v>309</v>
      </c>
      <c r="F36" t="s">
        <v>4901</v>
      </c>
      <c r="G36" t="s">
        <v>4902</v>
      </c>
      <c r="H36" t="s">
        <v>312</v>
      </c>
      <c r="I36" t="s">
        <v>765</v>
      </c>
      <c r="J36" t="s">
        <v>204</v>
      </c>
      <c r="K36" t="s">
        <v>204</v>
      </c>
      <c r="L36" s="109" t="s">
        <v>326</v>
      </c>
      <c r="M36" t="s">
        <v>464</v>
      </c>
      <c r="N36" t="s">
        <v>339</v>
      </c>
      <c r="O36" t="s">
        <v>4903</v>
      </c>
      <c r="P36" t="s">
        <v>1212</v>
      </c>
      <c r="Q36" t="s">
        <v>314</v>
      </c>
      <c r="R36" t="s">
        <v>889</v>
      </c>
      <c r="S36" t="s">
        <v>4737</v>
      </c>
      <c r="T36" s="161">
        <v>45565</v>
      </c>
      <c r="U36" s="131">
        <v>58.16</v>
      </c>
      <c r="V36" s="131">
        <v>1</v>
      </c>
      <c r="W36" s="131">
        <f t="shared" si="0"/>
        <v>1895087.689133425</v>
      </c>
      <c r="X36" s="131">
        <v>1102.183</v>
      </c>
      <c r="Y36" s="132">
        <v>8.9620000000000005E-2</v>
      </c>
      <c r="Z36" s="132">
        <v>2.8800000000000002E-3</v>
      </c>
    </row>
    <row r="37" spans="1:26">
      <c r="A37" t="s">
        <v>1213</v>
      </c>
      <c r="B37" t="s">
        <v>1242</v>
      </c>
      <c r="C37" t="s">
        <v>4904</v>
      </c>
      <c r="D37" t="s">
        <v>4905</v>
      </c>
      <c r="E37" t="s">
        <v>309</v>
      </c>
      <c r="F37" t="s">
        <v>4921</v>
      </c>
      <c r="G37" t="s">
        <v>4922</v>
      </c>
      <c r="H37" t="s">
        <v>312</v>
      </c>
      <c r="I37" t="s">
        <v>765</v>
      </c>
      <c r="J37" t="s">
        <v>204</v>
      </c>
      <c r="K37" t="s">
        <v>204</v>
      </c>
      <c r="L37" s="109" t="s">
        <v>326</v>
      </c>
      <c r="M37" t="s">
        <v>462</v>
      </c>
      <c r="N37" t="s">
        <v>339</v>
      </c>
      <c r="O37" t="s">
        <v>4923</v>
      </c>
      <c r="P37" t="s">
        <v>1216</v>
      </c>
      <c r="Q37" t="s">
        <v>314</v>
      </c>
      <c r="R37" t="s">
        <v>889</v>
      </c>
      <c r="S37" t="s">
        <v>4909</v>
      </c>
      <c r="T37" s="161">
        <v>45565</v>
      </c>
      <c r="U37" s="131">
        <v>355</v>
      </c>
      <c r="V37" s="131">
        <v>3.71</v>
      </c>
      <c r="W37" s="131">
        <f t="shared" si="0"/>
        <v>72042.139630234233</v>
      </c>
      <c r="X37" s="131">
        <v>948.83100000000002</v>
      </c>
      <c r="Y37" s="132">
        <v>7.7149999999999996E-2</v>
      </c>
      <c r="Z37" s="132">
        <v>2.48E-3</v>
      </c>
    </row>
    <row r="38" spans="1:26">
      <c r="A38" t="s">
        <v>1213</v>
      </c>
      <c r="B38" t="s">
        <v>1242</v>
      </c>
      <c r="C38" t="s">
        <v>3330</v>
      </c>
      <c r="D38" t="s">
        <v>3331</v>
      </c>
      <c r="E38" t="s">
        <v>80</v>
      </c>
      <c r="F38" t="s">
        <v>4865</v>
      </c>
      <c r="G38" t="s">
        <v>4866</v>
      </c>
      <c r="H38" t="s">
        <v>312</v>
      </c>
      <c r="I38" t="s">
        <v>765</v>
      </c>
      <c r="J38" t="s">
        <v>204</v>
      </c>
      <c r="K38" t="s">
        <v>238</v>
      </c>
      <c r="L38" s="109" t="s">
        <v>326</v>
      </c>
      <c r="M38" t="s">
        <v>464</v>
      </c>
      <c r="N38" t="s">
        <v>339</v>
      </c>
      <c r="O38" t="s">
        <v>4867</v>
      </c>
      <c r="P38" t="s">
        <v>1212</v>
      </c>
      <c r="Q38" t="s">
        <v>314</v>
      </c>
      <c r="R38" t="s">
        <v>889</v>
      </c>
      <c r="S38" t="s">
        <v>4867</v>
      </c>
      <c r="T38" s="161">
        <v>45565</v>
      </c>
      <c r="U38" s="131">
        <v>8.1300000000000008</v>
      </c>
      <c r="V38" s="131">
        <v>1</v>
      </c>
      <c r="W38" s="131">
        <f t="shared" si="0"/>
        <v>11255116.85116851</v>
      </c>
      <c r="X38" s="131">
        <v>915.04100000000005</v>
      </c>
      <c r="Y38" s="132">
        <v>7.4410000000000004E-2</v>
      </c>
      <c r="Z38" s="132">
        <v>2.3900000000000002E-3</v>
      </c>
    </row>
    <row r="39" spans="1:26">
      <c r="A39" t="s">
        <v>1213</v>
      </c>
      <c r="B39" t="s">
        <v>1242</v>
      </c>
      <c r="C39" t="s">
        <v>4915</v>
      </c>
      <c r="D39" t="s">
        <v>4916</v>
      </c>
      <c r="E39" t="s">
        <v>309</v>
      </c>
      <c r="F39" t="s">
        <v>4917</v>
      </c>
      <c r="G39" t="s">
        <v>4918</v>
      </c>
      <c r="H39" t="s">
        <v>312</v>
      </c>
      <c r="I39" t="s">
        <v>765</v>
      </c>
      <c r="J39" t="s">
        <v>204</v>
      </c>
      <c r="K39" t="s">
        <v>204</v>
      </c>
      <c r="L39" s="109" t="s">
        <v>326</v>
      </c>
      <c r="M39" t="s">
        <v>446</v>
      </c>
      <c r="N39" t="s">
        <v>339</v>
      </c>
      <c r="O39" t="s">
        <v>4919</v>
      </c>
      <c r="P39" t="s">
        <v>1216</v>
      </c>
      <c r="Q39" t="s">
        <v>887</v>
      </c>
      <c r="R39" t="s">
        <v>889</v>
      </c>
      <c r="S39" t="s">
        <v>4920</v>
      </c>
      <c r="T39" s="161">
        <v>45565</v>
      </c>
      <c r="U39" s="131">
        <v>48611.14</v>
      </c>
      <c r="V39" s="131">
        <v>3.71</v>
      </c>
      <c r="W39" s="131">
        <f t="shared" si="0"/>
        <v>428.0567960547798</v>
      </c>
      <c r="X39" s="131">
        <v>771.98900000000003</v>
      </c>
      <c r="Y39" s="132">
        <v>6.2770000000000006E-2</v>
      </c>
      <c r="Z39" s="132">
        <v>2.0200000000000001E-3</v>
      </c>
    </row>
    <row r="40" spans="1:26">
      <c r="A40" t="s">
        <v>1213</v>
      </c>
      <c r="B40" t="s">
        <v>1242</v>
      </c>
      <c r="C40" t="s">
        <v>3330</v>
      </c>
      <c r="D40" t="s">
        <v>3331</v>
      </c>
      <c r="E40" t="s">
        <v>80</v>
      </c>
      <c r="F40" t="s">
        <v>4868</v>
      </c>
      <c r="G40" t="s">
        <v>4869</v>
      </c>
      <c r="H40" t="s">
        <v>312</v>
      </c>
      <c r="I40" t="s">
        <v>765</v>
      </c>
      <c r="J40" t="s">
        <v>204</v>
      </c>
      <c r="K40" t="s">
        <v>238</v>
      </c>
      <c r="L40" s="109" t="s">
        <v>326</v>
      </c>
      <c r="M40" t="s">
        <v>464</v>
      </c>
      <c r="N40" t="s">
        <v>339</v>
      </c>
      <c r="O40" t="s">
        <v>4870</v>
      </c>
      <c r="P40" t="s">
        <v>1212</v>
      </c>
      <c r="Q40" t="s">
        <v>314</v>
      </c>
      <c r="S40" t="s">
        <v>4870</v>
      </c>
      <c r="T40" s="161">
        <v>45565</v>
      </c>
      <c r="U40" s="131">
        <v>403288.8</v>
      </c>
      <c r="V40" s="131">
        <v>1</v>
      </c>
      <c r="W40" s="131">
        <f t="shared" si="0"/>
        <v>100.00004959225251</v>
      </c>
      <c r="X40" s="131">
        <v>403.28899999999999</v>
      </c>
      <c r="Y40" s="132">
        <v>3.279E-2</v>
      </c>
      <c r="Z40" s="132">
        <v>1.0499999999999999E-3</v>
      </c>
    </row>
    <row r="41" spans="1:26">
      <c r="A41" t="s">
        <v>1213</v>
      </c>
      <c r="B41" t="s">
        <v>1242</v>
      </c>
      <c r="C41" t="s">
        <v>3330</v>
      </c>
      <c r="D41" t="s">
        <v>3331</v>
      </c>
      <c r="E41" t="s">
        <v>80</v>
      </c>
      <c r="F41" t="s">
        <v>4878</v>
      </c>
      <c r="G41" t="s">
        <v>4879</v>
      </c>
      <c r="H41" t="s">
        <v>312</v>
      </c>
      <c r="I41" t="s">
        <v>765</v>
      </c>
      <c r="J41" t="s">
        <v>204</v>
      </c>
      <c r="K41" t="s">
        <v>238</v>
      </c>
      <c r="L41" s="109" t="s">
        <v>326</v>
      </c>
      <c r="M41" t="s">
        <v>464</v>
      </c>
      <c r="N41" t="s">
        <v>339</v>
      </c>
      <c r="O41" t="s">
        <v>4867</v>
      </c>
      <c r="P41" t="s">
        <v>1212</v>
      </c>
      <c r="Q41" t="s">
        <v>314</v>
      </c>
      <c r="R41" t="s">
        <v>889</v>
      </c>
      <c r="S41" t="s">
        <v>4867</v>
      </c>
      <c r="T41" s="161">
        <v>45565</v>
      </c>
      <c r="U41" s="131">
        <v>193995</v>
      </c>
      <c r="V41" s="131">
        <v>1</v>
      </c>
      <c r="W41" s="131">
        <f t="shared" si="0"/>
        <v>100</v>
      </c>
      <c r="X41" s="131">
        <v>193.995</v>
      </c>
      <c r="Y41" s="132">
        <v>1.5769999999999999E-2</v>
      </c>
      <c r="Z41" s="132">
        <v>5.1000000000000004E-4</v>
      </c>
    </row>
    <row r="42" spans="1:26">
      <c r="A42" t="s">
        <v>1213</v>
      </c>
      <c r="B42" t="s">
        <v>1242</v>
      </c>
      <c r="C42" t="s">
        <v>4871</v>
      </c>
      <c r="D42" t="s">
        <v>4872</v>
      </c>
      <c r="E42" t="s">
        <v>309</v>
      </c>
      <c r="F42" t="s">
        <v>4873</v>
      </c>
      <c r="G42" t="s">
        <v>4874</v>
      </c>
      <c r="H42" t="s">
        <v>312</v>
      </c>
      <c r="I42" t="s">
        <v>765</v>
      </c>
      <c r="J42" t="s">
        <v>204</v>
      </c>
      <c r="K42" t="s">
        <v>204</v>
      </c>
      <c r="L42" s="109" t="s">
        <v>326</v>
      </c>
      <c r="M42" t="s">
        <v>461</v>
      </c>
      <c r="N42" t="s">
        <v>339</v>
      </c>
      <c r="O42" t="s">
        <v>4875</v>
      </c>
      <c r="P42" t="s">
        <v>1212</v>
      </c>
      <c r="Q42" t="s">
        <v>887</v>
      </c>
      <c r="R42" t="s">
        <v>889</v>
      </c>
      <c r="S42" t="s">
        <v>4876</v>
      </c>
      <c r="T42" s="161">
        <v>45565</v>
      </c>
      <c r="U42" s="131">
        <v>2</v>
      </c>
      <c r="V42" s="131">
        <v>1</v>
      </c>
      <c r="W42" s="131">
        <f t="shared" si="0"/>
        <v>7094050</v>
      </c>
      <c r="X42" s="131">
        <v>141.881</v>
      </c>
      <c r="Y42" s="132">
        <v>1.154E-2</v>
      </c>
      <c r="Z42" s="132">
        <v>3.6999999999999999E-4</v>
      </c>
    </row>
    <row r="43" spans="1:26">
      <c r="A43" t="s">
        <v>1213</v>
      </c>
      <c r="B43" t="s">
        <v>1242</v>
      </c>
      <c r="C43" t="s">
        <v>3789</v>
      </c>
      <c r="D43" t="s">
        <v>3790</v>
      </c>
      <c r="E43" t="s">
        <v>309</v>
      </c>
      <c r="F43" t="s">
        <v>4880</v>
      </c>
      <c r="G43" t="s">
        <v>4881</v>
      </c>
      <c r="H43" t="s">
        <v>312</v>
      </c>
      <c r="I43" t="s">
        <v>765</v>
      </c>
      <c r="J43" t="s">
        <v>204</v>
      </c>
      <c r="K43" t="s">
        <v>204</v>
      </c>
      <c r="L43" s="109" t="s">
        <v>326</v>
      </c>
      <c r="M43" t="s">
        <v>450</v>
      </c>
      <c r="N43" t="s">
        <v>339</v>
      </c>
      <c r="O43" t="s">
        <v>4882</v>
      </c>
      <c r="P43" t="s">
        <v>1212</v>
      </c>
      <c r="Q43" t="s">
        <v>314</v>
      </c>
      <c r="S43" t="s">
        <v>4883</v>
      </c>
      <c r="T43" s="161">
        <v>45565</v>
      </c>
      <c r="U43" s="131">
        <v>1068</v>
      </c>
      <c r="V43" s="131">
        <v>1</v>
      </c>
      <c r="W43" s="131">
        <f t="shared" si="0"/>
        <v>0</v>
      </c>
      <c r="X43" s="131">
        <v>0</v>
      </c>
    </row>
    <row r="44" spans="1:26">
      <c r="A44" t="s">
        <v>1213</v>
      </c>
      <c r="B44" t="s">
        <v>1242</v>
      </c>
      <c r="C44" t="s">
        <v>4924</v>
      </c>
      <c r="D44" t="s">
        <v>4925</v>
      </c>
      <c r="E44" t="s">
        <v>80</v>
      </c>
      <c r="F44" t="s">
        <v>4924</v>
      </c>
      <c r="G44" t="s">
        <v>4926</v>
      </c>
      <c r="H44" t="s">
        <v>312</v>
      </c>
      <c r="I44" t="s">
        <v>765</v>
      </c>
      <c r="J44" t="s">
        <v>205</v>
      </c>
      <c r="K44" t="s">
        <v>238</v>
      </c>
      <c r="L44" s="109" t="s">
        <v>326</v>
      </c>
      <c r="M44" t="s">
        <v>541</v>
      </c>
      <c r="N44" t="s">
        <v>339</v>
      </c>
      <c r="O44" t="s">
        <v>4927</v>
      </c>
      <c r="P44" t="s">
        <v>1218</v>
      </c>
      <c r="Q44" t="s">
        <v>314</v>
      </c>
      <c r="R44" t="s">
        <v>889</v>
      </c>
      <c r="S44" t="s">
        <v>4877</v>
      </c>
      <c r="T44" s="161">
        <v>45565</v>
      </c>
      <c r="U44" s="131">
        <v>938.4</v>
      </c>
      <c r="V44" s="131">
        <v>4.1524000000000001</v>
      </c>
      <c r="W44" s="131">
        <f t="shared" si="0"/>
        <v>28954.870376424627</v>
      </c>
      <c r="X44" s="131">
        <v>1128.259</v>
      </c>
      <c r="Y44" s="132">
        <v>9.1749999999999998E-2</v>
      </c>
      <c r="Z44" s="132">
        <v>2.9499999999999999E-3</v>
      </c>
    </row>
    <row r="45" spans="1:26">
      <c r="A45" t="s">
        <v>1213</v>
      </c>
      <c r="B45" t="s">
        <v>1242</v>
      </c>
      <c r="C45" t="s">
        <v>4871</v>
      </c>
      <c r="D45" t="s">
        <v>4872</v>
      </c>
      <c r="E45" t="s">
        <v>309</v>
      </c>
      <c r="F45" t="s">
        <v>4884</v>
      </c>
      <c r="G45" t="s">
        <v>4885</v>
      </c>
      <c r="H45" t="s">
        <v>312</v>
      </c>
      <c r="I45" t="s">
        <v>765</v>
      </c>
      <c r="J45" t="s">
        <v>205</v>
      </c>
      <c r="K45" t="s">
        <v>204</v>
      </c>
      <c r="L45" s="109" t="s">
        <v>326</v>
      </c>
      <c r="M45" t="s">
        <v>541</v>
      </c>
      <c r="N45" t="s">
        <v>339</v>
      </c>
      <c r="O45" t="s">
        <v>4875</v>
      </c>
      <c r="P45" t="s">
        <v>1218</v>
      </c>
      <c r="Q45" t="s">
        <v>887</v>
      </c>
      <c r="R45" t="s">
        <v>889</v>
      </c>
      <c r="S45" t="s">
        <v>4886</v>
      </c>
      <c r="T45" s="161">
        <v>45565</v>
      </c>
      <c r="U45" s="131">
        <v>16643.669999999998</v>
      </c>
      <c r="V45" s="131">
        <v>4.1524000000000001</v>
      </c>
      <c r="W45" s="131">
        <f t="shared" si="0"/>
        <v>63.18804419890246</v>
      </c>
      <c r="X45" s="131">
        <v>43.67</v>
      </c>
      <c r="Y45" s="132">
        <v>3.5500000000000002E-3</v>
      </c>
      <c r="Z45" s="132">
        <v>1.1E-4</v>
      </c>
    </row>
    <row r="46" spans="1:26">
      <c r="A46" t="s">
        <v>1213</v>
      </c>
      <c r="B46" t="s">
        <v>1243</v>
      </c>
      <c r="C46" t="s">
        <v>3330</v>
      </c>
      <c r="D46" t="s">
        <v>3331</v>
      </c>
      <c r="E46" t="s">
        <v>80</v>
      </c>
      <c r="F46" t="s">
        <v>4865</v>
      </c>
      <c r="G46" t="s">
        <v>4866</v>
      </c>
      <c r="H46" t="s">
        <v>312</v>
      </c>
      <c r="I46" t="s">
        <v>765</v>
      </c>
      <c r="J46" t="s">
        <v>204</v>
      </c>
      <c r="K46" t="s">
        <v>238</v>
      </c>
      <c r="L46" s="109" t="s">
        <v>326</v>
      </c>
      <c r="M46" t="s">
        <v>464</v>
      </c>
      <c r="N46" t="s">
        <v>339</v>
      </c>
      <c r="O46" t="s">
        <v>4867</v>
      </c>
      <c r="P46" t="s">
        <v>1212</v>
      </c>
      <c r="Q46" t="s">
        <v>314</v>
      </c>
      <c r="R46" t="s">
        <v>889</v>
      </c>
      <c r="S46" t="s">
        <v>4867</v>
      </c>
      <c r="T46" s="161">
        <v>45565</v>
      </c>
      <c r="U46" s="131">
        <v>326.37</v>
      </c>
      <c r="V46" s="131">
        <v>1</v>
      </c>
      <c r="W46" s="131">
        <f t="shared" si="0"/>
        <v>11255115.972669056</v>
      </c>
      <c r="X46" s="131">
        <v>36733.322</v>
      </c>
      <c r="Y46" s="132">
        <v>0.15686</v>
      </c>
      <c r="Z46" s="132">
        <v>8.2500000000000004E-3</v>
      </c>
    </row>
    <row r="47" spans="1:26">
      <c r="A47" t="s">
        <v>1213</v>
      </c>
      <c r="B47" t="s">
        <v>1243</v>
      </c>
      <c r="C47" t="s">
        <v>4893</v>
      </c>
      <c r="D47" t="s">
        <v>4894</v>
      </c>
      <c r="E47" t="s">
        <v>309</v>
      </c>
      <c r="F47" t="s">
        <v>4895</v>
      </c>
      <c r="G47" t="s">
        <v>4896</v>
      </c>
      <c r="H47" t="s">
        <v>312</v>
      </c>
      <c r="I47" t="s">
        <v>765</v>
      </c>
      <c r="J47" t="s">
        <v>204</v>
      </c>
      <c r="K47" t="s">
        <v>204</v>
      </c>
      <c r="L47" s="109" t="s">
        <v>326</v>
      </c>
      <c r="M47" t="s">
        <v>478</v>
      </c>
      <c r="N47" t="s">
        <v>339</v>
      </c>
      <c r="O47" t="s">
        <v>4897</v>
      </c>
      <c r="P47" t="s">
        <v>1216</v>
      </c>
      <c r="Q47" t="s">
        <v>887</v>
      </c>
      <c r="R47" t="s">
        <v>889</v>
      </c>
      <c r="S47" t="s">
        <v>4898</v>
      </c>
      <c r="T47" s="161">
        <v>45565</v>
      </c>
      <c r="U47" s="131">
        <v>2509302.5499999998</v>
      </c>
      <c r="V47" s="131">
        <v>3.71</v>
      </c>
      <c r="W47" s="131">
        <f t="shared" si="0"/>
        <v>376.95528255531474</v>
      </c>
      <c r="X47" s="131">
        <v>35092.699000000001</v>
      </c>
      <c r="Y47" s="132">
        <v>0.14985000000000001</v>
      </c>
      <c r="Z47" s="132">
        <v>7.8799999999999999E-3</v>
      </c>
    </row>
    <row r="48" spans="1:26">
      <c r="A48" t="s">
        <v>1213</v>
      </c>
      <c r="B48" t="s">
        <v>1243</v>
      </c>
      <c r="C48" t="s">
        <v>4904</v>
      </c>
      <c r="D48" t="s">
        <v>4905</v>
      </c>
      <c r="E48" t="s">
        <v>309</v>
      </c>
      <c r="F48" t="s">
        <v>4906</v>
      </c>
      <c r="G48" t="s">
        <v>4907</v>
      </c>
      <c r="H48" t="s">
        <v>312</v>
      </c>
      <c r="I48" t="s">
        <v>765</v>
      </c>
      <c r="J48" t="s">
        <v>204</v>
      </c>
      <c r="K48" t="s">
        <v>204</v>
      </c>
      <c r="L48" s="109" t="s">
        <v>326</v>
      </c>
      <c r="M48" t="s">
        <v>462</v>
      </c>
      <c r="N48" t="s">
        <v>339</v>
      </c>
      <c r="O48" t="s">
        <v>4908</v>
      </c>
      <c r="P48" t="s">
        <v>1216</v>
      </c>
      <c r="Q48" t="s">
        <v>314</v>
      </c>
      <c r="R48" t="s">
        <v>889</v>
      </c>
      <c r="S48" t="s">
        <v>4909</v>
      </c>
      <c r="T48" s="161">
        <v>45565</v>
      </c>
      <c r="U48" s="131">
        <v>9790</v>
      </c>
      <c r="V48" s="131">
        <v>3.71</v>
      </c>
      <c r="W48" s="131">
        <f t="shared" si="0"/>
        <v>69959.758706419729</v>
      </c>
      <c r="X48" s="131">
        <v>25410.013999999999</v>
      </c>
      <c r="Y48" s="132">
        <v>0.1085</v>
      </c>
      <c r="Z48" s="132">
        <v>5.7099999999999998E-3</v>
      </c>
    </row>
    <row r="49" spans="1:26">
      <c r="A49" t="s">
        <v>1213</v>
      </c>
      <c r="B49" t="s">
        <v>1243</v>
      </c>
      <c r="C49" t="s">
        <v>4899</v>
      </c>
      <c r="D49" t="s">
        <v>4900</v>
      </c>
      <c r="E49" t="s">
        <v>309</v>
      </c>
      <c r="F49" t="s">
        <v>4901</v>
      </c>
      <c r="G49" t="s">
        <v>4902</v>
      </c>
      <c r="H49" t="s">
        <v>312</v>
      </c>
      <c r="I49" t="s">
        <v>765</v>
      </c>
      <c r="J49" t="s">
        <v>204</v>
      </c>
      <c r="K49" t="s">
        <v>204</v>
      </c>
      <c r="L49" s="109" t="s">
        <v>326</v>
      </c>
      <c r="M49" t="s">
        <v>464</v>
      </c>
      <c r="N49" t="s">
        <v>339</v>
      </c>
      <c r="O49" t="s">
        <v>4903</v>
      </c>
      <c r="P49" t="s">
        <v>1212</v>
      </c>
      <c r="Q49" t="s">
        <v>314</v>
      </c>
      <c r="R49" t="s">
        <v>889</v>
      </c>
      <c r="S49" t="s">
        <v>4737</v>
      </c>
      <c r="T49" s="161">
        <v>45565</v>
      </c>
      <c r="U49" s="131">
        <v>1202.93</v>
      </c>
      <c r="V49" s="131">
        <v>1</v>
      </c>
      <c r="W49" s="131">
        <f t="shared" si="0"/>
        <v>1895088.1597432934</v>
      </c>
      <c r="X49" s="131">
        <v>22796.583999999999</v>
      </c>
      <c r="Y49" s="132">
        <v>9.7350000000000006E-2</v>
      </c>
      <c r="Z49" s="132">
        <v>5.1200000000000004E-3</v>
      </c>
    </row>
    <row r="50" spans="1:26">
      <c r="A50" t="s">
        <v>1213</v>
      </c>
      <c r="B50" t="s">
        <v>1243</v>
      </c>
      <c r="C50" t="s">
        <v>4910</v>
      </c>
      <c r="D50" t="s">
        <v>4911</v>
      </c>
      <c r="E50" t="s">
        <v>309</v>
      </c>
      <c r="F50" t="s">
        <v>4910</v>
      </c>
      <c r="G50" t="s">
        <v>4912</v>
      </c>
      <c r="H50" t="s">
        <v>312</v>
      </c>
      <c r="I50" t="s">
        <v>765</v>
      </c>
      <c r="J50" t="s">
        <v>204</v>
      </c>
      <c r="K50" t="s">
        <v>204</v>
      </c>
      <c r="L50" s="109" t="s">
        <v>326</v>
      </c>
      <c r="M50" t="s">
        <v>464</v>
      </c>
      <c r="N50" t="s">
        <v>339</v>
      </c>
      <c r="O50" t="s">
        <v>4913</v>
      </c>
      <c r="P50" t="s">
        <v>1212</v>
      </c>
      <c r="Q50" t="s">
        <v>887</v>
      </c>
      <c r="R50" t="s">
        <v>889</v>
      </c>
      <c r="S50" t="s">
        <v>4914</v>
      </c>
      <c r="T50" s="161">
        <v>45565</v>
      </c>
      <c r="U50" s="131">
        <v>349519</v>
      </c>
      <c r="V50" s="131">
        <v>1</v>
      </c>
      <c r="W50" s="131">
        <f t="shared" si="0"/>
        <v>5588.2478491870261</v>
      </c>
      <c r="X50" s="131">
        <v>19531.988000000001</v>
      </c>
      <c r="Y50" s="132">
        <v>8.3400000000000002E-2</v>
      </c>
      <c r="Z50" s="132">
        <v>4.3899999999999998E-3</v>
      </c>
    </row>
    <row r="51" spans="1:26">
      <c r="A51" t="s">
        <v>1213</v>
      </c>
      <c r="B51" t="s">
        <v>1243</v>
      </c>
      <c r="C51" t="s">
        <v>4887</v>
      </c>
      <c r="D51" t="s">
        <v>4888</v>
      </c>
      <c r="E51" t="s">
        <v>309</v>
      </c>
      <c r="F51" t="s">
        <v>4889</v>
      </c>
      <c r="G51" t="s">
        <v>4890</v>
      </c>
      <c r="H51" t="s">
        <v>312</v>
      </c>
      <c r="I51" t="s">
        <v>765</v>
      </c>
      <c r="J51" t="s">
        <v>204</v>
      </c>
      <c r="K51" t="s">
        <v>204</v>
      </c>
      <c r="L51" s="109" t="s">
        <v>326</v>
      </c>
      <c r="M51" t="s">
        <v>451</v>
      </c>
      <c r="N51" t="s">
        <v>339</v>
      </c>
      <c r="O51" t="s">
        <v>4891</v>
      </c>
      <c r="P51" t="s">
        <v>1212</v>
      </c>
      <c r="Q51" t="s">
        <v>887</v>
      </c>
      <c r="R51" t="s">
        <v>889</v>
      </c>
      <c r="S51" t="s">
        <v>4892</v>
      </c>
      <c r="T51" s="161">
        <v>45565</v>
      </c>
      <c r="U51" s="131">
        <v>49320</v>
      </c>
      <c r="V51" s="131">
        <v>1</v>
      </c>
      <c r="W51" s="131">
        <f t="shared" si="0"/>
        <v>37602.325628548257</v>
      </c>
      <c r="X51" s="131">
        <v>18545.467000000001</v>
      </c>
      <c r="Y51" s="132">
        <v>7.9189999999999997E-2</v>
      </c>
      <c r="Z51" s="132">
        <v>4.1700000000000001E-3</v>
      </c>
    </row>
    <row r="52" spans="1:26">
      <c r="A52" t="s">
        <v>1213</v>
      </c>
      <c r="B52" t="s">
        <v>1243</v>
      </c>
      <c r="C52" t="s">
        <v>4915</v>
      </c>
      <c r="D52" t="s">
        <v>4916</v>
      </c>
      <c r="E52" t="s">
        <v>309</v>
      </c>
      <c r="F52" t="s">
        <v>4917</v>
      </c>
      <c r="G52" t="s">
        <v>4918</v>
      </c>
      <c r="H52" t="s">
        <v>312</v>
      </c>
      <c r="I52" t="s">
        <v>765</v>
      </c>
      <c r="J52" t="s">
        <v>204</v>
      </c>
      <c r="K52" t="s">
        <v>204</v>
      </c>
      <c r="L52" s="109" t="s">
        <v>326</v>
      </c>
      <c r="M52" t="s">
        <v>446</v>
      </c>
      <c r="N52" t="s">
        <v>339</v>
      </c>
      <c r="O52" t="s">
        <v>4919</v>
      </c>
      <c r="P52" t="s">
        <v>1216</v>
      </c>
      <c r="Q52" t="s">
        <v>887</v>
      </c>
      <c r="R52" t="s">
        <v>889</v>
      </c>
      <c r="S52" t="s">
        <v>4920</v>
      </c>
      <c r="T52" s="161">
        <v>45565</v>
      </c>
      <c r="U52" s="131">
        <v>1022499.32</v>
      </c>
      <c r="V52" s="131">
        <v>3.71</v>
      </c>
      <c r="W52" s="131">
        <f t="shared" si="0"/>
        <v>428.05690821791842</v>
      </c>
      <c r="X52" s="131">
        <v>16238.221</v>
      </c>
      <c r="Y52" s="132">
        <v>6.9339999999999999E-2</v>
      </c>
      <c r="Z52" s="132">
        <v>3.65E-3</v>
      </c>
    </row>
    <row r="53" spans="1:26">
      <c r="A53" t="s">
        <v>1213</v>
      </c>
      <c r="B53" t="s">
        <v>1243</v>
      </c>
      <c r="C53" t="s">
        <v>3330</v>
      </c>
      <c r="D53" t="s">
        <v>3331</v>
      </c>
      <c r="E53" t="s">
        <v>80</v>
      </c>
      <c r="F53" t="s">
        <v>4868</v>
      </c>
      <c r="G53" t="s">
        <v>4869</v>
      </c>
      <c r="H53" t="s">
        <v>312</v>
      </c>
      <c r="I53" t="s">
        <v>765</v>
      </c>
      <c r="J53" t="s">
        <v>204</v>
      </c>
      <c r="K53" t="s">
        <v>238</v>
      </c>
      <c r="L53" s="109" t="s">
        <v>326</v>
      </c>
      <c r="M53" t="s">
        <v>464</v>
      </c>
      <c r="N53" t="s">
        <v>339</v>
      </c>
      <c r="O53" t="s">
        <v>4870</v>
      </c>
      <c r="P53" t="s">
        <v>1212</v>
      </c>
      <c r="Q53" t="s">
        <v>314</v>
      </c>
      <c r="S53" t="s">
        <v>4870</v>
      </c>
      <c r="T53" s="161">
        <v>45565</v>
      </c>
      <c r="U53" s="131">
        <v>16199067.4</v>
      </c>
      <c r="V53" s="131">
        <v>1</v>
      </c>
      <c r="W53" s="131">
        <f t="shared" si="0"/>
        <v>99.999997530722041</v>
      </c>
      <c r="X53" s="131">
        <v>16199.066999999999</v>
      </c>
      <c r="Y53" s="132">
        <v>6.9169999999999995E-2</v>
      </c>
      <c r="Z53" s="132">
        <v>3.64E-3</v>
      </c>
    </row>
    <row r="54" spans="1:26">
      <c r="A54" t="s">
        <v>1213</v>
      </c>
      <c r="B54" t="s">
        <v>1243</v>
      </c>
      <c r="C54" t="s">
        <v>4904</v>
      </c>
      <c r="D54" t="s">
        <v>4905</v>
      </c>
      <c r="E54" t="s">
        <v>309</v>
      </c>
      <c r="F54" t="s">
        <v>4921</v>
      </c>
      <c r="G54" t="s">
        <v>4922</v>
      </c>
      <c r="H54" t="s">
        <v>312</v>
      </c>
      <c r="I54" t="s">
        <v>765</v>
      </c>
      <c r="J54" t="s">
        <v>204</v>
      </c>
      <c r="K54" t="s">
        <v>204</v>
      </c>
      <c r="L54" s="109" t="s">
        <v>326</v>
      </c>
      <c r="M54" t="s">
        <v>462</v>
      </c>
      <c r="N54" t="s">
        <v>339</v>
      </c>
      <c r="O54" t="s">
        <v>4923</v>
      </c>
      <c r="P54" t="s">
        <v>1216</v>
      </c>
      <c r="Q54" t="s">
        <v>314</v>
      </c>
      <c r="R54" t="s">
        <v>889</v>
      </c>
      <c r="S54" t="s">
        <v>4909</v>
      </c>
      <c r="T54" s="161">
        <v>45565</v>
      </c>
      <c r="U54" s="131">
        <v>4279</v>
      </c>
      <c r="V54" s="131">
        <v>3.71</v>
      </c>
      <c r="W54" s="131">
        <f t="shared" si="0"/>
        <v>72042.136454029547</v>
      </c>
      <c r="X54" s="131">
        <v>11436.754000000001</v>
      </c>
      <c r="Y54" s="132">
        <v>4.8840000000000001E-2</v>
      </c>
      <c r="Z54" s="132">
        <v>2.5699999999999998E-3</v>
      </c>
    </row>
    <row r="55" spans="1:26">
      <c r="A55" t="s">
        <v>1213</v>
      </c>
      <c r="B55" t="s">
        <v>1243</v>
      </c>
      <c r="C55" t="s">
        <v>3330</v>
      </c>
      <c r="D55" t="s">
        <v>3331</v>
      </c>
      <c r="E55" t="s">
        <v>80</v>
      </c>
      <c r="F55" t="s">
        <v>4878</v>
      </c>
      <c r="G55" t="s">
        <v>4879</v>
      </c>
      <c r="H55" t="s">
        <v>312</v>
      </c>
      <c r="I55" t="s">
        <v>765</v>
      </c>
      <c r="J55" t="s">
        <v>204</v>
      </c>
      <c r="K55" t="s">
        <v>238</v>
      </c>
      <c r="L55" s="109" t="s">
        <v>326</v>
      </c>
      <c r="M55" t="s">
        <v>464</v>
      </c>
      <c r="N55" t="s">
        <v>339</v>
      </c>
      <c r="O55" t="s">
        <v>4867</v>
      </c>
      <c r="P55" t="s">
        <v>1212</v>
      </c>
      <c r="Q55" t="s">
        <v>314</v>
      </c>
      <c r="R55" t="s">
        <v>889</v>
      </c>
      <c r="S55" t="s">
        <v>4867</v>
      </c>
      <c r="T55" s="161">
        <v>45565</v>
      </c>
      <c r="U55" s="131">
        <v>7792242</v>
      </c>
      <c r="V55" s="131">
        <v>1</v>
      </c>
      <c r="W55" s="131">
        <f t="shared" si="0"/>
        <v>100</v>
      </c>
      <c r="X55" s="131">
        <v>7792.2420000000002</v>
      </c>
      <c r="Y55" s="132">
        <v>3.3270000000000001E-2</v>
      </c>
      <c r="Z55" s="132">
        <v>1.75E-3</v>
      </c>
    </row>
    <row r="56" spans="1:26">
      <c r="A56" t="s">
        <v>1213</v>
      </c>
      <c r="B56" t="s">
        <v>1243</v>
      </c>
      <c r="C56" t="s">
        <v>4871</v>
      </c>
      <c r="D56" t="s">
        <v>4872</v>
      </c>
      <c r="E56" t="s">
        <v>309</v>
      </c>
      <c r="F56" t="s">
        <v>4873</v>
      </c>
      <c r="G56" t="s">
        <v>4874</v>
      </c>
      <c r="H56" t="s">
        <v>312</v>
      </c>
      <c r="I56" t="s">
        <v>765</v>
      </c>
      <c r="J56" t="s">
        <v>204</v>
      </c>
      <c r="K56" t="s">
        <v>204</v>
      </c>
      <c r="L56" s="109" t="s">
        <v>326</v>
      </c>
      <c r="M56" t="s">
        <v>461</v>
      </c>
      <c r="N56" t="s">
        <v>339</v>
      </c>
      <c r="O56" t="s">
        <v>4875</v>
      </c>
      <c r="P56" t="s">
        <v>1212</v>
      </c>
      <c r="Q56" t="s">
        <v>887</v>
      </c>
      <c r="R56" t="s">
        <v>889</v>
      </c>
      <c r="S56" t="s">
        <v>4876</v>
      </c>
      <c r="T56" s="161">
        <v>45565</v>
      </c>
      <c r="U56" s="131">
        <v>93</v>
      </c>
      <c r="V56" s="131">
        <v>1</v>
      </c>
      <c r="W56" s="131">
        <f t="shared" si="0"/>
        <v>7094027.9569892474</v>
      </c>
      <c r="X56" s="131">
        <v>6597.4459999999999</v>
      </c>
      <c r="Y56" s="132">
        <v>2.8170000000000001E-2</v>
      </c>
      <c r="Z56" s="132">
        <v>1.48E-3</v>
      </c>
    </row>
    <row r="57" spans="1:26">
      <c r="A57" t="s">
        <v>1213</v>
      </c>
      <c r="B57" t="s">
        <v>1243</v>
      </c>
      <c r="C57" t="s">
        <v>3789</v>
      </c>
      <c r="D57" t="s">
        <v>3790</v>
      </c>
      <c r="E57" t="s">
        <v>309</v>
      </c>
      <c r="F57" t="s">
        <v>4880</v>
      </c>
      <c r="G57" t="s">
        <v>4881</v>
      </c>
      <c r="H57" t="s">
        <v>312</v>
      </c>
      <c r="I57" t="s">
        <v>765</v>
      </c>
      <c r="J57" t="s">
        <v>204</v>
      </c>
      <c r="K57" t="s">
        <v>204</v>
      </c>
      <c r="L57" s="109" t="s">
        <v>326</v>
      </c>
      <c r="M57" t="s">
        <v>450</v>
      </c>
      <c r="N57" t="s">
        <v>339</v>
      </c>
      <c r="O57" t="s">
        <v>4882</v>
      </c>
      <c r="P57" t="s">
        <v>1212</v>
      </c>
      <c r="Q57" t="s">
        <v>314</v>
      </c>
      <c r="S57" t="s">
        <v>4883</v>
      </c>
      <c r="T57" s="161">
        <v>45565</v>
      </c>
      <c r="U57" s="131">
        <v>12724</v>
      </c>
      <c r="V57" s="131">
        <v>1</v>
      </c>
      <c r="W57" s="131">
        <f t="shared" si="0"/>
        <v>0</v>
      </c>
      <c r="X57" s="131">
        <v>0</v>
      </c>
    </row>
    <row r="58" spans="1:26">
      <c r="A58" t="s">
        <v>1213</v>
      </c>
      <c r="B58" t="s">
        <v>1243</v>
      </c>
      <c r="C58" t="s">
        <v>4924</v>
      </c>
      <c r="D58" t="s">
        <v>4925</v>
      </c>
      <c r="E58" t="s">
        <v>80</v>
      </c>
      <c r="F58" t="s">
        <v>4924</v>
      </c>
      <c r="G58" t="s">
        <v>4926</v>
      </c>
      <c r="H58" t="s">
        <v>312</v>
      </c>
      <c r="I58" t="s">
        <v>765</v>
      </c>
      <c r="J58" t="s">
        <v>205</v>
      </c>
      <c r="K58" t="s">
        <v>238</v>
      </c>
      <c r="L58" s="109" t="s">
        <v>326</v>
      </c>
      <c r="M58" t="s">
        <v>541</v>
      </c>
      <c r="N58" t="s">
        <v>339</v>
      </c>
      <c r="O58" t="s">
        <v>4927</v>
      </c>
      <c r="P58" t="s">
        <v>1218</v>
      </c>
      <c r="Q58" t="s">
        <v>314</v>
      </c>
      <c r="R58" t="s">
        <v>889</v>
      </c>
      <c r="S58" t="s">
        <v>4877</v>
      </c>
      <c r="T58" s="161">
        <v>45565</v>
      </c>
      <c r="U58" s="131">
        <v>11070.21</v>
      </c>
      <c r="V58" s="131">
        <v>4.1524000000000001</v>
      </c>
      <c r="W58" s="131">
        <f t="shared" si="0"/>
        <v>28954.871588419683</v>
      </c>
      <c r="X58" s="131">
        <v>13309.958000000001</v>
      </c>
      <c r="Y58" s="132">
        <v>5.6840000000000002E-2</v>
      </c>
      <c r="Z58" s="132">
        <v>2.99E-3</v>
      </c>
    </row>
    <row r="59" spans="1:26">
      <c r="A59" t="s">
        <v>1213</v>
      </c>
      <c r="B59" t="s">
        <v>1243</v>
      </c>
      <c r="C59" t="s">
        <v>4928</v>
      </c>
      <c r="D59" t="s">
        <v>4929</v>
      </c>
      <c r="E59" t="s">
        <v>80</v>
      </c>
      <c r="F59" t="s">
        <v>4928</v>
      </c>
      <c r="G59" t="s">
        <v>4930</v>
      </c>
      <c r="H59" t="s">
        <v>312</v>
      </c>
      <c r="I59" t="s">
        <v>765</v>
      </c>
      <c r="J59" t="s">
        <v>205</v>
      </c>
      <c r="K59" t="s">
        <v>281</v>
      </c>
      <c r="L59" s="109" t="s">
        <v>326</v>
      </c>
      <c r="M59" t="s">
        <v>465</v>
      </c>
      <c r="N59" t="s">
        <v>339</v>
      </c>
      <c r="O59" t="s">
        <v>4931</v>
      </c>
      <c r="P59" t="s">
        <v>1218</v>
      </c>
      <c r="Q59" t="s">
        <v>314</v>
      </c>
      <c r="R59" t="s">
        <v>889</v>
      </c>
      <c r="S59" t="s">
        <v>4932</v>
      </c>
      <c r="T59" s="161">
        <v>45565</v>
      </c>
      <c r="U59" s="131">
        <v>3291045</v>
      </c>
      <c r="V59" s="131">
        <v>4.1524000000000001</v>
      </c>
      <c r="W59" s="131">
        <f t="shared" si="0"/>
        <v>20.089720371194971</v>
      </c>
      <c r="X59" s="131">
        <v>2745.4079999999999</v>
      </c>
      <c r="Y59" s="132">
        <v>1.172E-2</v>
      </c>
      <c r="Z59" s="132">
        <v>6.2E-4</v>
      </c>
    </row>
    <row r="60" spans="1:26">
      <c r="A60" t="s">
        <v>1213</v>
      </c>
      <c r="B60" t="s">
        <v>1243</v>
      </c>
      <c r="C60" t="s">
        <v>4871</v>
      </c>
      <c r="D60" t="s">
        <v>4872</v>
      </c>
      <c r="E60" t="s">
        <v>309</v>
      </c>
      <c r="F60" t="s">
        <v>4884</v>
      </c>
      <c r="G60" t="s">
        <v>4885</v>
      </c>
      <c r="H60" t="s">
        <v>312</v>
      </c>
      <c r="I60" t="s">
        <v>765</v>
      </c>
      <c r="J60" t="s">
        <v>205</v>
      </c>
      <c r="K60" t="s">
        <v>204</v>
      </c>
      <c r="L60" s="109" t="s">
        <v>326</v>
      </c>
      <c r="M60" t="s">
        <v>541</v>
      </c>
      <c r="N60" t="s">
        <v>339</v>
      </c>
      <c r="O60" t="s">
        <v>4875</v>
      </c>
      <c r="P60" t="s">
        <v>1218</v>
      </c>
      <c r="Q60" t="s">
        <v>887</v>
      </c>
      <c r="R60" t="s">
        <v>889</v>
      </c>
      <c r="S60" t="s">
        <v>4886</v>
      </c>
      <c r="T60" s="161">
        <v>45565</v>
      </c>
      <c r="U60" s="131">
        <v>668530.97</v>
      </c>
      <c r="V60" s="131">
        <v>4.1524000000000001</v>
      </c>
      <c r="W60" s="131">
        <f t="shared" si="0"/>
        <v>63.188290527573557</v>
      </c>
      <c r="X60" s="131">
        <v>1754.1120000000001</v>
      </c>
      <c r="Y60" s="132">
        <v>7.4900000000000001E-3</v>
      </c>
      <c r="Z60" s="132">
        <v>3.8999999999999999E-4</v>
      </c>
    </row>
    <row r="61" spans="1:26">
      <c r="A61" t="s">
        <v>1213</v>
      </c>
      <c r="B61" t="s">
        <v>1251</v>
      </c>
      <c r="C61" t="s">
        <v>3330</v>
      </c>
      <c r="D61" t="s">
        <v>3331</v>
      </c>
      <c r="E61" t="s">
        <v>80</v>
      </c>
      <c r="F61" t="s">
        <v>4865</v>
      </c>
      <c r="G61" t="s">
        <v>4866</v>
      </c>
      <c r="H61" t="s">
        <v>312</v>
      </c>
      <c r="I61" t="s">
        <v>765</v>
      </c>
      <c r="J61" t="s">
        <v>204</v>
      </c>
      <c r="K61" t="s">
        <v>238</v>
      </c>
      <c r="L61" s="109" t="s">
        <v>326</v>
      </c>
      <c r="M61" t="s">
        <v>464</v>
      </c>
      <c r="N61" t="s">
        <v>339</v>
      </c>
      <c r="O61" t="s">
        <v>4867</v>
      </c>
      <c r="P61" t="s">
        <v>1212</v>
      </c>
      <c r="Q61" t="s">
        <v>314</v>
      </c>
      <c r="R61" t="s">
        <v>889</v>
      </c>
      <c r="S61" t="s">
        <v>4867</v>
      </c>
      <c r="T61" s="161">
        <v>45565</v>
      </c>
      <c r="U61" s="131">
        <v>39.19</v>
      </c>
      <c r="V61" s="131">
        <v>1</v>
      </c>
      <c r="W61" s="131">
        <f t="shared" si="0"/>
        <v>11255116.101046186</v>
      </c>
      <c r="X61" s="131">
        <v>4410.88</v>
      </c>
      <c r="Y61" s="132">
        <v>0.23354</v>
      </c>
      <c r="Z61" s="132">
        <v>1.5900000000000001E-2</v>
      </c>
    </row>
    <row r="62" spans="1:26">
      <c r="A62" t="s">
        <v>1213</v>
      </c>
      <c r="B62" t="s">
        <v>1251</v>
      </c>
      <c r="C62" t="s">
        <v>4893</v>
      </c>
      <c r="D62" t="s">
        <v>4894</v>
      </c>
      <c r="E62" t="s">
        <v>309</v>
      </c>
      <c r="F62" t="s">
        <v>4895</v>
      </c>
      <c r="G62" t="s">
        <v>4896</v>
      </c>
      <c r="H62" t="s">
        <v>312</v>
      </c>
      <c r="I62" t="s">
        <v>765</v>
      </c>
      <c r="J62" t="s">
        <v>204</v>
      </c>
      <c r="K62" t="s">
        <v>204</v>
      </c>
      <c r="L62" s="109" t="s">
        <v>326</v>
      </c>
      <c r="M62" t="s">
        <v>478</v>
      </c>
      <c r="N62" t="s">
        <v>339</v>
      </c>
      <c r="O62" t="s">
        <v>4897</v>
      </c>
      <c r="P62" t="s">
        <v>1216</v>
      </c>
      <c r="Q62" t="s">
        <v>887</v>
      </c>
      <c r="R62" t="s">
        <v>889</v>
      </c>
      <c r="S62" t="s">
        <v>4898</v>
      </c>
      <c r="T62" s="161">
        <v>45565</v>
      </c>
      <c r="U62" s="131">
        <v>156242.23999999999</v>
      </c>
      <c r="V62" s="131">
        <v>3.71</v>
      </c>
      <c r="W62" s="131">
        <f t="shared" si="0"/>
        <v>376.95526018960004</v>
      </c>
      <c r="X62" s="131">
        <v>2185.0540000000001</v>
      </c>
      <c r="Y62" s="132">
        <v>0.11569</v>
      </c>
      <c r="Z62" s="132">
        <v>7.8799999999999999E-3</v>
      </c>
    </row>
    <row r="63" spans="1:26">
      <c r="A63" t="s">
        <v>1213</v>
      </c>
      <c r="B63" t="s">
        <v>1251</v>
      </c>
      <c r="C63" t="s">
        <v>4899</v>
      </c>
      <c r="D63" t="s">
        <v>4900</v>
      </c>
      <c r="E63" t="s">
        <v>309</v>
      </c>
      <c r="F63" t="s">
        <v>4901</v>
      </c>
      <c r="G63" t="s">
        <v>4902</v>
      </c>
      <c r="H63" t="s">
        <v>312</v>
      </c>
      <c r="I63" t="s">
        <v>765</v>
      </c>
      <c r="J63" t="s">
        <v>204</v>
      </c>
      <c r="K63" t="s">
        <v>204</v>
      </c>
      <c r="L63" s="109" t="s">
        <v>326</v>
      </c>
      <c r="M63" t="s">
        <v>464</v>
      </c>
      <c r="N63" t="s">
        <v>339</v>
      </c>
      <c r="O63" t="s">
        <v>4903</v>
      </c>
      <c r="P63" t="s">
        <v>1212</v>
      </c>
      <c r="Q63" t="s">
        <v>314</v>
      </c>
      <c r="R63" t="s">
        <v>889</v>
      </c>
      <c r="S63" t="s">
        <v>4737</v>
      </c>
      <c r="T63" s="161">
        <v>45565</v>
      </c>
      <c r="U63" s="131">
        <v>112.71</v>
      </c>
      <c r="V63" s="131">
        <v>1</v>
      </c>
      <c r="W63" s="131">
        <f t="shared" si="0"/>
        <v>1895088.2796557536</v>
      </c>
      <c r="X63" s="131">
        <v>2135.9540000000002</v>
      </c>
      <c r="Y63" s="132">
        <v>0.11309</v>
      </c>
      <c r="Z63" s="132">
        <v>7.7000000000000002E-3</v>
      </c>
    </row>
    <row r="64" spans="1:26">
      <c r="A64" t="s">
        <v>1213</v>
      </c>
      <c r="B64" t="s">
        <v>1251</v>
      </c>
      <c r="C64" t="s">
        <v>3330</v>
      </c>
      <c r="D64" t="s">
        <v>3331</v>
      </c>
      <c r="E64" t="s">
        <v>80</v>
      </c>
      <c r="F64" t="s">
        <v>4868</v>
      </c>
      <c r="G64" t="s">
        <v>4869</v>
      </c>
      <c r="H64" t="s">
        <v>312</v>
      </c>
      <c r="I64" t="s">
        <v>765</v>
      </c>
      <c r="J64" t="s">
        <v>204</v>
      </c>
      <c r="K64" t="s">
        <v>238</v>
      </c>
      <c r="L64" s="109" t="s">
        <v>326</v>
      </c>
      <c r="M64" t="s">
        <v>464</v>
      </c>
      <c r="N64" t="s">
        <v>339</v>
      </c>
      <c r="O64" t="s">
        <v>4870</v>
      </c>
      <c r="P64" t="s">
        <v>1212</v>
      </c>
      <c r="Q64" t="s">
        <v>314</v>
      </c>
      <c r="S64" t="s">
        <v>4870</v>
      </c>
      <c r="T64" s="161">
        <v>45565</v>
      </c>
      <c r="U64" s="131">
        <v>1945071.8</v>
      </c>
      <c r="V64" s="131">
        <v>1</v>
      </c>
      <c r="W64" s="131">
        <f t="shared" si="0"/>
        <v>100.00001028239677</v>
      </c>
      <c r="X64" s="131">
        <v>1945.0719999999999</v>
      </c>
      <c r="Y64" s="132">
        <v>0.10298</v>
      </c>
      <c r="Z64" s="132">
        <v>7.0099999999999997E-3</v>
      </c>
    </row>
    <row r="65" spans="1:26">
      <c r="A65" t="s">
        <v>1213</v>
      </c>
      <c r="B65" t="s">
        <v>1251</v>
      </c>
      <c r="C65" t="s">
        <v>4904</v>
      </c>
      <c r="D65" t="s">
        <v>4905</v>
      </c>
      <c r="E65" t="s">
        <v>309</v>
      </c>
      <c r="F65" t="s">
        <v>4906</v>
      </c>
      <c r="G65" t="s">
        <v>4907</v>
      </c>
      <c r="H65" t="s">
        <v>312</v>
      </c>
      <c r="I65" t="s">
        <v>765</v>
      </c>
      <c r="J65" t="s">
        <v>204</v>
      </c>
      <c r="K65" t="s">
        <v>204</v>
      </c>
      <c r="L65" s="109" t="s">
        <v>326</v>
      </c>
      <c r="M65" t="s">
        <v>462</v>
      </c>
      <c r="N65" t="s">
        <v>339</v>
      </c>
      <c r="O65" t="s">
        <v>4908</v>
      </c>
      <c r="P65" t="s">
        <v>1216</v>
      </c>
      <c r="Q65" t="s">
        <v>314</v>
      </c>
      <c r="R65" t="s">
        <v>889</v>
      </c>
      <c r="S65" t="s">
        <v>4909</v>
      </c>
      <c r="T65" s="161">
        <v>45565</v>
      </c>
      <c r="U65" s="131">
        <v>648</v>
      </c>
      <c r="V65" s="131">
        <v>3.71</v>
      </c>
      <c r="W65" s="131">
        <f t="shared" si="0"/>
        <v>69959.776712921375</v>
      </c>
      <c r="X65" s="131">
        <v>1681.8889999999999</v>
      </c>
      <c r="Y65" s="132">
        <v>8.9050000000000004E-2</v>
      </c>
      <c r="Z65" s="132">
        <v>6.0600000000000003E-3</v>
      </c>
    </row>
    <row r="66" spans="1:26">
      <c r="A66" t="s">
        <v>1213</v>
      </c>
      <c r="B66" t="s">
        <v>1251</v>
      </c>
      <c r="C66" t="s">
        <v>4915</v>
      </c>
      <c r="D66" t="s">
        <v>4916</v>
      </c>
      <c r="E66" t="s">
        <v>309</v>
      </c>
      <c r="F66" t="s">
        <v>4917</v>
      </c>
      <c r="G66" t="s">
        <v>4918</v>
      </c>
      <c r="H66" t="s">
        <v>312</v>
      </c>
      <c r="I66" t="s">
        <v>765</v>
      </c>
      <c r="J66" t="s">
        <v>204</v>
      </c>
      <c r="K66" t="s">
        <v>204</v>
      </c>
      <c r="L66" s="109" t="s">
        <v>326</v>
      </c>
      <c r="M66" t="s">
        <v>446</v>
      </c>
      <c r="N66" t="s">
        <v>339</v>
      </c>
      <c r="O66" t="s">
        <v>4919</v>
      </c>
      <c r="P66" t="s">
        <v>1216</v>
      </c>
      <c r="Q66" t="s">
        <v>887</v>
      </c>
      <c r="R66" t="s">
        <v>889</v>
      </c>
      <c r="S66" t="s">
        <v>4920</v>
      </c>
      <c r="T66" s="161">
        <v>45565</v>
      </c>
      <c r="U66" s="131">
        <v>96380.08</v>
      </c>
      <c r="V66" s="131">
        <v>3.71</v>
      </c>
      <c r="W66" s="131">
        <f t="shared" si="0"/>
        <v>428.05676808486407</v>
      </c>
      <c r="X66" s="131">
        <v>1530.6030000000001</v>
      </c>
      <c r="Y66" s="132">
        <v>8.1040000000000001E-2</v>
      </c>
      <c r="Z66" s="132">
        <v>5.5199999999999997E-3</v>
      </c>
    </row>
    <row r="67" spans="1:26">
      <c r="A67" t="s">
        <v>1213</v>
      </c>
      <c r="B67" t="s">
        <v>1251</v>
      </c>
      <c r="C67" t="s">
        <v>4910</v>
      </c>
      <c r="D67" t="s">
        <v>4911</v>
      </c>
      <c r="E67" t="s">
        <v>309</v>
      </c>
      <c r="F67" t="s">
        <v>4910</v>
      </c>
      <c r="G67" t="s">
        <v>4912</v>
      </c>
      <c r="H67" t="s">
        <v>312</v>
      </c>
      <c r="I67" t="s">
        <v>765</v>
      </c>
      <c r="J67" t="s">
        <v>204</v>
      </c>
      <c r="K67" t="s">
        <v>204</v>
      </c>
      <c r="L67" s="109" t="s">
        <v>326</v>
      </c>
      <c r="M67" t="s">
        <v>464</v>
      </c>
      <c r="N67" t="s">
        <v>339</v>
      </c>
      <c r="O67" t="s">
        <v>4913</v>
      </c>
      <c r="P67" t="s">
        <v>1212</v>
      </c>
      <c r="Q67" t="s">
        <v>887</v>
      </c>
      <c r="R67" t="s">
        <v>889</v>
      </c>
      <c r="S67" t="s">
        <v>4914</v>
      </c>
      <c r="T67" s="161">
        <v>45565</v>
      </c>
      <c r="U67" s="131">
        <v>20289</v>
      </c>
      <c r="V67" s="131">
        <v>1</v>
      </c>
      <c r="W67" s="131">
        <f t="shared" ref="W67:W116" si="1">X67*1000/U67/V67*100</f>
        <v>5588.2497905268865</v>
      </c>
      <c r="X67" s="131">
        <v>1133.8</v>
      </c>
      <c r="Y67" s="132">
        <v>6.003E-2</v>
      </c>
      <c r="Z67" s="132">
        <v>4.0899999999999999E-3</v>
      </c>
    </row>
    <row r="68" spans="1:26">
      <c r="A68" t="s">
        <v>1213</v>
      </c>
      <c r="B68" t="s">
        <v>1251</v>
      </c>
      <c r="C68" t="s">
        <v>3330</v>
      </c>
      <c r="D68" t="s">
        <v>3331</v>
      </c>
      <c r="E68" t="s">
        <v>80</v>
      </c>
      <c r="F68" t="s">
        <v>4878</v>
      </c>
      <c r="G68" t="s">
        <v>4879</v>
      </c>
      <c r="H68" t="s">
        <v>312</v>
      </c>
      <c r="I68" t="s">
        <v>765</v>
      </c>
      <c r="J68" t="s">
        <v>204</v>
      </c>
      <c r="K68" t="s">
        <v>238</v>
      </c>
      <c r="L68" s="109" t="s">
        <v>326</v>
      </c>
      <c r="M68" t="s">
        <v>464</v>
      </c>
      <c r="N68" t="s">
        <v>339</v>
      </c>
      <c r="O68" t="s">
        <v>4867</v>
      </c>
      <c r="P68" t="s">
        <v>1212</v>
      </c>
      <c r="Q68" t="s">
        <v>314</v>
      </c>
      <c r="R68" t="s">
        <v>889</v>
      </c>
      <c r="S68" t="s">
        <v>4867</v>
      </c>
      <c r="T68" s="161">
        <v>45565</v>
      </c>
      <c r="U68" s="131">
        <v>935638</v>
      </c>
      <c r="V68" s="131">
        <v>1</v>
      </c>
      <c r="W68" s="131">
        <f t="shared" si="1"/>
        <v>100</v>
      </c>
      <c r="X68" s="131">
        <v>935.63800000000003</v>
      </c>
      <c r="Y68" s="132">
        <v>4.9540000000000001E-2</v>
      </c>
      <c r="Z68" s="132">
        <v>3.3700000000000002E-3</v>
      </c>
    </row>
    <row r="69" spans="1:26">
      <c r="A69" t="s">
        <v>1213</v>
      </c>
      <c r="B69" t="s">
        <v>1251</v>
      </c>
      <c r="C69" t="s">
        <v>4871</v>
      </c>
      <c r="D69" t="s">
        <v>4872</v>
      </c>
      <c r="E69" t="s">
        <v>309</v>
      </c>
      <c r="F69" t="s">
        <v>4873</v>
      </c>
      <c r="G69" t="s">
        <v>4874</v>
      </c>
      <c r="H69" t="s">
        <v>312</v>
      </c>
      <c r="I69" t="s">
        <v>765</v>
      </c>
      <c r="J69" t="s">
        <v>204</v>
      </c>
      <c r="K69" t="s">
        <v>204</v>
      </c>
      <c r="L69" s="109" t="s">
        <v>326</v>
      </c>
      <c r="M69" t="s">
        <v>461</v>
      </c>
      <c r="N69" t="s">
        <v>339</v>
      </c>
      <c r="O69" t="s">
        <v>4875</v>
      </c>
      <c r="P69" t="s">
        <v>1212</v>
      </c>
      <c r="Q69" t="s">
        <v>887</v>
      </c>
      <c r="R69" t="s">
        <v>889</v>
      </c>
      <c r="S69" t="s">
        <v>4876</v>
      </c>
      <c r="T69" s="161">
        <v>45565</v>
      </c>
      <c r="U69" s="131">
        <v>11</v>
      </c>
      <c r="V69" s="131">
        <v>1</v>
      </c>
      <c r="W69" s="131">
        <f t="shared" si="1"/>
        <v>7094027.2727272725</v>
      </c>
      <c r="X69" s="131">
        <v>780.34299999999996</v>
      </c>
      <c r="Y69" s="132">
        <v>4.1320000000000003E-2</v>
      </c>
      <c r="Z69" s="132">
        <v>2.81E-3</v>
      </c>
    </row>
    <row r="70" spans="1:26">
      <c r="A70" t="s">
        <v>1213</v>
      </c>
      <c r="B70" t="s">
        <v>1251</v>
      </c>
      <c r="C70" t="s">
        <v>4904</v>
      </c>
      <c r="D70" t="s">
        <v>4905</v>
      </c>
      <c r="E70" t="s">
        <v>309</v>
      </c>
      <c r="F70" t="s">
        <v>4921</v>
      </c>
      <c r="G70" t="s">
        <v>4922</v>
      </c>
      <c r="H70" t="s">
        <v>312</v>
      </c>
      <c r="I70" t="s">
        <v>765</v>
      </c>
      <c r="J70" t="s">
        <v>204</v>
      </c>
      <c r="K70" t="s">
        <v>204</v>
      </c>
      <c r="L70" s="109" t="s">
        <v>326</v>
      </c>
      <c r="M70" t="s">
        <v>462</v>
      </c>
      <c r="N70" t="s">
        <v>339</v>
      </c>
      <c r="O70" t="s">
        <v>4923</v>
      </c>
      <c r="P70" t="s">
        <v>1216</v>
      </c>
      <c r="Q70" t="s">
        <v>314</v>
      </c>
      <c r="R70" t="s">
        <v>889</v>
      </c>
      <c r="S70" t="s">
        <v>4909</v>
      </c>
      <c r="T70" s="161">
        <v>45565</v>
      </c>
      <c r="U70" s="131">
        <v>283</v>
      </c>
      <c r="V70" s="131">
        <v>3.71</v>
      </c>
      <c r="W70" s="131">
        <f t="shared" si="1"/>
        <v>72042.136142409494</v>
      </c>
      <c r="X70" s="131">
        <v>756.39200000000005</v>
      </c>
      <c r="Y70" s="132">
        <v>4.0050000000000002E-2</v>
      </c>
      <c r="Z70" s="132">
        <v>2.7299999999999998E-3</v>
      </c>
    </row>
    <row r="71" spans="1:26">
      <c r="A71" t="s">
        <v>1213</v>
      </c>
      <c r="B71" t="s">
        <v>1251</v>
      </c>
      <c r="C71" t="s">
        <v>3789</v>
      </c>
      <c r="D71" t="s">
        <v>3790</v>
      </c>
      <c r="E71" t="s">
        <v>309</v>
      </c>
      <c r="F71" t="s">
        <v>4880</v>
      </c>
      <c r="G71" t="s">
        <v>4881</v>
      </c>
      <c r="H71" t="s">
        <v>312</v>
      </c>
      <c r="I71" t="s">
        <v>765</v>
      </c>
      <c r="J71" t="s">
        <v>204</v>
      </c>
      <c r="K71" t="s">
        <v>204</v>
      </c>
      <c r="L71" s="109" t="s">
        <v>326</v>
      </c>
      <c r="M71" t="s">
        <v>450</v>
      </c>
      <c r="N71" t="s">
        <v>339</v>
      </c>
      <c r="O71" t="s">
        <v>4882</v>
      </c>
      <c r="P71" t="s">
        <v>1212</v>
      </c>
      <c r="Q71" t="s">
        <v>314</v>
      </c>
      <c r="S71" t="s">
        <v>4883</v>
      </c>
      <c r="T71" s="161">
        <v>45565</v>
      </c>
      <c r="U71" s="131">
        <v>1476</v>
      </c>
      <c r="V71" s="131">
        <v>1</v>
      </c>
      <c r="W71" s="131">
        <f t="shared" si="1"/>
        <v>0</v>
      </c>
      <c r="X71" s="131">
        <v>0</v>
      </c>
    </row>
    <row r="72" spans="1:26">
      <c r="A72" t="s">
        <v>1213</v>
      </c>
      <c r="B72" t="s">
        <v>1251</v>
      </c>
      <c r="C72" t="s">
        <v>4924</v>
      </c>
      <c r="D72" t="s">
        <v>4925</v>
      </c>
      <c r="E72" t="s">
        <v>80</v>
      </c>
      <c r="F72" t="s">
        <v>4924</v>
      </c>
      <c r="G72" t="s">
        <v>4926</v>
      </c>
      <c r="H72" t="s">
        <v>312</v>
      </c>
      <c r="I72" t="s">
        <v>765</v>
      </c>
      <c r="J72" t="s">
        <v>205</v>
      </c>
      <c r="K72" t="s">
        <v>238</v>
      </c>
      <c r="L72" s="109" t="s">
        <v>326</v>
      </c>
      <c r="M72" t="s">
        <v>541</v>
      </c>
      <c r="N72" t="s">
        <v>339</v>
      </c>
      <c r="O72" t="s">
        <v>4927</v>
      </c>
      <c r="P72" t="s">
        <v>1218</v>
      </c>
      <c r="Q72" t="s">
        <v>314</v>
      </c>
      <c r="R72" t="s">
        <v>889</v>
      </c>
      <c r="S72" t="s">
        <v>4877</v>
      </c>
      <c r="T72" s="161">
        <v>45565</v>
      </c>
      <c r="U72" s="131">
        <v>695.76</v>
      </c>
      <c r="V72" s="131">
        <v>4.1524000000000001</v>
      </c>
      <c r="W72" s="131">
        <f t="shared" si="1"/>
        <v>28954.88488562762</v>
      </c>
      <c r="X72" s="131">
        <v>836.52800000000002</v>
      </c>
      <c r="Y72" s="132">
        <v>4.4290000000000003E-2</v>
      </c>
      <c r="Z72" s="132">
        <v>3.0200000000000001E-3</v>
      </c>
    </row>
    <row r="73" spans="1:26">
      <c r="A73" t="s">
        <v>1213</v>
      </c>
      <c r="B73" t="s">
        <v>1251</v>
      </c>
      <c r="C73" t="s">
        <v>4928</v>
      </c>
      <c r="D73" t="s">
        <v>4929</v>
      </c>
      <c r="E73" t="s">
        <v>80</v>
      </c>
      <c r="F73" t="s">
        <v>4928</v>
      </c>
      <c r="G73" t="s">
        <v>4930</v>
      </c>
      <c r="H73" t="s">
        <v>312</v>
      </c>
      <c r="I73" t="s">
        <v>765</v>
      </c>
      <c r="J73" t="s">
        <v>205</v>
      </c>
      <c r="K73" t="s">
        <v>281</v>
      </c>
      <c r="L73" s="109" t="s">
        <v>326</v>
      </c>
      <c r="M73" t="s">
        <v>465</v>
      </c>
      <c r="N73" t="s">
        <v>339</v>
      </c>
      <c r="O73" t="s">
        <v>4931</v>
      </c>
      <c r="P73" t="s">
        <v>1218</v>
      </c>
      <c r="Q73" t="s">
        <v>314</v>
      </c>
      <c r="R73" t="s">
        <v>889</v>
      </c>
      <c r="S73" t="s">
        <v>4932</v>
      </c>
      <c r="T73" s="161">
        <v>45565</v>
      </c>
      <c r="U73" s="131">
        <v>412820</v>
      </c>
      <c r="V73" s="131">
        <v>4.1524000000000001</v>
      </c>
      <c r="W73" s="131">
        <f t="shared" si="1"/>
        <v>20.089735853012385</v>
      </c>
      <c r="X73" s="131">
        <v>344.37700000000001</v>
      </c>
      <c r="Y73" s="132">
        <v>1.823E-2</v>
      </c>
      <c r="Z73" s="132">
        <v>1.24E-3</v>
      </c>
    </row>
    <row r="74" spans="1:26">
      <c r="A74" t="s">
        <v>1213</v>
      </c>
      <c r="B74" t="s">
        <v>1251</v>
      </c>
      <c r="C74" t="s">
        <v>4871</v>
      </c>
      <c r="D74" t="s">
        <v>4872</v>
      </c>
      <c r="E74" t="s">
        <v>309</v>
      </c>
      <c r="F74" t="s">
        <v>4884</v>
      </c>
      <c r="G74" t="s">
        <v>4885</v>
      </c>
      <c r="H74" t="s">
        <v>312</v>
      </c>
      <c r="I74" t="s">
        <v>765</v>
      </c>
      <c r="J74" t="s">
        <v>205</v>
      </c>
      <c r="K74" t="s">
        <v>204</v>
      </c>
      <c r="L74" s="109" t="s">
        <v>326</v>
      </c>
      <c r="M74" t="s">
        <v>541</v>
      </c>
      <c r="N74" t="s">
        <v>339</v>
      </c>
      <c r="O74" t="s">
        <v>4875</v>
      </c>
      <c r="P74" t="s">
        <v>1218</v>
      </c>
      <c r="Q74" t="s">
        <v>887</v>
      </c>
      <c r="R74" t="s">
        <v>889</v>
      </c>
      <c r="S74" t="s">
        <v>4886</v>
      </c>
      <c r="T74" s="161">
        <v>45565</v>
      </c>
      <c r="U74" s="131">
        <v>80272.53</v>
      </c>
      <c r="V74" s="131">
        <v>4.1524000000000001</v>
      </c>
      <c r="W74" s="131">
        <f t="shared" si="1"/>
        <v>63.188434946907932</v>
      </c>
      <c r="X74" s="131">
        <v>210.62200000000001</v>
      </c>
      <c r="Y74" s="132">
        <v>1.115E-2</v>
      </c>
      <c r="Z74" s="132">
        <v>7.6000000000000004E-4</v>
      </c>
    </row>
    <row r="75" spans="1:26">
      <c r="A75" t="s">
        <v>1213</v>
      </c>
      <c r="B75" t="s">
        <v>1252</v>
      </c>
      <c r="C75" t="s">
        <v>3330</v>
      </c>
      <c r="D75" t="s">
        <v>3331</v>
      </c>
      <c r="E75" t="s">
        <v>80</v>
      </c>
      <c r="F75" t="s">
        <v>4865</v>
      </c>
      <c r="G75" t="s">
        <v>4866</v>
      </c>
      <c r="H75" t="s">
        <v>312</v>
      </c>
      <c r="I75" t="s">
        <v>765</v>
      </c>
      <c r="J75" t="s">
        <v>204</v>
      </c>
      <c r="K75" t="s">
        <v>238</v>
      </c>
      <c r="L75" s="109" t="s">
        <v>326</v>
      </c>
      <c r="M75" t="s">
        <v>464</v>
      </c>
      <c r="N75" t="s">
        <v>339</v>
      </c>
      <c r="O75" t="s">
        <v>4867</v>
      </c>
      <c r="P75" t="s">
        <v>1212</v>
      </c>
      <c r="Q75" t="s">
        <v>314</v>
      </c>
      <c r="R75" t="s">
        <v>889</v>
      </c>
      <c r="S75" t="s">
        <v>4867</v>
      </c>
      <c r="T75" s="161">
        <v>45565</v>
      </c>
      <c r="U75" s="131">
        <v>12.25</v>
      </c>
      <c r="V75" s="131">
        <v>1</v>
      </c>
      <c r="W75" s="131">
        <f t="shared" si="1"/>
        <v>11255118.367346939</v>
      </c>
      <c r="X75" s="131">
        <v>1378.752</v>
      </c>
      <c r="Y75" s="132">
        <v>0.20019000000000001</v>
      </c>
      <c r="Z75" s="132">
        <v>7.8600000000000007E-3</v>
      </c>
    </row>
    <row r="76" spans="1:26">
      <c r="A76" t="s">
        <v>1213</v>
      </c>
      <c r="B76" t="s">
        <v>1252</v>
      </c>
      <c r="C76" t="s">
        <v>4893</v>
      </c>
      <c r="D76" t="s">
        <v>4894</v>
      </c>
      <c r="E76" t="s">
        <v>309</v>
      </c>
      <c r="F76" t="s">
        <v>4895</v>
      </c>
      <c r="G76" t="s">
        <v>4896</v>
      </c>
      <c r="H76" t="s">
        <v>312</v>
      </c>
      <c r="I76" t="s">
        <v>765</v>
      </c>
      <c r="J76" t="s">
        <v>204</v>
      </c>
      <c r="K76" t="s">
        <v>204</v>
      </c>
      <c r="L76" s="109" t="s">
        <v>326</v>
      </c>
      <c r="M76" t="s">
        <v>478</v>
      </c>
      <c r="N76" t="s">
        <v>339</v>
      </c>
      <c r="O76" t="s">
        <v>4897</v>
      </c>
      <c r="P76" t="s">
        <v>1216</v>
      </c>
      <c r="Q76" t="s">
        <v>887</v>
      </c>
      <c r="R76" t="s">
        <v>889</v>
      </c>
      <c r="S76" t="s">
        <v>4898</v>
      </c>
      <c r="T76" s="161">
        <v>45565</v>
      </c>
      <c r="U76" s="131">
        <v>63715.97</v>
      </c>
      <c r="V76" s="131">
        <v>3.71</v>
      </c>
      <c r="W76" s="131">
        <f t="shared" si="1"/>
        <v>376.95509146594446</v>
      </c>
      <c r="X76" s="131">
        <v>891.07</v>
      </c>
      <c r="Y76" s="132">
        <v>0.12938</v>
      </c>
      <c r="Z76" s="132">
        <v>5.0800000000000003E-3</v>
      </c>
    </row>
    <row r="77" spans="1:26">
      <c r="A77" t="s">
        <v>1213</v>
      </c>
      <c r="B77" t="s">
        <v>1252</v>
      </c>
      <c r="C77" t="s">
        <v>4899</v>
      </c>
      <c r="D77" t="s">
        <v>4900</v>
      </c>
      <c r="E77" t="s">
        <v>309</v>
      </c>
      <c r="F77" t="s">
        <v>4901</v>
      </c>
      <c r="G77" t="s">
        <v>4902</v>
      </c>
      <c r="H77" t="s">
        <v>312</v>
      </c>
      <c r="I77" t="s">
        <v>765</v>
      </c>
      <c r="J77" t="s">
        <v>204</v>
      </c>
      <c r="K77" t="s">
        <v>204</v>
      </c>
      <c r="L77" s="109" t="s">
        <v>326</v>
      </c>
      <c r="M77" t="s">
        <v>464</v>
      </c>
      <c r="N77" t="s">
        <v>339</v>
      </c>
      <c r="O77" t="s">
        <v>4903</v>
      </c>
      <c r="P77" t="s">
        <v>1212</v>
      </c>
      <c r="Q77" t="s">
        <v>314</v>
      </c>
      <c r="R77" t="s">
        <v>889</v>
      </c>
      <c r="S77" t="s">
        <v>4737</v>
      </c>
      <c r="T77" s="161">
        <v>45565</v>
      </c>
      <c r="U77" s="131">
        <v>43.81</v>
      </c>
      <c r="V77" s="131">
        <v>1</v>
      </c>
      <c r="W77" s="131">
        <f t="shared" si="1"/>
        <v>1895087.8794795705</v>
      </c>
      <c r="X77" s="131">
        <v>830.23800000000006</v>
      </c>
      <c r="Y77" s="132">
        <v>0.12055</v>
      </c>
      <c r="Z77" s="132">
        <v>4.7299999999999998E-3</v>
      </c>
    </row>
    <row r="78" spans="1:26">
      <c r="A78" t="s">
        <v>1213</v>
      </c>
      <c r="B78" t="s">
        <v>1252</v>
      </c>
      <c r="C78" t="s">
        <v>4904</v>
      </c>
      <c r="D78" t="s">
        <v>4905</v>
      </c>
      <c r="E78" t="s">
        <v>309</v>
      </c>
      <c r="F78" t="s">
        <v>4906</v>
      </c>
      <c r="G78" t="s">
        <v>4907</v>
      </c>
      <c r="H78" t="s">
        <v>312</v>
      </c>
      <c r="I78" t="s">
        <v>765</v>
      </c>
      <c r="J78" t="s">
        <v>204</v>
      </c>
      <c r="K78" t="s">
        <v>204</v>
      </c>
      <c r="L78" s="109" t="s">
        <v>326</v>
      </c>
      <c r="M78" t="s">
        <v>462</v>
      </c>
      <c r="N78" t="s">
        <v>339</v>
      </c>
      <c r="O78" t="s">
        <v>4908</v>
      </c>
      <c r="P78" t="s">
        <v>1216</v>
      </c>
      <c r="Q78" t="s">
        <v>314</v>
      </c>
      <c r="R78" t="s">
        <v>889</v>
      </c>
      <c r="S78" t="s">
        <v>4909</v>
      </c>
      <c r="T78" s="161">
        <v>45565</v>
      </c>
      <c r="U78" s="131">
        <v>264</v>
      </c>
      <c r="V78" s="131">
        <v>3.71</v>
      </c>
      <c r="W78" s="131">
        <f t="shared" si="1"/>
        <v>69959.772931471045</v>
      </c>
      <c r="X78" s="131">
        <v>685.21400000000006</v>
      </c>
      <c r="Y78" s="132">
        <v>9.9489999999999995E-2</v>
      </c>
      <c r="Z78" s="132">
        <v>3.9100000000000003E-3</v>
      </c>
    </row>
    <row r="79" spans="1:26">
      <c r="A79" t="s">
        <v>1213</v>
      </c>
      <c r="B79" t="s">
        <v>1252</v>
      </c>
      <c r="C79" t="s">
        <v>3330</v>
      </c>
      <c r="D79" t="s">
        <v>3331</v>
      </c>
      <c r="E79" t="s">
        <v>80</v>
      </c>
      <c r="F79" t="s">
        <v>4868</v>
      </c>
      <c r="G79" t="s">
        <v>4869</v>
      </c>
      <c r="H79" t="s">
        <v>312</v>
      </c>
      <c r="I79" t="s">
        <v>765</v>
      </c>
      <c r="J79" t="s">
        <v>204</v>
      </c>
      <c r="K79" t="s">
        <v>238</v>
      </c>
      <c r="L79" s="109" t="s">
        <v>326</v>
      </c>
      <c r="M79" t="s">
        <v>464</v>
      </c>
      <c r="N79" t="s">
        <v>339</v>
      </c>
      <c r="O79" t="s">
        <v>4870</v>
      </c>
      <c r="P79" t="s">
        <v>1212</v>
      </c>
      <c r="Q79" t="s">
        <v>314</v>
      </c>
      <c r="S79" t="s">
        <v>4870</v>
      </c>
      <c r="T79" s="161">
        <v>45565</v>
      </c>
      <c r="U79" s="131">
        <v>607943</v>
      </c>
      <c r="V79" s="131">
        <v>1</v>
      </c>
      <c r="W79" s="131">
        <f t="shared" si="1"/>
        <v>100</v>
      </c>
      <c r="X79" s="131">
        <v>607.94299999999998</v>
      </c>
      <c r="Y79" s="132">
        <v>8.8270000000000001E-2</v>
      </c>
      <c r="Z79" s="132">
        <v>3.47E-3</v>
      </c>
    </row>
    <row r="80" spans="1:26">
      <c r="A80" t="s">
        <v>1213</v>
      </c>
      <c r="B80" t="s">
        <v>1252</v>
      </c>
      <c r="C80" t="s">
        <v>4915</v>
      </c>
      <c r="D80" t="s">
        <v>4916</v>
      </c>
      <c r="E80" t="s">
        <v>309</v>
      </c>
      <c r="F80" t="s">
        <v>4917</v>
      </c>
      <c r="G80" t="s">
        <v>4918</v>
      </c>
      <c r="H80" t="s">
        <v>312</v>
      </c>
      <c r="I80" t="s">
        <v>765</v>
      </c>
      <c r="J80" t="s">
        <v>204</v>
      </c>
      <c r="K80" t="s">
        <v>204</v>
      </c>
      <c r="L80" s="109" t="s">
        <v>326</v>
      </c>
      <c r="M80" t="s">
        <v>446</v>
      </c>
      <c r="N80" t="s">
        <v>339</v>
      </c>
      <c r="O80" t="s">
        <v>4919</v>
      </c>
      <c r="P80" t="s">
        <v>1216</v>
      </c>
      <c r="Q80" t="s">
        <v>887</v>
      </c>
      <c r="R80" t="s">
        <v>889</v>
      </c>
      <c r="S80" t="s">
        <v>4920</v>
      </c>
      <c r="T80" s="161">
        <v>45565</v>
      </c>
      <c r="U80" s="131">
        <v>37290.839999999997</v>
      </c>
      <c r="V80" s="131">
        <v>3.71</v>
      </c>
      <c r="W80" s="131">
        <f t="shared" si="1"/>
        <v>428.05725361123717</v>
      </c>
      <c r="X80" s="131">
        <v>592.21299999999997</v>
      </c>
      <c r="Y80" s="132">
        <v>8.5989999999999997E-2</v>
      </c>
      <c r="Z80" s="132">
        <v>3.3800000000000002E-3</v>
      </c>
    </row>
    <row r="81" spans="1:26">
      <c r="A81" t="s">
        <v>1213</v>
      </c>
      <c r="B81" t="s">
        <v>1252</v>
      </c>
      <c r="C81" t="s">
        <v>4910</v>
      </c>
      <c r="D81" t="s">
        <v>4911</v>
      </c>
      <c r="E81" t="s">
        <v>309</v>
      </c>
      <c r="F81" t="s">
        <v>4910</v>
      </c>
      <c r="G81" t="s">
        <v>4912</v>
      </c>
      <c r="H81" t="s">
        <v>312</v>
      </c>
      <c r="I81" t="s">
        <v>765</v>
      </c>
      <c r="J81" t="s">
        <v>204</v>
      </c>
      <c r="K81" t="s">
        <v>204</v>
      </c>
      <c r="L81" s="109" t="s">
        <v>326</v>
      </c>
      <c r="M81" t="s">
        <v>464</v>
      </c>
      <c r="N81" t="s">
        <v>339</v>
      </c>
      <c r="O81" t="s">
        <v>4913</v>
      </c>
      <c r="P81" t="s">
        <v>1212</v>
      </c>
      <c r="Q81" t="s">
        <v>887</v>
      </c>
      <c r="R81" t="s">
        <v>889</v>
      </c>
      <c r="S81" t="s">
        <v>4914</v>
      </c>
      <c r="T81" s="161">
        <v>45565</v>
      </c>
      <c r="U81" s="131">
        <v>8974</v>
      </c>
      <c r="V81" s="131">
        <v>1</v>
      </c>
      <c r="W81" s="131">
        <f t="shared" si="1"/>
        <v>5588.2438154669044</v>
      </c>
      <c r="X81" s="131">
        <v>501.48899999999998</v>
      </c>
      <c r="Y81" s="132">
        <v>7.2819999999999996E-2</v>
      </c>
      <c r="Z81" s="132">
        <v>2.8600000000000001E-3</v>
      </c>
    </row>
    <row r="82" spans="1:26">
      <c r="A82" t="s">
        <v>1213</v>
      </c>
      <c r="B82" t="s">
        <v>1252</v>
      </c>
      <c r="C82" t="s">
        <v>4904</v>
      </c>
      <c r="D82" t="s">
        <v>4905</v>
      </c>
      <c r="E82" t="s">
        <v>309</v>
      </c>
      <c r="F82" t="s">
        <v>4921</v>
      </c>
      <c r="G82" t="s">
        <v>4922</v>
      </c>
      <c r="H82" t="s">
        <v>312</v>
      </c>
      <c r="I82" t="s">
        <v>765</v>
      </c>
      <c r="J82" t="s">
        <v>204</v>
      </c>
      <c r="K82" t="s">
        <v>204</v>
      </c>
      <c r="L82" s="109" t="s">
        <v>326</v>
      </c>
      <c r="M82" t="s">
        <v>462</v>
      </c>
      <c r="N82" t="s">
        <v>339</v>
      </c>
      <c r="O82" t="s">
        <v>4923</v>
      </c>
      <c r="P82" t="s">
        <v>1216</v>
      </c>
      <c r="Q82" t="s">
        <v>314</v>
      </c>
      <c r="R82" t="s">
        <v>889</v>
      </c>
      <c r="S82" t="s">
        <v>4909</v>
      </c>
      <c r="T82" s="161">
        <v>45565</v>
      </c>
      <c r="U82" s="131">
        <v>115</v>
      </c>
      <c r="V82" s="131">
        <v>3.71</v>
      </c>
      <c r="W82" s="131">
        <f t="shared" si="1"/>
        <v>72042.189148013596</v>
      </c>
      <c r="X82" s="131">
        <v>307.36799999999999</v>
      </c>
      <c r="Y82" s="132">
        <v>4.4630000000000003E-2</v>
      </c>
      <c r="Z82" s="132">
        <v>1.75E-3</v>
      </c>
    </row>
    <row r="83" spans="1:26">
      <c r="A83" t="s">
        <v>1213</v>
      </c>
      <c r="B83" t="s">
        <v>1252</v>
      </c>
      <c r="C83" t="s">
        <v>3330</v>
      </c>
      <c r="D83" t="s">
        <v>3331</v>
      </c>
      <c r="E83" t="s">
        <v>80</v>
      </c>
      <c r="F83" t="s">
        <v>4878</v>
      </c>
      <c r="G83" t="s">
        <v>4879</v>
      </c>
      <c r="H83" t="s">
        <v>312</v>
      </c>
      <c r="I83" t="s">
        <v>765</v>
      </c>
      <c r="J83" t="s">
        <v>204</v>
      </c>
      <c r="K83" t="s">
        <v>238</v>
      </c>
      <c r="L83" s="109" t="s">
        <v>326</v>
      </c>
      <c r="M83" t="s">
        <v>464</v>
      </c>
      <c r="N83" t="s">
        <v>339</v>
      </c>
      <c r="O83" t="s">
        <v>4867</v>
      </c>
      <c r="P83" t="s">
        <v>1212</v>
      </c>
      <c r="Q83" t="s">
        <v>314</v>
      </c>
      <c r="R83" t="s">
        <v>889</v>
      </c>
      <c r="S83" t="s">
        <v>4867</v>
      </c>
      <c r="T83" s="161">
        <v>45565</v>
      </c>
      <c r="U83" s="131">
        <v>292439</v>
      </c>
      <c r="V83" s="131">
        <v>1</v>
      </c>
      <c r="W83" s="131">
        <f t="shared" si="1"/>
        <v>100</v>
      </c>
      <c r="X83" s="131">
        <v>292.43900000000002</v>
      </c>
      <c r="Y83" s="132">
        <v>4.2459999999999998E-2</v>
      </c>
      <c r="Z83" s="132">
        <v>1.67E-3</v>
      </c>
    </row>
    <row r="84" spans="1:26">
      <c r="A84" t="s">
        <v>1213</v>
      </c>
      <c r="B84" t="s">
        <v>1252</v>
      </c>
      <c r="C84" t="s">
        <v>4871</v>
      </c>
      <c r="D84" t="s">
        <v>4872</v>
      </c>
      <c r="E84" t="s">
        <v>309</v>
      </c>
      <c r="F84" t="s">
        <v>4873</v>
      </c>
      <c r="G84" t="s">
        <v>4874</v>
      </c>
      <c r="H84" t="s">
        <v>312</v>
      </c>
      <c r="I84" t="s">
        <v>765</v>
      </c>
      <c r="J84" t="s">
        <v>204</v>
      </c>
      <c r="K84" t="s">
        <v>204</v>
      </c>
      <c r="L84" s="109" t="s">
        <v>326</v>
      </c>
      <c r="M84" t="s">
        <v>461</v>
      </c>
      <c r="N84" t="s">
        <v>339</v>
      </c>
      <c r="O84" t="s">
        <v>4875</v>
      </c>
      <c r="P84" t="s">
        <v>1212</v>
      </c>
      <c r="Q84" t="s">
        <v>887</v>
      </c>
      <c r="R84" t="s">
        <v>889</v>
      </c>
      <c r="S84" t="s">
        <v>4876</v>
      </c>
      <c r="T84" s="161">
        <v>45565</v>
      </c>
      <c r="U84" s="131">
        <v>4</v>
      </c>
      <c r="V84" s="131">
        <v>1</v>
      </c>
      <c r="W84" s="131">
        <f t="shared" si="1"/>
        <v>7094025</v>
      </c>
      <c r="X84" s="131">
        <v>283.76100000000002</v>
      </c>
      <c r="Y84" s="132">
        <v>4.1200000000000001E-2</v>
      </c>
      <c r="Z84" s="132">
        <v>1.6199999999999999E-3</v>
      </c>
    </row>
    <row r="85" spans="1:26">
      <c r="A85" t="s">
        <v>1213</v>
      </c>
      <c r="B85" t="s">
        <v>1252</v>
      </c>
      <c r="C85" t="s">
        <v>3789</v>
      </c>
      <c r="D85" t="s">
        <v>3790</v>
      </c>
      <c r="E85" t="s">
        <v>309</v>
      </c>
      <c r="F85" t="s">
        <v>4880</v>
      </c>
      <c r="G85" t="s">
        <v>4881</v>
      </c>
      <c r="H85" t="s">
        <v>312</v>
      </c>
      <c r="I85" t="s">
        <v>765</v>
      </c>
      <c r="J85" t="s">
        <v>204</v>
      </c>
      <c r="K85" t="s">
        <v>204</v>
      </c>
      <c r="L85" s="109" t="s">
        <v>326</v>
      </c>
      <c r="M85" t="s">
        <v>450</v>
      </c>
      <c r="N85" t="s">
        <v>339</v>
      </c>
      <c r="O85" t="s">
        <v>4882</v>
      </c>
      <c r="P85" t="s">
        <v>1212</v>
      </c>
      <c r="Q85" t="s">
        <v>314</v>
      </c>
      <c r="S85" t="s">
        <v>4883</v>
      </c>
      <c r="T85" s="161">
        <v>45565</v>
      </c>
      <c r="U85" s="131">
        <v>497</v>
      </c>
      <c r="V85" s="131">
        <v>1</v>
      </c>
      <c r="W85" s="131">
        <f t="shared" si="1"/>
        <v>0</v>
      </c>
      <c r="X85" s="131">
        <v>0</v>
      </c>
    </row>
    <row r="86" spans="1:26">
      <c r="A86" t="s">
        <v>1213</v>
      </c>
      <c r="B86" t="s">
        <v>1252</v>
      </c>
      <c r="C86" t="s">
        <v>4924</v>
      </c>
      <c r="D86" t="s">
        <v>4925</v>
      </c>
      <c r="E86" t="s">
        <v>80</v>
      </c>
      <c r="F86" t="s">
        <v>4924</v>
      </c>
      <c r="G86" t="s">
        <v>4926</v>
      </c>
      <c r="H86" t="s">
        <v>312</v>
      </c>
      <c r="I86" t="s">
        <v>765</v>
      </c>
      <c r="J86" t="s">
        <v>205</v>
      </c>
      <c r="K86" t="s">
        <v>238</v>
      </c>
      <c r="L86" s="109" t="s">
        <v>326</v>
      </c>
      <c r="M86" t="s">
        <v>541</v>
      </c>
      <c r="N86" t="s">
        <v>339</v>
      </c>
      <c r="O86" t="s">
        <v>4927</v>
      </c>
      <c r="P86" t="s">
        <v>1218</v>
      </c>
      <c r="Q86" t="s">
        <v>314</v>
      </c>
      <c r="R86" t="s">
        <v>889</v>
      </c>
      <c r="S86" t="s">
        <v>4877</v>
      </c>
      <c r="T86" s="161">
        <v>45565</v>
      </c>
      <c r="U86" s="131">
        <v>284.74</v>
      </c>
      <c r="V86" s="131">
        <v>4.1524000000000001</v>
      </c>
      <c r="W86" s="131">
        <f t="shared" si="1"/>
        <v>28954.855409610293</v>
      </c>
      <c r="X86" s="131">
        <v>342.34899999999999</v>
      </c>
      <c r="Y86" s="132">
        <v>4.9709999999999997E-2</v>
      </c>
      <c r="Z86" s="132">
        <v>1.9499999999999999E-3</v>
      </c>
    </row>
    <row r="87" spans="1:26">
      <c r="A87" t="s">
        <v>1213</v>
      </c>
      <c r="B87" t="s">
        <v>1252</v>
      </c>
      <c r="C87" t="s">
        <v>4928</v>
      </c>
      <c r="D87" t="s">
        <v>4929</v>
      </c>
      <c r="E87" t="s">
        <v>80</v>
      </c>
      <c r="F87" t="s">
        <v>4928</v>
      </c>
      <c r="G87" t="s">
        <v>4930</v>
      </c>
      <c r="H87" t="s">
        <v>312</v>
      </c>
      <c r="I87" t="s">
        <v>765</v>
      </c>
      <c r="J87" t="s">
        <v>205</v>
      </c>
      <c r="K87" t="s">
        <v>281</v>
      </c>
      <c r="L87" s="109" t="s">
        <v>326</v>
      </c>
      <c r="M87" t="s">
        <v>465</v>
      </c>
      <c r="N87" t="s">
        <v>339</v>
      </c>
      <c r="O87" t="s">
        <v>4931</v>
      </c>
      <c r="P87" t="s">
        <v>1218</v>
      </c>
      <c r="Q87" t="s">
        <v>314</v>
      </c>
      <c r="R87" t="s">
        <v>889</v>
      </c>
      <c r="S87" t="s">
        <v>4932</v>
      </c>
      <c r="T87" s="161">
        <v>45565</v>
      </c>
      <c r="U87" s="131">
        <v>129931</v>
      </c>
      <c r="V87" s="131">
        <v>4.1524000000000001</v>
      </c>
      <c r="W87" s="131">
        <f t="shared" si="1"/>
        <v>20.089690502856993</v>
      </c>
      <c r="X87" s="131">
        <v>108.389</v>
      </c>
      <c r="Y87" s="132">
        <v>1.5740000000000001E-2</v>
      </c>
      <c r="Z87" s="132">
        <v>6.2E-4</v>
      </c>
    </row>
    <row r="88" spans="1:26">
      <c r="A88" t="s">
        <v>1213</v>
      </c>
      <c r="B88" t="s">
        <v>1252</v>
      </c>
      <c r="C88" t="s">
        <v>4871</v>
      </c>
      <c r="D88" t="s">
        <v>4872</v>
      </c>
      <c r="E88" t="s">
        <v>309</v>
      </c>
      <c r="F88" t="s">
        <v>4884</v>
      </c>
      <c r="G88" t="s">
        <v>4885</v>
      </c>
      <c r="H88" t="s">
        <v>312</v>
      </c>
      <c r="I88" t="s">
        <v>765</v>
      </c>
      <c r="J88" t="s">
        <v>205</v>
      </c>
      <c r="K88" t="s">
        <v>204</v>
      </c>
      <c r="L88" s="109" t="s">
        <v>326</v>
      </c>
      <c r="M88" t="s">
        <v>541</v>
      </c>
      <c r="N88" t="s">
        <v>339</v>
      </c>
      <c r="O88" t="s">
        <v>4875</v>
      </c>
      <c r="P88" t="s">
        <v>1218</v>
      </c>
      <c r="Q88" t="s">
        <v>887</v>
      </c>
      <c r="R88" t="s">
        <v>889</v>
      </c>
      <c r="S88" t="s">
        <v>4886</v>
      </c>
      <c r="T88" s="161">
        <v>45565</v>
      </c>
      <c r="U88" s="131">
        <v>25089.64</v>
      </c>
      <c r="V88" s="131">
        <v>4.1524000000000001</v>
      </c>
      <c r="W88" s="131">
        <f t="shared" si="1"/>
        <v>63.188324535780318</v>
      </c>
      <c r="X88" s="131">
        <v>65.831000000000003</v>
      </c>
      <c r="Y88" s="132">
        <v>9.5600000000000008E-3</v>
      </c>
      <c r="Z88" s="132">
        <v>3.8000000000000002E-4</v>
      </c>
    </row>
    <row r="89" spans="1:26">
      <c r="A89" t="s">
        <v>1213</v>
      </c>
      <c r="B89" t="s">
        <v>1253</v>
      </c>
      <c r="C89" t="s">
        <v>3330</v>
      </c>
      <c r="D89" t="s">
        <v>3331</v>
      </c>
      <c r="E89" t="s">
        <v>80</v>
      </c>
      <c r="F89" t="s">
        <v>4865</v>
      </c>
      <c r="G89" t="s">
        <v>4866</v>
      </c>
      <c r="H89" t="s">
        <v>312</v>
      </c>
      <c r="I89" t="s">
        <v>765</v>
      </c>
      <c r="J89" t="s">
        <v>204</v>
      </c>
      <c r="K89" t="s">
        <v>238</v>
      </c>
      <c r="L89" s="109" t="s">
        <v>326</v>
      </c>
      <c r="M89" t="s">
        <v>464</v>
      </c>
      <c r="N89" t="s">
        <v>339</v>
      </c>
      <c r="O89" t="s">
        <v>4867</v>
      </c>
      <c r="P89" t="s">
        <v>1212</v>
      </c>
      <c r="Q89" t="s">
        <v>314</v>
      </c>
      <c r="R89" t="s">
        <v>889</v>
      </c>
      <c r="S89" t="s">
        <v>4867</v>
      </c>
      <c r="T89" s="161">
        <v>45565</v>
      </c>
      <c r="U89" s="131">
        <v>10.039999999999999</v>
      </c>
      <c r="V89" s="131">
        <v>1</v>
      </c>
      <c r="W89" s="131">
        <f t="shared" si="1"/>
        <v>11255119.521912351</v>
      </c>
      <c r="X89" s="131">
        <v>1130.0139999999999</v>
      </c>
      <c r="Y89" s="132">
        <v>0.21623000000000001</v>
      </c>
      <c r="Z89" s="132">
        <v>9.6399999999999993E-3</v>
      </c>
    </row>
    <row r="90" spans="1:26">
      <c r="A90" t="s">
        <v>1213</v>
      </c>
      <c r="B90" t="s">
        <v>1253</v>
      </c>
      <c r="C90" t="s">
        <v>4893</v>
      </c>
      <c r="D90" t="s">
        <v>4894</v>
      </c>
      <c r="E90" t="s">
        <v>309</v>
      </c>
      <c r="F90" t="s">
        <v>4895</v>
      </c>
      <c r="G90" t="s">
        <v>4896</v>
      </c>
      <c r="H90" t="s">
        <v>312</v>
      </c>
      <c r="I90" t="s">
        <v>765</v>
      </c>
      <c r="J90" t="s">
        <v>204</v>
      </c>
      <c r="K90" t="s">
        <v>204</v>
      </c>
      <c r="L90" s="109" t="s">
        <v>326</v>
      </c>
      <c r="M90" t="s">
        <v>478</v>
      </c>
      <c r="N90" t="s">
        <v>339</v>
      </c>
      <c r="O90" t="s">
        <v>4897</v>
      </c>
      <c r="P90" t="s">
        <v>1216</v>
      </c>
      <c r="Q90" t="s">
        <v>887</v>
      </c>
      <c r="R90" t="s">
        <v>889</v>
      </c>
      <c r="S90" t="s">
        <v>4898</v>
      </c>
      <c r="T90" s="161">
        <v>45565</v>
      </c>
      <c r="U90" s="131">
        <v>47093.83</v>
      </c>
      <c r="V90" s="131">
        <v>3.71</v>
      </c>
      <c r="W90" s="131">
        <f t="shared" si="1"/>
        <v>376.9552009455038</v>
      </c>
      <c r="X90" s="131">
        <v>658.60900000000004</v>
      </c>
      <c r="Y90" s="132">
        <v>0.12601999999999999</v>
      </c>
      <c r="Z90" s="132">
        <v>5.62E-3</v>
      </c>
    </row>
    <row r="91" spans="1:26">
      <c r="A91" t="s">
        <v>1213</v>
      </c>
      <c r="B91" t="s">
        <v>1253</v>
      </c>
      <c r="C91" t="s">
        <v>4899</v>
      </c>
      <c r="D91" t="s">
        <v>4900</v>
      </c>
      <c r="E91" t="s">
        <v>309</v>
      </c>
      <c r="F91" t="s">
        <v>4901</v>
      </c>
      <c r="G91" t="s">
        <v>4902</v>
      </c>
      <c r="H91" t="s">
        <v>312</v>
      </c>
      <c r="I91" t="s">
        <v>765</v>
      </c>
      <c r="J91" t="s">
        <v>204</v>
      </c>
      <c r="K91" t="s">
        <v>204</v>
      </c>
      <c r="L91" s="109" t="s">
        <v>326</v>
      </c>
      <c r="M91" t="s">
        <v>464</v>
      </c>
      <c r="N91" t="s">
        <v>339</v>
      </c>
      <c r="O91" t="s">
        <v>4903</v>
      </c>
      <c r="P91" t="s">
        <v>1212</v>
      </c>
      <c r="Q91" t="s">
        <v>314</v>
      </c>
      <c r="R91" t="s">
        <v>889</v>
      </c>
      <c r="S91" t="s">
        <v>4737</v>
      </c>
      <c r="T91" s="161">
        <v>45565</v>
      </c>
      <c r="U91" s="131">
        <v>31.08</v>
      </c>
      <c r="V91" s="131">
        <v>1</v>
      </c>
      <c r="W91" s="131">
        <f t="shared" si="1"/>
        <v>1895086.8725868729</v>
      </c>
      <c r="X91" s="131">
        <v>588.99300000000005</v>
      </c>
      <c r="Y91" s="132">
        <v>0.11269999999999999</v>
      </c>
      <c r="Z91" s="132">
        <v>5.0299999999999997E-3</v>
      </c>
    </row>
    <row r="92" spans="1:26">
      <c r="A92" t="s">
        <v>1213</v>
      </c>
      <c r="B92" t="s">
        <v>1253</v>
      </c>
      <c r="C92" t="s">
        <v>3330</v>
      </c>
      <c r="D92" t="s">
        <v>3331</v>
      </c>
      <c r="E92" t="s">
        <v>80</v>
      </c>
      <c r="F92" t="s">
        <v>4868</v>
      </c>
      <c r="G92" t="s">
        <v>4869</v>
      </c>
      <c r="H92" t="s">
        <v>312</v>
      </c>
      <c r="I92" t="s">
        <v>765</v>
      </c>
      <c r="J92" t="s">
        <v>204</v>
      </c>
      <c r="K92" t="s">
        <v>238</v>
      </c>
      <c r="L92" s="109" t="s">
        <v>326</v>
      </c>
      <c r="M92" t="s">
        <v>464</v>
      </c>
      <c r="N92" t="s">
        <v>339</v>
      </c>
      <c r="O92" t="s">
        <v>4870</v>
      </c>
      <c r="P92" t="s">
        <v>1212</v>
      </c>
      <c r="Q92" t="s">
        <v>314</v>
      </c>
      <c r="S92" t="s">
        <v>4870</v>
      </c>
      <c r="T92" s="161">
        <v>45565</v>
      </c>
      <c r="U92" s="131">
        <v>498224.5</v>
      </c>
      <c r="V92" s="131">
        <v>1</v>
      </c>
      <c r="W92" s="131">
        <f t="shared" si="1"/>
        <v>100.00010035636546</v>
      </c>
      <c r="X92" s="131">
        <v>498.22500000000002</v>
      </c>
      <c r="Y92" s="132">
        <v>9.5339999999999994E-2</v>
      </c>
      <c r="Z92" s="132">
        <v>4.2500000000000003E-3</v>
      </c>
    </row>
    <row r="93" spans="1:26">
      <c r="A93" t="s">
        <v>1213</v>
      </c>
      <c r="B93" t="s">
        <v>1253</v>
      </c>
      <c r="C93" t="s">
        <v>4904</v>
      </c>
      <c r="D93" t="s">
        <v>4905</v>
      </c>
      <c r="E93" t="s">
        <v>309</v>
      </c>
      <c r="F93" t="s">
        <v>4906</v>
      </c>
      <c r="G93" t="s">
        <v>4907</v>
      </c>
      <c r="H93" t="s">
        <v>312</v>
      </c>
      <c r="I93" t="s">
        <v>765</v>
      </c>
      <c r="J93" t="s">
        <v>204</v>
      </c>
      <c r="K93" t="s">
        <v>204</v>
      </c>
      <c r="L93" s="109" t="s">
        <v>326</v>
      </c>
      <c r="M93" t="s">
        <v>462</v>
      </c>
      <c r="N93" t="s">
        <v>339</v>
      </c>
      <c r="O93" t="s">
        <v>4908</v>
      </c>
      <c r="P93" t="s">
        <v>1216</v>
      </c>
      <c r="Q93" t="s">
        <v>314</v>
      </c>
      <c r="R93" t="s">
        <v>889</v>
      </c>
      <c r="S93" t="s">
        <v>4909</v>
      </c>
      <c r="T93" s="161">
        <v>45565</v>
      </c>
      <c r="U93" s="131">
        <v>189</v>
      </c>
      <c r="V93" s="131">
        <v>3.71</v>
      </c>
      <c r="W93" s="131">
        <f t="shared" si="1"/>
        <v>69959.782655200441</v>
      </c>
      <c r="X93" s="131">
        <v>490.55099999999999</v>
      </c>
      <c r="Y93" s="132">
        <v>9.3869999999999995E-2</v>
      </c>
      <c r="Z93" s="132">
        <v>4.1900000000000001E-3</v>
      </c>
    </row>
    <row r="94" spans="1:26">
      <c r="A94" t="s">
        <v>1213</v>
      </c>
      <c r="B94" t="s">
        <v>1253</v>
      </c>
      <c r="C94" t="s">
        <v>4915</v>
      </c>
      <c r="D94" t="s">
        <v>4916</v>
      </c>
      <c r="E94" t="s">
        <v>309</v>
      </c>
      <c r="F94" t="s">
        <v>4917</v>
      </c>
      <c r="G94" t="s">
        <v>4918</v>
      </c>
      <c r="H94" t="s">
        <v>312</v>
      </c>
      <c r="I94" t="s">
        <v>765</v>
      </c>
      <c r="J94" t="s">
        <v>204</v>
      </c>
      <c r="K94" t="s">
        <v>204</v>
      </c>
      <c r="L94" s="109" t="s">
        <v>326</v>
      </c>
      <c r="M94" t="s">
        <v>446</v>
      </c>
      <c r="N94" t="s">
        <v>339</v>
      </c>
      <c r="O94" t="s">
        <v>4919</v>
      </c>
      <c r="P94" t="s">
        <v>1216</v>
      </c>
      <c r="Q94" t="s">
        <v>887</v>
      </c>
      <c r="R94" t="s">
        <v>889</v>
      </c>
      <c r="S94" t="s">
        <v>4920</v>
      </c>
      <c r="T94" s="161">
        <v>45565</v>
      </c>
      <c r="U94" s="131">
        <v>26498.57</v>
      </c>
      <c r="V94" s="131">
        <v>3.71</v>
      </c>
      <c r="W94" s="131">
        <f t="shared" si="1"/>
        <v>428.05646104808829</v>
      </c>
      <c r="X94" s="131">
        <v>420.82100000000003</v>
      </c>
      <c r="Y94" s="132">
        <v>8.0519999999999994E-2</v>
      </c>
      <c r="Z94" s="132">
        <v>3.5899999999999999E-3</v>
      </c>
    </row>
    <row r="95" spans="1:26">
      <c r="A95" t="s">
        <v>1213</v>
      </c>
      <c r="B95" t="s">
        <v>1253</v>
      </c>
      <c r="C95" t="s">
        <v>4910</v>
      </c>
      <c r="D95" t="s">
        <v>4911</v>
      </c>
      <c r="E95" t="s">
        <v>309</v>
      </c>
      <c r="F95" t="s">
        <v>4910</v>
      </c>
      <c r="G95" t="s">
        <v>4912</v>
      </c>
      <c r="H95" t="s">
        <v>312</v>
      </c>
      <c r="I95" t="s">
        <v>765</v>
      </c>
      <c r="J95" t="s">
        <v>204</v>
      </c>
      <c r="K95" t="s">
        <v>204</v>
      </c>
      <c r="L95" s="109" t="s">
        <v>326</v>
      </c>
      <c r="M95" t="s">
        <v>464</v>
      </c>
      <c r="N95" t="s">
        <v>339</v>
      </c>
      <c r="O95" t="s">
        <v>4913</v>
      </c>
      <c r="P95" t="s">
        <v>1212</v>
      </c>
      <c r="Q95" t="s">
        <v>887</v>
      </c>
      <c r="R95" t="s">
        <v>889</v>
      </c>
      <c r="S95" t="s">
        <v>4914</v>
      </c>
      <c r="T95" s="161">
        <v>45565</v>
      </c>
      <c r="U95" s="131">
        <v>6868</v>
      </c>
      <c r="V95" s="131">
        <v>1</v>
      </c>
      <c r="W95" s="131">
        <f t="shared" si="1"/>
        <v>5588.2498543972042</v>
      </c>
      <c r="X95" s="131">
        <v>383.80099999999999</v>
      </c>
      <c r="Y95" s="132">
        <v>7.3440000000000005E-2</v>
      </c>
      <c r="Z95" s="132">
        <v>3.2699999999999999E-3</v>
      </c>
    </row>
    <row r="96" spans="1:26">
      <c r="A96" t="s">
        <v>1213</v>
      </c>
      <c r="B96" t="s">
        <v>1253</v>
      </c>
      <c r="C96" t="s">
        <v>3330</v>
      </c>
      <c r="D96" t="s">
        <v>3331</v>
      </c>
      <c r="E96" t="s">
        <v>80</v>
      </c>
      <c r="F96" t="s">
        <v>4878</v>
      </c>
      <c r="G96" t="s">
        <v>4879</v>
      </c>
      <c r="H96" t="s">
        <v>312</v>
      </c>
      <c r="I96" t="s">
        <v>765</v>
      </c>
      <c r="J96" t="s">
        <v>204</v>
      </c>
      <c r="K96" t="s">
        <v>238</v>
      </c>
      <c r="L96" s="109" t="s">
        <v>326</v>
      </c>
      <c r="M96" t="s">
        <v>464</v>
      </c>
      <c r="N96" t="s">
        <v>339</v>
      </c>
      <c r="O96" t="s">
        <v>4867</v>
      </c>
      <c r="P96" t="s">
        <v>1212</v>
      </c>
      <c r="Q96" t="s">
        <v>314</v>
      </c>
      <c r="R96" t="s">
        <v>889</v>
      </c>
      <c r="S96" t="s">
        <v>4867</v>
      </c>
      <c r="T96" s="161">
        <v>45565</v>
      </c>
      <c r="U96" s="131">
        <v>239662</v>
      </c>
      <c r="V96" s="131">
        <v>1</v>
      </c>
      <c r="W96" s="131">
        <f t="shared" si="1"/>
        <v>100</v>
      </c>
      <c r="X96" s="131">
        <v>239.66200000000001</v>
      </c>
      <c r="Y96" s="132">
        <v>4.5859999999999998E-2</v>
      </c>
      <c r="Z96" s="132">
        <v>2.0400000000000001E-3</v>
      </c>
    </row>
    <row r="97" spans="1:26">
      <c r="A97" t="s">
        <v>1213</v>
      </c>
      <c r="B97" t="s">
        <v>1253</v>
      </c>
      <c r="C97" t="s">
        <v>4904</v>
      </c>
      <c r="D97" t="s">
        <v>4905</v>
      </c>
      <c r="E97" t="s">
        <v>309</v>
      </c>
      <c r="F97" t="s">
        <v>4921</v>
      </c>
      <c r="G97" t="s">
        <v>4922</v>
      </c>
      <c r="H97" t="s">
        <v>312</v>
      </c>
      <c r="I97" t="s">
        <v>765</v>
      </c>
      <c r="J97" t="s">
        <v>204</v>
      </c>
      <c r="K97" t="s">
        <v>204</v>
      </c>
      <c r="L97" s="109" t="s">
        <v>326</v>
      </c>
      <c r="M97" t="s">
        <v>462</v>
      </c>
      <c r="N97" t="s">
        <v>339</v>
      </c>
      <c r="O97" t="s">
        <v>4923</v>
      </c>
      <c r="P97" t="s">
        <v>1216</v>
      </c>
      <c r="Q97" t="s">
        <v>314</v>
      </c>
      <c r="R97" t="s">
        <v>889</v>
      </c>
      <c r="S97" t="s">
        <v>4909</v>
      </c>
      <c r="T97" s="161">
        <v>45565</v>
      </c>
      <c r="U97" s="131">
        <v>82</v>
      </c>
      <c r="V97" s="131">
        <v>3.71</v>
      </c>
      <c r="W97" s="131">
        <f t="shared" si="1"/>
        <v>72042.272039971082</v>
      </c>
      <c r="X97" s="131">
        <v>219.167</v>
      </c>
      <c r="Y97" s="132">
        <v>4.1939999999999998E-2</v>
      </c>
      <c r="Z97" s="132">
        <v>1.8699999999999999E-3</v>
      </c>
    </row>
    <row r="98" spans="1:26">
      <c r="A98" t="s">
        <v>1213</v>
      </c>
      <c r="B98" t="s">
        <v>1253</v>
      </c>
      <c r="C98" t="s">
        <v>4871</v>
      </c>
      <c r="D98" t="s">
        <v>4872</v>
      </c>
      <c r="E98" t="s">
        <v>309</v>
      </c>
      <c r="F98" t="s">
        <v>4873</v>
      </c>
      <c r="G98" t="s">
        <v>4874</v>
      </c>
      <c r="H98" t="s">
        <v>312</v>
      </c>
      <c r="I98" t="s">
        <v>765</v>
      </c>
      <c r="J98" t="s">
        <v>204</v>
      </c>
      <c r="K98" t="s">
        <v>204</v>
      </c>
      <c r="L98" s="109" t="s">
        <v>326</v>
      </c>
      <c r="M98" t="s">
        <v>461</v>
      </c>
      <c r="N98" t="s">
        <v>339</v>
      </c>
      <c r="O98" t="s">
        <v>4875</v>
      </c>
      <c r="P98" t="s">
        <v>1212</v>
      </c>
      <c r="Q98" t="s">
        <v>887</v>
      </c>
      <c r="R98" t="s">
        <v>889</v>
      </c>
      <c r="S98" t="s">
        <v>4876</v>
      </c>
      <c r="T98" s="161">
        <v>45565</v>
      </c>
      <c r="U98" s="131">
        <v>3</v>
      </c>
      <c r="V98" s="131">
        <v>1</v>
      </c>
      <c r="W98" s="131">
        <f t="shared" si="1"/>
        <v>7094033.333333333</v>
      </c>
      <c r="X98" s="131">
        <v>212.821</v>
      </c>
      <c r="Y98" s="132">
        <v>4.0719999999999999E-2</v>
      </c>
      <c r="Z98" s="132">
        <v>1.82E-3</v>
      </c>
    </row>
    <row r="99" spans="1:26">
      <c r="A99" t="s">
        <v>1213</v>
      </c>
      <c r="B99" t="s">
        <v>1253</v>
      </c>
      <c r="C99" t="s">
        <v>3789</v>
      </c>
      <c r="D99" t="s">
        <v>3790</v>
      </c>
      <c r="E99" t="s">
        <v>309</v>
      </c>
      <c r="F99" t="s">
        <v>4880</v>
      </c>
      <c r="G99" t="s">
        <v>4881</v>
      </c>
      <c r="H99" t="s">
        <v>312</v>
      </c>
      <c r="I99" t="s">
        <v>765</v>
      </c>
      <c r="J99" t="s">
        <v>204</v>
      </c>
      <c r="K99" t="s">
        <v>204</v>
      </c>
      <c r="L99" s="109" t="s">
        <v>326</v>
      </c>
      <c r="M99" t="s">
        <v>450</v>
      </c>
      <c r="N99" t="s">
        <v>339</v>
      </c>
      <c r="O99" t="s">
        <v>4882</v>
      </c>
      <c r="P99" t="s">
        <v>1212</v>
      </c>
      <c r="Q99" t="s">
        <v>314</v>
      </c>
      <c r="S99" t="s">
        <v>4883</v>
      </c>
      <c r="T99" s="161">
        <v>45565</v>
      </c>
      <c r="U99" s="131">
        <v>165</v>
      </c>
      <c r="V99" s="131">
        <v>1</v>
      </c>
      <c r="W99" s="131">
        <f t="shared" si="1"/>
        <v>0</v>
      </c>
      <c r="X99" s="131">
        <v>0</v>
      </c>
    </row>
    <row r="100" spans="1:26">
      <c r="A100" t="s">
        <v>1213</v>
      </c>
      <c r="B100" t="s">
        <v>1253</v>
      </c>
      <c r="C100" t="s">
        <v>4924</v>
      </c>
      <c r="D100" t="s">
        <v>4925</v>
      </c>
      <c r="E100" t="s">
        <v>80</v>
      </c>
      <c r="F100" t="s">
        <v>4924</v>
      </c>
      <c r="G100" t="s">
        <v>4926</v>
      </c>
      <c r="H100" t="s">
        <v>312</v>
      </c>
      <c r="I100" t="s">
        <v>765</v>
      </c>
      <c r="J100" t="s">
        <v>205</v>
      </c>
      <c r="K100" t="s">
        <v>238</v>
      </c>
      <c r="L100" s="109" t="s">
        <v>326</v>
      </c>
      <c r="M100" t="s">
        <v>541</v>
      </c>
      <c r="N100" t="s">
        <v>339</v>
      </c>
      <c r="O100" t="s">
        <v>4927</v>
      </c>
      <c r="P100" t="s">
        <v>1218</v>
      </c>
      <c r="Q100" t="s">
        <v>314</v>
      </c>
      <c r="R100" t="s">
        <v>889</v>
      </c>
      <c r="S100" t="s">
        <v>4877</v>
      </c>
      <c r="T100" s="161">
        <v>45565</v>
      </c>
      <c r="U100" s="131">
        <v>205.51</v>
      </c>
      <c r="V100" s="131">
        <v>4.1524000000000001</v>
      </c>
      <c r="W100" s="131">
        <f t="shared" si="1"/>
        <v>28954.846713623432</v>
      </c>
      <c r="X100" s="131">
        <v>247.089</v>
      </c>
      <c r="Y100" s="132">
        <v>4.7280000000000003E-2</v>
      </c>
      <c r="Z100" s="132">
        <v>2.1099999999999999E-3</v>
      </c>
    </row>
    <row r="101" spans="1:26">
      <c r="A101" t="s">
        <v>1213</v>
      </c>
      <c r="B101" t="s">
        <v>1253</v>
      </c>
      <c r="C101" t="s">
        <v>4928</v>
      </c>
      <c r="D101" t="s">
        <v>4929</v>
      </c>
      <c r="E101" t="s">
        <v>80</v>
      </c>
      <c r="F101" t="s">
        <v>4928</v>
      </c>
      <c r="G101" t="s">
        <v>4930</v>
      </c>
      <c r="H101" t="s">
        <v>312</v>
      </c>
      <c r="I101" t="s">
        <v>765</v>
      </c>
      <c r="J101" t="s">
        <v>205</v>
      </c>
      <c r="K101" t="s">
        <v>281</v>
      </c>
      <c r="L101" s="109" t="s">
        <v>326</v>
      </c>
      <c r="M101" t="s">
        <v>465</v>
      </c>
      <c r="N101" t="s">
        <v>339</v>
      </c>
      <c r="O101" t="s">
        <v>4931</v>
      </c>
      <c r="P101" t="s">
        <v>1218</v>
      </c>
      <c r="Q101" t="s">
        <v>314</v>
      </c>
      <c r="R101" t="s">
        <v>889</v>
      </c>
      <c r="S101" t="s">
        <v>4932</v>
      </c>
      <c r="T101" s="161">
        <v>45565</v>
      </c>
      <c r="U101" s="131">
        <v>98682</v>
      </c>
      <c r="V101" s="131">
        <v>4.1524000000000001</v>
      </c>
      <c r="W101" s="131">
        <f t="shared" si="1"/>
        <v>20.08970281093562</v>
      </c>
      <c r="X101" s="131">
        <v>82.320999999999998</v>
      </c>
      <c r="Y101" s="132">
        <v>1.575E-2</v>
      </c>
      <c r="Z101" s="132">
        <v>6.9999999999999999E-4</v>
      </c>
    </row>
    <row r="102" spans="1:26">
      <c r="A102" t="s">
        <v>1213</v>
      </c>
      <c r="B102" t="s">
        <v>1253</v>
      </c>
      <c r="C102" t="s">
        <v>4871</v>
      </c>
      <c r="D102" t="s">
        <v>4872</v>
      </c>
      <c r="E102" t="s">
        <v>309</v>
      </c>
      <c r="F102" t="s">
        <v>4884</v>
      </c>
      <c r="G102" t="s">
        <v>4885</v>
      </c>
      <c r="H102" t="s">
        <v>312</v>
      </c>
      <c r="I102" t="s">
        <v>765</v>
      </c>
      <c r="J102" t="s">
        <v>205</v>
      </c>
      <c r="K102" t="s">
        <v>204</v>
      </c>
      <c r="L102" s="109" t="s">
        <v>326</v>
      </c>
      <c r="M102" t="s">
        <v>541</v>
      </c>
      <c r="N102" t="s">
        <v>339</v>
      </c>
      <c r="O102" t="s">
        <v>4875</v>
      </c>
      <c r="P102" t="s">
        <v>1218</v>
      </c>
      <c r="Q102" t="s">
        <v>887</v>
      </c>
      <c r="R102" t="s">
        <v>889</v>
      </c>
      <c r="S102" t="s">
        <v>4886</v>
      </c>
      <c r="T102" s="161">
        <v>45565</v>
      </c>
      <c r="U102" s="131">
        <v>20561.63</v>
      </c>
      <c r="V102" s="131">
        <v>4.1524000000000001</v>
      </c>
      <c r="W102" s="131">
        <f t="shared" si="1"/>
        <v>63.188017063816183</v>
      </c>
      <c r="X102" s="131">
        <v>53.95</v>
      </c>
      <c r="Y102" s="132">
        <v>1.0319999999999999E-2</v>
      </c>
      <c r="Z102" s="132">
        <v>4.6000000000000001E-4</v>
      </c>
    </row>
    <row r="103" spans="1:26">
      <c r="A103" t="s">
        <v>1213</v>
      </c>
      <c r="B103" t="s">
        <v>1257</v>
      </c>
      <c r="C103" t="s">
        <v>4893</v>
      </c>
      <c r="D103" t="s">
        <v>4894</v>
      </c>
      <c r="E103" t="s">
        <v>309</v>
      </c>
      <c r="F103" t="s">
        <v>4895</v>
      </c>
      <c r="G103" t="s">
        <v>4896</v>
      </c>
      <c r="H103" t="s">
        <v>312</v>
      </c>
      <c r="I103" t="s">
        <v>765</v>
      </c>
      <c r="J103" t="s">
        <v>204</v>
      </c>
      <c r="K103" t="s">
        <v>204</v>
      </c>
      <c r="L103" s="109" t="s">
        <v>326</v>
      </c>
      <c r="M103" t="s">
        <v>478</v>
      </c>
      <c r="N103" t="s">
        <v>339</v>
      </c>
      <c r="O103" t="s">
        <v>4897</v>
      </c>
      <c r="P103" t="s">
        <v>1216</v>
      </c>
      <c r="Q103" t="s">
        <v>887</v>
      </c>
      <c r="R103" t="s">
        <v>889</v>
      </c>
      <c r="S103" t="s">
        <v>4898</v>
      </c>
      <c r="T103" s="161">
        <v>45565</v>
      </c>
      <c r="U103" s="131">
        <v>138513.19</v>
      </c>
      <c r="V103" s="131">
        <v>3.71</v>
      </c>
      <c r="W103" s="131">
        <f t="shared" si="1"/>
        <v>376.95535284187383</v>
      </c>
      <c r="X103" s="131">
        <v>1937.1130000000001</v>
      </c>
      <c r="Y103" s="132">
        <v>0.19588</v>
      </c>
      <c r="Z103" s="132">
        <v>7.11E-3</v>
      </c>
    </row>
    <row r="104" spans="1:26">
      <c r="A104" t="s">
        <v>1213</v>
      </c>
      <c r="B104" t="s">
        <v>1257</v>
      </c>
      <c r="C104" t="s">
        <v>4899</v>
      </c>
      <c r="D104" t="s">
        <v>4900</v>
      </c>
      <c r="E104" t="s">
        <v>309</v>
      </c>
      <c r="F104" t="s">
        <v>4901</v>
      </c>
      <c r="G104" t="s">
        <v>4902</v>
      </c>
      <c r="H104" t="s">
        <v>312</v>
      </c>
      <c r="I104" t="s">
        <v>765</v>
      </c>
      <c r="J104" t="s">
        <v>204</v>
      </c>
      <c r="K104" t="s">
        <v>204</v>
      </c>
      <c r="L104" s="109" t="s">
        <v>326</v>
      </c>
      <c r="M104" t="s">
        <v>464</v>
      </c>
      <c r="N104" t="s">
        <v>339</v>
      </c>
      <c r="O104" t="s">
        <v>4903</v>
      </c>
      <c r="P104" t="s">
        <v>1212</v>
      </c>
      <c r="Q104" t="s">
        <v>314</v>
      </c>
      <c r="R104" t="s">
        <v>889</v>
      </c>
      <c r="S104" t="s">
        <v>4737</v>
      </c>
      <c r="T104" s="161">
        <v>45565</v>
      </c>
      <c r="U104" s="131">
        <v>99.59</v>
      </c>
      <c r="V104" s="131">
        <v>1</v>
      </c>
      <c r="W104" s="131">
        <f t="shared" si="1"/>
        <v>1895087.8602269301</v>
      </c>
      <c r="X104" s="131">
        <v>1887.318</v>
      </c>
      <c r="Y104" s="132">
        <v>0.19084000000000001</v>
      </c>
      <c r="Z104" s="132">
        <v>6.9300000000000004E-3</v>
      </c>
    </row>
    <row r="105" spans="1:26">
      <c r="A105" t="s">
        <v>1213</v>
      </c>
      <c r="B105" t="s">
        <v>1257</v>
      </c>
      <c r="C105" t="s">
        <v>4904</v>
      </c>
      <c r="D105" t="s">
        <v>4905</v>
      </c>
      <c r="E105" t="s">
        <v>309</v>
      </c>
      <c r="F105" t="s">
        <v>4906</v>
      </c>
      <c r="G105" t="s">
        <v>4907</v>
      </c>
      <c r="H105" t="s">
        <v>312</v>
      </c>
      <c r="I105" t="s">
        <v>765</v>
      </c>
      <c r="J105" t="s">
        <v>204</v>
      </c>
      <c r="K105" t="s">
        <v>204</v>
      </c>
      <c r="L105" s="109" t="s">
        <v>326</v>
      </c>
      <c r="M105" t="s">
        <v>462</v>
      </c>
      <c r="N105" t="s">
        <v>339</v>
      </c>
      <c r="O105" t="s">
        <v>4908</v>
      </c>
      <c r="P105" t="s">
        <v>1216</v>
      </c>
      <c r="Q105" t="s">
        <v>314</v>
      </c>
      <c r="R105" t="s">
        <v>889</v>
      </c>
      <c r="S105" t="s">
        <v>4909</v>
      </c>
      <c r="T105" s="161">
        <v>45565</v>
      </c>
      <c r="U105" s="131">
        <v>555</v>
      </c>
      <c r="V105" s="131">
        <v>3.71</v>
      </c>
      <c r="W105" s="131">
        <f t="shared" si="1"/>
        <v>69959.7387144557</v>
      </c>
      <c r="X105" s="131">
        <v>1440.5060000000001</v>
      </c>
      <c r="Y105" s="132">
        <v>0.14566000000000001</v>
      </c>
      <c r="Z105" s="132">
        <v>5.2900000000000004E-3</v>
      </c>
    </row>
    <row r="106" spans="1:26">
      <c r="A106" t="s">
        <v>1213</v>
      </c>
      <c r="B106" t="s">
        <v>1257</v>
      </c>
      <c r="C106" t="s">
        <v>4915</v>
      </c>
      <c r="D106" t="s">
        <v>4916</v>
      </c>
      <c r="E106" t="s">
        <v>309</v>
      </c>
      <c r="F106" t="s">
        <v>4917</v>
      </c>
      <c r="G106" t="s">
        <v>4918</v>
      </c>
      <c r="H106" t="s">
        <v>312</v>
      </c>
      <c r="I106" t="s">
        <v>765</v>
      </c>
      <c r="J106" t="s">
        <v>204</v>
      </c>
      <c r="K106" t="s">
        <v>204</v>
      </c>
      <c r="L106" s="109" t="s">
        <v>326</v>
      </c>
      <c r="M106" t="s">
        <v>446</v>
      </c>
      <c r="N106" t="s">
        <v>339</v>
      </c>
      <c r="O106" t="s">
        <v>4919</v>
      </c>
      <c r="P106" t="s">
        <v>1216</v>
      </c>
      <c r="Q106" t="s">
        <v>887</v>
      </c>
      <c r="R106" t="s">
        <v>889</v>
      </c>
      <c r="S106" t="s">
        <v>4920</v>
      </c>
      <c r="T106" s="161">
        <v>45565</v>
      </c>
      <c r="U106" s="131">
        <v>85908.9</v>
      </c>
      <c r="V106" s="131">
        <v>3.71</v>
      </c>
      <c r="W106" s="131">
        <f t="shared" si="1"/>
        <v>428.05702733704135</v>
      </c>
      <c r="X106" s="131">
        <v>1364.3119999999999</v>
      </c>
      <c r="Y106" s="132">
        <v>0.13796</v>
      </c>
      <c r="Z106" s="132">
        <v>5.0099999999999997E-3</v>
      </c>
    </row>
    <row r="107" spans="1:26">
      <c r="A107" t="s">
        <v>1213</v>
      </c>
      <c r="B107" t="s">
        <v>1257</v>
      </c>
      <c r="C107" t="s">
        <v>4910</v>
      </c>
      <c r="D107" t="s">
        <v>4911</v>
      </c>
      <c r="E107" t="s">
        <v>309</v>
      </c>
      <c r="F107" t="s">
        <v>4910</v>
      </c>
      <c r="G107" t="s">
        <v>4912</v>
      </c>
      <c r="H107" t="s">
        <v>312</v>
      </c>
      <c r="I107" t="s">
        <v>765</v>
      </c>
      <c r="J107" t="s">
        <v>204</v>
      </c>
      <c r="K107" t="s">
        <v>204</v>
      </c>
      <c r="L107" s="109" t="s">
        <v>326</v>
      </c>
      <c r="M107" t="s">
        <v>464</v>
      </c>
      <c r="N107" t="s">
        <v>339</v>
      </c>
      <c r="O107" t="s">
        <v>4913</v>
      </c>
      <c r="P107" t="s">
        <v>1212</v>
      </c>
      <c r="Q107" t="s">
        <v>887</v>
      </c>
      <c r="R107" t="s">
        <v>889</v>
      </c>
      <c r="S107" t="s">
        <v>4914</v>
      </c>
      <c r="T107" s="161">
        <v>45565</v>
      </c>
      <c r="U107" s="131">
        <v>19509</v>
      </c>
      <c r="V107" s="131">
        <v>1</v>
      </c>
      <c r="W107" s="131">
        <f t="shared" si="1"/>
        <v>5588.246450356246</v>
      </c>
      <c r="X107" s="131">
        <v>1090.211</v>
      </c>
      <c r="Y107" s="132">
        <v>0.11024</v>
      </c>
      <c r="Z107" s="132">
        <v>4.0000000000000001E-3</v>
      </c>
    </row>
    <row r="108" spans="1:26">
      <c r="A108" t="s">
        <v>1213</v>
      </c>
      <c r="B108" t="s">
        <v>1257</v>
      </c>
      <c r="C108" t="s">
        <v>4904</v>
      </c>
      <c r="D108" t="s">
        <v>4905</v>
      </c>
      <c r="E108" t="s">
        <v>309</v>
      </c>
      <c r="F108" t="s">
        <v>4921</v>
      </c>
      <c r="G108" t="s">
        <v>4922</v>
      </c>
      <c r="H108" t="s">
        <v>312</v>
      </c>
      <c r="I108" t="s">
        <v>765</v>
      </c>
      <c r="J108" t="s">
        <v>204</v>
      </c>
      <c r="K108" t="s">
        <v>204</v>
      </c>
      <c r="L108" s="109" t="s">
        <v>326</v>
      </c>
      <c r="M108" t="s">
        <v>462</v>
      </c>
      <c r="N108" t="s">
        <v>339</v>
      </c>
      <c r="O108" t="s">
        <v>4923</v>
      </c>
      <c r="P108" t="s">
        <v>1216</v>
      </c>
      <c r="Q108" t="s">
        <v>314</v>
      </c>
      <c r="R108" t="s">
        <v>889</v>
      </c>
      <c r="S108" t="s">
        <v>4909</v>
      </c>
      <c r="T108" s="161">
        <v>45565</v>
      </c>
      <c r="U108" s="131">
        <v>243</v>
      </c>
      <c r="V108" s="131">
        <v>3.71</v>
      </c>
      <c r="W108" s="131">
        <f t="shared" si="1"/>
        <v>72042.084012733903</v>
      </c>
      <c r="X108" s="131">
        <v>649.48099999999999</v>
      </c>
      <c r="Y108" s="132">
        <v>6.5680000000000002E-2</v>
      </c>
      <c r="Z108" s="132">
        <v>2.3800000000000002E-3</v>
      </c>
    </row>
    <row r="109" spans="1:26">
      <c r="A109" t="s">
        <v>1213</v>
      </c>
      <c r="B109" t="s">
        <v>1257</v>
      </c>
      <c r="C109" t="s">
        <v>3330</v>
      </c>
      <c r="D109" t="s">
        <v>3331</v>
      </c>
      <c r="E109" t="s">
        <v>80</v>
      </c>
      <c r="F109" t="s">
        <v>4865</v>
      </c>
      <c r="G109" t="s">
        <v>4866</v>
      </c>
      <c r="H109" t="s">
        <v>312</v>
      </c>
      <c r="I109" t="s">
        <v>765</v>
      </c>
      <c r="J109" t="s">
        <v>204</v>
      </c>
      <c r="K109" t="s">
        <v>238</v>
      </c>
      <c r="L109" s="109" t="s">
        <v>326</v>
      </c>
      <c r="M109" t="s">
        <v>464</v>
      </c>
      <c r="N109" t="s">
        <v>339</v>
      </c>
      <c r="O109" t="s">
        <v>4867</v>
      </c>
      <c r="P109" t="s">
        <v>1212</v>
      </c>
      <c r="Q109" t="s">
        <v>314</v>
      </c>
      <c r="R109" t="s">
        <v>889</v>
      </c>
      <c r="S109" t="s">
        <v>4867</v>
      </c>
      <c r="T109" s="161">
        <v>45565</v>
      </c>
      <c r="U109" s="131">
        <v>3.49</v>
      </c>
      <c r="V109" s="131">
        <v>1</v>
      </c>
      <c r="W109" s="131">
        <f t="shared" si="1"/>
        <v>11255128.939828081</v>
      </c>
      <c r="X109" s="131">
        <v>392.80399999999997</v>
      </c>
      <c r="Y109" s="132">
        <v>3.9719999999999998E-2</v>
      </c>
      <c r="Z109" s="132">
        <v>1.4400000000000001E-3</v>
      </c>
    </row>
    <row r="110" spans="1:26">
      <c r="A110" t="s">
        <v>1213</v>
      </c>
      <c r="B110" t="s">
        <v>1257</v>
      </c>
      <c r="C110" t="s">
        <v>3330</v>
      </c>
      <c r="D110" t="s">
        <v>3331</v>
      </c>
      <c r="E110" t="s">
        <v>80</v>
      </c>
      <c r="F110" t="s">
        <v>4868</v>
      </c>
      <c r="G110" t="s">
        <v>4869</v>
      </c>
      <c r="H110" t="s">
        <v>312</v>
      </c>
      <c r="I110" t="s">
        <v>765</v>
      </c>
      <c r="J110" t="s">
        <v>204</v>
      </c>
      <c r="K110" t="s">
        <v>238</v>
      </c>
      <c r="L110" s="109" t="s">
        <v>326</v>
      </c>
      <c r="M110" t="s">
        <v>464</v>
      </c>
      <c r="N110" t="s">
        <v>339</v>
      </c>
      <c r="O110" t="s">
        <v>4870</v>
      </c>
      <c r="P110" t="s">
        <v>1212</v>
      </c>
      <c r="Q110" t="s">
        <v>314</v>
      </c>
      <c r="S110" t="s">
        <v>4870</v>
      </c>
      <c r="T110" s="161">
        <v>45565</v>
      </c>
      <c r="U110" s="131">
        <v>173236.9</v>
      </c>
      <c r="V110" s="131">
        <v>1</v>
      </c>
      <c r="W110" s="131">
        <f t="shared" si="1"/>
        <v>100.00005772442246</v>
      </c>
      <c r="X110" s="131">
        <v>173.23699999999999</v>
      </c>
      <c r="Y110" s="132">
        <v>1.7520000000000001E-2</v>
      </c>
      <c r="Z110" s="132">
        <v>6.4000000000000005E-4</v>
      </c>
    </row>
    <row r="111" spans="1:26">
      <c r="A111" t="s">
        <v>1213</v>
      </c>
      <c r="B111" t="s">
        <v>1257</v>
      </c>
      <c r="C111" t="s">
        <v>3330</v>
      </c>
      <c r="D111" t="s">
        <v>3331</v>
      </c>
      <c r="E111" t="s">
        <v>80</v>
      </c>
      <c r="F111" t="s">
        <v>4878</v>
      </c>
      <c r="G111" t="s">
        <v>4879</v>
      </c>
      <c r="H111" t="s">
        <v>312</v>
      </c>
      <c r="I111" t="s">
        <v>765</v>
      </c>
      <c r="J111" t="s">
        <v>204</v>
      </c>
      <c r="K111" t="s">
        <v>238</v>
      </c>
      <c r="L111" s="109" t="s">
        <v>326</v>
      </c>
      <c r="M111" t="s">
        <v>464</v>
      </c>
      <c r="N111" t="s">
        <v>339</v>
      </c>
      <c r="O111" t="s">
        <v>4867</v>
      </c>
      <c r="P111" t="s">
        <v>1212</v>
      </c>
      <c r="Q111" t="s">
        <v>314</v>
      </c>
      <c r="R111" t="s">
        <v>889</v>
      </c>
      <c r="S111" t="s">
        <v>4867</v>
      </c>
      <c r="T111" s="161">
        <v>45565</v>
      </c>
      <c r="U111" s="131">
        <v>83332</v>
      </c>
      <c r="V111" s="131">
        <v>1</v>
      </c>
      <c r="W111" s="131">
        <f t="shared" si="1"/>
        <v>100</v>
      </c>
      <c r="X111" s="131">
        <v>83.331999999999994</v>
      </c>
      <c r="Y111" s="132">
        <v>8.43E-3</v>
      </c>
      <c r="Z111" s="132">
        <v>3.1E-4</v>
      </c>
    </row>
    <row r="112" spans="1:26">
      <c r="A112" t="s">
        <v>1213</v>
      </c>
      <c r="B112" t="s">
        <v>1257</v>
      </c>
      <c r="C112" t="s">
        <v>4871</v>
      </c>
      <c r="D112" t="s">
        <v>4872</v>
      </c>
      <c r="E112" t="s">
        <v>309</v>
      </c>
      <c r="F112" t="s">
        <v>4873</v>
      </c>
      <c r="G112" t="s">
        <v>4874</v>
      </c>
      <c r="H112" t="s">
        <v>312</v>
      </c>
      <c r="I112" t="s">
        <v>765</v>
      </c>
      <c r="J112" t="s">
        <v>204</v>
      </c>
      <c r="K112" t="s">
        <v>204</v>
      </c>
      <c r="L112" s="109" t="s">
        <v>326</v>
      </c>
      <c r="M112" t="s">
        <v>461</v>
      </c>
      <c r="N112" t="s">
        <v>339</v>
      </c>
      <c r="O112" t="s">
        <v>4875</v>
      </c>
      <c r="P112" t="s">
        <v>1212</v>
      </c>
      <c r="Q112" t="s">
        <v>887</v>
      </c>
      <c r="R112" t="s">
        <v>889</v>
      </c>
      <c r="S112" t="s">
        <v>4876</v>
      </c>
      <c r="T112" s="161">
        <v>45565</v>
      </c>
      <c r="U112" s="131">
        <v>1</v>
      </c>
      <c r="V112" s="131">
        <v>1</v>
      </c>
      <c r="W112" s="131">
        <f t="shared" si="1"/>
        <v>7094000</v>
      </c>
      <c r="X112" s="131">
        <v>70.94</v>
      </c>
      <c r="Y112" s="132">
        <v>7.1700000000000002E-3</v>
      </c>
      <c r="Z112" s="132">
        <v>2.5999999999999998E-4</v>
      </c>
    </row>
    <row r="113" spans="1:26">
      <c r="A113" t="s">
        <v>1213</v>
      </c>
      <c r="B113" t="s">
        <v>1257</v>
      </c>
      <c r="C113" t="s">
        <v>3789</v>
      </c>
      <c r="D113" t="s">
        <v>3790</v>
      </c>
      <c r="E113" t="s">
        <v>309</v>
      </c>
      <c r="F113" t="s">
        <v>4880</v>
      </c>
      <c r="G113" t="s">
        <v>4881</v>
      </c>
      <c r="H113" t="s">
        <v>312</v>
      </c>
      <c r="I113" t="s">
        <v>765</v>
      </c>
      <c r="J113" t="s">
        <v>204</v>
      </c>
      <c r="K113" t="s">
        <v>204</v>
      </c>
      <c r="L113" s="109" t="s">
        <v>326</v>
      </c>
      <c r="M113" t="s">
        <v>450</v>
      </c>
      <c r="N113" t="s">
        <v>339</v>
      </c>
      <c r="O113" t="s">
        <v>4882</v>
      </c>
      <c r="P113" t="s">
        <v>1212</v>
      </c>
      <c r="Q113" t="s">
        <v>314</v>
      </c>
      <c r="S113" t="s">
        <v>4883</v>
      </c>
      <c r="T113" s="161">
        <v>45565</v>
      </c>
      <c r="U113" s="131">
        <v>160</v>
      </c>
      <c r="V113" s="131">
        <v>1</v>
      </c>
      <c r="W113" s="131">
        <f t="shared" si="1"/>
        <v>0</v>
      </c>
      <c r="X113" s="131">
        <v>0</v>
      </c>
    </row>
    <row r="114" spans="1:26">
      <c r="A114" t="s">
        <v>1213</v>
      </c>
      <c r="B114" t="s">
        <v>1257</v>
      </c>
      <c r="C114" t="s">
        <v>4924</v>
      </c>
      <c r="D114" t="s">
        <v>4925</v>
      </c>
      <c r="E114" t="s">
        <v>80</v>
      </c>
      <c r="F114" t="s">
        <v>4924</v>
      </c>
      <c r="G114" t="s">
        <v>4926</v>
      </c>
      <c r="H114" t="s">
        <v>312</v>
      </c>
      <c r="I114" t="s">
        <v>765</v>
      </c>
      <c r="J114" t="s">
        <v>205</v>
      </c>
      <c r="K114" t="s">
        <v>238</v>
      </c>
      <c r="L114" s="109" t="s">
        <v>326</v>
      </c>
      <c r="M114" t="s">
        <v>541</v>
      </c>
      <c r="N114" t="s">
        <v>339</v>
      </c>
      <c r="O114" t="s">
        <v>4927</v>
      </c>
      <c r="P114" t="s">
        <v>1218</v>
      </c>
      <c r="Q114" t="s">
        <v>314</v>
      </c>
      <c r="R114" t="s">
        <v>889</v>
      </c>
      <c r="S114" t="s">
        <v>4877</v>
      </c>
      <c r="T114" s="161">
        <v>45565</v>
      </c>
      <c r="U114" s="131">
        <v>619</v>
      </c>
      <c r="V114" s="131">
        <v>4.1524000000000001</v>
      </c>
      <c r="W114" s="131">
        <f t="shared" si="1"/>
        <v>28954.857101150526</v>
      </c>
      <c r="X114" s="131">
        <v>744.23699999999997</v>
      </c>
      <c r="Y114" s="132">
        <v>7.5259999999999994E-2</v>
      </c>
      <c r="Z114" s="132">
        <v>2.7299999999999998E-3</v>
      </c>
    </row>
    <row r="115" spans="1:26">
      <c r="A115" t="s">
        <v>1213</v>
      </c>
      <c r="B115" t="s">
        <v>1257</v>
      </c>
      <c r="C115" t="s">
        <v>4928</v>
      </c>
      <c r="D115" t="s">
        <v>4929</v>
      </c>
      <c r="E115" t="s">
        <v>80</v>
      </c>
      <c r="F115" t="s">
        <v>4928</v>
      </c>
      <c r="G115" t="s">
        <v>4930</v>
      </c>
      <c r="H115" t="s">
        <v>312</v>
      </c>
      <c r="I115" t="s">
        <v>765</v>
      </c>
      <c r="J115" t="s">
        <v>205</v>
      </c>
      <c r="K115" t="s">
        <v>281</v>
      </c>
      <c r="L115" s="109" t="s">
        <v>326</v>
      </c>
      <c r="M115" t="s">
        <v>465</v>
      </c>
      <c r="N115" t="s">
        <v>339</v>
      </c>
      <c r="O115" t="s">
        <v>4931</v>
      </c>
      <c r="P115" t="s">
        <v>1218</v>
      </c>
      <c r="Q115" t="s">
        <v>314</v>
      </c>
      <c r="R115" t="s">
        <v>889</v>
      </c>
      <c r="S115" t="s">
        <v>4932</v>
      </c>
      <c r="T115" s="161">
        <v>45565</v>
      </c>
      <c r="U115" s="131">
        <v>44407</v>
      </c>
      <c r="V115" s="131">
        <v>4.1524000000000001</v>
      </c>
      <c r="W115" s="131">
        <f t="shared" si="1"/>
        <v>20.089955842705486</v>
      </c>
      <c r="X115" s="131">
        <v>37.045000000000002</v>
      </c>
      <c r="Y115" s="132">
        <v>3.7499999999999999E-3</v>
      </c>
      <c r="Z115" s="132">
        <v>1.3999999999999999E-4</v>
      </c>
    </row>
    <row r="116" spans="1:26">
      <c r="A116" t="s">
        <v>1213</v>
      </c>
      <c r="B116" t="s">
        <v>1257</v>
      </c>
      <c r="C116" t="s">
        <v>4871</v>
      </c>
      <c r="D116" t="s">
        <v>4872</v>
      </c>
      <c r="E116" t="s">
        <v>309</v>
      </c>
      <c r="F116" t="s">
        <v>4884</v>
      </c>
      <c r="G116" t="s">
        <v>4885</v>
      </c>
      <c r="H116" t="s">
        <v>312</v>
      </c>
      <c r="I116" t="s">
        <v>765</v>
      </c>
      <c r="J116" t="s">
        <v>205</v>
      </c>
      <c r="K116" t="s">
        <v>204</v>
      </c>
      <c r="L116" s="109" t="s">
        <v>326</v>
      </c>
      <c r="M116" t="s">
        <v>541</v>
      </c>
      <c r="N116" t="s">
        <v>339</v>
      </c>
      <c r="O116" t="s">
        <v>4875</v>
      </c>
      <c r="P116" t="s">
        <v>1218</v>
      </c>
      <c r="Q116" t="s">
        <v>887</v>
      </c>
      <c r="R116" t="s">
        <v>889</v>
      </c>
      <c r="S116" t="s">
        <v>4886</v>
      </c>
      <c r="T116" s="161">
        <v>45565</v>
      </c>
      <c r="U116" s="131">
        <v>7149.44</v>
      </c>
      <c r="V116" s="131">
        <v>4.1524000000000001</v>
      </c>
      <c r="W116" s="131">
        <f t="shared" si="1"/>
        <v>63.188562453883634</v>
      </c>
      <c r="X116" s="131">
        <v>18.759</v>
      </c>
      <c r="Y116" s="132">
        <v>1.9E-3</v>
      </c>
      <c r="Z116" s="132">
        <v>6.9999999999999994E-5</v>
      </c>
    </row>
    <row r="117" spans="1:26">
      <c r="A117" t="s">
        <v>1213</v>
      </c>
      <c r="B117" t="s">
        <v>1214</v>
      </c>
    </row>
    <row r="118" spans="1:26">
      <c r="A118" t="s">
        <v>1213</v>
      </c>
      <c r="B118" t="s">
        <v>1217</v>
      </c>
    </row>
    <row r="119" spans="1:26">
      <c r="A119" t="s">
        <v>1213</v>
      </c>
      <c r="B119" t="s">
        <v>1220</v>
      </c>
    </row>
    <row r="120" spans="1:26">
      <c r="A120" t="s">
        <v>1213</v>
      </c>
      <c r="B120" t="s">
        <v>1221</v>
      </c>
    </row>
    <row r="121" spans="1:26">
      <c r="A121" t="s">
        <v>1213</v>
      </c>
      <c r="B121" t="s">
        <v>1222</v>
      </c>
    </row>
    <row r="122" spans="1:26">
      <c r="A122" t="s">
        <v>1213</v>
      </c>
      <c r="B122" t="s">
        <v>1223</v>
      </c>
    </row>
    <row r="123" spans="1:26">
      <c r="A123" t="s">
        <v>1213</v>
      </c>
      <c r="B123" t="s">
        <v>1224</v>
      </c>
    </row>
    <row r="124" spans="1:26">
      <c r="A124" t="s">
        <v>1213</v>
      </c>
      <c r="B124" t="s">
        <v>1225</v>
      </c>
    </row>
    <row r="125" spans="1:26">
      <c r="A125" t="s">
        <v>1213</v>
      </c>
      <c r="B125" t="s">
        <v>1230</v>
      </c>
    </row>
    <row r="126" spans="1:26">
      <c r="A126" t="s">
        <v>1213</v>
      </c>
      <c r="B126" t="s">
        <v>1231</v>
      </c>
    </row>
    <row r="127" spans="1:26">
      <c r="A127" t="s">
        <v>1213</v>
      </c>
      <c r="B127" t="s">
        <v>1232</v>
      </c>
    </row>
    <row r="128" spans="1:26">
      <c r="A128" t="s">
        <v>1213</v>
      </c>
      <c r="B128" t="s">
        <v>1233</v>
      </c>
    </row>
    <row r="129" spans="1:2">
      <c r="A129" t="s">
        <v>1213</v>
      </c>
      <c r="B129" t="s">
        <v>1234</v>
      </c>
    </row>
    <row r="130" spans="1:2">
      <c r="A130" t="s">
        <v>1213</v>
      </c>
      <c r="B130" t="s">
        <v>1244</v>
      </c>
    </row>
    <row r="131" spans="1:2">
      <c r="A131" t="s">
        <v>1213</v>
      </c>
      <c r="B131">
        <v>15108</v>
      </c>
    </row>
    <row r="132" spans="1:2">
      <c r="A132" t="s">
        <v>1213</v>
      </c>
      <c r="B132" t="s">
        <v>1247</v>
      </c>
    </row>
    <row r="133" spans="1:2">
      <c r="A133" t="s">
        <v>1213</v>
      </c>
      <c r="B133" t="s">
        <v>1248</v>
      </c>
    </row>
    <row r="134" spans="1:2">
      <c r="A134" t="s">
        <v>1213</v>
      </c>
      <c r="B134" t="s">
        <v>1250</v>
      </c>
    </row>
    <row r="135" spans="1:2">
      <c r="A135" t="s">
        <v>1213</v>
      </c>
      <c r="B135" t="s">
        <v>1254</v>
      </c>
    </row>
    <row r="136" spans="1:2">
      <c r="A136" t="s">
        <v>1213</v>
      </c>
      <c r="B136" t="s">
        <v>1255</v>
      </c>
    </row>
    <row r="137" spans="1:2">
      <c r="A137" t="s">
        <v>1213</v>
      </c>
      <c r="B137" t="s">
        <v>1256</v>
      </c>
    </row>
  </sheetData>
  <sheetProtection formatColumns="0"/>
  <autoFilter ref="A1:AA137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116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3"/>
  <sheetViews>
    <sheetView rightToLeft="1" topLeftCell="O1" workbookViewId="0">
      <selection activeCell="AG20" sqref="AG20"/>
    </sheetView>
  </sheetViews>
  <sheetFormatPr defaultColWidth="9" defaultRowHeight="14.25"/>
  <cols>
    <col min="1" max="5" width="11.625" style="2" customWidth="1"/>
    <col min="6" max="6" width="35.5" style="2" bestFit="1" customWidth="1"/>
    <col min="7" max="15" width="11.625" style="2" customWidth="1"/>
    <col min="16" max="16" width="11.625" customWidth="1"/>
    <col min="17" max="26" width="11.625" style="2" customWidth="1"/>
    <col min="27" max="16384" width="9" style="2"/>
  </cols>
  <sheetData>
    <row r="1" spans="1:27" ht="66.75" customHeight="1">
      <c r="A1" s="17" t="s">
        <v>49</v>
      </c>
      <c r="B1" s="17" t="s">
        <v>50</v>
      </c>
      <c r="C1" s="17" t="s">
        <v>108</v>
      </c>
      <c r="D1" s="17" t="s">
        <v>109</v>
      </c>
      <c r="E1" s="17" t="s">
        <v>110</v>
      </c>
      <c r="F1" s="17" t="s">
        <v>111</v>
      </c>
      <c r="G1" s="17" t="s">
        <v>112</v>
      </c>
      <c r="H1" s="17" t="s">
        <v>113</v>
      </c>
      <c r="I1" s="17" t="s">
        <v>54</v>
      </c>
      <c r="J1" s="17" t="s">
        <v>114</v>
      </c>
      <c r="K1" s="17" t="s">
        <v>55</v>
      </c>
      <c r="L1" s="17" t="s">
        <v>115</v>
      </c>
      <c r="M1" s="17" t="s">
        <v>116</v>
      </c>
      <c r="N1" s="17" t="s">
        <v>69</v>
      </c>
      <c r="O1" s="17" t="s">
        <v>56</v>
      </c>
      <c r="P1" s="24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61</v>
      </c>
      <c r="V1" s="87" t="s">
        <v>117</v>
      </c>
      <c r="W1" s="17" t="s">
        <v>63</v>
      </c>
      <c r="X1" s="17" t="s">
        <v>118</v>
      </c>
      <c r="Y1" s="17" t="s">
        <v>64</v>
      </c>
      <c r="Z1" s="17" t="s">
        <v>65</v>
      </c>
      <c r="AA1" s="108"/>
    </row>
    <row r="2" spans="1:27">
      <c r="A2" t="s">
        <v>1213</v>
      </c>
      <c r="B2" t="s">
        <v>1214</v>
      </c>
      <c r="C2" t="s">
        <v>4939</v>
      </c>
      <c r="D2" t="s">
        <v>4940</v>
      </c>
      <c r="E2" t="s">
        <v>309</v>
      </c>
      <c r="F2" t="s">
        <v>4941</v>
      </c>
      <c r="G2" s="108">
        <v>742521</v>
      </c>
      <c r="H2" t="s">
        <v>314</v>
      </c>
      <c r="I2" t="s">
        <v>1003</v>
      </c>
      <c r="J2" t="s">
        <v>839</v>
      </c>
      <c r="K2" s="16"/>
      <c r="L2" t="s">
        <v>204</v>
      </c>
      <c r="M2" t="s">
        <v>204</v>
      </c>
      <c r="N2" t="s">
        <v>204</v>
      </c>
      <c r="O2" t="s">
        <v>339</v>
      </c>
      <c r="P2" s="162">
        <v>45036</v>
      </c>
      <c r="Q2" t="s">
        <v>1212</v>
      </c>
      <c r="R2" t="s">
        <v>885</v>
      </c>
      <c r="S2" t="s">
        <v>889</v>
      </c>
      <c r="T2" t="s">
        <v>4942</v>
      </c>
      <c r="U2" s="131">
        <v>1</v>
      </c>
      <c r="V2" s="131">
        <v>748.303</v>
      </c>
      <c r="W2" s="131">
        <v>748.303</v>
      </c>
      <c r="X2" s="163">
        <v>1.95E-2</v>
      </c>
      <c r="Y2" s="132">
        <v>1</v>
      </c>
      <c r="Z2" s="132">
        <v>7.0299999999999998E-3</v>
      </c>
      <c r="AA2" s="108"/>
    </row>
    <row r="3" spans="1:27">
      <c r="A3" t="s">
        <v>1213</v>
      </c>
      <c r="B3" t="s">
        <v>1217</v>
      </c>
      <c r="C3" t="s">
        <v>4939</v>
      </c>
      <c r="D3" t="s">
        <v>4940</v>
      </c>
      <c r="E3" t="s">
        <v>309</v>
      </c>
      <c r="F3" t="s">
        <v>4941</v>
      </c>
      <c r="G3" s="108">
        <v>742521</v>
      </c>
      <c r="H3" t="s">
        <v>314</v>
      </c>
      <c r="I3" t="s">
        <v>1003</v>
      </c>
      <c r="J3" t="s">
        <v>839</v>
      </c>
      <c r="K3" s="16"/>
      <c r="L3" t="s">
        <v>204</v>
      </c>
      <c r="M3" t="s">
        <v>204</v>
      </c>
      <c r="N3" t="s">
        <v>204</v>
      </c>
      <c r="O3" t="s">
        <v>339</v>
      </c>
      <c r="P3" s="162">
        <v>45036</v>
      </c>
      <c r="Q3" t="s">
        <v>1212</v>
      </c>
      <c r="R3" t="s">
        <v>885</v>
      </c>
      <c r="S3" t="s">
        <v>889</v>
      </c>
      <c r="T3" t="s">
        <v>4942</v>
      </c>
      <c r="U3" s="131">
        <v>1</v>
      </c>
      <c r="V3" s="131">
        <v>3660.1770000000001</v>
      </c>
      <c r="W3" s="131">
        <v>3660.1770000000001</v>
      </c>
      <c r="X3" s="163">
        <v>1.95E-2</v>
      </c>
      <c r="Y3" s="132">
        <v>0.61292999999999997</v>
      </c>
      <c r="Z3" s="132">
        <v>3.3899999999999998E-3</v>
      </c>
      <c r="AA3" s="108"/>
    </row>
    <row r="4" spans="1:27">
      <c r="A4" t="s">
        <v>1213</v>
      </c>
      <c r="B4" t="s">
        <v>1217</v>
      </c>
      <c r="C4" s="109"/>
      <c r="D4" t="s">
        <v>4943</v>
      </c>
      <c r="E4" t="s">
        <v>309</v>
      </c>
      <c r="F4" t="s">
        <v>4944</v>
      </c>
      <c r="G4" s="108">
        <v>74254</v>
      </c>
      <c r="H4" t="s">
        <v>314</v>
      </c>
      <c r="I4" t="s">
        <v>1000</v>
      </c>
      <c r="J4" t="s">
        <v>845</v>
      </c>
      <c r="K4" t="s">
        <v>204</v>
      </c>
      <c r="L4" t="s">
        <v>204</v>
      </c>
      <c r="M4" t="s">
        <v>204</v>
      </c>
      <c r="N4" t="s">
        <v>204</v>
      </c>
      <c r="O4" t="s">
        <v>339</v>
      </c>
      <c r="P4" s="162">
        <v>45124</v>
      </c>
      <c r="Q4" t="s">
        <v>1216</v>
      </c>
      <c r="R4" t="s">
        <v>885</v>
      </c>
      <c r="S4" t="s">
        <v>889</v>
      </c>
      <c r="T4" t="s">
        <v>4945</v>
      </c>
      <c r="U4" s="131">
        <v>3.71</v>
      </c>
      <c r="V4" s="131">
        <v>307.089</v>
      </c>
      <c r="W4" s="131">
        <v>1139.3</v>
      </c>
      <c r="X4" s="163">
        <v>7.0800000000000002E-2</v>
      </c>
      <c r="Y4" s="132">
        <v>0.19078999999999999</v>
      </c>
      <c r="Z4" s="132">
        <v>1.0499999999999999E-3</v>
      </c>
      <c r="AA4" s="108"/>
    </row>
    <row r="5" spans="1:27">
      <c r="A5" t="s">
        <v>1213</v>
      </c>
      <c r="B5" t="s">
        <v>1217</v>
      </c>
      <c r="C5" s="109"/>
      <c r="D5" t="s">
        <v>4946</v>
      </c>
      <c r="E5" t="s">
        <v>311</v>
      </c>
      <c r="F5" t="s">
        <v>4947</v>
      </c>
      <c r="G5" s="108">
        <v>74253</v>
      </c>
      <c r="H5" t="s">
        <v>314</v>
      </c>
      <c r="I5" t="s">
        <v>1005</v>
      </c>
      <c r="J5" t="s">
        <v>833</v>
      </c>
      <c r="K5" t="s">
        <v>205</v>
      </c>
      <c r="L5" t="s">
        <v>224</v>
      </c>
      <c r="M5" t="s">
        <v>224</v>
      </c>
      <c r="N5" t="s">
        <v>224</v>
      </c>
      <c r="O5" t="s">
        <v>339</v>
      </c>
      <c r="P5" s="162">
        <v>45098</v>
      </c>
      <c r="Q5" t="s">
        <v>1216</v>
      </c>
      <c r="R5" t="s">
        <v>885</v>
      </c>
      <c r="S5" t="s">
        <v>889</v>
      </c>
      <c r="T5" t="s">
        <v>4942</v>
      </c>
      <c r="U5" s="131">
        <v>3.71</v>
      </c>
      <c r="V5" s="131">
        <v>315.94099999999997</v>
      </c>
      <c r="W5" s="131">
        <v>1172.1420000000001</v>
      </c>
      <c r="X5" s="163">
        <v>4.0000000000000002E-4</v>
      </c>
      <c r="Y5" s="132">
        <v>0.19628999999999999</v>
      </c>
      <c r="Z5" s="132">
        <v>1.08E-3</v>
      </c>
      <c r="AA5" s="108"/>
    </row>
    <row r="6" spans="1:27">
      <c r="A6" t="s">
        <v>1213</v>
      </c>
      <c r="B6" t="s">
        <v>1220</v>
      </c>
      <c r="C6" t="s">
        <v>4939</v>
      </c>
      <c r="D6" t="s">
        <v>4940</v>
      </c>
      <c r="E6" t="s">
        <v>309</v>
      </c>
      <c r="F6" t="s">
        <v>4941</v>
      </c>
      <c r="G6" s="108">
        <v>742521</v>
      </c>
      <c r="H6" t="s">
        <v>314</v>
      </c>
      <c r="I6" t="s">
        <v>1003</v>
      </c>
      <c r="J6" t="s">
        <v>839</v>
      </c>
      <c r="K6" s="16"/>
      <c r="L6" t="s">
        <v>204</v>
      </c>
      <c r="M6" t="s">
        <v>204</v>
      </c>
      <c r="N6" t="s">
        <v>204</v>
      </c>
      <c r="O6" t="s">
        <v>339</v>
      </c>
      <c r="P6" s="162">
        <v>45036</v>
      </c>
      <c r="Q6" t="s">
        <v>1212</v>
      </c>
      <c r="R6" t="s">
        <v>885</v>
      </c>
      <c r="S6" t="s">
        <v>889</v>
      </c>
      <c r="T6" t="s">
        <v>4942</v>
      </c>
      <c r="U6" s="131">
        <v>1</v>
      </c>
      <c r="V6" s="131">
        <v>357.88400000000001</v>
      </c>
      <c r="W6" s="131">
        <v>357.88400000000001</v>
      </c>
      <c r="X6" s="163">
        <v>1.95E-2</v>
      </c>
      <c r="Y6" s="132">
        <v>0.32269999999999999</v>
      </c>
      <c r="Z6" s="132">
        <v>1.58E-3</v>
      </c>
      <c r="AA6" s="108"/>
    </row>
    <row r="7" spans="1:27">
      <c r="A7" t="s">
        <v>1213</v>
      </c>
      <c r="B7" t="s">
        <v>1220</v>
      </c>
      <c r="C7" s="109"/>
      <c r="D7" t="s">
        <v>4943</v>
      </c>
      <c r="E7" t="s">
        <v>309</v>
      </c>
      <c r="F7" t="s">
        <v>4944</v>
      </c>
      <c r="G7" s="108">
        <v>74254</v>
      </c>
      <c r="H7" t="s">
        <v>314</v>
      </c>
      <c r="I7" t="s">
        <v>1000</v>
      </c>
      <c r="J7" t="s">
        <v>845</v>
      </c>
      <c r="K7" t="s">
        <v>204</v>
      </c>
      <c r="L7" t="s">
        <v>204</v>
      </c>
      <c r="M7" t="s">
        <v>204</v>
      </c>
      <c r="N7" t="s">
        <v>204</v>
      </c>
      <c r="O7" t="s">
        <v>339</v>
      </c>
      <c r="P7" s="162">
        <v>45124</v>
      </c>
      <c r="Q7" t="s">
        <v>1216</v>
      </c>
      <c r="R7" t="s">
        <v>885</v>
      </c>
      <c r="S7" t="s">
        <v>889</v>
      </c>
      <c r="T7" t="s">
        <v>4945</v>
      </c>
      <c r="U7" s="131">
        <v>3.71</v>
      </c>
      <c r="V7" s="131">
        <v>135.631</v>
      </c>
      <c r="W7" s="131">
        <v>503.19099999999997</v>
      </c>
      <c r="X7" s="163">
        <v>7.0800000000000002E-2</v>
      </c>
      <c r="Y7" s="132">
        <v>0.45372000000000001</v>
      </c>
      <c r="Z7" s="132">
        <v>2.2100000000000002E-3</v>
      </c>
      <c r="AA7" s="108"/>
    </row>
    <row r="8" spans="1:27">
      <c r="A8" t="s">
        <v>1213</v>
      </c>
      <c r="B8" t="s">
        <v>1220</v>
      </c>
      <c r="C8" s="109"/>
      <c r="D8" t="s">
        <v>4946</v>
      </c>
      <c r="E8" t="s">
        <v>311</v>
      </c>
      <c r="F8" t="s">
        <v>4947</v>
      </c>
      <c r="G8" s="108">
        <v>74253</v>
      </c>
      <c r="H8" t="s">
        <v>314</v>
      </c>
      <c r="I8" t="s">
        <v>1005</v>
      </c>
      <c r="J8" t="s">
        <v>833</v>
      </c>
      <c r="K8" t="s">
        <v>205</v>
      </c>
      <c r="L8" t="s">
        <v>224</v>
      </c>
      <c r="M8" t="s">
        <v>224</v>
      </c>
      <c r="N8" t="s">
        <v>224</v>
      </c>
      <c r="O8" t="s">
        <v>339</v>
      </c>
      <c r="P8" s="162">
        <v>45098</v>
      </c>
      <c r="Q8" t="s">
        <v>1216</v>
      </c>
      <c r="R8" t="s">
        <v>885</v>
      </c>
      <c r="S8" t="s">
        <v>889</v>
      </c>
      <c r="T8" t="s">
        <v>4942</v>
      </c>
      <c r="U8" s="131">
        <v>3.71</v>
      </c>
      <c r="V8" s="131">
        <v>66.834000000000003</v>
      </c>
      <c r="W8" s="131">
        <v>247.953</v>
      </c>
      <c r="X8" s="163">
        <v>4.0000000000000002E-4</v>
      </c>
      <c r="Y8" s="132">
        <v>0.22358</v>
      </c>
      <c r="Z8" s="132">
        <v>1.09E-3</v>
      </c>
      <c r="AA8" s="108"/>
    </row>
    <row r="9" spans="1:27">
      <c r="A9" t="s">
        <v>1213</v>
      </c>
      <c r="B9" t="s">
        <v>1233</v>
      </c>
      <c r="C9" t="s">
        <v>4948</v>
      </c>
      <c r="D9" t="s">
        <v>4949</v>
      </c>
      <c r="E9" t="s">
        <v>313</v>
      </c>
      <c r="F9" t="s">
        <v>4950</v>
      </c>
      <c r="G9" s="108">
        <v>74273</v>
      </c>
      <c r="H9" t="s">
        <v>314</v>
      </c>
      <c r="I9" t="s">
        <v>1003</v>
      </c>
      <c r="J9" t="s">
        <v>836</v>
      </c>
      <c r="K9" s="16"/>
      <c r="L9" t="s">
        <v>217</v>
      </c>
      <c r="M9" t="s">
        <v>217</v>
      </c>
      <c r="N9" t="s">
        <v>224</v>
      </c>
      <c r="O9" t="s">
        <v>339</v>
      </c>
      <c r="P9" s="162">
        <v>45565</v>
      </c>
      <c r="Q9" t="s">
        <v>1216</v>
      </c>
      <c r="R9" t="s">
        <v>885</v>
      </c>
      <c r="S9" t="s">
        <v>889</v>
      </c>
      <c r="T9" t="s">
        <v>4723</v>
      </c>
      <c r="U9" s="131">
        <v>3.71</v>
      </c>
      <c r="V9" s="131">
        <v>1500</v>
      </c>
      <c r="W9" s="131">
        <v>5565</v>
      </c>
      <c r="X9" s="163">
        <v>6.0000000000000001E-3</v>
      </c>
      <c r="Y9" s="132">
        <v>6.905E-2</v>
      </c>
      <c r="Z9" s="132">
        <v>1.4789999999999999E-2</v>
      </c>
      <c r="AA9" s="108"/>
    </row>
    <row r="10" spans="1:27">
      <c r="A10" t="s">
        <v>1213</v>
      </c>
      <c r="B10" t="s">
        <v>1233</v>
      </c>
      <c r="C10" t="s">
        <v>4951</v>
      </c>
      <c r="D10" t="s">
        <v>4952</v>
      </c>
      <c r="E10" t="s">
        <v>309</v>
      </c>
      <c r="F10" t="s">
        <v>4953</v>
      </c>
      <c r="G10" s="108">
        <v>74268</v>
      </c>
      <c r="H10" t="s">
        <v>314</v>
      </c>
      <c r="I10" t="s">
        <v>1003</v>
      </c>
      <c r="J10" t="s">
        <v>836</v>
      </c>
      <c r="K10" t="s">
        <v>204</v>
      </c>
      <c r="L10" t="s">
        <v>204</v>
      </c>
      <c r="M10" t="s">
        <v>204</v>
      </c>
      <c r="N10" t="s">
        <v>204</v>
      </c>
      <c r="O10" t="s">
        <v>339</v>
      </c>
      <c r="P10" s="162">
        <v>45469</v>
      </c>
      <c r="Q10" t="s">
        <v>1212</v>
      </c>
      <c r="R10" t="s">
        <v>885</v>
      </c>
      <c r="S10" t="s">
        <v>889</v>
      </c>
      <c r="T10" t="s">
        <v>4954</v>
      </c>
      <c r="U10" s="131">
        <v>1</v>
      </c>
      <c r="V10" s="131">
        <v>5082.8490000000002</v>
      </c>
      <c r="W10" s="131">
        <v>5082.8490000000002</v>
      </c>
      <c r="X10" s="163">
        <v>3.5000000000000003E-2</v>
      </c>
      <c r="Y10" s="132">
        <v>6.3070000000000001E-2</v>
      </c>
      <c r="Z10" s="132">
        <v>1.3509999999999999E-2</v>
      </c>
      <c r="AA10" s="108"/>
    </row>
    <row r="11" spans="1:27">
      <c r="A11" t="s">
        <v>1213</v>
      </c>
      <c r="B11" t="s">
        <v>1233</v>
      </c>
      <c r="C11" t="s">
        <v>4939</v>
      </c>
      <c r="D11" t="s">
        <v>4940</v>
      </c>
      <c r="E11" t="s">
        <v>309</v>
      </c>
      <c r="F11" t="s">
        <v>4955</v>
      </c>
      <c r="G11" s="108">
        <v>74252</v>
      </c>
      <c r="H11" t="s">
        <v>314</v>
      </c>
      <c r="I11" t="s">
        <v>1003</v>
      </c>
      <c r="J11" t="s">
        <v>839</v>
      </c>
      <c r="K11" t="s">
        <v>204</v>
      </c>
      <c r="L11" t="s">
        <v>204</v>
      </c>
      <c r="M11" t="s">
        <v>204</v>
      </c>
      <c r="N11" t="s">
        <v>204</v>
      </c>
      <c r="O11" t="s">
        <v>339</v>
      </c>
      <c r="P11" s="162">
        <v>45036</v>
      </c>
      <c r="Q11" t="s">
        <v>1212</v>
      </c>
      <c r="R11" t="s">
        <v>885</v>
      </c>
      <c r="S11" t="s">
        <v>889</v>
      </c>
      <c r="T11" t="s">
        <v>4942</v>
      </c>
      <c r="U11" s="131">
        <v>1</v>
      </c>
      <c r="V11" s="131">
        <v>2239.7930000000001</v>
      </c>
      <c r="W11" s="131">
        <v>2239.7930000000001</v>
      </c>
      <c r="X11" s="163">
        <v>2.07E-2</v>
      </c>
      <c r="Y11" s="132">
        <v>2.7789999999999999E-2</v>
      </c>
      <c r="Z11" s="132">
        <v>5.9500000000000004E-3</v>
      </c>
      <c r="AA11" s="108"/>
    </row>
    <row r="12" spans="1:27">
      <c r="A12" t="s">
        <v>1213</v>
      </c>
      <c r="B12" t="s">
        <v>1233</v>
      </c>
      <c r="C12" t="s">
        <v>4956</v>
      </c>
      <c r="D12" t="s">
        <v>4957</v>
      </c>
      <c r="E12" t="s">
        <v>313</v>
      </c>
      <c r="F12" t="s">
        <v>4958</v>
      </c>
      <c r="G12" s="108" t="s">
        <v>4959</v>
      </c>
      <c r="H12" t="s">
        <v>321</v>
      </c>
      <c r="I12" t="s">
        <v>1003</v>
      </c>
      <c r="J12" t="s">
        <v>836</v>
      </c>
      <c r="K12" t="s">
        <v>205</v>
      </c>
      <c r="L12" t="s">
        <v>204</v>
      </c>
      <c r="M12" t="s">
        <v>204</v>
      </c>
      <c r="N12" t="s">
        <v>303</v>
      </c>
      <c r="O12" t="s">
        <v>339</v>
      </c>
      <c r="P12" s="162">
        <v>45259</v>
      </c>
      <c r="Q12" t="s">
        <v>1218</v>
      </c>
      <c r="R12" t="s">
        <v>885</v>
      </c>
      <c r="S12" t="s">
        <v>889</v>
      </c>
      <c r="T12" t="s">
        <v>4723</v>
      </c>
      <c r="U12" s="131">
        <v>4.1520000000000001</v>
      </c>
      <c r="V12" s="131">
        <v>2599.1559999999999</v>
      </c>
      <c r="W12" s="131">
        <v>10792.734</v>
      </c>
      <c r="X12" s="163">
        <v>0.2162</v>
      </c>
      <c r="Y12" s="132">
        <v>0.13392000000000001</v>
      </c>
      <c r="Z12" s="132">
        <v>2.8680000000000001E-2</v>
      </c>
      <c r="AA12" s="108"/>
    </row>
    <row r="13" spans="1:27">
      <c r="A13" t="s">
        <v>1213</v>
      </c>
      <c r="B13" t="s">
        <v>1233</v>
      </c>
      <c r="C13" t="s">
        <v>4960</v>
      </c>
      <c r="D13" t="s">
        <v>4961</v>
      </c>
      <c r="E13" t="s">
        <v>309</v>
      </c>
      <c r="F13" t="s">
        <v>4962</v>
      </c>
      <c r="G13" s="108" t="s">
        <v>4963</v>
      </c>
      <c r="H13" t="s">
        <v>321</v>
      </c>
      <c r="I13" t="s">
        <v>1003</v>
      </c>
      <c r="J13" t="s">
        <v>836</v>
      </c>
      <c r="K13" t="s">
        <v>205</v>
      </c>
      <c r="L13" t="s">
        <v>204</v>
      </c>
      <c r="M13" t="s">
        <v>204</v>
      </c>
      <c r="N13" t="s">
        <v>224</v>
      </c>
      <c r="O13" t="s">
        <v>339</v>
      </c>
      <c r="P13" s="162">
        <v>45168</v>
      </c>
      <c r="Q13" t="s">
        <v>1216</v>
      </c>
      <c r="R13" t="s">
        <v>885</v>
      </c>
      <c r="S13" t="s">
        <v>889</v>
      </c>
      <c r="T13" t="s">
        <v>4942</v>
      </c>
      <c r="U13" s="131">
        <v>3.71</v>
      </c>
      <c r="V13" s="131">
        <v>1633.86</v>
      </c>
      <c r="W13" s="131">
        <v>6061.62</v>
      </c>
      <c r="X13" s="163">
        <v>3.5000000000000001E-3</v>
      </c>
      <c r="Y13" s="132">
        <v>7.5219999999999995E-2</v>
      </c>
      <c r="Z13" s="132">
        <v>1.6109999999999999E-2</v>
      </c>
      <c r="AA13" s="108"/>
    </row>
    <row r="14" spans="1:27">
      <c r="A14" t="s">
        <v>1213</v>
      </c>
      <c r="B14" t="s">
        <v>1233</v>
      </c>
      <c r="C14" t="s">
        <v>4964</v>
      </c>
      <c r="D14" t="s">
        <v>4965</v>
      </c>
      <c r="E14" t="s">
        <v>309</v>
      </c>
      <c r="F14" t="s">
        <v>4966</v>
      </c>
      <c r="G14" s="108">
        <v>74260</v>
      </c>
      <c r="H14" t="s">
        <v>314</v>
      </c>
      <c r="I14" t="s">
        <v>1003</v>
      </c>
      <c r="J14" t="s">
        <v>836</v>
      </c>
      <c r="K14" t="s">
        <v>205</v>
      </c>
      <c r="L14" t="s">
        <v>204</v>
      </c>
      <c r="M14" t="s">
        <v>204</v>
      </c>
      <c r="N14" t="s">
        <v>224</v>
      </c>
      <c r="O14" t="s">
        <v>339</v>
      </c>
      <c r="P14" s="162">
        <v>45182</v>
      </c>
      <c r="Q14" t="s">
        <v>1216</v>
      </c>
      <c r="R14" t="s">
        <v>885</v>
      </c>
      <c r="S14" t="s">
        <v>889</v>
      </c>
      <c r="T14" t="s">
        <v>4967</v>
      </c>
      <c r="U14" s="131">
        <v>3.71</v>
      </c>
      <c r="V14" s="131">
        <v>3014.4459999999999</v>
      </c>
      <c r="W14" s="131">
        <v>11183.593999999999</v>
      </c>
      <c r="X14" s="163">
        <v>2.4899999999999999E-2</v>
      </c>
      <c r="Y14" s="132">
        <v>0.13877</v>
      </c>
      <c r="Z14" s="132">
        <v>2.972E-2</v>
      </c>
      <c r="AA14" s="108"/>
    </row>
    <row r="15" spans="1:27">
      <c r="A15" t="s">
        <v>1213</v>
      </c>
      <c r="B15" t="s">
        <v>1233</v>
      </c>
      <c r="C15" t="s">
        <v>4968</v>
      </c>
      <c r="D15" t="s">
        <v>2129</v>
      </c>
      <c r="E15" t="s">
        <v>309</v>
      </c>
      <c r="F15" t="s">
        <v>4969</v>
      </c>
      <c r="G15" s="108">
        <v>74264</v>
      </c>
      <c r="H15" t="s">
        <v>314</v>
      </c>
      <c r="I15" t="s">
        <v>1003</v>
      </c>
      <c r="J15" t="s">
        <v>836</v>
      </c>
      <c r="K15" t="s">
        <v>205</v>
      </c>
      <c r="L15" t="s">
        <v>204</v>
      </c>
      <c r="M15" t="s">
        <v>204</v>
      </c>
      <c r="N15" t="s">
        <v>224</v>
      </c>
      <c r="O15" t="s">
        <v>339</v>
      </c>
      <c r="P15" s="162">
        <v>45348</v>
      </c>
      <c r="Q15" t="s">
        <v>1216</v>
      </c>
      <c r="R15" t="s">
        <v>885</v>
      </c>
      <c r="S15" t="s">
        <v>889</v>
      </c>
      <c r="T15" t="s">
        <v>4970</v>
      </c>
      <c r="U15" s="131">
        <v>3.71</v>
      </c>
      <c r="V15" s="131">
        <v>2075.1559999999999</v>
      </c>
      <c r="W15" s="131">
        <v>7698.83</v>
      </c>
      <c r="X15" s="163">
        <v>3.1800000000000001E-3</v>
      </c>
      <c r="Y15" s="132">
        <v>9.5530000000000004E-2</v>
      </c>
      <c r="Z15" s="132">
        <v>2.0459999999999999E-2</v>
      </c>
      <c r="AA15" s="108"/>
    </row>
    <row r="16" spans="1:27">
      <c r="A16" t="s">
        <v>1213</v>
      </c>
      <c r="B16" t="s">
        <v>1233</v>
      </c>
      <c r="C16" t="s">
        <v>4971</v>
      </c>
      <c r="D16" t="s">
        <v>4972</v>
      </c>
      <c r="E16" t="s">
        <v>309</v>
      </c>
      <c r="F16" t="s">
        <v>4973</v>
      </c>
      <c r="G16" s="108">
        <v>74258</v>
      </c>
      <c r="H16" t="s">
        <v>314</v>
      </c>
      <c r="I16" t="s">
        <v>1003</v>
      </c>
      <c r="J16" t="s">
        <v>836</v>
      </c>
      <c r="K16" t="s">
        <v>205</v>
      </c>
      <c r="L16" t="s">
        <v>204</v>
      </c>
      <c r="M16" t="s">
        <v>204</v>
      </c>
      <c r="N16" t="s">
        <v>224</v>
      </c>
      <c r="O16" t="s">
        <v>339</v>
      </c>
      <c r="P16" s="162">
        <v>45168</v>
      </c>
      <c r="Q16" t="s">
        <v>1216</v>
      </c>
      <c r="R16" t="s">
        <v>885</v>
      </c>
      <c r="S16" t="s">
        <v>889</v>
      </c>
      <c r="T16" t="s">
        <v>4974</v>
      </c>
      <c r="U16" s="131">
        <v>3.71</v>
      </c>
      <c r="V16" s="131">
        <v>1745.0540000000001</v>
      </c>
      <c r="W16" s="131">
        <v>6474.1480000000001</v>
      </c>
      <c r="X16" s="163">
        <v>1.2500000000000001E-2</v>
      </c>
      <c r="Y16" s="132">
        <v>8.0329999999999999E-2</v>
      </c>
      <c r="Z16" s="132">
        <v>1.72E-2</v>
      </c>
      <c r="AA16" s="108"/>
    </row>
    <row r="17" spans="1:26">
      <c r="A17" t="s">
        <v>1213</v>
      </c>
      <c r="B17" t="s">
        <v>1233</v>
      </c>
      <c r="C17" t="s">
        <v>4975</v>
      </c>
      <c r="D17" t="s">
        <v>4976</v>
      </c>
      <c r="E17" t="s">
        <v>309</v>
      </c>
      <c r="F17" t="s">
        <v>4977</v>
      </c>
      <c r="G17" s="108">
        <v>74261</v>
      </c>
      <c r="H17" t="s">
        <v>314</v>
      </c>
      <c r="I17" t="s">
        <v>1003</v>
      </c>
      <c r="J17" t="s">
        <v>836</v>
      </c>
      <c r="K17" t="s">
        <v>205</v>
      </c>
      <c r="L17" t="s">
        <v>204</v>
      </c>
      <c r="M17" t="s">
        <v>204</v>
      </c>
      <c r="N17" t="s">
        <v>224</v>
      </c>
      <c r="O17" t="s">
        <v>339</v>
      </c>
      <c r="P17" s="162">
        <v>45225</v>
      </c>
      <c r="Q17" t="s">
        <v>1216</v>
      </c>
      <c r="R17" t="s">
        <v>885</v>
      </c>
      <c r="S17" t="s">
        <v>889</v>
      </c>
      <c r="T17" t="s">
        <v>4978</v>
      </c>
      <c r="U17" s="131">
        <v>3.71</v>
      </c>
      <c r="V17" s="131">
        <v>1626.864</v>
      </c>
      <c r="W17" s="131">
        <v>6035.665</v>
      </c>
      <c r="X17" s="163">
        <v>1.2E-2</v>
      </c>
      <c r="Y17" s="132">
        <v>7.4889999999999998E-2</v>
      </c>
      <c r="Z17" s="132">
        <v>1.6039999999999999E-2</v>
      </c>
    </row>
    <row r="18" spans="1:26">
      <c r="A18" t="s">
        <v>1213</v>
      </c>
      <c r="B18" t="s">
        <v>1233</v>
      </c>
      <c r="C18" t="s">
        <v>4979</v>
      </c>
      <c r="D18" t="s">
        <v>4980</v>
      </c>
      <c r="E18" t="s">
        <v>309</v>
      </c>
      <c r="F18" t="s">
        <v>4981</v>
      </c>
      <c r="G18" s="108">
        <v>74263</v>
      </c>
      <c r="H18" t="s">
        <v>314</v>
      </c>
      <c r="I18" t="s">
        <v>1003</v>
      </c>
      <c r="J18" t="s">
        <v>836</v>
      </c>
      <c r="K18" t="s">
        <v>205</v>
      </c>
      <c r="L18" t="s">
        <v>204</v>
      </c>
      <c r="M18" t="s">
        <v>204</v>
      </c>
      <c r="N18" t="s">
        <v>224</v>
      </c>
      <c r="O18" t="s">
        <v>339</v>
      </c>
      <c r="P18" s="162">
        <v>45288</v>
      </c>
      <c r="Q18" t="s">
        <v>1216</v>
      </c>
      <c r="R18" t="s">
        <v>885</v>
      </c>
      <c r="S18" t="s">
        <v>889</v>
      </c>
      <c r="T18" t="s">
        <v>4967</v>
      </c>
      <c r="U18" s="131">
        <v>3.71</v>
      </c>
      <c r="V18" s="131">
        <v>1617.0989999999999</v>
      </c>
      <c r="W18" s="131">
        <v>5999.4369999999999</v>
      </c>
      <c r="X18" s="163">
        <v>2.3E-2</v>
      </c>
      <c r="Y18" s="132">
        <v>7.4440000000000006E-2</v>
      </c>
      <c r="Z18" s="132">
        <v>1.5939999999999999E-2</v>
      </c>
    </row>
    <row r="19" spans="1:26">
      <c r="A19" t="s">
        <v>1213</v>
      </c>
      <c r="B19" t="s">
        <v>1233</v>
      </c>
      <c r="C19" s="109"/>
      <c r="D19" t="s">
        <v>4982</v>
      </c>
      <c r="E19" t="s">
        <v>311</v>
      </c>
      <c r="F19" t="s">
        <v>4983</v>
      </c>
      <c r="G19" s="108">
        <v>74203</v>
      </c>
      <c r="H19" t="s">
        <v>314</v>
      </c>
      <c r="I19" t="s">
        <v>1003</v>
      </c>
      <c r="J19" t="s">
        <v>833</v>
      </c>
      <c r="K19" t="s">
        <v>205</v>
      </c>
      <c r="L19" t="s">
        <v>224</v>
      </c>
      <c r="M19" t="s">
        <v>224</v>
      </c>
      <c r="N19" t="s">
        <v>224</v>
      </c>
      <c r="O19" t="s">
        <v>339</v>
      </c>
      <c r="P19" s="162">
        <v>43770</v>
      </c>
      <c r="Q19" t="s">
        <v>1216</v>
      </c>
      <c r="R19" t="s">
        <v>885</v>
      </c>
      <c r="S19" t="s">
        <v>889</v>
      </c>
      <c r="T19" t="s">
        <v>4882</v>
      </c>
      <c r="U19" s="131">
        <v>3.71</v>
      </c>
      <c r="V19" s="131">
        <v>1500</v>
      </c>
      <c r="W19" s="131">
        <v>5565</v>
      </c>
      <c r="X19" s="163">
        <v>6.8529999999999994E-2</v>
      </c>
      <c r="Y19" s="132">
        <v>6.905E-2</v>
      </c>
      <c r="Z19" s="132">
        <v>1.4789999999999999E-2</v>
      </c>
    </row>
    <row r="20" spans="1:26">
      <c r="A20" t="s">
        <v>1213</v>
      </c>
      <c r="B20" t="s">
        <v>1233</v>
      </c>
      <c r="C20" t="s">
        <v>4984</v>
      </c>
      <c r="D20" t="s">
        <v>4985</v>
      </c>
      <c r="E20" t="s">
        <v>309</v>
      </c>
      <c r="F20" t="s">
        <v>4986</v>
      </c>
      <c r="G20" s="108">
        <v>74257</v>
      </c>
      <c r="H20" t="s">
        <v>314</v>
      </c>
      <c r="I20" t="s">
        <v>1003</v>
      </c>
      <c r="J20" t="s">
        <v>836</v>
      </c>
      <c r="K20" t="s">
        <v>205</v>
      </c>
      <c r="L20" t="s">
        <v>204</v>
      </c>
      <c r="M20" t="s">
        <v>204</v>
      </c>
      <c r="N20" t="s">
        <v>224</v>
      </c>
      <c r="O20" t="s">
        <v>339</v>
      </c>
      <c r="P20" s="162">
        <v>45167</v>
      </c>
      <c r="Q20" t="s">
        <v>1216</v>
      </c>
      <c r="R20" t="s">
        <v>885</v>
      </c>
      <c r="S20" t="s">
        <v>889</v>
      </c>
      <c r="T20" t="s">
        <v>4942</v>
      </c>
      <c r="U20" s="131">
        <v>3.71</v>
      </c>
      <c r="V20" s="131">
        <v>1237.8420000000001</v>
      </c>
      <c r="W20" s="131">
        <v>4592.3940000000002</v>
      </c>
      <c r="X20" s="163">
        <v>2.5000000000000001E-3</v>
      </c>
      <c r="Y20" s="132">
        <v>5.6980000000000003E-2</v>
      </c>
      <c r="Z20" s="132">
        <v>1.2200000000000001E-2</v>
      </c>
    </row>
    <row r="21" spans="1:26">
      <c r="A21" t="s">
        <v>1213</v>
      </c>
      <c r="B21" t="s">
        <v>1233</v>
      </c>
      <c r="C21" t="s">
        <v>4984</v>
      </c>
      <c r="D21" t="s">
        <v>4985</v>
      </c>
      <c r="E21" t="s">
        <v>309</v>
      </c>
      <c r="F21" t="s">
        <v>4987</v>
      </c>
      <c r="G21" s="108">
        <v>742572</v>
      </c>
      <c r="H21" t="s">
        <v>314</v>
      </c>
      <c r="I21" t="s">
        <v>1003</v>
      </c>
      <c r="J21" t="s">
        <v>836</v>
      </c>
      <c r="K21" t="s">
        <v>205</v>
      </c>
      <c r="L21" t="s">
        <v>204</v>
      </c>
      <c r="M21" t="s">
        <v>204</v>
      </c>
      <c r="N21" t="s">
        <v>224</v>
      </c>
      <c r="O21" t="s">
        <v>339</v>
      </c>
      <c r="P21" s="162">
        <v>45292</v>
      </c>
      <c r="Q21" t="s">
        <v>1216</v>
      </c>
      <c r="R21" t="s">
        <v>885</v>
      </c>
      <c r="S21" t="s">
        <v>889</v>
      </c>
      <c r="T21" t="s">
        <v>4942</v>
      </c>
      <c r="U21" s="131">
        <v>3.71</v>
      </c>
      <c r="V21" s="131">
        <v>438.755</v>
      </c>
      <c r="W21" s="131">
        <v>1627.779</v>
      </c>
      <c r="X21" s="163">
        <v>4.7999999999999996E-3</v>
      </c>
      <c r="Y21" s="132">
        <v>2.0199999999999999E-2</v>
      </c>
      <c r="Z21" s="132">
        <v>4.3299999999999996E-3</v>
      </c>
    </row>
    <row r="22" spans="1:26">
      <c r="A22" t="s">
        <v>1213</v>
      </c>
      <c r="B22" t="s">
        <v>1233</v>
      </c>
      <c r="C22" t="s">
        <v>4988</v>
      </c>
      <c r="D22" t="s">
        <v>4989</v>
      </c>
      <c r="E22" t="s">
        <v>309</v>
      </c>
      <c r="F22" t="s">
        <v>4990</v>
      </c>
      <c r="G22" s="108">
        <v>74255</v>
      </c>
      <c r="H22" t="s">
        <v>314</v>
      </c>
      <c r="I22" t="s">
        <v>1005</v>
      </c>
      <c r="J22" t="s">
        <v>831</v>
      </c>
      <c r="K22" t="s">
        <v>205</v>
      </c>
      <c r="L22" t="s">
        <v>233</v>
      </c>
      <c r="M22" t="s">
        <v>233</v>
      </c>
      <c r="N22" t="s">
        <v>233</v>
      </c>
      <c r="O22" t="s">
        <v>339</v>
      </c>
      <c r="P22" s="162">
        <v>45208</v>
      </c>
      <c r="Q22" t="s">
        <v>1227</v>
      </c>
      <c r="R22" t="s">
        <v>885</v>
      </c>
      <c r="S22" t="s">
        <v>889</v>
      </c>
      <c r="T22" t="s">
        <v>4991</v>
      </c>
      <c r="U22" s="131">
        <v>4.9749999999999996</v>
      </c>
      <c r="V22" s="131">
        <v>200.78700000000001</v>
      </c>
      <c r="W22" s="131">
        <v>998.87400000000002</v>
      </c>
      <c r="X22" s="163">
        <v>0.107</v>
      </c>
      <c r="Y22" s="132">
        <v>1.239E-2</v>
      </c>
      <c r="Z22" s="132">
        <v>2.65E-3</v>
      </c>
    </row>
    <row r="23" spans="1:26">
      <c r="A23" t="s">
        <v>1213</v>
      </c>
      <c r="B23" t="s">
        <v>1233</v>
      </c>
      <c r="C23" t="s">
        <v>4992</v>
      </c>
      <c r="D23" t="s">
        <v>4993</v>
      </c>
      <c r="E23" t="s">
        <v>311</v>
      </c>
      <c r="F23" t="s">
        <v>4994</v>
      </c>
      <c r="G23" s="108">
        <v>74272</v>
      </c>
      <c r="H23" t="s">
        <v>314</v>
      </c>
      <c r="I23" t="s">
        <v>1004</v>
      </c>
      <c r="J23" t="s">
        <v>832</v>
      </c>
      <c r="K23" t="s">
        <v>205</v>
      </c>
      <c r="L23" t="s">
        <v>224</v>
      </c>
      <c r="M23" t="s">
        <v>224</v>
      </c>
      <c r="N23" t="s">
        <v>224</v>
      </c>
      <c r="O23" t="s">
        <v>339</v>
      </c>
      <c r="P23" s="162">
        <v>45505</v>
      </c>
      <c r="Q23" t="s">
        <v>1216</v>
      </c>
      <c r="R23" t="s">
        <v>885</v>
      </c>
      <c r="S23" t="s">
        <v>889</v>
      </c>
      <c r="T23" t="s">
        <v>4995</v>
      </c>
      <c r="U23" s="131">
        <v>3.71</v>
      </c>
      <c r="V23" s="131">
        <v>65.665999999999997</v>
      </c>
      <c r="W23" s="131">
        <v>243.62100000000001</v>
      </c>
      <c r="X23" s="163">
        <v>0.34670000000000001</v>
      </c>
      <c r="Y23" s="132">
        <v>3.0200000000000001E-3</v>
      </c>
      <c r="Z23" s="132">
        <v>6.4999999999999997E-4</v>
      </c>
    </row>
    <row r="24" spans="1:26">
      <c r="A24" t="s">
        <v>1213</v>
      </c>
      <c r="B24" t="s">
        <v>1233</v>
      </c>
      <c r="C24" t="s">
        <v>4992</v>
      </c>
      <c r="D24" t="s">
        <v>4993</v>
      </c>
      <c r="E24" t="s">
        <v>311</v>
      </c>
      <c r="F24" t="s">
        <v>4996</v>
      </c>
      <c r="G24" s="108">
        <v>74266</v>
      </c>
      <c r="H24" t="s">
        <v>314</v>
      </c>
      <c r="I24" t="s">
        <v>1004</v>
      </c>
      <c r="J24" t="s">
        <v>832</v>
      </c>
      <c r="K24" t="s">
        <v>205</v>
      </c>
      <c r="L24" t="s">
        <v>224</v>
      </c>
      <c r="M24" t="s">
        <v>224</v>
      </c>
      <c r="N24" t="s">
        <v>224</v>
      </c>
      <c r="O24" t="s">
        <v>339</v>
      </c>
      <c r="P24" s="162">
        <v>45400</v>
      </c>
      <c r="Q24" t="s">
        <v>1216</v>
      </c>
      <c r="R24" t="s">
        <v>885</v>
      </c>
      <c r="S24" t="s">
        <v>889</v>
      </c>
      <c r="T24" t="s">
        <v>4870</v>
      </c>
      <c r="U24" s="131">
        <v>3.71</v>
      </c>
      <c r="V24" s="131">
        <v>58.268999999999998</v>
      </c>
      <c r="W24" s="131">
        <v>216.178</v>
      </c>
      <c r="X24" s="163">
        <v>0.4</v>
      </c>
      <c r="Y24" s="132">
        <v>2.6800000000000001E-3</v>
      </c>
      <c r="Z24" s="132">
        <v>5.6999999999999998E-4</v>
      </c>
    </row>
    <row r="25" spans="1:26">
      <c r="A25" t="s">
        <v>1213</v>
      </c>
      <c r="B25" t="s">
        <v>1233</v>
      </c>
      <c r="C25" t="s">
        <v>4997</v>
      </c>
      <c r="D25" t="s">
        <v>4998</v>
      </c>
      <c r="E25" t="s">
        <v>311</v>
      </c>
      <c r="F25" t="s">
        <v>4997</v>
      </c>
      <c r="G25" s="108">
        <v>74271</v>
      </c>
      <c r="H25" t="s">
        <v>314</v>
      </c>
      <c r="I25" t="s">
        <v>1004</v>
      </c>
      <c r="J25" t="s">
        <v>832</v>
      </c>
      <c r="K25" t="s">
        <v>205</v>
      </c>
      <c r="L25" t="s">
        <v>217</v>
      </c>
      <c r="M25" t="s">
        <v>233</v>
      </c>
      <c r="N25" t="s">
        <v>233</v>
      </c>
      <c r="O25" t="s">
        <v>339</v>
      </c>
      <c r="P25" s="162">
        <v>45495</v>
      </c>
      <c r="Q25" t="s">
        <v>1227</v>
      </c>
      <c r="R25" t="s">
        <v>885</v>
      </c>
      <c r="S25" t="s">
        <v>889</v>
      </c>
      <c r="T25" t="s">
        <v>4999</v>
      </c>
      <c r="U25" s="131">
        <v>4.9749999999999996</v>
      </c>
      <c r="V25" s="131">
        <v>42.8</v>
      </c>
      <c r="W25" s="131">
        <v>212.92099999999999</v>
      </c>
      <c r="X25" s="163">
        <v>3.73E-2</v>
      </c>
      <c r="Y25" s="132">
        <v>2.64E-3</v>
      </c>
      <c r="Z25" s="132">
        <v>5.6999999999999998E-4</v>
      </c>
    </row>
    <row r="26" spans="1:26">
      <c r="A26" t="s">
        <v>1213</v>
      </c>
      <c r="B26" t="s">
        <v>1235</v>
      </c>
      <c r="C26" t="s">
        <v>5000</v>
      </c>
      <c r="D26" t="s">
        <v>5001</v>
      </c>
      <c r="E26" t="s">
        <v>310</v>
      </c>
      <c r="F26" t="s">
        <v>5002</v>
      </c>
      <c r="G26" s="108">
        <v>74186</v>
      </c>
      <c r="H26" t="s">
        <v>314</v>
      </c>
      <c r="I26" t="s">
        <v>1004</v>
      </c>
      <c r="J26" t="s">
        <v>833</v>
      </c>
      <c r="K26" t="s">
        <v>204</v>
      </c>
      <c r="L26" t="s">
        <v>204</v>
      </c>
      <c r="M26" t="s">
        <v>204</v>
      </c>
      <c r="N26" t="s">
        <v>204</v>
      </c>
      <c r="O26" t="s">
        <v>339</v>
      </c>
      <c r="P26" s="162">
        <v>43542</v>
      </c>
      <c r="Q26" t="s">
        <v>1212</v>
      </c>
      <c r="R26" t="s">
        <v>885</v>
      </c>
      <c r="S26" t="s">
        <v>889</v>
      </c>
      <c r="T26" t="s">
        <v>5003</v>
      </c>
      <c r="U26" s="131">
        <v>1</v>
      </c>
      <c r="V26" s="131">
        <v>1312.329</v>
      </c>
      <c r="W26" s="131">
        <v>1312.329</v>
      </c>
      <c r="X26" s="163">
        <v>7.8700000000000006E-2</v>
      </c>
      <c r="Y26" s="132">
        <v>0.17208000000000001</v>
      </c>
      <c r="Z26" s="132">
        <v>1.9009999999999999E-2</v>
      </c>
    </row>
    <row r="27" spans="1:26">
      <c r="A27" t="s">
        <v>1213</v>
      </c>
      <c r="B27" t="s">
        <v>1235</v>
      </c>
      <c r="C27" t="s">
        <v>5004</v>
      </c>
      <c r="D27" t="s">
        <v>5005</v>
      </c>
      <c r="E27" t="s">
        <v>309</v>
      </c>
      <c r="F27" t="s">
        <v>5006</v>
      </c>
      <c r="G27" s="108">
        <v>74185</v>
      </c>
      <c r="H27" t="s">
        <v>314</v>
      </c>
      <c r="I27" t="s">
        <v>1001</v>
      </c>
      <c r="J27" t="s">
        <v>831</v>
      </c>
      <c r="K27" t="s">
        <v>204</v>
      </c>
      <c r="L27" t="s">
        <v>204</v>
      </c>
      <c r="M27" t="s">
        <v>204</v>
      </c>
      <c r="N27" t="s">
        <v>204</v>
      </c>
      <c r="O27" t="s">
        <v>339</v>
      </c>
      <c r="P27" s="162">
        <v>43524</v>
      </c>
      <c r="Q27" t="s">
        <v>1212</v>
      </c>
      <c r="R27" t="s">
        <v>885</v>
      </c>
      <c r="S27" t="s">
        <v>889</v>
      </c>
      <c r="T27" t="s">
        <v>4877</v>
      </c>
      <c r="U27" s="131">
        <v>1</v>
      </c>
      <c r="V27" s="131">
        <v>1184.67</v>
      </c>
      <c r="W27" s="131">
        <v>1184.67</v>
      </c>
      <c r="X27" s="163">
        <v>0.1298</v>
      </c>
      <c r="Y27" s="132">
        <v>0.15534000000000001</v>
      </c>
      <c r="Z27" s="132">
        <v>1.7160000000000002E-2</v>
      </c>
    </row>
    <row r="28" spans="1:26">
      <c r="A28" t="s">
        <v>1213</v>
      </c>
      <c r="B28" t="s">
        <v>1235</v>
      </c>
      <c r="C28" t="s">
        <v>5007</v>
      </c>
      <c r="D28" t="s">
        <v>2129</v>
      </c>
      <c r="E28" t="s">
        <v>309</v>
      </c>
      <c r="F28" t="s">
        <v>5008</v>
      </c>
      <c r="G28" s="108">
        <v>74190</v>
      </c>
      <c r="H28" t="s">
        <v>314</v>
      </c>
      <c r="I28" t="s">
        <v>1005</v>
      </c>
      <c r="J28" t="s">
        <v>569</v>
      </c>
      <c r="K28" t="s">
        <v>204</v>
      </c>
      <c r="L28" t="s">
        <v>204</v>
      </c>
      <c r="M28" t="s">
        <v>204</v>
      </c>
      <c r="N28" t="s">
        <v>224</v>
      </c>
      <c r="O28" t="s">
        <v>339</v>
      </c>
      <c r="P28" s="162">
        <v>43691</v>
      </c>
      <c r="Q28" t="s">
        <v>1216</v>
      </c>
      <c r="R28" t="s">
        <v>885</v>
      </c>
      <c r="S28" t="s">
        <v>889</v>
      </c>
      <c r="T28" t="s">
        <v>4876</v>
      </c>
      <c r="U28" s="131">
        <v>3.71</v>
      </c>
      <c r="V28" s="131">
        <v>175.434</v>
      </c>
      <c r="W28" s="131">
        <v>650.86099999999999</v>
      </c>
      <c r="X28" s="163">
        <v>0.19874</v>
      </c>
      <c r="Y28" s="132">
        <v>8.5339999999999999E-2</v>
      </c>
      <c r="Z28" s="132">
        <v>9.4299999999999991E-3</v>
      </c>
    </row>
    <row r="29" spans="1:26">
      <c r="A29" t="s">
        <v>1213</v>
      </c>
      <c r="B29" t="s">
        <v>1235</v>
      </c>
      <c r="C29" t="s">
        <v>5004</v>
      </c>
      <c r="D29" t="s">
        <v>5009</v>
      </c>
      <c r="E29" t="s">
        <v>309</v>
      </c>
      <c r="F29" t="s">
        <v>5010</v>
      </c>
      <c r="G29" s="108">
        <v>74202</v>
      </c>
      <c r="H29" t="s">
        <v>314</v>
      </c>
      <c r="I29" t="s">
        <v>1001</v>
      </c>
      <c r="J29" t="s">
        <v>831</v>
      </c>
      <c r="K29" t="s">
        <v>204</v>
      </c>
      <c r="L29" t="s">
        <v>204</v>
      </c>
      <c r="M29" t="s">
        <v>204</v>
      </c>
      <c r="N29" t="s">
        <v>204</v>
      </c>
      <c r="O29" t="s">
        <v>339</v>
      </c>
      <c r="P29" s="162">
        <v>43913</v>
      </c>
      <c r="Q29" t="s">
        <v>1212</v>
      </c>
      <c r="R29" t="s">
        <v>885</v>
      </c>
      <c r="S29" t="s">
        <v>889</v>
      </c>
      <c r="T29" t="s">
        <v>4877</v>
      </c>
      <c r="U29" s="131">
        <v>1</v>
      </c>
      <c r="V29" s="131">
        <v>581.99</v>
      </c>
      <c r="W29" s="131">
        <v>581.99</v>
      </c>
      <c r="X29" s="163">
        <v>0.1036</v>
      </c>
      <c r="Y29" s="132">
        <v>7.6310000000000003E-2</v>
      </c>
      <c r="Z29" s="132">
        <v>8.43E-3</v>
      </c>
    </row>
    <row r="30" spans="1:26">
      <c r="A30" t="s">
        <v>1213</v>
      </c>
      <c r="B30" t="s">
        <v>1235</v>
      </c>
      <c r="C30" t="s">
        <v>5011</v>
      </c>
      <c r="D30" t="s">
        <v>5012</v>
      </c>
      <c r="E30" t="s">
        <v>309</v>
      </c>
      <c r="F30" t="s">
        <v>5013</v>
      </c>
      <c r="G30" s="108">
        <v>74176</v>
      </c>
      <c r="H30" t="s">
        <v>314</v>
      </c>
      <c r="I30" t="s">
        <v>1002</v>
      </c>
      <c r="J30" t="s">
        <v>569</v>
      </c>
      <c r="K30" t="s">
        <v>204</v>
      </c>
      <c r="L30" t="s">
        <v>204</v>
      </c>
      <c r="M30" t="s">
        <v>204</v>
      </c>
      <c r="N30" t="s">
        <v>204</v>
      </c>
      <c r="O30" t="s">
        <v>339</v>
      </c>
      <c r="P30" s="162">
        <v>43306</v>
      </c>
      <c r="Q30" t="s">
        <v>1212</v>
      </c>
      <c r="R30" t="s">
        <v>885</v>
      </c>
      <c r="S30" t="s">
        <v>889</v>
      </c>
      <c r="T30" t="s">
        <v>5014</v>
      </c>
      <c r="U30" s="131">
        <v>1</v>
      </c>
      <c r="V30" s="131">
        <v>481.37299999999999</v>
      </c>
      <c r="W30" s="131">
        <v>481.37299999999999</v>
      </c>
      <c r="X30" s="163">
        <v>1.7500000000000002E-2</v>
      </c>
      <c r="Y30" s="132">
        <v>6.3119999999999996E-2</v>
      </c>
      <c r="Z30" s="132">
        <v>6.9699999999999996E-3</v>
      </c>
    </row>
    <row r="31" spans="1:26">
      <c r="A31" t="s">
        <v>1213</v>
      </c>
      <c r="B31" t="s">
        <v>1235</v>
      </c>
      <c r="C31" t="s">
        <v>5015</v>
      </c>
      <c r="D31" t="s">
        <v>5016</v>
      </c>
      <c r="E31" t="s">
        <v>309</v>
      </c>
      <c r="F31" t="s">
        <v>5017</v>
      </c>
      <c r="G31" s="108">
        <v>74173</v>
      </c>
      <c r="H31" t="s">
        <v>314</v>
      </c>
      <c r="I31" t="s">
        <v>1000</v>
      </c>
      <c r="J31" t="s">
        <v>845</v>
      </c>
      <c r="K31" t="s">
        <v>204</v>
      </c>
      <c r="L31" t="s">
        <v>204</v>
      </c>
      <c r="M31" t="s">
        <v>204</v>
      </c>
      <c r="N31" t="s">
        <v>204</v>
      </c>
      <c r="O31" t="s">
        <v>339</v>
      </c>
      <c r="P31" s="162">
        <v>43157</v>
      </c>
      <c r="Q31" t="s">
        <v>1216</v>
      </c>
      <c r="R31" t="s">
        <v>885</v>
      </c>
      <c r="S31" t="s">
        <v>889</v>
      </c>
      <c r="T31" t="s">
        <v>5018</v>
      </c>
      <c r="U31" s="131">
        <v>3.71</v>
      </c>
      <c r="V31" s="131">
        <v>62.371000000000002</v>
      </c>
      <c r="W31" s="131">
        <v>231.39699999999999</v>
      </c>
      <c r="X31" s="163">
        <v>0.10349999999999999</v>
      </c>
      <c r="Y31" s="132">
        <v>3.0339999999999999E-2</v>
      </c>
      <c r="Z31" s="132">
        <v>3.3500000000000001E-3</v>
      </c>
    </row>
    <row r="32" spans="1:26">
      <c r="A32" t="s">
        <v>1213</v>
      </c>
      <c r="B32" t="s">
        <v>1235</v>
      </c>
      <c r="C32" t="s">
        <v>5019</v>
      </c>
      <c r="D32" t="s">
        <v>5020</v>
      </c>
      <c r="E32" t="s">
        <v>309</v>
      </c>
      <c r="F32" t="s">
        <v>5021</v>
      </c>
      <c r="G32" s="108">
        <v>74177</v>
      </c>
      <c r="H32" t="s">
        <v>314</v>
      </c>
      <c r="I32" t="s">
        <v>1002</v>
      </c>
      <c r="J32" t="s">
        <v>569</v>
      </c>
      <c r="K32" t="s">
        <v>204</v>
      </c>
      <c r="L32" t="s">
        <v>204</v>
      </c>
      <c r="M32" t="s">
        <v>204</v>
      </c>
      <c r="N32" t="s">
        <v>204</v>
      </c>
      <c r="O32" t="s">
        <v>339</v>
      </c>
      <c r="P32" s="162">
        <v>43312</v>
      </c>
      <c r="Q32" t="s">
        <v>1212</v>
      </c>
      <c r="R32" t="s">
        <v>885</v>
      </c>
      <c r="S32" t="s">
        <v>889</v>
      </c>
      <c r="T32" t="s">
        <v>5022</v>
      </c>
      <c r="U32" s="131">
        <v>1</v>
      </c>
      <c r="V32" s="131">
        <v>230.179</v>
      </c>
      <c r="W32" s="131">
        <v>230.179</v>
      </c>
      <c r="X32" s="163">
        <v>2.9600000000000001E-2</v>
      </c>
      <c r="Y32" s="132">
        <v>3.0179999999999998E-2</v>
      </c>
      <c r="Z32" s="132">
        <v>3.3400000000000001E-3</v>
      </c>
    </row>
    <row r="33" spans="1:26">
      <c r="A33" t="s">
        <v>1213</v>
      </c>
      <c r="B33" t="s">
        <v>1235</v>
      </c>
      <c r="C33" t="s">
        <v>5023</v>
      </c>
      <c r="D33" t="s">
        <v>5024</v>
      </c>
      <c r="E33" t="s">
        <v>309</v>
      </c>
      <c r="F33" t="s">
        <v>5025</v>
      </c>
      <c r="G33" s="108">
        <v>74189</v>
      </c>
      <c r="H33" t="s">
        <v>314</v>
      </c>
      <c r="I33" t="s">
        <v>1002</v>
      </c>
      <c r="J33" t="s">
        <v>569</v>
      </c>
      <c r="K33" t="s">
        <v>205</v>
      </c>
      <c r="L33" t="s">
        <v>224</v>
      </c>
      <c r="M33" t="s">
        <v>224</v>
      </c>
      <c r="N33" t="s">
        <v>224</v>
      </c>
      <c r="O33" t="s">
        <v>339</v>
      </c>
      <c r="P33" s="162">
        <v>43586</v>
      </c>
      <c r="Q33" t="s">
        <v>1216</v>
      </c>
      <c r="R33" t="s">
        <v>885</v>
      </c>
      <c r="S33" t="s">
        <v>889</v>
      </c>
      <c r="T33" t="s">
        <v>5026</v>
      </c>
      <c r="U33" s="131">
        <v>3.71</v>
      </c>
      <c r="V33" s="131">
        <v>171.874</v>
      </c>
      <c r="W33" s="131">
        <v>637.65200000000004</v>
      </c>
      <c r="X33" s="163">
        <v>3.3799999999999997E-2</v>
      </c>
      <c r="Y33" s="132">
        <v>8.3610000000000004E-2</v>
      </c>
      <c r="Z33" s="132">
        <v>9.2399999999999999E-3</v>
      </c>
    </row>
    <row r="34" spans="1:26">
      <c r="A34" t="s">
        <v>1213</v>
      </c>
      <c r="B34" t="s">
        <v>1235</v>
      </c>
      <c r="D34" t="s">
        <v>5027</v>
      </c>
      <c r="E34" t="s">
        <v>311</v>
      </c>
      <c r="F34" t="s">
        <v>5028</v>
      </c>
      <c r="G34" s="108">
        <v>74180</v>
      </c>
      <c r="H34" t="s">
        <v>314</v>
      </c>
      <c r="I34" t="s">
        <v>1000</v>
      </c>
      <c r="J34" t="s">
        <v>844</v>
      </c>
      <c r="K34" t="s">
        <v>205</v>
      </c>
      <c r="L34" t="s">
        <v>224</v>
      </c>
      <c r="M34" t="s">
        <v>224</v>
      </c>
      <c r="N34" t="s">
        <v>224</v>
      </c>
      <c r="O34" t="s">
        <v>339</v>
      </c>
      <c r="P34" s="162">
        <v>43411</v>
      </c>
      <c r="Q34" t="s">
        <v>1216</v>
      </c>
      <c r="R34" t="s">
        <v>885</v>
      </c>
      <c r="S34" t="s">
        <v>889</v>
      </c>
      <c r="T34" t="s">
        <v>4795</v>
      </c>
      <c r="U34" s="131">
        <v>3.71</v>
      </c>
      <c r="V34" s="131">
        <v>159.864</v>
      </c>
      <c r="W34" s="131">
        <v>593.096</v>
      </c>
      <c r="X34" s="163">
        <v>5.8900000000000001E-2</v>
      </c>
      <c r="Y34" s="132">
        <v>7.7770000000000006E-2</v>
      </c>
      <c r="Z34" s="132">
        <v>8.5900000000000004E-3</v>
      </c>
    </row>
    <row r="35" spans="1:26">
      <c r="A35" t="s">
        <v>1213</v>
      </c>
      <c r="B35" t="s">
        <v>1235</v>
      </c>
      <c r="C35" t="s">
        <v>5029</v>
      </c>
      <c r="D35" t="s">
        <v>5030</v>
      </c>
      <c r="E35" t="s">
        <v>311</v>
      </c>
      <c r="F35" t="s">
        <v>5031</v>
      </c>
      <c r="G35" s="108">
        <v>74178</v>
      </c>
      <c r="H35" t="s">
        <v>314</v>
      </c>
      <c r="I35" t="s">
        <v>1004</v>
      </c>
      <c r="J35" t="s">
        <v>833</v>
      </c>
      <c r="K35" t="s">
        <v>205</v>
      </c>
      <c r="L35" t="s">
        <v>224</v>
      </c>
      <c r="M35" t="s">
        <v>224</v>
      </c>
      <c r="N35" t="s">
        <v>224</v>
      </c>
      <c r="O35" t="s">
        <v>339</v>
      </c>
      <c r="P35" s="162">
        <v>43321</v>
      </c>
      <c r="Q35" t="s">
        <v>1216</v>
      </c>
      <c r="R35" t="s">
        <v>885</v>
      </c>
      <c r="S35" t="s">
        <v>889</v>
      </c>
      <c r="T35" t="s">
        <v>4876</v>
      </c>
      <c r="U35" s="131">
        <v>3.71</v>
      </c>
      <c r="V35" s="131">
        <v>143.858</v>
      </c>
      <c r="W35" s="131">
        <v>533.71400000000006</v>
      </c>
      <c r="X35" s="163">
        <v>3.4639999999999997E-2</v>
      </c>
      <c r="Y35" s="132">
        <v>6.9980000000000001E-2</v>
      </c>
      <c r="Z35" s="132">
        <v>7.7299999999999999E-3</v>
      </c>
    </row>
    <row r="36" spans="1:26">
      <c r="A36" t="s">
        <v>1213</v>
      </c>
      <c r="B36" t="s">
        <v>1235</v>
      </c>
      <c r="D36" t="s">
        <v>5032</v>
      </c>
      <c r="E36" t="s">
        <v>309</v>
      </c>
      <c r="F36" t="s">
        <v>5033</v>
      </c>
      <c r="G36" s="108">
        <v>74181</v>
      </c>
      <c r="H36" t="s">
        <v>314</v>
      </c>
      <c r="I36" t="s">
        <v>1004</v>
      </c>
      <c r="J36" t="s">
        <v>833</v>
      </c>
      <c r="K36" t="s">
        <v>205</v>
      </c>
      <c r="L36" t="s">
        <v>204</v>
      </c>
      <c r="M36" t="s">
        <v>204</v>
      </c>
      <c r="N36" t="s">
        <v>224</v>
      </c>
      <c r="O36" t="s">
        <v>339</v>
      </c>
      <c r="P36" s="162">
        <v>43412</v>
      </c>
      <c r="Q36" t="s">
        <v>1216</v>
      </c>
      <c r="R36" t="s">
        <v>885</v>
      </c>
      <c r="S36" t="s">
        <v>889</v>
      </c>
      <c r="T36" t="s">
        <v>4954</v>
      </c>
      <c r="U36" s="131">
        <v>3.71</v>
      </c>
      <c r="V36" s="131">
        <v>110.59399999999999</v>
      </c>
      <c r="W36" s="131">
        <v>410.303</v>
      </c>
      <c r="X36" s="163">
        <v>0.19900000000000001</v>
      </c>
      <c r="Y36" s="132">
        <v>5.3800000000000001E-2</v>
      </c>
      <c r="Z36" s="132">
        <v>5.94E-3</v>
      </c>
    </row>
    <row r="37" spans="1:26">
      <c r="A37" t="s">
        <v>1213</v>
      </c>
      <c r="B37" t="s">
        <v>1235</v>
      </c>
      <c r="D37" t="s">
        <v>5034</v>
      </c>
      <c r="E37" t="s">
        <v>311</v>
      </c>
      <c r="F37" t="s">
        <v>5035</v>
      </c>
      <c r="G37" s="108">
        <v>74197</v>
      </c>
      <c r="H37" t="s">
        <v>314</v>
      </c>
      <c r="I37" t="s">
        <v>1003</v>
      </c>
      <c r="J37" t="s">
        <v>836</v>
      </c>
      <c r="K37" t="s">
        <v>205</v>
      </c>
      <c r="L37" t="s">
        <v>224</v>
      </c>
      <c r="M37" t="s">
        <v>224</v>
      </c>
      <c r="N37" t="s">
        <v>224</v>
      </c>
      <c r="O37" t="s">
        <v>339</v>
      </c>
      <c r="P37" s="162">
        <v>43857</v>
      </c>
      <c r="Q37" t="s">
        <v>1216</v>
      </c>
      <c r="R37" t="s">
        <v>885</v>
      </c>
      <c r="S37" t="s">
        <v>889</v>
      </c>
      <c r="T37" t="s">
        <v>4876</v>
      </c>
      <c r="U37" s="131">
        <v>3.71</v>
      </c>
      <c r="V37" s="131">
        <v>81.141000000000005</v>
      </c>
      <c r="W37" s="131">
        <v>301.03399999999999</v>
      </c>
      <c r="X37" s="163">
        <v>2.53E-2</v>
      </c>
      <c r="Y37" s="132">
        <v>3.9469999999999998E-2</v>
      </c>
      <c r="Z37" s="132">
        <v>4.3600000000000002E-3</v>
      </c>
    </row>
    <row r="38" spans="1:26">
      <c r="A38" t="s">
        <v>1213</v>
      </c>
      <c r="B38" t="s">
        <v>1235</v>
      </c>
      <c r="D38" t="s">
        <v>5036</v>
      </c>
      <c r="E38" t="s">
        <v>311</v>
      </c>
      <c r="F38" t="s">
        <v>5037</v>
      </c>
      <c r="G38" s="108">
        <v>74183</v>
      </c>
      <c r="H38" t="s">
        <v>314</v>
      </c>
      <c r="I38" t="s">
        <v>1000</v>
      </c>
      <c r="J38" t="s">
        <v>844</v>
      </c>
      <c r="K38" t="s">
        <v>205</v>
      </c>
      <c r="L38" t="s">
        <v>224</v>
      </c>
      <c r="M38" t="s">
        <v>224</v>
      </c>
      <c r="N38" t="s">
        <v>224</v>
      </c>
      <c r="O38" t="s">
        <v>339</v>
      </c>
      <c r="P38" s="162">
        <v>43482</v>
      </c>
      <c r="Q38" t="s">
        <v>1216</v>
      </c>
      <c r="R38" t="s">
        <v>885</v>
      </c>
      <c r="S38" t="s">
        <v>889</v>
      </c>
      <c r="T38" t="s">
        <v>4991</v>
      </c>
      <c r="U38" s="131">
        <v>3.71</v>
      </c>
      <c r="V38" s="131">
        <v>59.057000000000002</v>
      </c>
      <c r="W38" s="131">
        <v>219.101</v>
      </c>
      <c r="X38" s="163">
        <v>5.2000000000000005E-2</v>
      </c>
      <c r="Y38" s="132">
        <v>2.8729999999999999E-2</v>
      </c>
      <c r="Z38" s="132">
        <v>3.1700000000000001E-3</v>
      </c>
    </row>
    <row r="39" spans="1:26">
      <c r="A39" t="s">
        <v>1213</v>
      </c>
      <c r="B39" t="s">
        <v>1235</v>
      </c>
      <c r="C39" t="s">
        <v>5038</v>
      </c>
      <c r="D39" t="s">
        <v>5039</v>
      </c>
      <c r="E39" t="s">
        <v>311</v>
      </c>
      <c r="F39" t="s">
        <v>5040</v>
      </c>
      <c r="G39" s="108">
        <v>74208</v>
      </c>
      <c r="H39" t="s">
        <v>314</v>
      </c>
      <c r="I39" t="s">
        <v>1004</v>
      </c>
      <c r="J39" t="s">
        <v>833</v>
      </c>
      <c r="K39" t="s">
        <v>205</v>
      </c>
      <c r="L39" t="s">
        <v>224</v>
      </c>
      <c r="M39" t="s">
        <v>224</v>
      </c>
      <c r="N39" t="s">
        <v>224</v>
      </c>
      <c r="O39" t="s">
        <v>339</v>
      </c>
      <c r="P39" s="162">
        <v>44186</v>
      </c>
      <c r="Q39" t="s">
        <v>1216</v>
      </c>
      <c r="R39" t="s">
        <v>885</v>
      </c>
      <c r="S39" t="s">
        <v>889</v>
      </c>
      <c r="T39" t="s">
        <v>4876</v>
      </c>
      <c r="U39" s="131">
        <v>3.71</v>
      </c>
      <c r="V39" s="131">
        <v>53.786000000000001</v>
      </c>
      <c r="W39" s="131">
        <v>199.54499999999999</v>
      </c>
      <c r="X39" s="163">
        <v>4.7000000000000002E-3</v>
      </c>
      <c r="Y39" s="132">
        <v>2.6169999999999999E-2</v>
      </c>
      <c r="Z39" s="132">
        <v>2.8900000000000002E-3</v>
      </c>
    </row>
    <row r="40" spans="1:26">
      <c r="A40" t="s">
        <v>1213</v>
      </c>
      <c r="B40" t="s">
        <v>1235</v>
      </c>
      <c r="C40" t="s">
        <v>5041</v>
      </c>
      <c r="D40" t="s">
        <v>5042</v>
      </c>
      <c r="E40" t="s">
        <v>310</v>
      </c>
      <c r="F40" t="s">
        <v>5043</v>
      </c>
      <c r="G40" s="108">
        <v>74187</v>
      </c>
      <c r="H40" t="s">
        <v>314</v>
      </c>
      <c r="I40" t="s">
        <v>1003</v>
      </c>
      <c r="J40" t="s">
        <v>836</v>
      </c>
      <c r="K40" t="s">
        <v>205</v>
      </c>
      <c r="L40" t="s">
        <v>204</v>
      </c>
      <c r="M40" t="s">
        <v>204</v>
      </c>
      <c r="N40" t="s">
        <v>303</v>
      </c>
      <c r="O40" t="s">
        <v>339</v>
      </c>
      <c r="P40" s="162">
        <v>43571</v>
      </c>
      <c r="Q40" t="s">
        <v>1216</v>
      </c>
      <c r="R40" t="s">
        <v>885</v>
      </c>
      <c r="S40" t="s">
        <v>889</v>
      </c>
      <c r="T40" t="s">
        <v>5018</v>
      </c>
      <c r="U40" s="131">
        <v>3.71</v>
      </c>
      <c r="V40" s="131">
        <v>9.2140000000000004</v>
      </c>
      <c r="W40" s="131">
        <v>34.183</v>
      </c>
      <c r="X40" s="163">
        <v>3.3300000000000003E-2</v>
      </c>
      <c r="Y40" s="132">
        <v>4.4799999999999996E-3</v>
      </c>
      <c r="Z40" s="132">
        <v>5.0000000000000001E-4</v>
      </c>
    </row>
    <row r="41" spans="1:26">
      <c r="A41" t="s">
        <v>1213</v>
      </c>
      <c r="B41" t="s">
        <v>1235</v>
      </c>
      <c r="D41" t="s">
        <v>5044</v>
      </c>
      <c r="E41" t="s">
        <v>311</v>
      </c>
      <c r="F41" t="s">
        <v>5045</v>
      </c>
      <c r="G41" s="108">
        <v>74188</v>
      </c>
      <c r="H41" t="s">
        <v>314</v>
      </c>
      <c r="I41" t="s">
        <v>1002</v>
      </c>
      <c r="J41" t="s">
        <v>569</v>
      </c>
      <c r="K41" t="s">
        <v>205</v>
      </c>
      <c r="L41" t="s">
        <v>224</v>
      </c>
      <c r="M41" t="s">
        <v>224</v>
      </c>
      <c r="N41" t="s">
        <v>224</v>
      </c>
      <c r="O41" t="s">
        <v>339</v>
      </c>
      <c r="P41" s="162">
        <v>43578</v>
      </c>
      <c r="Q41" t="s">
        <v>1216</v>
      </c>
      <c r="R41" t="s">
        <v>885</v>
      </c>
      <c r="S41" t="s">
        <v>889</v>
      </c>
      <c r="T41" t="s">
        <v>5046</v>
      </c>
      <c r="U41" s="131">
        <v>3.71</v>
      </c>
      <c r="V41" s="131">
        <v>6.7169999999999996</v>
      </c>
      <c r="W41" s="131">
        <v>24.919</v>
      </c>
      <c r="X41" s="163">
        <v>1.7999999999999999E-2</v>
      </c>
      <c r="Y41" s="132">
        <v>3.2699999999999999E-3</v>
      </c>
      <c r="Z41" s="132">
        <v>3.6000000000000002E-4</v>
      </c>
    </row>
    <row r="42" spans="1:26">
      <c r="A42" t="s">
        <v>1213</v>
      </c>
      <c r="B42" t="s">
        <v>1238</v>
      </c>
      <c r="C42" t="s">
        <v>5047</v>
      </c>
      <c r="D42" t="s">
        <v>5048</v>
      </c>
      <c r="E42" t="s">
        <v>309</v>
      </c>
      <c r="F42" t="s">
        <v>5049</v>
      </c>
      <c r="G42" s="108" t="s">
        <v>5050</v>
      </c>
      <c r="H42" t="s">
        <v>321</v>
      </c>
      <c r="I42" t="s">
        <v>1002</v>
      </c>
      <c r="J42" t="s">
        <v>569</v>
      </c>
      <c r="K42" t="s">
        <v>204</v>
      </c>
      <c r="L42" t="s">
        <v>217</v>
      </c>
      <c r="M42" t="s">
        <v>204</v>
      </c>
      <c r="N42" t="s">
        <v>204</v>
      </c>
      <c r="O42" t="s">
        <v>339</v>
      </c>
      <c r="P42" s="162">
        <v>45565</v>
      </c>
      <c r="Q42" t="s">
        <v>1212</v>
      </c>
      <c r="R42" t="s">
        <v>885</v>
      </c>
      <c r="S42" t="s">
        <v>889</v>
      </c>
      <c r="T42" t="s">
        <v>4723</v>
      </c>
      <c r="U42" s="131">
        <v>1</v>
      </c>
      <c r="V42" s="131">
        <v>2036.8679999999999</v>
      </c>
      <c r="W42" s="131">
        <v>2036.8679999999999</v>
      </c>
      <c r="X42" s="163">
        <v>1.6E-2</v>
      </c>
      <c r="Y42" s="132">
        <v>4.47E-3</v>
      </c>
      <c r="Z42" s="132">
        <v>1.1299999999999999E-3</v>
      </c>
    </row>
    <row r="43" spans="1:26">
      <c r="A43" t="s">
        <v>1213</v>
      </c>
      <c r="B43" t="s">
        <v>1238</v>
      </c>
      <c r="C43" t="s">
        <v>5051</v>
      </c>
      <c r="D43" t="s">
        <v>5052</v>
      </c>
      <c r="E43" t="s">
        <v>309</v>
      </c>
      <c r="F43" t="s">
        <v>5053</v>
      </c>
      <c r="G43" s="108">
        <v>74196</v>
      </c>
      <c r="H43" t="s">
        <v>314</v>
      </c>
      <c r="I43" t="s">
        <v>1005</v>
      </c>
      <c r="J43" t="s">
        <v>826</v>
      </c>
      <c r="K43" t="s">
        <v>204</v>
      </c>
      <c r="L43" t="s">
        <v>204</v>
      </c>
      <c r="M43" t="s">
        <v>204</v>
      </c>
      <c r="N43" t="s">
        <v>204</v>
      </c>
      <c r="O43" t="s">
        <v>339</v>
      </c>
      <c r="P43" s="162">
        <v>43831</v>
      </c>
      <c r="Q43" t="s">
        <v>1212</v>
      </c>
      <c r="R43" t="s">
        <v>885</v>
      </c>
      <c r="S43" t="s">
        <v>889</v>
      </c>
      <c r="T43" t="s">
        <v>5054</v>
      </c>
      <c r="U43" s="131">
        <v>1</v>
      </c>
      <c r="V43" s="131">
        <v>59395.256000000001</v>
      </c>
      <c r="W43" s="131">
        <v>59395.256000000001</v>
      </c>
      <c r="X43" s="163">
        <v>0.14119999999999999</v>
      </c>
      <c r="Y43" s="132">
        <v>0.13020000000000001</v>
      </c>
      <c r="Z43" s="132">
        <v>3.2840000000000001E-2</v>
      </c>
    </row>
    <row r="44" spans="1:26">
      <c r="A44" t="s">
        <v>1213</v>
      </c>
      <c r="B44" t="s">
        <v>1238</v>
      </c>
      <c r="C44" t="s">
        <v>5000</v>
      </c>
      <c r="D44" t="s">
        <v>5001</v>
      </c>
      <c r="E44" t="s">
        <v>310</v>
      </c>
      <c r="F44" t="s">
        <v>5002</v>
      </c>
      <c r="G44" s="108">
        <v>74186</v>
      </c>
      <c r="H44" t="s">
        <v>314</v>
      </c>
      <c r="I44" t="s">
        <v>1004</v>
      </c>
      <c r="J44" t="s">
        <v>833</v>
      </c>
      <c r="K44" t="s">
        <v>204</v>
      </c>
      <c r="L44" t="s">
        <v>204</v>
      </c>
      <c r="M44" t="s">
        <v>204</v>
      </c>
      <c r="N44" t="s">
        <v>204</v>
      </c>
      <c r="O44" t="s">
        <v>339</v>
      </c>
      <c r="P44" s="162">
        <v>43542</v>
      </c>
      <c r="Q44" t="s">
        <v>1212</v>
      </c>
      <c r="R44" t="s">
        <v>885</v>
      </c>
      <c r="S44" t="s">
        <v>889</v>
      </c>
      <c r="T44" t="s">
        <v>5003</v>
      </c>
      <c r="U44" s="131">
        <v>1</v>
      </c>
      <c r="V44" s="131">
        <v>30900.692999999999</v>
      </c>
      <c r="W44" s="131">
        <v>30900.692999999999</v>
      </c>
      <c r="X44" s="163">
        <v>7.8700000000000006E-2</v>
      </c>
      <c r="Y44" s="132">
        <v>6.7739999999999995E-2</v>
      </c>
      <c r="Z44" s="132">
        <v>1.7080000000000001E-2</v>
      </c>
    </row>
    <row r="45" spans="1:26">
      <c r="A45" t="s">
        <v>1213</v>
      </c>
      <c r="B45" t="s">
        <v>1238</v>
      </c>
      <c r="C45" t="s">
        <v>5004</v>
      </c>
      <c r="D45" t="s">
        <v>5005</v>
      </c>
      <c r="E45" t="s">
        <v>309</v>
      </c>
      <c r="F45" t="s">
        <v>5006</v>
      </c>
      <c r="G45" s="108">
        <v>74185</v>
      </c>
      <c r="H45" t="s">
        <v>314</v>
      </c>
      <c r="I45" t="s">
        <v>1001</v>
      </c>
      <c r="J45" t="s">
        <v>831</v>
      </c>
      <c r="K45" t="s">
        <v>204</v>
      </c>
      <c r="L45" t="s">
        <v>204</v>
      </c>
      <c r="M45" t="s">
        <v>204</v>
      </c>
      <c r="N45" t="s">
        <v>204</v>
      </c>
      <c r="O45" t="s">
        <v>339</v>
      </c>
      <c r="P45" s="162">
        <v>43524</v>
      </c>
      <c r="Q45" t="s">
        <v>1212</v>
      </c>
      <c r="R45" t="s">
        <v>885</v>
      </c>
      <c r="S45" t="s">
        <v>889</v>
      </c>
      <c r="T45" t="s">
        <v>4877</v>
      </c>
      <c r="U45" s="131">
        <v>1</v>
      </c>
      <c r="V45" s="131">
        <v>28364.374</v>
      </c>
      <c r="W45" s="131">
        <v>28364.374</v>
      </c>
      <c r="X45" s="163">
        <v>0.1298</v>
      </c>
      <c r="Y45" s="132">
        <v>6.2179999999999999E-2</v>
      </c>
      <c r="Z45" s="132">
        <v>1.5679999999999999E-2</v>
      </c>
    </row>
    <row r="46" spans="1:26">
      <c r="A46" t="s">
        <v>1213</v>
      </c>
      <c r="B46" t="s">
        <v>1238</v>
      </c>
      <c r="C46" t="s">
        <v>5055</v>
      </c>
      <c r="D46" t="s">
        <v>5056</v>
      </c>
      <c r="E46" t="s">
        <v>309</v>
      </c>
      <c r="F46" t="s">
        <v>5057</v>
      </c>
      <c r="G46" s="108">
        <v>74168</v>
      </c>
      <c r="H46" t="s">
        <v>314</v>
      </c>
      <c r="I46" t="s">
        <v>1005</v>
      </c>
      <c r="J46" t="s">
        <v>842</v>
      </c>
      <c r="K46" t="s">
        <v>204</v>
      </c>
      <c r="L46" t="s">
        <v>204</v>
      </c>
      <c r="M46" t="s">
        <v>204</v>
      </c>
      <c r="N46" t="s">
        <v>204</v>
      </c>
      <c r="O46" t="s">
        <v>339</v>
      </c>
      <c r="P46" s="162">
        <v>42565</v>
      </c>
      <c r="Q46" t="s">
        <v>1216</v>
      </c>
      <c r="R46" t="s">
        <v>885</v>
      </c>
      <c r="S46" t="s">
        <v>889</v>
      </c>
      <c r="T46" t="s">
        <v>5058</v>
      </c>
      <c r="U46" s="131">
        <v>3.71</v>
      </c>
      <c r="V46" s="131">
        <v>7192.808</v>
      </c>
      <c r="W46" s="131">
        <v>26685.315999999999</v>
      </c>
      <c r="X46" s="163">
        <v>1.09E-2</v>
      </c>
      <c r="Y46" s="132">
        <v>5.8500000000000003E-2</v>
      </c>
      <c r="Z46" s="132">
        <v>1.4749999999999999E-2</v>
      </c>
    </row>
    <row r="47" spans="1:26">
      <c r="A47" t="s">
        <v>1213</v>
      </c>
      <c r="B47" t="s">
        <v>1238</v>
      </c>
      <c r="C47" t="s">
        <v>5007</v>
      </c>
      <c r="D47" t="s">
        <v>2129</v>
      </c>
      <c r="E47" t="s">
        <v>309</v>
      </c>
      <c r="F47" t="s">
        <v>5008</v>
      </c>
      <c r="G47" s="108">
        <v>74190</v>
      </c>
      <c r="H47" t="s">
        <v>314</v>
      </c>
      <c r="I47" t="s">
        <v>1005</v>
      </c>
      <c r="J47" t="s">
        <v>569</v>
      </c>
      <c r="K47" t="s">
        <v>204</v>
      </c>
      <c r="L47" t="s">
        <v>204</v>
      </c>
      <c r="M47" t="s">
        <v>204</v>
      </c>
      <c r="N47" t="s">
        <v>224</v>
      </c>
      <c r="O47" t="s">
        <v>339</v>
      </c>
      <c r="P47" s="162">
        <v>43691</v>
      </c>
      <c r="Q47" t="s">
        <v>1216</v>
      </c>
      <c r="R47" t="s">
        <v>885</v>
      </c>
      <c r="S47" t="s">
        <v>889</v>
      </c>
      <c r="T47" t="s">
        <v>4876</v>
      </c>
      <c r="U47" s="131">
        <v>3.71</v>
      </c>
      <c r="V47" s="131">
        <v>4195.9979999999996</v>
      </c>
      <c r="W47" s="131">
        <v>15567.152</v>
      </c>
      <c r="X47" s="163">
        <v>0.19874</v>
      </c>
      <c r="Y47" s="132">
        <v>3.4130000000000001E-2</v>
      </c>
      <c r="Z47" s="132">
        <v>8.6099999999999996E-3</v>
      </c>
    </row>
    <row r="48" spans="1:26">
      <c r="A48" t="s">
        <v>1213</v>
      </c>
      <c r="B48" t="s">
        <v>1238</v>
      </c>
      <c r="C48" t="s">
        <v>5004</v>
      </c>
      <c r="D48" t="s">
        <v>5009</v>
      </c>
      <c r="E48" t="s">
        <v>309</v>
      </c>
      <c r="F48" t="s">
        <v>5010</v>
      </c>
      <c r="G48" s="108">
        <v>74202</v>
      </c>
      <c r="H48" t="s">
        <v>314</v>
      </c>
      <c r="I48" t="s">
        <v>1001</v>
      </c>
      <c r="J48" t="s">
        <v>831</v>
      </c>
      <c r="K48" t="s">
        <v>204</v>
      </c>
      <c r="L48" t="s">
        <v>204</v>
      </c>
      <c r="M48" t="s">
        <v>204</v>
      </c>
      <c r="N48" t="s">
        <v>204</v>
      </c>
      <c r="O48" t="s">
        <v>339</v>
      </c>
      <c r="P48" s="162">
        <v>43913</v>
      </c>
      <c r="Q48" t="s">
        <v>1212</v>
      </c>
      <c r="R48" t="s">
        <v>885</v>
      </c>
      <c r="S48" t="s">
        <v>889</v>
      </c>
      <c r="T48" t="s">
        <v>4877</v>
      </c>
      <c r="U48" s="131">
        <v>1</v>
      </c>
      <c r="V48" s="131">
        <v>14567.960999999999</v>
      </c>
      <c r="W48" s="131">
        <v>14567.960999999999</v>
      </c>
      <c r="X48" s="163">
        <v>0.1036</v>
      </c>
      <c r="Y48" s="132">
        <v>3.193E-2</v>
      </c>
      <c r="Z48" s="132">
        <v>8.0499999999999999E-3</v>
      </c>
    </row>
    <row r="49" spans="1:26">
      <c r="A49" t="s">
        <v>1213</v>
      </c>
      <c r="B49" t="s">
        <v>1238</v>
      </c>
      <c r="C49" t="s">
        <v>5000</v>
      </c>
      <c r="D49" t="s">
        <v>5001</v>
      </c>
      <c r="E49" t="s">
        <v>310</v>
      </c>
      <c r="F49" t="s">
        <v>5059</v>
      </c>
      <c r="G49" s="108">
        <v>74204</v>
      </c>
      <c r="H49" t="s">
        <v>314</v>
      </c>
      <c r="I49" t="s">
        <v>1004</v>
      </c>
      <c r="J49" t="s">
        <v>833</v>
      </c>
      <c r="K49" t="s">
        <v>204</v>
      </c>
      <c r="L49" t="s">
        <v>204</v>
      </c>
      <c r="M49" t="s">
        <v>204</v>
      </c>
      <c r="N49" t="s">
        <v>204</v>
      </c>
      <c r="O49" t="s">
        <v>339</v>
      </c>
      <c r="P49" s="162">
        <v>44084</v>
      </c>
      <c r="Q49" t="s">
        <v>1212</v>
      </c>
      <c r="R49" t="s">
        <v>885</v>
      </c>
      <c r="S49" t="s">
        <v>889</v>
      </c>
      <c r="T49" t="s">
        <v>5060</v>
      </c>
      <c r="U49" s="131">
        <v>1</v>
      </c>
      <c r="V49" s="131">
        <v>11953.098</v>
      </c>
      <c r="W49" s="131">
        <v>11953.098</v>
      </c>
      <c r="X49" s="163">
        <v>7.8700000000000006E-2</v>
      </c>
      <c r="Y49" s="132">
        <v>2.6200000000000001E-2</v>
      </c>
      <c r="Z49" s="132">
        <v>6.6100000000000004E-3</v>
      </c>
    </row>
    <row r="50" spans="1:26">
      <c r="A50" t="s">
        <v>1213</v>
      </c>
      <c r="B50" t="s">
        <v>1238</v>
      </c>
      <c r="C50" t="s">
        <v>5011</v>
      </c>
      <c r="D50" t="s">
        <v>5012</v>
      </c>
      <c r="E50" t="s">
        <v>309</v>
      </c>
      <c r="F50" t="s">
        <v>5013</v>
      </c>
      <c r="G50" s="108">
        <v>74176</v>
      </c>
      <c r="H50" t="s">
        <v>314</v>
      </c>
      <c r="I50" t="s">
        <v>1002</v>
      </c>
      <c r="J50" t="s">
        <v>569</v>
      </c>
      <c r="K50" t="s">
        <v>204</v>
      </c>
      <c r="L50" t="s">
        <v>204</v>
      </c>
      <c r="M50" t="s">
        <v>204</v>
      </c>
      <c r="N50" t="s">
        <v>204</v>
      </c>
      <c r="O50" t="s">
        <v>339</v>
      </c>
      <c r="P50" s="162">
        <v>43306</v>
      </c>
      <c r="Q50" t="s">
        <v>1212</v>
      </c>
      <c r="R50" t="s">
        <v>885</v>
      </c>
      <c r="S50" t="s">
        <v>889</v>
      </c>
      <c r="T50" t="s">
        <v>5014</v>
      </c>
      <c r="U50" s="131">
        <v>1</v>
      </c>
      <c r="V50" s="131">
        <v>11417.794</v>
      </c>
      <c r="W50" s="131">
        <v>11417.794</v>
      </c>
      <c r="X50" s="163">
        <v>1.7500000000000002E-2</v>
      </c>
      <c r="Y50" s="132">
        <v>2.503E-2</v>
      </c>
      <c r="Z50" s="132">
        <v>6.3099999999999996E-3</v>
      </c>
    </row>
    <row r="51" spans="1:26">
      <c r="A51" t="s">
        <v>1213</v>
      </c>
      <c r="B51" t="s">
        <v>1238</v>
      </c>
      <c r="C51" t="s">
        <v>5061</v>
      </c>
      <c r="D51" t="s">
        <v>5062</v>
      </c>
      <c r="E51" t="s">
        <v>309</v>
      </c>
      <c r="F51" t="s">
        <v>5063</v>
      </c>
      <c r="G51" s="108">
        <v>74231</v>
      </c>
      <c r="H51" t="s">
        <v>314</v>
      </c>
      <c r="I51" t="s">
        <v>1003</v>
      </c>
      <c r="J51" t="s">
        <v>836</v>
      </c>
      <c r="K51" t="s">
        <v>204</v>
      </c>
      <c r="L51" t="s">
        <v>204</v>
      </c>
      <c r="M51" t="s">
        <v>204</v>
      </c>
      <c r="N51" t="s">
        <v>204</v>
      </c>
      <c r="O51" t="s">
        <v>339</v>
      </c>
      <c r="P51" s="162">
        <v>44591</v>
      </c>
      <c r="Q51" t="s">
        <v>1212</v>
      </c>
      <c r="R51" t="s">
        <v>885</v>
      </c>
      <c r="S51" t="s">
        <v>889</v>
      </c>
      <c r="T51" t="s">
        <v>4876</v>
      </c>
      <c r="U51" s="131">
        <v>1</v>
      </c>
      <c r="V51" s="131">
        <v>7381.5020000000004</v>
      </c>
      <c r="W51" s="131">
        <v>7381.5020000000004</v>
      </c>
      <c r="X51" s="163">
        <v>5.2600000000000001E-2</v>
      </c>
      <c r="Y51" s="132">
        <v>1.618E-2</v>
      </c>
      <c r="Z51" s="132">
        <v>4.0800000000000003E-3</v>
      </c>
    </row>
    <row r="52" spans="1:26">
      <c r="A52" t="s">
        <v>1213</v>
      </c>
      <c r="B52" t="s">
        <v>1238</v>
      </c>
      <c r="C52" t="s">
        <v>5064</v>
      </c>
      <c r="D52" t="s">
        <v>5065</v>
      </c>
      <c r="E52" t="s">
        <v>309</v>
      </c>
      <c r="F52" t="s">
        <v>5066</v>
      </c>
      <c r="G52" s="108">
        <v>74217</v>
      </c>
      <c r="H52" t="s">
        <v>314</v>
      </c>
      <c r="I52" t="s">
        <v>1003</v>
      </c>
      <c r="J52" t="s">
        <v>836</v>
      </c>
      <c r="K52" t="s">
        <v>204</v>
      </c>
      <c r="L52" t="s">
        <v>204</v>
      </c>
      <c r="M52" t="s">
        <v>204</v>
      </c>
      <c r="N52" t="s">
        <v>204</v>
      </c>
      <c r="O52" t="s">
        <v>339</v>
      </c>
      <c r="P52" s="162">
        <v>44370</v>
      </c>
      <c r="Q52" t="s">
        <v>1212</v>
      </c>
      <c r="R52" t="s">
        <v>885</v>
      </c>
      <c r="S52" t="s">
        <v>889</v>
      </c>
      <c r="T52" t="s">
        <v>4942</v>
      </c>
      <c r="U52" s="131">
        <v>1</v>
      </c>
      <c r="V52" s="131">
        <v>6871.1570000000002</v>
      </c>
      <c r="W52" s="131">
        <v>6871.1570000000002</v>
      </c>
      <c r="X52" s="163">
        <v>0.25196850393700787</v>
      </c>
      <c r="Y52" s="132">
        <v>1.506E-2</v>
      </c>
      <c r="Z52" s="132">
        <v>3.8E-3</v>
      </c>
    </row>
    <row r="53" spans="1:26">
      <c r="A53" t="s">
        <v>1213</v>
      </c>
      <c r="B53" t="s">
        <v>1238</v>
      </c>
      <c r="D53" t="s">
        <v>5067</v>
      </c>
      <c r="E53" t="s">
        <v>309</v>
      </c>
      <c r="F53" t="s">
        <v>5068</v>
      </c>
      <c r="G53" s="108">
        <v>74249</v>
      </c>
      <c r="H53" t="s">
        <v>314</v>
      </c>
      <c r="I53" t="s">
        <v>1005</v>
      </c>
      <c r="J53" t="s">
        <v>832</v>
      </c>
      <c r="K53" t="s">
        <v>204</v>
      </c>
      <c r="L53" t="s">
        <v>204</v>
      </c>
      <c r="M53" t="s">
        <v>204</v>
      </c>
      <c r="N53" t="s">
        <v>204</v>
      </c>
      <c r="O53" t="s">
        <v>339</v>
      </c>
      <c r="P53" s="162">
        <v>45006</v>
      </c>
      <c r="Q53" t="s">
        <v>1212</v>
      </c>
      <c r="R53" t="s">
        <v>885</v>
      </c>
      <c r="S53" t="s">
        <v>889</v>
      </c>
      <c r="T53" t="s">
        <v>5069</v>
      </c>
      <c r="U53" s="131">
        <v>1</v>
      </c>
      <c r="V53" s="131">
        <v>6683.8630000000003</v>
      </c>
      <c r="W53" s="131">
        <v>6683.8630000000003</v>
      </c>
      <c r="X53" s="163">
        <v>0.19600000000000001</v>
      </c>
      <c r="Y53" s="132">
        <v>1.465E-2</v>
      </c>
      <c r="Z53" s="132">
        <v>3.7000000000000002E-3</v>
      </c>
    </row>
    <row r="54" spans="1:26">
      <c r="A54" t="s">
        <v>1213</v>
      </c>
      <c r="B54" t="s">
        <v>1238</v>
      </c>
      <c r="C54" t="s">
        <v>5070</v>
      </c>
      <c r="D54" t="s">
        <v>5071</v>
      </c>
      <c r="E54" t="s">
        <v>310</v>
      </c>
      <c r="F54" t="s">
        <v>5072</v>
      </c>
      <c r="G54" s="108">
        <v>74238</v>
      </c>
      <c r="H54" t="s">
        <v>314</v>
      </c>
      <c r="I54" t="s">
        <v>1004</v>
      </c>
      <c r="J54" t="s">
        <v>833</v>
      </c>
      <c r="K54" t="s">
        <v>204</v>
      </c>
      <c r="L54" t="s">
        <v>204</v>
      </c>
      <c r="M54" t="s">
        <v>204</v>
      </c>
      <c r="N54" t="s">
        <v>204</v>
      </c>
      <c r="O54" t="s">
        <v>339</v>
      </c>
      <c r="P54" s="162">
        <v>44721</v>
      </c>
      <c r="Q54" t="s">
        <v>1212</v>
      </c>
      <c r="R54" t="s">
        <v>885</v>
      </c>
      <c r="S54" t="s">
        <v>889</v>
      </c>
      <c r="T54" t="s">
        <v>5003</v>
      </c>
      <c r="U54" s="131">
        <v>1</v>
      </c>
      <c r="V54" s="131">
        <v>6397.5529999999999</v>
      </c>
      <c r="W54" s="131">
        <v>6397.5529999999999</v>
      </c>
      <c r="X54" s="163">
        <v>1.89E-2</v>
      </c>
      <c r="Y54" s="132">
        <v>1.4019999999999999E-2</v>
      </c>
      <c r="Z54" s="132">
        <v>3.5400000000000002E-3</v>
      </c>
    </row>
    <row r="55" spans="1:26">
      <c r="A55" t="s">
        <v>1213</v>
      </c>
      <c r="B55" t="s">
        <v>1238</v>
      </c>
      <c r="C55" t="s">
        <v>5073</v>
      </c>
      <c r="D55" t="s">
        <v>5062</v>
      </c>
      <c r="E55" t="s">
        <v>310</v>
      </c>
      <c r="F55" t="s">
        <v>5074</v>
      </c>
      <c r="G55" s="108">
        <v>74171</v>
      </c>
      <c r="H55" t="s">
        <v>314</v>
      </c>
      <c r="I55" t="s">
        <v>1003</v>
      </c>
      <c r="J55" t="s">
        <v>836</v>
      </c>
      <c r="K55" t="s">
        <v>204</v>
      </c>
      <c r="L55" t="s">
        <v>204</v>
      </c>
      <c r="M55" t="s">
        <v>204</v>
      </c>
      <c r="N55" t="s">
        <v>204</v>
      </c>
      <c r="O55" t="s">
        <v>339</v>
      </c>
      <c r="P55" s="162">
        <v>42736</v>
      </c>
      <c r="Q55" t="s">
        <v>1212</v>
      </c>
      <c r="R55" t="s">
        <v>885</v>
      </c>
      <c r="S55" t="s">
        <v>889</v>
      </c>
      <c r="T55" t="s">
        <v>5075</v>
      </c>
      <c r="U55" s="131">
        <v>1</v>
      </c>
      <c r="V55" s="131">
        <v>6394.19</v>
      </c>
      <c r="W55" s="131">
        <v>6394.19</v>
      </c>
      <c r="X55" s="163">
        <v>8.1039999999999987E-2</v>
      </c>
      <c r="Y55" s="132">
        <v>1.4019999999999999E-2</v>
      </c>
      <c r="Z55" s="132">
        <v>3.5400000000000002E-3</v>
      </c>
    </row>
    <row r="56" spans="1:26">
      <c r="A56" t="s">
        <v>1213</v>
      </c>
      <c r="B56" t="s">
        <v>1238</v>
      </c>
      <c r="C56" t="s">
        <v>5076</v>
      </c>
      <c r="D56" t="s">
        <v>5077</v>
      </c>
      <c r="E56" t="s">
        <v>309</v>
      </c>
      <c r="F56" t="s">
        <v>5078</v>
      </c>
      <c r="G56" s="108">
        <v>74228</v>
      </c>
      <c r="H56" t="s">
        <v>314</v>
      </c>
      <c r="I56" t="s">
        <v>1000</v>
      </c>
      <c r="J56" t="s">
        <v>844</v>
      </c>
      <c r="K56" t="s">
        <v>204</v>
      </c>
      <c r="L56" t="s">
        <v>204</v>
      </c>
      <c r="M56" t="s">
        <v>204</v>
      </c>
      <c r="N56" t="s">
        <v>204</v>
      </c>
      <c r="O56" t="s">
        <v>339</v>
      </c>
      <c r="P56" s="162">
        <v>44560</v>
      </c>
      <c r="Q56" t="s">
        <v>1216</v>
      </c>
      <c r="R56" t="s">
        <v>885</v>
      </c>
      <c r="S56" t="s">
        <v>889</v>
      </c>
      <c r="T56" t="s">
        <v>5022</v>
      </c>
      <c r="U56" s="131">
        <v>3.71</v>
      </c>
      <c r="V56" s="131">
        <v>1619.1079999999999</v>
      </c>
      <c r="W56" s="131">
        <v>6006.8909999999996</v>
      </c>
      <c r="X56" s="163">
        <v>6.7400000000000002E-2</v>
      </c>
      <c r="Y56" s="132">
        <v>1.3169999999999999E-2</v>
      </c>
      <c r="Z56" s="132">
        <v>3.32E-3</v>
      </c>
    </row>
    <row r="57" spans="1:26">
      <c r="A57" t="s">
        <v>1213</v>
      </c>
      <c r="B57" t="s">
        <v>1238</v>
      </c>
      <c r="C57" t="s">
        <v>5079</v>
      </c>
      <c r="D57" t="s">
        <v>5080</v>
      </c>
      <c r="E57" t="s">
        <v>309</v>
      </c>
      <c r="F57" t="s">
        <v>5081</v>
      </c>
      <c r="G57" s="108">
        <v>74233</v>
      </c>
      <c r="H57" t="s">
        <v>314</v>
      </c>
      <c r="I57" t="s">
        <v>1002</v>
      </c>
      <c r="J57" t="s">
        <v>569</v>
      </c>
      <c r="K57" t="s">
        <v>204</v>
      </c>
      <c r="L57" t="s">
        <v>204</v>
      </c>
      <c r="M57" t="s">
        <v>204</v>
      </c>
      <c r="N57" t="s">
        <v>224</v>
      </c>
      <c r="O57" t="s">
        <v>339</v>
      </c>
      <c r="P57" s="162">
        <v>44622</v>
      </c>
      <c r="Q57" t="s">
        <v>1212</v>
      </c>
      <c r="R57" t="s">
        <v>885</v>
      </c>
      <c r="S57" t="s">
        <v>889</v>
      </c>
      <c r="T57" t="s">
        <v>5014</v>
      </c>
      <c r="U57" s="131">
        <v>1</v>
      </c>
      <c r="V57" s="131">
        <v>5771.4080000000004</v>
      </c>
      <c r="W57" s="131">
        <v>5771.4080000000004</v>
      </c>
      <c r="X57" s="163">
        <v>0.104</v>
      </c>
      <c r="Y57" s="132">
        <v>1.265E-2</v>
      </c>
      <c r="Z57" s="132">
        <v>3.1900000000000001E-3</v>
      </c>
    </row>
    <row r="58" spans="1:26">
      <c r="A58" t="s">
        <v>1213</v>
      </c>
      <c r="B58" t="s">
        <v>1238</v>
      </c>
      <c r="C58" t="s">
        <v>5082</v>
      </c>
      <c r="D58" t="s">
        <v>5083</v>
      </c>
      <c r="E58" t="s">
        <v>309</v>
      </c>
      <c r="F58" t="s">
        <v>5084</v>
      </c>
      <c r="G58" s="108">
        <v>74241</v>
      </c>
      <c r="H58" t="s">
        <v>314</v>
      </c>
      <c r="I58" t="s">
        <v>1003</v>
      </c>
      <c r="J58" t="s">
        <v>837</v>
      </c>
      <c r="K58" t="s">
        <v>204</v>
      </c>
      <c r="L58" t="s">
        <v>204</v>
      </c>
      <c r="M58" t="s">
        <v>204</v>
      </c>
      <c r="N58" t="s">
        <v>204</v>
      </c>
      <c r="O58" t="s">
        <v>339</v>
      </c>
      <c r="P58" s="162">
        <v>44752</v>
      </c>
      <c r="Q58" t="s">
        <v>1212</v>
      </c>
      <c r="R58" t="s">
        <v>885</v>
      </c>
      <c r="S58" t="s">
        <v>889</v>
      </c>
      <c r="T58" t="s">
        <v>5026</v>
      </c>
      <c r="U58" s="131">
        <v>1</v>
      </c>
      <c r="V58" s="131">
        <v>5547.2920000000004</v>
      </c>
      <c r="W58" s="131">
        <v>5547.2920000000004</v>
      </c>
      <c r="X58" s="163">
        <v>5.8299999999999998E-2</v>
      </c>
      <c r="Y58" s="132">
        <v>1.2160000000000001E-2</v>
      </c>
      <c r="Z58" s="132">
        <v>3.0699999999999998E-3</v>
      </c>
    </row>
    <row r="59" spans="1:26">
      <c r="A59" t="s">
        <v>1213</v>
      </c>
      <c r="B59" t="s">
        <v>1238</v>
      </c>
      <c r="C59" t="s">
        <v>5015</v>
      </c>
      <c r="D59" t="s">
        <v>5016</v>
      </c>
      <c r="E59" t="s">
        <v>309</v>
      </c>
      <c r="F59" t="s">
        <v>5017</v>
      </c>
      <c r="G59" s="108">
        <v>74173</v>
      </c>
      <c r="H59" t="s">
        <v>314</v>
      </c>
      <c r="I59" t="s">
        <v>1000</v>
      </c>
      <c r="J59" t="s">
        <v>845</v>
      </c>
      <c r="K59" t="s">
        <v>204</v>
      </c>
      <c r="L59" t="s">
        <v>204</v>
      </c>
      <c r="M59" t="s">
        <v>204</v>
      </c>
      <c r="N59" t="s">
        <v>204</v>
      </c>
      <c r="O59" t="s">
        <v>339</v>
      </c>
      <c r="P59" s="162">
        <v>43157</v>
      </c>
      <c r="Q59" t="s">
        <v>1216</v>
      </c>
      <c r="R59" t="s">
        <v>885</v>
      </c>
      <c r="S59" t="s">
        <v>889</v>
      </c>
      <c r="T59" t="s">
        <v>5018</v>
      </c>
      <c r="U59" s="131">
        <v>3.71</v>
      </c>
      <c r="V59" s="131">
        <v>1473.155</v>
      </c>
      <c r="W59" s="131">
        <v>5465.4040000000005</v>
      </c>
      <c r="X59" s="163">
        <v>0.10349999999999999</v>
      </c>
      <c r="Y59" s="132">
        <v>1.1979999999999999E-2</v>
      </c>
      <c r="Z59" s="132">
        <v>3.0200000000000001E-3</v>
      </c>
    </row>
    <row r="60" spans="1:26">
      <c r="A60" t="s">
        <v>1213</v>
      </c>
      <c r="B60" t="s">
        <v>1238</v>
      </c>
      <c r="C60" t="s">
        <v>5019</v>
      </c>
      <c r="D60" t="s">
        <v>5020</v>
      </c>
      <c r="E60" t="s">
        <v>309</v>
      </c>
      <c r="F60" t="s">
        <v>5021</v>
      </c>
      <c r="G60" s="108">
        <v>74177</v>
      </c>
      <c r="H60" t="s">
        <v>314</v>
      </c>
      <c r="I60" t="s">
        <v>1002</v>
      </c>
      <c r="J60" t="s">
        <v>569</v>
      </c>
      <c r="K60" t="s">
        <v>204</v>
      </c>
      <c r="L60" t="s">
        <v>204</v>
      </c>
      <c r="M60" t="s">
        <v>204</v>
      </c>
      <c r="N60" t="s">
        <v>204</v>
      </c>
      <c r="O60" t="s">
        <v>339</v>
      </c>
      <c r="P60" s="162">
        <v>43312</v>
      </c>
      <c r="Q60" t="s">
        <v>1212</v>
      </c>
      <c r="R60" t="s">
        <v>885</v>
      </c>
      <c r="S60" t="s">
        <v>889</v>
      </c>
      <c r="T60" t="s">
        <v>5022</v>
      </c>
      <c r="U60" s="131">
        <v>1</v>
      </c>
      <c r="V60" s="131">
        <v>5399.34</v>
      </c>
      <c r="W60" s="131">
        <v>5399.34</v>
      </c>
      <c r="X60" s="163">
        <v>2.9600000000000001E-2</v>
      </c>
      <c r="Y60" s="132">
        <v>1.184E-2</v>
      </c>
      <c r="Z60" s="132">
        <v>2.99E-3</v>
      </c>
    </row>
    <row r="61" spans="1:26">
      <c r="A61" t="s">
        <v>1213</v>
      </c>
      <c r="B61" t="s">
        <v>1238</v>
      </c>
      <c r="C61" t="s">
        <v>5085</v>
      </c>
      <c r="D61" t="s">
        <v>5086</v>
      </c>
      <c r="E61" t="s">
        <v>309</v>
      </c>
      <c r="F61" t="s">
        <v>5087</v>
      </c>
      <c r="G61" s="108">
        <v>74239</v>
      </c>
      <c r="H61" t="s">
        <v>314</v>
      </c>
      <c r="I61" t="s">
        <v>1003</v>
      </c>
      <c r="J61" t="s">
        <v>837</v>
      </c>
      <c r="K61" t="s">
        <v>204</v>
      </c>
      <c r="L61" t="s">
        <v>204</v>
      </c>
      <c r="M61" t="s">
        <v>204</v>
      </c>
      <c r="N61" t="s">
        <v>204</v>
      </c>
      <c r="O61" t="s">
        <v>339</v>
      </c>
      <c r="P61" s="162">
        <v>44741</v>
      </c>
      <c r="Q61" t="s">
        <v>1212</v>
      </c>
      <c r="R61" t="s">
        <v>885</v>
      </c>
      <c r="S61" t="s">
        <v>889</v>
      </c>
      <c r="T61" t="s">
        <v>4876</v>
      </c>
      <c r="U61" s="131">
        <v>1</v>
      </c>
      <c r="V61" s="131">
        <v>4107.4620000000004</v>
      </c>
      <c r="W61" s="131">
        <v>4107.4620000000004</v>
      </c>
      <c r="X61" s="163">
        <v>3.4099999999999998E-2</v>
      </c>
      <c r="Y61" s="132">
        <v>8.9999999999999993E-3</v>
      </c>
      <c r="Z61" s="132">
        <v>2.2699999999999999E-3</v>
      </c>
    </row>
    <row r="62" spans="1:26">
      <c r="A62" t="s">
        <v>1213</v>
      </c>
      <c r="B62" t="s">
        <v>1238</v>
      </c>
      <c r="C62" t="s">
        <v>5088</v>
      </c>
      <c r="D62" t="s">
        <v>5089</v>
      </c>
      <c r="E62" t="s">
        <v>309</v>
      </c>
      <c r="F62" t="s">
        <v>5090</v>
      </c>
      <c r="G62" s="108">
        <v>74221</v>
      </c>
      <c r="H62" t="s">
        <v>314</v>
      </c>
      <c r="I62" t="s">
        <v>1000</v>
      </c>
      <c r="J62" t="s">
        <v>844</v>
      </c>
      <c r="K62" t="s">
        <v>204</v>
      </c>
      <c r="L62" t="s">
        <v>204</v>
      </c>
      <c r="M62" t="s">
        <v>204</v>
      </c>
      <c r="N62" t="s">
        <v>296</v>
      </c>
      <c r="O62" t="s">
        <v>339</v>
      </c>
      <c r="P62" s="162">
        <v>44409</v>
      </c>
      <c r="Q62" t="s">
        <v>1216</v>
      </c>
      <c r="R62" t="s">
        <v>885</v>
      </c>
      <c r="S62" t="s">
        <v>889</v>
      </c>
      <c r="T62" t="s">
        <v>4876</v>
      </c>
      <c r="U62" s="131">
        <v>3.71</v>
      </c>
      <c r="V62" s="131">
        <v>895.97199999999998</v>
      </c>
      <c r="W62" s="131">
        <v>3324.0569999999998</v>
      </c>
      <c r="X62" s="163">
        <v>7.5700000000000003E-2</v>
      </c>
      <c r="Y62" s="132">
        <v>7.2899999999999996E-3</v>
      </c>
      <c r="Z62" s="132">
        <v>1.8400000000000001E-3</v>
      </c>
    </row>
    <row r="63" spans="1:26">
      <c r="A63" t="s">
        <v>1213</v>
      </c>
      <c r="B63" t="s">
        <v>1238</v>
      </c>
      <c r="C63" t="s">
        <v>5091</v>
      </c>
      <c r="D63" t="s">
        <v>5092</v>
      </c>
      <c r="E63" t="s">
        <v>309</v>
      </c>
      <c r="F63" t="s">
        <v>5093</v>
      </c>
      <c r="G63" s="108">
        <v>74170</v>
      </c>
      <c r="H63" t="s">
        <v>314</v>
      </c>
      <c r="I63" t="s">
        <v>1003</v>
      </c>
      <c r="J63" t="s">
        <v>836</v>
      </c>
      <c r="K63" t="s">
        <v>204</v>
      </c>
      <c r="L63" t="s">
        <v>204</v>
      </c>
      <c r="M63" t="s">
        <v>204</v>
      </c>
      <c r="N63" t="s">
        <v>204</v>
      </c>
      <c r="O63" t="s">
        <v>339</v>
      </c>
      <c r="P63" s="162">
        <v>42583</v>
      </c>
      <c r="Q63" t="s">
        <v>1212</v>
      </c>
      <c r="R63" t="s">
        <v>885</v>
      </c>
      <c r="S63" t="s">
        <v>889</v>
      </c>
      <c r="T63" t="s">
        <v>5014</v>
      </c>
      <c r="U63" s="131">
        <v>1</v>
      </c>
      <c r="V63" s="131">
        <v>3143.748</v>
      </c>
      <c r="W63" s="131">
        <v>3143.748</v>
      </c>
      <c r="X63" s="163">
        <v>4.0399999999999998E-2</v>
      </c>
      <c r="Y63" s="132">
        <v>6.8900000000000003E-3</v>
      </c>
      <c r="Z63" s="132">
        <v>1.74E-3</v>
      </c>
    </row>
    <row r="64" spans="1:26">
      <c r="A64" t="s">
        <v>1213</v>
      </c>
      <c r="B64" t="s">
        <v>1238</v>
      </c>
      <c r="C64" t="s">
        <v>5094</v>
      </c>
      <c r="D64" t="s">
        <v>5095</v>
      </c>
      <c r="E64" t="s">
        <v>309</v>
      </c>
      <c r="F64" t="s">
        <v>5096</v>
      </c>
      <c r="G64" s="108">
        <v>74179</v>
      </c>
      <c r="H64" t="s">
        <v>314</v>
      </c>
      <c r="I64" t="s">
        <v>1001</v>
      </c>
      <c r="J64" t="s">
        <v>831</v>
      </c>
      <c r="K64" t="s">
        <v>204</v>
      </c>
      <c r="L64" t="s">
        <v>204</v>
      </c>
      <c r="M64" t="s">
        <v>204</v>
      </c>
      <c r="N64" t="s">
        <v>204</v>
      </c>
      <c r="O64" t="s">
        <v>339</v>
      </c>
      <c r="P64" s="162">
        <v>43394</v>
      </c>
      <c r="Q64" t="s">
        <v>1212</v>
      </c>
      <c r="R64" t="s">
        <v>885</v>
      </c>
      <c r="S64" t="s">
        <v>889</v>
      </c>
      <c r="T64" t="s">
        <v>5022</v>
      </c>
      <c r="U64" s="131">
        <v>1</v>
      </c>
      <c r="V64" s="131">
        <v>2893.3820000000001</v>
      </c>
      <c r="W64" s="131">
        <v>2893.3820000000001</v>
      </c>
      <c r="X64" s="163">
        <v>0.11990000000000001</v>
      </c>
      <c r="Y64" s="132">
        <v>6.3400000000000001E-3</v>
      </c>
      <c r="Z64" s="132">
        <v>1.6000000000000001E-3</v>
      </c>
    </row>
    <row r="65" spans="1:26">
      <c r="A65" t="s">
        <v>1213</v>
      </c>
      <c r="B65" t="s">
        <v>1238</v>
      </c>
      <c r="C65" t="s">
        <v>5097</v>
      </c>
      <c r="D65" t="s">
        <v>5098</v>
      </c>
      <c r="E65" t="s">
        <v>309</v>
      </c>
      <c r="F65" t="s">
        <v>5099</v>
      </c>
      <c r="G65" s="108">
        <v>74167</v>
      </c>
      <c r="H65" t="s">
        <v>314</v>
      </c>
      <c r="I65" t="s">
        <v>1003</v>
      </c>
      <c r="J65" t="s">
        <v>836</v>
      </c>
      <c r="K65" t="s">
        <v>204</v>
      </c>
      <c r="L65" t="s">
        <v>204</v>
      </c>
      <c r="M65" t="s">
        <v>204</v>
      </c>
      <c r="N65" t="s">
        <v>204</v>
      </c>
      <c r="O65" t="s">
        <v>339</v>
      </c>
      <c r="P65" s="162">
        <v>42125</v>
      </c>
      <c r="Q65" t="s">
        <v>1212</v>
      </c>
      <c r="R65" t="s">
        <v>885</v>
      </c>
      <c r="S65" t="s">
        <v>889</v>
      </c>
      <c r="T65" t="s">
        <v>5100</v>
      </c>
      <c r="U65" s="131">
        <v>1</v>
      </c>
      <c r="V65" s="131">
        <v>2306.4520000000002</v>
      </c>
      <c r="W65" s="131">
        <v>2306.4520000000002</v>
      </c>
      <c r="X65" s="163">
        <v>0.30430000000000001</v>
      </c>
      <c r="Y65" s="132">
        <v>5.0600000000000003E-3</v>
      </c>
      <c r="Z65" s="132">
        <v>1.2800000000000001E-3</v>
      </c>
    </row>
    <row r="66" spans="1:26">
      <c r="A66" t="s">
        <v>1213</v>
      </c>
      <c r="B66" t="s">
        <v>1238</v>
      </c>
      <c r="C66" t="s">
        <v>5101</v>
      </c>
      <c r="D66" t="s">
        <v>5102</v>
      </c>
      <c r="E66" t="s">
        <v>309</v>
      </c>
      <c r="F66" t="s">
        <v>5103</v>
      </c>
      <c r="G66" s="108">
        <v>74166</v>
      </c>
      <c r="H66" t="s">
        <v>314</v>
      </c>
      <c r="I66" t="s">
        <v>1003</v>
      </c>
      <c r="J66" t="s">
        <v>836</v>
      </c>
      <c r="K66" t="s">
        <v>204</v>
      </c>
      <c r="L66" t="s">
        <v>204</v>
      </c>
      <c r="M66" t="s">
        <v>204</v>
      </c>
      <c r="N66" t="s">
        <v>204</v>
      </c>
      <c r="O66" t="s">
        <v>339</v>
      </c>
      <c r="P66" s="162">
        <v>41334</v>
      </c>
      <c r="Q66" t="s">
        <v>1212</v>
      </c>
      <c r="R66" t="s">
        <v>885</v>
      </c>
      <c r="S66" t="s">
        <v>889</v>
      </c>
      <c r="T66" t="s">
        <v>5104</v>
      </c>
      <c r="U66" s="131">
        <v>1</v>
      </c>
      <c r="V66" s="131">
        <v>2189.9180000000001</v>
      </c>
      <c r="W66" s="131">
        <v>2189.9180000000001</v>
      </c>
      <c r="X66" s="163">
        <v>0.16389999999999999</v>
      </c>
      <c r="Y66" s="132">
        <v>4.7999999999999996E-3</v>
      </c>
      <c r="Z66" s="132">
        <v>1.2099999999999999E-3</v>
      </c>
    </row>
    <row r="67" spans="1:26">
      <c r="A67" t="s">
        <v>1213</v>
      </c>
      <c r="B67" t="s">
        <v>1238</v>
      </c>
      <c r="C67" t="s">
        <v>5105</v>
      </c>
      <c r="D67" t="s">
        <v>5106</v>
      </c>
      <c r="E67" t="s">
        <v>311</v>
      </c>
      <c r="F67" t="s">
        <v>5107</v>
      </c>
      <c r="G67" s="108">
        <v>74243</v>
      </c>
      <c r="H67" t="s">
        <v>314</v>
      </c>
      <c r="I67" t="s">
        <v>1000</v>
      </c>
      <c r="J67" t="s">
        <v>844</v>
      </c>
      <c r="K67" t="s">
        <v>204</v>
      </c>
      <c r="L67" t="s">
        <v>204</v>
      </c>
      <c r="M67" t="s">
        <v>204</v>
      </c>
      <c r="N67" t="s">
        <v>204</v>
      </c>
      <c r="O67" t="s">
        <v>339</v>
      </c>
      <c r="P67" s="162">
        <v>44823</v>
      </c>
      <c r="Q67" t="s">
        <v>1216</v>
      </c>
      <c r="R67" t="s">
        <v>885</v>
      </c>
      <c r="S67" t="s">
        <v>889</v>
      </c>
      <c r="T67" t="s">
        <v>5018</v>
      </c>
      <c r="U67" s="131">
        <v>3.71</v>
      </c>
      <c r="V67" s="131">
        <v>568.50400000000002</v>
      </c>
      <c r="W67" s="131">
        <v>2109.15</v>
      </c>
      <c r="X67" s="163">
        <v>0.1371</v>
      </c>
      <c r="Y67" s="132">
        <v>4.62E-3</v>
      </c>
      <c r="Z67" s="132">
        <v>1.17E-3</v>
      </c>
    </row>
    <row r="68" spans="1:26">
      <c r="A68" t="s">
        <v>1213</v>
      </c>
      <c r="B68" t="s">
        <v>1238</v>
      </c>
      <c r="C68" t="s">
        <v>4939</v>
      </c>
      <c r="D68" t="s">
        <v>4940</v>
      </c>
      <c r="E68" t="s">
        <v>309</v>
      </c>
      <c r="F68" t="s">
        <v>4955</v>
      </c>
      <c r="G68" s="108">
        <v>74252</v>
      </c>
      <c r="H68" t="s">
        <v>314</v>
      </c>
      <c r="I68" t="s">
        <v>1003</v>
      </c>
      <c r="J68" t="s">
        <v>839</v>
      </c>
      <c r="K68" t="s">
        <v>204</v>
      </c>
      <c r="L68" t="s">
        <v>204</v>
      </c>
      <c r="M68" t="s">
        <v>204</v>
      </c>
      <c r="N68" t="s">
        <v>204</v>
      </c>
      <c r="O68" t="s">
        <v>339</v>
      </c>
      <c r="P68" s="162">
        <v>45036</v>
      </c>
      <c r="Q68" t="s">
        <v>1212</v>
      </c>
      <c r="R68" t="s">
        <v>885</v>
      </c>
      <c r="S68" t="s">
        <v>889</v>
      </c>
      <c r="T68" t="s">
        <v>4942</v>
      </c>
      <c r="U68" s="131">
        <v>1</v>
      </c>
      <c r="V68" s="131">
        <v>1615.415</v>
      </c>
      <c r="W68" s="131">
        <v>1615.415</v>
      </c>
      <c r="X68" s="163">
        <v>2.07E-2</v>
      </c>
      <c r="Y68" s="132">
        <v>3.5400000000000002E-3</v>
      </c>
      <c r="Z68" s="132">
        <v>8.8999999999999995E-4</v>
      </c>
    </row>
    <row r="69" spans="1:26">
      <c r="A69" t="s">
        <v>1213</v>
      </c>
      <c r="B69" t="s">
        <v>1238</v>
      </c>
      <c r="D69" t="s">
        <v>4943</v>
      </c>
      <c r="E69" t="s">
        <v>309</v>
      </c>
      <c r="F69" t="s">
        <v>4944</v>
      </c>
      <c r="G69" s="108">
        <v>74254</v>
      </c>
      <c r="H69" t="s">
        <v>314</v>
      </c>
      <c r="I69" t="s">
        <v>1000</v>
      </c>
      <c r="J69" t="s">
        <v>845</v>
      </c>
      <c r="K69" t="s">
        <v>204</v>
      </c>
      <c r="L69" t="s">
        <v>204</v>
      </c>
      <c r="M69" t="s">
        <v>204</v>
      </c>
      <c r="N69" t="s">
        <v>204</v>
      </c>
      <c r="O69" t="s">
        <v>339</v>
      </c>
      <c r="P69" s="162">
        <v>45124</v>
      </c>
      <c r="Q69" t="s">
        <v>1216</v>
      </c>
      <c r="R69" t="s">
        <v>885</v>
      </c>
      <c r="S69" t="s">
        <v>889</v>
      </c>
      <c r="T69" t="s">
        <v>4945</v>
      </c>
      <c r="U69" s="131">
        <v>3.71</v>
      </c>
      <c r="V69" s="131">
        <v>58.499000000000002</v>
      </c>
      <c r="W69" s="131">
        <v>217.03100000000001</v>
      </c>
      <c r="X69" s="163">
        <v>7.0800000000000002E-2</v>
      </c>
      <c r="Y69" s="132">
        <v>4.8000000000000001E-4</v>
      </c>
      <c r="Z69" s="132">
        <v>1.2E-4</v>
      </c>
    </row>
    <row r="70" spans="1:26">
      <c r="A70" t="s">
        <v>1213</v>
      </c>
      <c r="B70" t="s">
        <v>1238</v>
      </c>
      <c r="D70" t="s">
        <v>5108</v>
      </c>
      <c r="E70" t="s">
        <v>311</v>
      </c>
      <c r="F70" t="s">
        <v>5109</v>
      </c>
      <c r="G70" s="108">
        <v>74163</v>
      </c>
      <c r="H70" t="s">
        <v>312</v>
      </c>
      <c r="I70" t="s">
        <v>1005</v>
      </c>
      <c r="J70" t="s">
        <v>845</v>
      </c>
      <c r="K70" t="s">
        <v>205</v>
      </c>
      <c r="L70" t="s">
        <v>243</v>
      </c>
      <c r="M70" t="s">
        <v>243</v>
      </c>
      <c r="N70" t="s">
        <v>243</v>
      </c>
      <c r="O70" t="s">
        <v>339</v>
      </c>
      <c r="P70" s="162">
        <v>39569</v>
      </c>
      <c r="Q70" t="s">
        <v>1216</v>
      </c>
      <c r="R70" t="s">
        <v>885</v>
      </c>
      <c r="S70" t="s">
        <v>889</v>
      </c>
      <c r="T70" t="s">
        <v>5110</v>
      </c>
      <c r="U70" s="131">
        <v>3.71</v>
      </c>
      <c r="V70" s="131">
        <v>74.287000000000006</v>
      </c>
      <c r="W70" s="131">
        <v>275.60500000000002</v>
      </c>
      <c r="X70" s="163">
        <v>2.9499999999999998E-2</v>
      </c>
      <c r="Y70" s="132">
        <v>5.9999999999999995E-4</v>
      </c>
      <c r="Z70" s="132">
        <v>1.4999999999999999E-4</v>
      </c>
    </row>
    <row r="71" spans="1:26">
      <c r="A71" t="s">
        <v>1213</v>
      </c>
      <c r="B71" t="s">
        <v>1238</v>
      </c>
      <c r="C71" t="s">
        <v>5023</v>
      </c>
      <c r="D71" t="s">
        <v>5024</v>
      </c>
      <c r="E71" t="s">
        <v>309</v>
      </c>
      <c r="F71" t="s">
        <v>5025</v>
      </c>
      <c r="G71" s="108">
        <v>74189</v>
      </c>
      <c r="H71" t="s">
        <v>314</v>
      </c>
      <c r="I71" t="s">
        <v>1002</v>
      </c>
      <c r="J71" t="s">
        <v>569</v>
      </c>
      <c r="K71" t="s">
        <v>205</v>
      </c>
      <c r="L71" t="s">
        <v>224</v>
      </c>
      <c r="M71" t="s">
        <v>224</v>
      </c>
      <c r="N71" t="s">
        <v>224</v>
      </c>
      <c r="O71" t="s">
        <v>339</v>
      </c>
      <c r="P71" s="162">
        <v>43586</v>
      </c>
      <c r="Q71" t="s">
        <v>1216</v>
      </c>
      <c r="R71" t="s">
        <v>885</v>
      </c>
      <c r="S71" t="s">
        <v>889</v>
      </c>
      <c r="T71" t="s">
        <v>5026</v>
      </c>
      <c r="U71" s="131">
        <v>3.71</v>
      </c>
      <c r="V71" s="131">
        <v>4108.37</v>
      </c>
      <c r="W71" s="131">
        <v>15242.053</v>
      </c>
      <c r="X71" s="163">
        <v>3.3799999999999997E-2</v>
      </c>
      <c r="Y71" s="132">
        <v>3.3410000000000002E-2</v>
      </c>
      <c r="Z71" s="132">
        <v>8.43E-3</v>
      </c>
    </row>
    <row r="72" spans="1:26">
      <c r="A72" t="s">
        <v>1213</v>
      </c>
      <c r="B72" t="s">
        <v>1238</v>
      </c>
      <c r="D72" t="s">
        <v>5027</v>
      </c>
      <c r="E72" t="s">
        <v>311</v>
      </c>
      <c r="F72" t="s">
        <v>5028</v>
      </c>
      <c r="G72" s="108">
        <v>74180</v>
      </c>
      <c r="H72" t="s">
        <v>314</v>
      </c>
      <c r="I72" t="s">
        <v>1000</v>
      </c>
      <c r="J72" t="s">
        <v>844</v>
      </c>
      <c r="K72" t="s">
        <v>205</v>
      </c>
      <c r="L72" t="s">
        <v>224</v>
      </c>
      <c r="M72" t="s">
        <v>224</v>
      </c>
      <c r="N72" t="s">
        <v>224</v>
      </c>
      <c r="O72" t="s">
        <v>339</v>
      </c>
      <c r="P72" s="162">
        <v>43411</v>
      </c>
      <c r="Q72" t="s">
        <v>1216</v>
      </c>
      <c r="R72" t="s">
        <v>885</v>
      </c>
      <c r="S72" t="s">
        <v>889</v>
      </c>
      <c r="T72" t="s">
        <v>4795</v>
      </c>
      <c r="U72" s="131">
        <v>3.71</v>
      </c>
      <c r="V72" s="131">
        <v>3745.4050000000002</v>
      </c>
      <c r="W72" s="131">
        <v>13895.450999999999</v>
      </c>
      <c r="X72" s="163">
        <v>5.8900000000000001E-2</v>
      </c>
      <c r="Y72" s="132">
        <v>3.0460000000000001E-2</v>
      </c>
      <c r="Z72" s="132">
        <v>7.6800000000000002E-3</v>
      </c>
    </row>
    <row r="73" spans="1:26">
      <c r="A73" t="s">
        <v>1213</v>
      </c>
      <c r="B73" t="s">
        <v>1238</v>
      </c>
      <c r="D73" t="s">
        <v>5111</v>
      </c>
      <c r="E73" t="s">
        <v>311</v>
      </c>
      <c r="F73" t="s">
        <v>5112</v>
      </c>
      <c r="G73" s="108">
        <v>74169</v>
      </c>
      <c r="H73" t="s">
        <v>314</v>
      </c>
      <c r="I73" t="s">
        <v>1004</v>
      </c>
      <c r="J73" t="s">
        <v>833</v>
      </c>
      <c r="K73" t="s">
        <v>205</v>
      </c>
      <c r="L73" t="s">
        <v>224</v>
      </c>
      <c r="M73" t="s">
        <v>224</v>
      </c>
      <c r="N73" t="s">
        <v>224</v>
      </c>
      <c r="O73" t="s">
        <v>339</v>
      </c>
      <c r="P73" s="162">
        <v>42583</v>
      </c>
      <c r="Q73" t="s">
        <v>1216</v>
      </c>
      <c r="R73" t="s">
        <v>885</v>
      </c>
      <c r="S73" t="s">
        <v>889</v>
      </c>
      <c r="T73" t="s">
        <v>5113</v>
      </c>
      <c r="U73" s="131">
        <v>3.71</v>
      </c>
      <c r="V73" s="131">
        <v>3488.277</v>
      </c>
      <c r="W73" s="131">
        <v>12941.507</v>
      </c>
      <c r="X73" s="163">
        <v>0.02</v>
      </c>
      <c r="Y73" s="132">
        <v>2.8369999999999999E-2</v>
      </c>
      <c r="Z73" s="132">
        <v>7.1500000000000001E-3</v>
      </c>
    </row>
    <row r="74" spans="1:26">
      <c r="A74" t="s">
        <v>1213</v>
      </c>
      <c r="B74" t="s">
        <v>1238</v>
      </c>
      <c r="C74" t="s">
        <v>5029</v>
      </c>
      <c r="D74" t="s">
        <v>5030</v>
      </c>
      <c r="E74" t="s">
        <v>311</v>
      </c>
      <c r="F74" t="s">
        <v>5031</v>
      </c>
      <c r="G74" s="108">
        <v>74178</v>
      </c>
      <c r="H74" t="s">
        <v>314</v>
      </c>
      <c r="I74" t="s">
        <v>1004</v>
      </c>
      <c r="J74" t="s">
        <v>833</v>
      </c>
      <c r="K74" t="s">
        <v>205</v>
      </c>
      <c r="L74" t="s">
        <v>224</v>
      </c>
      <c r="M74" t="s">
        <v>224</v>
      </c>
      <c r="N74" t="s">
        <v>224</v>
      </c>
      <c r="O74" t="s">
        <v>339</v>
      </c>
      <c r="P74" s="162">
        <v>43321</v>
      </c>
      <c r="Q74" t="s">
        <v>1216</v>
      </c>
      <c r="R74" t="s">
        <v>885</v>
      </c>
      <c r="S74" t="s">
        <v>889</v>
      </c>
      <c r="T74" t="s">
        <v>4876</v>
      </c>
      <c r="U74" s="131">
        <v>3.71</v>
      </c>
      <c r="V74" s="131">
        <v>3441.2379999999998</v>
      </c>
      <c r="W74" s="131">
        <v>12766.993</v>
      </c>
      <c r="X74" s="163">
        <v>3.4639999999999997E-2</v>
      </c>
      <c r="Y74" s="132">
        <v>2.7990000000000001E-2</v>
      </c>
      <c r="Z74" s="132">
        <v>7.0600000000000003E-3</v>
      </c>
    </row>
    <row r="75" spans="1:26">
      <c r="A75" t="s">
        <v>1213</v>
      </c>
      <c r="B75" t="s">
        <v>1238</v>
      </c>
      <c r="D75" t="s">
        <v>5027</v>
      </c>
      <c r="E75" t="s">
        <v>311</v>
      </c>
      <c r="F75" t="s">
        <v>5114</v>
      </c>
      <c r="G75" s="108">
        <v>74200</v>
      </c>
      <c r="H75" t="s">
        <v>314</v>
      </c>
      <c r="I75" t="s">
        <v>1000</v>
      </c>
      <c r="J75" t="s">
        <v>844</v>
      </c>
      <c r="K75" t="s">
        <v>205</v>
      </c>
      <c r="L75" t="s">
        <v>224</v>
      </c>
      <c r="M75" t="s">
        <v>224</v>
      </c>
      <c r="N75" t="s">
        <v>224</v>
      </c>
      <c r="O75" t="s">
        <v>339</v>
      </c>
      <c r="P75" s="162">
        <v>43891</v>
      </c>
      <c r="Q75" t="s">
        <v>1216</v>
      </c>
      <c r="R75" t="s">
        <v>885</v>
      </c>
      <c r="S75" t="s">
        <v>889</v>
      </c>
      <c r="T75" t="s">
        <v>4795</v>
      </c>
      <c r="U75" s="131">
        <v>3.71</v>
      </c>
      <c r="V75" s="131">
        <v>3318.8980000000001</v>
      </c>
      <c r="W75" s="131">
        <v>12313.111000000001</v>
      </c>
      <c r="X75" s="163">
        <v>5.6800000000000003E-2</v>
      </c>
      <c r="Y75" s="132">
        <v>2.699E-2</v>
      </c>
      <c r="Z75" s="132">
        <v>6.8100000000000001E-3</v>
      </c>
    </row>
    <row r="76" spans="1:26">
      <c r="A76" t="s">
        <v>1213</v>
      </c>
      <c r="B76" t="s">
        <v>1238</v>
      </c>
      <c r="D76" t="s">
        <v>5115</v>
      </c>
      <c r="E76" t="s">
        <v>309</v>
      </c>
      <c r="F76" t="s">
        <v>5116</v>
      </c>
      <c r="G76" s="108">
        <v>74240</v>
      </c>
      <c r="H76" t="s">
        <v>314</v>
      </c>
      <c r="I76" t="s">
        <v>1005</v>
      </c>
      <c r="J76" t="s">
        <v>832</v>
      </c>
      <c r="K76" t="s">
        <v>205</v>
      </c>
      <c r="L76" t="s">
        <v>204</v>
      </c>
      <c r="M76" t="s">
        <v>204</v>
      </c>
      <c r="N76" t="s">
        <v>303</v>
      </c>
      <c r="O76" t="s">
        <v>339</v>
      </c>
      <c r="P76" s="162">
        <v>44748</v>
      </c>
      <c r="Q76" t="s">
        <v>1218</v>
      </c>
      <c r="R76" t="s">
        <v>885</v>
      </c>
      <c r="S76" t="s">
        <v>889</v>
      </c>
      <c r="T76" t="s">
        <v>4954</v>
      </c>
      <c r="U76" s="131">
        <v>4.1520000000000001</v>
      </c>
      <c r="V76" s="131">
        <v>2814.799</v>
      </c>
      <c r="W76" s="131">
        <v>11688.173000000001</v>
      </c>
      <c r="X76" s="163">
        <v>2.6239999999999999E-2</v>
      </c>
      <c r="Y76" s="132">
        <v>2.562E-2</v>
      </c>
      <c r="Z76" s="132">
        <v>6.4599999999999996E-3</v>
      </c>
    </row>
    <row r="77" spans="1:26">
      <c r="A77" t="s">
        <v>1213</v>
      </c>
      <c r="B77" t="s">
        <v>1238</v>
      </c>
      <c r="D77" t="s">
        <v>4982</v>
      </c>
      <c r="E77" t="s">
        <v>311</v>
      </c>
      <c r="F77" t="s">
        <v>4983</v>
      </c>
      <c r="G77" s="108">
        <v>74203</v>
      </c>
      <c r="H77" t="s">
        <v>314</v>
      </c>
      <c r="I77" t="s">
        <v>1003</v>
      </c>
      <c r="J77" t="s">
        <v>833</v>
      </c>
      <c r="K77" t="s">
        <v>205</v>
      </c>
      <c r="L77" t="s">
        <v>224</v>
      </c>
      <c r="M77" t="s">
        <v>224</v>
      </c>
      <c r="N77" t="s">
        <v>224</v>
      </c>
      <c r="O77" t="s">
        <v>339</v>
      </c>
      <c r="P77" s="162">
        <v>43770</v>
      </c>
      <c r="Q77" t="s">
        <v>1216</v>
      </c>
      <c r="R77" t="s">
        <v>885</v>
      </c>
      <c r="S77" t="s">
        <v>889</v>
      </c>
      <c r="T77" t="s">
        <v>4882</v>
      </c>
      <c r="U77" s="131">
        <v>3.71</v>
      </c>
      <c r="V77" s="131">
        <v>2706.221</v>
      </c>
      <c r="W77" s="131">
        <v>10040.08</v>
      </c>
      <c r="X77" s="163">
        <v>6.8529999999999994E-2</v>
      </c>
      <c r="Y77" s="132">
        <v>2.2009999999999998E-2</v>
      </c>
      <c r="Z77" s="132">
        <v>5.5500000000000002E-3</v>
      </c>
    </row>
    <row r="78" spans="1:26">
      <c r="A78" t="s">
        <v>1213</v>
      </c>
      <c r="B78" t="s">
        <v>1238</v>
      </c>
      <c r="D78" t="s">
        <v>5032</v>
      </c>
      <c r="E78" t="s">
        <v>309</v>
      </c>
      <c r="F78" t="s">
        <v>5033</v>
      </c>
      <c r="G78" s="108">
        <v>74181</v>
      </c>
      <c r="H78" t="s">
        <v>314</v>
      </c>
      <c r="I78" t="s">
        <v>1004</v>
      </c>
      <c r="J78" t="s">
        <v>833</v>
      </c>
      <c r="K78" t="s">
        <v>205</v>
      </c>
      <c r="L78" t="s">
        <v>204</v>
      </c>
      <c r="M78" t="s">
        <v>204</v>
      </c>
      <c r="N78" t="s">
        <v>224</v>
      </c>
      <c r="O78" t="s">
        <v>339</v>
      </c>
      <c r="P78" s="162">
        <v>43412</v>
      </c>
      <c r="Q78" t="s">
        <v>1216</v>
      </c>
      <c r="R78" t="s">
        <v>885</v>
      </c>
      <c r="S78" t="s">
        <v>889</v>
      </c>
      <c r="T78" t="s">
        <v>4954</v>
      </c>
      <c r="U78" s="131">
        <v>3.71</v>
      </c>
      <c r="V78" s="131">
        <v>2654.2339999999999</v>
      </c>
      <c r="W78" s="131">
        <v>9847.2090000000007</v>
      </c>
      <c r="X78" s="163">
        <v>0.19900000000000001</v>
      </c>
      <c r="Y78" s="132">
        <v>2.1590000000000002E-2</v>
      </c>
      <c r="Z78" s="132">
        <v>5.4400000000000004E-3</v>
      </c>
    </row>
    <row r="79" spans="1:26">
      <c r="A79" t="s">
        <v>1213</v>
      </c>
      <c r="B79" t="s">
        <v>1238</v>
      </c>
      <c r="C79" t="s">
        <v>5117</v>
      </c>
      <c r="D79" t="s">
        <v>5118</v>
      </c>
      <c r="E79" t="s">
        <v>310</v>
      </c>
      <c r="F79" t="s">
        <v>5119</v>
      </c>
      <c r="G79" s="108">
        <v>74205</v>
      </c>
      <c r="H79" t="s">
        <v>314</v>
      </c>
      <c r="I79" t="s">
        <v>1001</v>
      </c>
      <c r="J79" t="s">
        <v>831</v>
      </c>
      <c r="K79" t="s">
        <v>205</v>
      </c>
      <c r="L79" t="s">
        <v>286</v>
      </c>
      <c r="M79" t="s">
        <v>286</v>
      </c>
      <c r="N79" t="s">
        <v>286</v>
      </c>
      <c r="O79" t="s">
        <v>339</v>
      </c>
      <c r="P79" s="162">
        <v>44159</v>
      </c>
      <c r="Q79" t="s">
        <v>1218</v>
      </c>
      <c r="R79" t="s">
        <v>885</v>
      </c>
      <c r="S79" t="s">
        <v>889</v>
      </c>
      <c r="T79" t="s">
        <v>5120</v>
      </c>
      <c r="U79" s="131">
        <v>4.1520000000000001</v>
      </c>
      <c r="V79" s="131">
        <v>2156.7440000000001</v>
      </c>
      <c r="W79" s="131">
        <v>8955.6620000000003</v>
      </c>
      <c r="X79" s="163">
        <v>0.19639999999999999</v>
      </c>
      <c r="Y79" s="132">
        <v>1.9630000000000002E-2</v>
      </c>
      <c r="Z79" s="132">
        <v>4.9500000000000004E-3</v>
      </c>
    </row>
    <row r="80" spans="1:26">
      <c r="A80" t="s">
        <v>1213</v>
      </c>
      <c r="B80" t="s">
        <v>1238</v>
      </c>
      <c r="D80" t="s">
        <v>5121</v>
      </c>
      <c r="E80" t="s">
        <v>311</v>
      </c>
      <c r="F80" t="s">
        <v>5122</v>
      </c>
      <c r="G80" s="108">
        <v>74207</v>
      </c>
      <c r="H80" t="s">
        <v>314</v>
      </c>
      <c r="I80" t="s">
        <v>1005</v>
      </c>
      <c r="J80" t="s">
        <v>569</v>
      </c>
      <c r="K80" t="s">
        <v>205</v>
      </c>
      <c r="L80" t="s">
        <v>233</v>
      </c>
      <c r="M80" t="s">
        <v>224</v>
      </c>
      <c r="N80" t="s">
        <v>296</v>
      </c>
      <c r="O80" t="s">
        <v>339</v>
      </c>
      <c r="P80" s="162">
        <v>44166</v>
      </c>
      <c r="Q80" t="s">
        <v>1216</v>
      </c>
      <c r="R80" t="s">
        <v>885</v>
      </c>
      <c r="S80" t="s">
        <v>889</v>
      </c>
      <c r="T80" t="s">
        <v>5123</v>
      </c>
      <c r="U80" s="131">
        <v>3.71</v>
      </c>
      <c r="V80" s="131">
        <v>2128.7550000000001</v>
      </c>
      <c r="W80" s="131">
        <v>7897.68</v>
      </c>
      <c r="X80" s="163">
        <v>1.1111111111111111E-3</v>
      </c>
      <c r="Y80" s="132">
        <v>1.7309999999999999E-2</v>
      </c>
      <c r="Z80" s="132">
        <v>4.3699999999999998E-3</v>
      </c>
    </row>
    <row r="81" spans="1:26">
      <c r="A81" t="s">
        <v>1213</v>
      </c>
      <c r="B81" t="s">
        <v>1238</v>
      </c>
      <c r="C81" t="s">
        <v>5124</v>
      </c>
      <c r="D81" t="s">
        <v>5125</v>
      </c>
      <c r="E81" t="s">
        <v>311</v>
      </c>
      <c r="F81" t="s">
        <v>5126</v>
      </c>
      <c r="G81" s="108">
        <v>74199</v>
      </c>
      <c r="H81" t="s">
        <v>314</v>
      </c>
      <c r="I81" t="s">
        <v>1003</v>
      </c>
      <c r="J81" t="s">
        <v>837</v>
      </c>
      <c r="K81" t="s">
        <v>205</v>
      </c>
      <c r="L81" t="s">
        <v>224</v>
      </c>
      <c r="M81" t="s">
        <v>224</v>
      </c>
      <c r="N81" t="s">
        <v>224</v>
      </c>
      <c r="O81" t="s">
        <v>339</v>
      </c>
      <c r="P81" s="162">
        <v>43881</v>
      </c>
      <c r="Q81" t="s">
        <v>1216</v>
      </c>
      <c r="R81" t="s">
        <v>885</v>
      </c>
      <c r="S81" t="s">
        <v>889</v>
      </c>
      <c r="T81" t="s">
        <v>4876</v>
      </c>
      <c r="U81" s="131">
        <v>3.71</v>
      </c>
      <c r="V81" s="131">
        <v>2092.645</v>
      </c>
      <c r="W81" s="131">
        <v>7763.7129999999997</v>
      </c>
      <c r="X81" s="163">
        <v>2.6270000000000002E-2</v>
      </c>
      <c r="Y81" s="132">
        <v>1.702E-2</v>
      </c>
      <c r="Z81" s="132">
        <v>4.2900000000000004E-3</v>
      </c>
    </row>
    <row r="82" spans="1:26">
      <c r="A82" t="s">
        <v>1213</v>
      </c>
      <c r="B82" t="s">
        <v>1238</v>
      </c>
      <c r="D82" t="s">
        <v>5034</v>
      </c>
      <c r="E82" t="s">
        <v>311</v>
      </c>
      <c r="F82" t="s">
        <v>5035</v>
      </c>
      <c r="G82" s="108">
        <v>74197</v>
      </c>
      <c r="H82" t="s">
        <v>314</v>
      </c>
      <c r="I82" t="s">
        <v>1003</v>
      </c>
      <c r="J82" t="s">
        <v>836</v>
      </c>
      <c r="K82" t="s">
        <v>205</v>
      </c>
      <c r="L82" t="s">
        <v>224</v>
      </c>
      <c r="M82" t="s">
        <v>224</v>
      </c>
      <c r="N82" t="s">
        <v>224</v>
      </c>
      <c r="O82" t="s">
        <v>339</v>
      </c>
      <c r="P82" s="162">
        <v>43857</v>
      </c>
      <c r="Q82" t="s">
        <v>1216</v>
      </c>
      <c r="R82" t="s">
        <v>885</v>
      </c>
      <c r="S82" t="s">
        <v>889</v>
      </c>
      <c r="T82" t="s">
        <v>4876</v>
      </c>
      <c r="U82" s="131">
        <v>3.71</v>
      </c>
      <c r="V82" s="131">
        <v>1927.1389999999999</v>
      </c>
      <c r="W82" s="131">
        <v>7149.6859999999997</v>
      </c>
      <c r="X82" s="163">
        <v>2.53E-2</v>
      </c>
      <c r="Y82" s="132">
        <v>1.567E-2</v>
      </c>
      <c r="Z82" s="132">
        <v>3.9500000000000004E-3</v>
      </c>
    </row>
    <row r="83" spans="1:26">
      <c r="A83" t="s">
        <v>1213</v>
      </c>
      <c r="B83" t="s">
        <v>1238</v>
      </c>
      <c r="D83" t="s">
        <v>5036</v>
      </c>
      <c r="E83" t="s">
        <v>311</v>
      </c>
      <c r="F83" t="s">
        <v>5037</v>
      </c>
      <c r="G83" s="108">
        <v>74183</v>
      </c>
      <c r="H83" t="s">
        <v>314</v>
      </c>
      <c r="I83" t="s">
        <v>1000</v>
      </c>
      <c r="J83" t="s">
        <v>844</v>
      </c>
      <c r="K83" t="s">
        <v>205</v>
      </c>
      <c r="L83" t="s">
        <v>224</v>
      </c>
      <c r="M83" t="s">
        <v>224</v>
      </c>
      <c r="N83" t="s">
        <v>224</v>
      </c>
      <c r="O83" t="s">
        <v>339</v>
      </c>
      <c r="P83" s="162">
        <v>43482</v>
      </c>
      <c r="Q83" t="s">
        <v>1216</v>
      </c>
      <c r="R83" t="s">
        <v>885</v>
      </c>
      <c r="S83" t="s">
        <v>889</v>
      </c>
      <c r="T83" t="s">
        <v>4991</v>
      </c>
      <c r="U83" s="131">
        <v>3.71</v>
      </c>
      <c r="V83" s="131">
        <v>1422.6089999999999</v>
      </c>
      <c r="W83" s="131">
        <v>5277.8779999999997</v>
      </c>
      <c r="X83" s="163">
        <v>5.2000000000000005E-2</v>
      </c>
      <c r="Y83" s="132">
        <v>1.157E-2</v>
      </c>
      <c r="Z83" s="132">
        <v>2.9199999999999999E-3</v>
      </c>
    </row>
    <row r="84" spans="1:26">
      <c r="A84" t="s">
        <v>1213</v>
      </c>
      <c r="B84" t="s">
        <v>1238</v>
      </c>
      <c r="C84" t="s">
        <v>5127</v>
      </c>
      <c r="D84" t="s">
        <v>5128</v>
      </c>
      <c r="E84" t="s">
        <v>310</v>
      </c>
      <c r="F84" t="s">
        <v>5129</v>
      </c>
      <c r="G84" s="108">
        <v>74256</v>
      </c>
      <c r="H84" t="s">
        <v>314</v>
      </c>
      <c r="I84" t="s">
        <v>1004</v>
      </c>
      <c r="J84" t="s">
        <v>832</v>
      </c>
      <c r="K84" t="s">
        <v>205</v>
      </c>
      <c r="L84" t="s">
        <v>272</v>
      </c>
      <c r="M84" t="s">
        <v>272</v>
      </c>
      <c r="N84" t="s">
        <v>272</v>
      </c>
      <c r="O84" t="s">
        <v>339</v>
      </c>
      <c r="P84" s="162">
        <v>45166</v>
      </c>
      <c r="Q84" t="s">
        <v>1218</v>
      </c>
      <c r="R84" t="s">
        <v>885</v>
      </c>
      <c r="S84" t="s">
        <v>889</v>
      </c>
      <c r="T84" t="s">
        <v>5026</v>
      </c>
      <c r="U84" s="131">
        <v>4.1520000000000001</v>
      </c>
      <c r="V84" s="131">
        <v>1227.4259999999999</v>
      </c>
      <c r="W84" s="131">
        <v>5096.7629999999999</v>
      </c>
      <c r="X84" s="163">
        <v>0.18</v>
      </c>
      <c r="Y84" s="132">
        <v>1.1169999999999999E-2</v>
      </c>
      <c r="Z84" s="132">
        <v>2.82E-3</v>
      </c>
    </row>
    <row r="85" spans="1:26">
      <c r="A85" t="s">
        <v>1213</v>
      </c>
      <c r="B85" t="s">
        <v>1238</v>
      </c>
      <c r="C85" t="s">
        <v>5130</v>
      </c>
      <c r="D85" t="s">
        <v>5131</v>
      </c>
      <c r="E85" t="s">
        <v>311</v>
      </c>
      <c r="F85" t="s">
        <v>5132</v>
      </c>
      <c r="G85" s="108">
        <v>74237</v>
      </c>
      <c r="H85" t="s">
        <v>314</v>
      </c>
      <c r="I85" t="s">
        <v>1004</v>
      </c>
      <c r="J85" t="s">
        <v>833</v>
      </c>
      <c r="K85" t="s">
        <v>205</v>
      </c>
      <c r="L85" t="s">
        <v>233</v>
      </c>
      <c r="M85" t="s">
        <v>233</v>
      </c>
      <c r="N85" t="s">
        <v>233</v>
      </c>
      <c r="O85" t="s">
        <v>339</v>
      </c>
      <c r="P85" s="162">
        <v>44721</v>
      </c>
      <c r="Q85" t="s">
        <v>1227</v>
      </c>
      <c r="R85" t="s">
        <v>885</v>
      </c>
      <c r="S85" t="s">
        <v>889</v>
      </c>
      <c r="T85" t="s">
        <v>5133</v>
      </c>
      <c r="U85" s="131">
        <v>4.9749999999999996</v>
      </c>
      <c r="V85" s="131">
        <v>1022.984</v>
      </c>
      <c r="W85" s="131">
        <v>5089.1379999999999</v>
      </c>
      <c r="X85" s="163">
        <v>4.5373999999999998E-2</v>
      </c>
      <c r="Y85" s="132">
        <v>1.116E-2</v>
      </c>
      <c r="Z85" s="132">
        <v>2.81E-3</v>
      </c>
    </row>
    <row r="86" spans="1:26">
      <c r="A86" t="s">
        <v>1213</v>
      </c>
      <c r="B86" t="s">
        <v>1238</v>
      </c>
      <c r="D86" t="s">
        <v>5027</v>
      </c>
      <c r="E86" t="s">
        <v>311</v>
      </c>
      <c r="F86" t="s">
        <v>5134</v>
      </c>
      <c r="G86" s="108">
        <v>74215</v>
      </c>
      <c r="H86" t="s">
        <v>314</v>
      </c>
      <c r="I86" t="s">
        <v>1000</v>
      </c>
      <c r="J86" t="s">
        <v>844</v>
      </c>
      <c r="K86" t="s">
        <v>205</v>
      </c>
      <c r="L86" t="s">
        <v>224</v>
      </c>
      <c r="M86" t="s">
        <v>224</v>
      </c>
      <c r="N86" t="s">
        <v>224</v>
      </c>
      <c r="O86" t="s">
        <v>339</v>
      </c>
      <c r="P86" s="162">
        <v>44308</v>
      </c>
      <c r="Q86" t="s">
        <v>1216</v>
      </c>
      <c r="R86" t="s">
        <v>885</v>
      </c>
      <c r="S86" t="s">
        <v>889</v>
      </c>
      <c r="T86" t="s">
        <v>4795</v>
      </c>
      <c r="U86" s="131">
        <v>3.71</v>
      </c>
      <c r="V86" s="131">
        <v>1083.0740000000001</v>
      </c>
      <c r="W86" s="131">
        <v>4018.203</v>
      </c>
      <c r="X86" s="163">
        <v>3.5400000000000001E-2</v>
      </c>
      <c r="Y86" s="132">
        <v>8.8100000000000001E-3</v>
      </c>
      <c r="Z86" s="132">
        <v>2.2200000000000002E-3</v>
      </c>
    </row>
    <row r="87" spans="1:26">
      <c r="A87" t="s">
        <v>1213</v>
      </c>
      <c r="B87" t="s">
        <v>1238</v>
      </c>
      <c r="C87" t="s">
        <v>5038</v>
      </c>
      <c r="D87" t="s">
        <v>5039</v>
      </c>
      <c r="E87" t="s">
        <v>311</v>
      </c>
      <c r="F87" t="s">
        <v>5040</v>
      </c>
      <c r="G87" s="108">
        <v>74208</v>
      </c>
      <c r="H87" t="s">
        <v>314</v>
      </c>
      <c r="I87" t="s">
        <v>1004</v>
      </c>
      <c r="J87" t="s">
        <v>833</v>
      </c>
      <c r="K87" t="s">
        <v>205</v>
      </c>
      <c r="L87" t="s">
        <v>224</v>
      </c>
      <c r="M87" t="s">
        <v>224</v>
      </c>
      <c r="N87" t="s">
        <v>224</v>
      </c>
      <c r="O87" t="s">
        <v>339</v>
      </c>
      <c r="P87" s="162">
        <v>44186</v>
      </c>
      <c r="Q87" t="s">
        <v>1216</v>
      </c>
      <c r="R87" t="s">
        <v>885</v>
      </c>
      <c r="S87" t="s">
        <v>889</v>
      </c>
      <c r="T87" t="s">
        <v>4876</v>
      </c>
      <c r="U87" s="131">
        <v>3.71</v>
      </c>
      <c r="V87" s="131">
        <v>994.673</v>
      </c>
      <c r="W87" s="131">
        <v>3690.2359999999999</v>
      </c>
      <c r="X87" s="163">
        <v>4.7000000000000002E-3</v>
      </c>
      <c r="Y87" s="132">
        <v>8.09E-3</v>
      </c>
      <c r="Z87" s="132">
        <v>2.0400000000000001E-3</v>
      </c>
    </row>
    <row r="88" spans="1:26">
      <c r="A88" t="s">
        <v>1213</v>
      </c>
      <c r="B88" t="s">
        <v>1238</v>
      </c>
      <c r="D88" t="s">
        <v>3826</v>
      </c>
      <c r="E88" t="s">
        <v>311</v>
      </c>
      <c r="F88" t="s">
        <v>3825</v>
      </c>
      <c r="G88" s="108">
        <v>74242</v>
      </c>
      <c r="H88" t="s">
        <v>314</v>
      </c>
      <c r="I88" t="s">
        <v>1004</v>
      </c>
      <c r="J88" t="s">
        <v>833</v>
      </c>
      <c r="K88" t="s">
        <v>205</v>
      </c>
      <c r="L88" t="s">
        <v>272</v>
      </c>
      <c r="M88" t="s">
        <v>272</v>
      </c>
      <c r="N88" t="s">
        <v>272</v>
      </c>
      <c r="O88" t="s">
        <v>339</v>
      </c>
      <c r="P88" s="162">
        <v>44812</v>
      </c>
      <c r="Q88" t="s">
        <v>1218</v>
      </c>
      <c r="R88" t="s">
        <v>885</v>
      </c>
      <c r="S88" t="s">
        <v>889</v>
      </c>
      <c r="T88" t="s">
        <v>5135</v>
      </c>
      <c r="U88" s="131">
        <v>4.1520000000000001</v>
      </c>
      <c r="V88" s="131">
        <v>726.68700000000001</v>
      </c>
      <c r="W88" s="131">
        <v>3017.4949999999999</v>
      </c>
      <c r="X88" s="163">
        <v>0.127</v>
      </c>
      <c r="Y88" s="132">
        <v>6.6100000000000004E-3</v>
      </c>
      <c r="Z88" s="132">
        <v>1.67E-3</v>
      </c>
    </row>
    <row r="89" spans="1:26">
      <c r="A89" t="s">
        <v>1213</v>
      </c>
      <c r="B89" t="s">
        <v>1238</v>
      </c>
      <c r="D89" t="s">
        <v>5036</v>
      </c>
      <c r="E89" t="s">
        <v>311</v>
      </c>
      <c r="F89" t="s">
        <v>5136</v>
      </c>
      <c r="G89" s="108">
        <v>74216</v>
      </c>
      <c r="H89" t="s">
        <v>314</v>
      </c>
      <c r="I89" t="s">
        <v>1000</v>
      </c>
      <c r="J89" t="s">
        <v>844</v>
      </c>
      <c r="K89" t="s">
        <v>205</v>
      </c>
      <c r="L89" t="s">
        <v>224</v>
      </c>
      <c r="M89" t="s">
        <v>224</v>
      </c>
      <c r="N89" t="s">
        <v>224</v>
      </c>
      <c r="O89" t="s">
        <v>339</v>
      </c>
      <c r="P89" s="162">
        <v>44371</v>
      </c>
      <c r="Q89" t="s">
        <v>1216</v>
      </c>
      <c r="R89" t="s">
        <v>885</v>
      </c>
      <c r="S89" t="s">
        <v>889</v>
      </c>
      <c r="T89" t="s">
        <v>4991</v>
      </c>
      <c r="U89" s="131">
        <v>3.71</v>
      </c>
      <c r="V89" s="131">
        <v>795.62</v>
      </c>
      <c r="W89" s="131">
        <v>2951.75</v>
      </c>
      <c r="X89" s="163">
        <v>1.6000000000000004E-2</v>
      </c>
      <c r="Y89" s="132">
        <v>6.4700000000000001E-3</v>
      </c>
      <c r="Z89" s="132">
        <v>1.6299999999999999E-3</v>
      </c>
    </row>
    <row r="90" spans="1:26">
      <c r="A90" t="s">
        <v>1213</v>
      </c>
      <c r="B90" t="s">
        <v>1238</v>
      </c>
      <c r="D90" t="s">
        <v>5027</v>
      </c>
      <c r="E90" t="s">
        <v>311</v>
      </c>
      <c r="F90" t="s">
        <v>5137</v>
      </c>
      <c r="G90" s="108">
        <v>74235</v>
      </c>
      <c r="H90" t="s">
        <v>314</v>
      </c>
      <c r="I90" t="s">
        <v>1000</v>
      </c>
      <c r="J90" t="s">
        <v>844</v>
      </c>
      <c r="K90" t="s">
        <v>205</v>
      </c>
      <c r="L90" t="s">
        <v>224</v>
      </c>
      <c r="M90" t="s">
        <v>224</v>
      </c>
      <c r="N90" t="s">
        <v>224</v>
      </c>
      <c r="O90" t="s">
        <v>339</v>
      </c>
      <c r="P90" s="162">
        <v>44712</v>
      </c>
      <c r="Q90" t="s">
        <v>1216</v>
      </c>
      <c r="R90" t="s">
        <v>885</v>
      </c>
      <c r="S90" t="s">
        <v>889</v>
      </c>
      <c r="T90" t="s">
        <v>4795</v>
      </c>
      <c r="U90" s="131">
        <v>3.71</v>
      </c>
      <c r="V90" s="131">
        <v>764.32399999999996</v>
      </c>
      <c r="W90" s="131">
        <v>2835.6410000000001</v>
      </c>
      <c r="X90" s="163">
        <v>6.13E-2</v>
      </c>
      <c r="Y90" s="132">
        <v>6.2199999999999998E-3</v>
      </c>
      <c r="Z90" s="132">
        <v>1.57E-3</v>
      </c>
    </row>
    <row r="91" spans="1:26">
      <c r="A91" t="s">
        <v>1213</v>
      </c>
      <c r="B91" t="s">
        <v>1238</v>
      </c>
      <c r="C91" t="s">
        <v>4988</v>
      </c>
      <c r="D91" t="s">
        <v>4989</v>
      </c>
      <c r="E91" t="s">
        <v>309</v>
      </c>
      <c r="F91" t="s">
        <v>4990</v>
      </c>
      <c r="G91" s="108">
        <v>74255</v>
      </c>
      <c r="H91" t="s">
        <v>314</v>
      </c>
      <c r="I91" t="s">
        <v>1005</v>
      </c>
      <c r="J91" t="s">
        <v>831</v>
      </c>
      <c r="K91" t="s">
        <v>205</v>
      </c>
      <c r="L91" t="s">
        <v>233</v>
      </c>
      <c r="M91" t="s">
        <v>233</v>
      </c>
      <c r="N91" t="s">
        <v>233</v>
      </c>
      <c r="O91" t="s">
        <v>339</v>
      </c>
      <c r="P91" s="162">
        <v>45208</v>
      </c>
      <c r="Q91" t="s">
        <v>1227</v>
      </c>
      <c r="R91" t="s">
        <v>885</v>
      </c>
      <c r="S91" t="s">
        <v>889</v>
      </c>
      <c r="T91" t="s">
        <v>4991</v>
      </c>
      <c r="U91" s="131">
        <v>4.9749999999999996</v>
      </c>
      <c r="V91" s="131">
        <v>372.68599999999998</v>
      </c>
      <c r="W91" s="131">
        <v>1854.037</v>
      </c>
      <c r="X91" s="163">
        <v>0.107</v>
      </c>
      <c r="Y91" s="132">
        <v>4.0600000000000002E-3</v>
      </c>
      <c r="Z91" s="132">
        <v>1.0300000000000001E-3</v>
      </c>
    </row>
    <row r="92" spans="1:26">
      <c r="A92" t="s">
        <v>1213</v>
      </c>
      <c r="B92" t="s">
        <v>1238</v>
      </c>
      <c r="D92" t="s">
        <v>5138</v>
      </c>
      <c r="E92" t="s">
        <v>311</v>
      </c>
      <c r="F92" t="s">
        <v>5139</v>
      </c>
      <c r="G92" s="108">
        <v>74247</v>
      </c>
      <c r="H92" t="s">
        <v>314</v>
      </c>
      <c r="I92" t="s">
        <v>1004</v>
      </c>
      <c r="J92" t="s">
        <v>833</v>
      </c>
      <c r="K92" t="s">
        <v>205</v>
      </c>
      <c r="L92" t="s">
        <v>233</v>
      </c>
      <c r="M92" t="s">
        <v>233</v>
      </c>
      <c r="N92" t="s">
        <v>233</v>
      </c>
      <c r="O92" t="s">
        <v>339</v>
      </c>
      <c r="P92" s="162">
        <v>44938</v>
      </c>
      <c r="Q92" t="s">
        <v>1227</v>
      </c>
      <c r="R92" t="s">
        <v>885</v>
      </c>
      <c r="S92" t="s">
        <v>889</v>
      </c>
      <c r="T92" t="s">
        <v>5003</v>
      </c>
      <c r="U92" s="131">
        <v>4.9749999999999996</v>
      </c>
      <c r="V92" s="131">
        <v>244.64599999999999</v>
      </c>
      <c r="W92" s="131">
        <v>1217.067</v>
      </c>
      <c r="X92" s="163">
        <v>2.8799999999999999E-2</v>
      </c>
      <c r="Y92" s="132">
        <v>2.6700000000000001E-3</v>
      </c>
      <c r="Z92" s="132">
        <v>6.7000000000000002E-4</v>
      </c>
    </row>
    <row r="93" spans="1:26">
      <c r="A93" t="s">
        <v>1213</v>
      </c>
      <c r="B93" t="s">
        <v>1238</v>
      </c>
      <c r="D93" t="s">
        <v>5140</v>
      </c>
      <c r="E93" t="s">
        <v>311</v>
      </c>
      <c r="F93" t="s">
        <v>5141</v>
      </c>
      <c r="G93" s="108">
        <v>74193</v>
      </c>
      <c r="H93" t="s">
        <v>314</v>
      </c>
      <c r="I93" t="s">
        <v>1003</v>
      </c>
      <c r="J93" t="s">
        <v>836</v>
      </c>
      <c r="K93" t="s">
        <v>205</v>
      </c>
      <c r="L93" t="s">
        <v>224</v>
      </c>
      <c r="M93" t="s">
        <v>224</v>
      </c>
      <c r="N93" t="s">
        <v>224</v>
      </c>
      <c r="O93" t="s">
        <v>339</v>
      </c>
      <c r="P93" s="162">
        <v>43790</v>
      </c>
      <c r="Q93" t="s">
        <v>1216</v>
      </c>
      <c r="R93" t="s">
        <v>885</v>
      </c>
      <c r="S93" t="s">
        <v>889</v>
      </c>
      <c r="T93" t="s">
        <v>5022</v>
      </c>
      <c r="U93" s="131">
        <v>3.71</v>
      </c>
      <c r="V93" s="131">
        <v>234.964</v>
      </c>
      <c r="W93" s="131">
        <v>871.71600000000001</v>
      </c>
      <c r="X93" s="163">
        <v>1.0200000000000001E-2</v>
      </c>
      <c r="Y93" s="132">
        <v>1.91E-3</v>
      </c>
      <c r="Z93" s="132">
        <v>4.8000000000000001E-4</v>
      </c>
    </row>
    <row r="94" spans="1:26">
      <c r="A94" t="s">
        <v>1213</v>
      </c>
      <c r="B94" t="s">
        <v>1238</v>
      </c>
      <c r="C94" t="s">
        <v>5041</v>
      </c>
      <c r="D94" t="s">
        <v>5042</v>
      </c>
      <c r="E94" t="s">
        <v>310</v>
      </c>
      <c r="F94" t="s">
        <v>5043</v>
      </c>
      <c r="G94" s="108">
        <v>74187</v>
      </c>
      <c r="H94" t="s">
        <v>314</v>
      </c>
      <c r="I94" t="s">
        <v>1003</v>
      </c>
      <c r="J94" t="s">
        <v>836</v>
      </c>
      <c r="K94" t="s">
        <v>205</v>
      </c>
      <c r="L94" t="s">
        <v>204</v>
      </c>
      <c r="M94" t="s">
        <v>204</v>
      </c>
      <c r="N94" t="s">
        <v>303</v>
      </c>
      <c r="O94" t="s">
        <v>339</v>
      </c>
      <c r="P94" s="162">
        <v>43571</v>
      </c>
      <c r="Q94" t="s">
        <v>1216</v>
      </c>
      <c r="R94" t="s">
        <v>885</v>
      </c>
      <c r="S94" t="s">
        <v>889</v>
      </c>
      <c r="T94" t="s">
        <v>5018</v>
      </c>
      <c r="U94" s="131">
        <v>3.71</v>
      </c>
      <c r="V94" s="131">
        <v>219.96199999999999</v>
      </c>
      <c r="W94" s="131">
        <v>816.05700000000002</v>
      </c>
      <c r="X94" s="163">
        <v>3.3300000000000003E-2</v>
      </c>
      <c r="Y94" s="132">
        <v>1.7899999999999999E-3</v>
      </c>
      <c r="Z94" s="132">
        <v>4.4999999999999999E-4</v>
      </c>
    </row>
    <row r="95" spans="1:26">
      <c r="A95" t="s">
        <v>1213</v>
      </c>
      <c r="B95" t="s">
        <v>1238</v>
      </c>
      <c r="C95" t="s">
        <v>4992</v>
      </c>
      <c r="D95" t="s">
        <v>4993</v>
      </c>
      <c r="E95" t="s">
        <v>311</v>
      </c>
      <c r="F95" t="s">
        <v>4994</v>
      </c>
      <c r="G95" s="108">
        <v>74272</v>
      </c>
      <c r="H95" t="s">
        <v>314</v>
      </c>
      <c r="I95" t="s">
        <v>1004</v>
      </c>
      <c r="J95" t="s">
        <v>832</v>
      </c>
      <c r="K95" t="s">
        <v>205</v>
      </c>
      <c r="L95" t="s">
        <v>224</v>
      </c>
      <c r="M95" t="s">
        <v>224</v>
      </c>
      <c r="N95" t="s">
        <v>224</v>
      </c>
      <c r="O95" t="s">
        <v>339</v>
      </c>
      <c r="P95" s="162">
        <v>45505</v>
      </c>
      <c r="Q95" t="s">
        <v>1216</v>
      </c>
      <c r="R95" t="s">
        <v>885</v>
      </c>
      <c r="S95" t="s">
        <v>889</v>
      </c>
      <c r="T95" t="s">
        <v>4995</v>
      </c>
      <c r="U95" s="131">
        <v>3.71</v>
      </c>
      <c r="V95" s="131">
        <v>167.167</v>
      </c>
      <c r="W95" s="131">
        <v>620.19000000000005</v>
      </c>
      <c r="X95" s="164">
        <v>0.34670000000000001</v>
      </c>
      <c r="Y95" s="132">
        <v>1.3600000000000001E-3</v>
      </c>
      <c r="Z95" s="132">
        <v>3.4000000000000002E-4</v>
      </c>
    </row>
    <row r="96" spans="1:26">
      <c r="A96" t="s">
        <v>1213</v>
      </c>
      <c r="B96" t="s">
        <v>1238</v>
      </c>
      <c r="D96" t="s">
        <v>5108</v>
      </c>
      <c r="E96" t="s">
        <v>311</v>
      </c>
      <c r="F96" t="s">
        <v>5142</v>
      </c>
      <c r="G96" s="108">
        <v>74165</v>
      </c>
      <c r="H96" t="s">
        <v>314</v>
      </c>
      <c r="I96" t="s">
        <v>1005</v>
      </c>
      <c r="J96" t="s">
        <v>845</v>
      </c>
      <c r="K96" t="s">
        <v>205</v>
      </c>
      <c r="L96" t="s">
        <v>243</v>
      </c>
      <c r="M96" t="s">
        <v>243</v>
      </c>
      <c r="N96" t="s">
        <v>243</v>
      </c>
      <c r="O96" t="s">
        <v>339</v>
      </c>
      <c r="P96" s="162">
        <v>40940</v>
      </c>
      <c r="Q96" t="s">
        <v>1216</v>
      </c>
      <c r="R96" t="s">
        <v>885</v>
      </c>
      <c r="S96" t="s">
        <v>889</v>
      </c>
      <c r="T96" t="s">
        <v>5143</v>
      </c>
      <c r="U96" s="131">
        <v>3.71</v>
      </c>
      <c r="V96" s="131">
        <v>165.07400000000001</v>
      </c>
      <c r="W96" s="131">
        <v>612.42499999999995</v>
      </c>
      <c r="X96" s="163">
        <v>0.106</v>
      </c>
      <c r="Y96" s="132">
        <v>1.34E-3</v>
      </c>
      <c r="Z96" s="132">
        <v>3.4000000000000002E-4</v>
      </c>
    </row>
    <row r="97" spans="1:26">
      <c r="A97" t="s">
        <v>1213</v>
      </c>
      <c r="B97" t="s">
        <v>1238</v>
      </c>
      <c r="D97" t="s">
        <v>5044</v>
      </c>
      <c r="E97" t="s">
        <v>311</v>
      </c>
      <c r="F97" t="s">
        <v>5045</v>
      </c>
      <c r="G97" s="108">
        <v>74188</v>
      </c>
      <c r="H97" t="s">
        <v>314</v>
      </c>
      <c r="I97" t="s">
        <v>1002</v>
      </c>
      <c r="J97" t="s">
        <v>569</v>
      </c>
      <c r="K97" t="s">
        <v>205</v>
      </c>
      <c r="L97" t="s">
        <v>224</v>
      </c>
      <c r="M97" t="s">
        <v>224</v>
      </c>
      <c r="N97" t="s">
        <v>224</v>
      </c>
      <c r="O97" t="s">
        <v>339</v>
      </c>
      <c r="P97" s="162">
        <v>43578</v>
      </c>
      <c r="Q97" t="s">
        <v>1216</v>
      </c>
      <c r="R97" t="s">
        <v>885</v>
      </c>
      <c r="S97" t="s">
        <v>889</v>
      </c>
      <c r="T97" t="s">
        <v>5046</v>
      </c>
      <c r="U97" s="131">
        <v>3.71</v>
      </c>
      <c r="V97" s="131">
        <v>161.65600000000001</v>
      </c>
      <c r="W97" s="131">
        <v>599.74199999999996</v>
      </c>
      <c r="X97" s="163">
        <v>1.7999999999999999E-2</v>
      </c>
      <c r="Y97" s="132">
        <v>1.31E-3</v>
      </c>
      <c r="Z97" s="132">
        <v>3.3E-4</v>
      </c>
    </row>
    <row r="98" spans="1:26">
      <c r="A98" t="s">
        <v>1213</v>
      </c>
      <c r="B98" t="s">
        <v>1238</v>
      </c>
      <c r="C98" t="s">
        <v>4992</v>
      </c>
      <c r="D98" t="s">
        <v>4993</v>
      </c>
      <c r="E98" t="s">
        <v>311</v>
      </c>
      <c r="F98" t="s">
        <v>4996</v>
      </c>
      <c r="G98" s="108">
        <v>74266</v>
      </c>
      <c r="H98" t="s">
        <v>314</v>
      </c>
      <c r="I98" t="s">
        <v>1004</v>
      </c>
      <c r="J98" t="s">
        <v>832</v>
      </c>
      <c r="K98" t="s">
        <v>205</v>
      </c>
      <c r="L98" t="s">
        <v>224</v>
      </c>
      <c r="M98" t="s">
        <v>224</v>
      </c>
      <c r="N98" t="s">
        <v>224</v>
      </c>
      <c r="O98" t="s">
        <v>339</v>
      </c>
      <c r="P98" s="162">
        <v>45400</v>
      </c>
      <c r="Q98" t="s">
        <v>1216</v>
      </c>
      <c r="R98" t="s">
        <v>885</v>
      </c>
      <c r="S98" t="s">
        <v>889</v>
      </c>
      <c r="T98" t="s">
        <v>4870</v>
      </c>
      <c r="U98" s="131">
        <v>3.71</v>
      </c>
      <c r="V98" s="131">
        <v>157.62200000000001</v>
      </c>
      <c r="W98" s="131">
        <v>584.77800000000002</v>
      </c>
      <c r="X98" s="163">
        <v>0.4</v>
      </c>
      <c r="Y98" s="132">
        <v>1.2800000000000001E-3</v>
      </c>
      <c r="Z98" s="132">
        <v>3.2000000000000003E-4</v>
      </c>
    </row>
    <row r="99" spans="1:26">
      <c r="A99" t="s">
        <v>1213</v>
      </c>
      <c r="B99" t="s">
        <v>1238</v>
      </c>
      <c r="C99" t="s">
        <v>5144</v>
      </c>
      <c r="D99" t="s">
        <v>5145</v>
      </c>
      <c r="E99" t="s">
        <v>309</v>
      </c>
      <c r="F99" t="s">
        <v>5146</v>
      </c>
      <c r="G99" s="108">
        <v>74192</v>
      </c>
      <c r="H99" t="s">
        <v>314</v>
      </c>
      <c r="I99" t="s">
        <v>1004</v>
      </c>
      <c r="J99" t="s">
        <v>833</v>
      </c>
      <c r="K99" t="s">
        <v>205</v>
      </c>
      <c r="L99" t="s">
        <v>224</v>
      </c>
      <c r="M99" t="s">
        <v>224</v>
      </c>
      <c r="N99" t="s">
        <v>224</v>
      </c>
      <c r="O99" t="s">
        <v>339</v>
      </c>
      <c r="P99" s="162">
        <v>43761</v>
      </c>
      <c r="Q99" t="s">
        <v>1216</v>
      </c>
      <c r="R99" t="s">
        <v>885</v>
      </c>
      <c r="S99" t="s">
        <v>889</v>
      </c>
      <c r="T99" t="s">
        <v>5018</v>
      </c>
      <c r="U99" s="131">
        <v>3.71</v>
      </c>
      <c r="V99" s="131">
        <v>154.13499999999999</v>
      </c>
      <c r="W99" s="131">
        <v>571.84100000000001</v>
      </c>
      <c r="X99" s="163">
        <v>3.5400000000000001E-2</v>
      </c>
      <c r="Y99" s="132">
        <v>1.25E-3</v>
      </c>
      <c r="Z99" s="132">
        <v>3.2000000000000003E-4</v>
      </c>
    </row>
    <row r="100" spans="1:26">
      <c r="A100" t="s">
        <v>1213</v>
      </c>
      <c r="B100" t="s">
        <v>1238</v>
      </c>
      <c r="C100" t="s">
        <v>4997</v>
      </c>
      <c r="D100" t="s">
        <v>4998</v>
      </c>
      <c r="E100" t="s">
        <v>311</v>
      </c>
      <c r="F100" t="s">
        <v>4997</v>
      </c>
      <c r="G100" s="108">
        <v>74271</v>
      </c>
      <c r="H100" t="s">
        <v>314</v>
      </c>
      <c r="I100" t="s">
        <v>1004</v>
      </c>
      <c r="J100" t="s">
        <v>832</v>
      </c>
      <c r="K100" t="s">
        <v>205</v>
      </c>
      <c r="L100" t="s">
        <v>217</v>
      </c>
      <c r="M100" t="s">
        <v>233</v>
      </c>
      <c r="N100" t="s">
        <v>233</v>
      </c>
      <c r="O100" t="s">
        <v>339</v>
      </c>
      <c r="P100" s="162">
        <v>45495</v>
      </c>
      <c r="Q100" t="s">
        <v>1227</v>
      </c>
      <c r="R100" t="s">
        <v>885</v>
      </c>
      <c r="S100" t="s">
        <v>889</v>
      </c>
      <c r="T100" t="s">
        <v>4999</v>
      </c>
      <c r="U100" s="131">
        <v>4.9749999999999996</v>
      </c>
      <c r="V100" s="131">
        <v>110</v>
      </c>
      <c r="W100" s="131">
        <v>547.22799999999995</v>
      </c>
      <c r="X100" s="164">
        <v>3.73E-2</v>
      </c>
      <c r="Y100" s="132">
        <v>1.1999999999999999E-3</v>
      </c>
      <c r="Z100" s="132">
        <v>2.9999999999999997E-4</v>
      </c>
    </row>
    <row r="101" spans="1:26">
      <c r="A101" t="s">
        <v>1213</v>
      </c>
      <c r="B101" t="s">
        <v>1238</v>
      </c>
      <c r="C101" t="s">
        <v>5147</v>
      </c>
      <c r="D101" t="s">
        <v>5148</v>
      </c>
      <c r="E101" t="s">
        <v>311</v>
      </c>
      <c r="F101" t="s">
        <v>5149</v>
      </c>
      <c r="G101" s="108">
        <v>74270</v>
      </c>
      <c r="H101" t="s">
        <v>314</v>
      </c>
      <c r="I101" t="s">
        <v>1004</v>
      </c>
      <c r="J101" t="s">
        <v>833</v>
      </c>
      <c r="K101" t="s">
        <v>205</v>
      </c>
      <c r="L101" t="s">
        <v>253</v>
      </c>
      <c r="M101" t="s">
        <v>253</v>
      </c>
      <c r="N101" t="s">
        <v>212</v>
      </c>
      <c r="O101" t="s">
        <v>339</v>
      </c>
      <c r="P101" s="162">
        <v>45484</v>
      </c>
      <c r="Q101" t="s">
        <v>1218</v>
      </c>
      <c r="R101" t="s">
        <v>885</v>
      </c>
      <c r="S101" t="s">
        <v>889</v>
      </c>
      <c r="T101" t="s">
        <v>4737</v>
      </c>
      <c r="U101" s="131">
        <v>4.1520000000000001</v>
      </c>
      <c r="V101" s="131">
        <v>100.137</v>
      </c>
      <c r="W101" s="131">
        <v>415.80900000000003</v>
      </c>
      <c r="X101" s="166">
        <v>0.13500000000000001</v>
      </c>
      <c r="Y101" s="132">
        <v>9.1E-4</v>
      </c>
      <c r="Z101" s="132">
        <v>2.3000000000000001E-4</v>
      </c>
    </row>
    <row r="102" spans="1:26">
      <c r="A102" t="s">
        <v>1213</v>
      </c>
      <c r="B102" t="s">
        <v>1241</v>
      </c>
      <c r="C102" t="s">
        <v>5051</v>
      </c>
      <c r="D102" t="s">
        <v>5052</v>
      </c>
      <c r="E102" t="s">
        <v>309</v>
      </c>
      <c r="F102" t="s">
        <v>5053</v>
      </c>
      <c r="G102" s="108">
        <v>74196</v>
      </c>
      <c r="H102" t="s">
        <v>314</v>
      </c>
      <c r="I102" t="s">
        <v>1005</v>
      </c>
      <c r="J102" t="s">
        <v>826</v>
      </c>
      <c r="K102" t="s">
        <v>204</v>
      </c>
      <c r="L102" t="s">
        <v>204</v>
      </c>
      <c r="M102" t="s">
        <v>204</v>
      </c>
      <c r="N102" t="s">
        <v>204</v>
      </c>
      <c r="O102" t="s">
        <v>339</v>
      </c>
      <c r="P102" s="162">
        <v>43831</v>
      </c>
      <c r="Q102" t="s">
        <v>1212</v>
      </c>
      <c r="R102" t="s">
        <v>885</v>
      </c>
      <c r="S102" t="s">
        <v>889</v>
      </c>
      <c r="T102" t="s">
        <v>5054</v>
      </c>
      <c r="U102" s="131">
        <v>1</v>
      </c>
      <c r="V102" s="131">
        <v>8563.6730000000007</v>
      </c>
      <c r="W102" s="131">
        <v>8563.6730000000007</v>
      </c>
      <c r="X102" s="163">
        <v>0.14119999999999999</v>
      </c>
      <c r="Y102" s="132">
        <v>0.28300999999999998</v>
      </c>
      <c r="Z102" s="132">
        <v>2.2579999999999999E-2</v>
      </c>
    </row>
    <row r="103" spans="1:26">
      <c r="A103" t="s">
        <v>1213</v>
      </c>
      <c r="B103" t="s">
        <v>1241</v>
      </c>
      <c r="C103" t="s">
        <v>5082</v>
      </c>
      <c r="D103" t="s">
        <v>5083</v>
      </c>
      <c r="E103" t="s">
        <v>309</v>
      </c>
      <c r="F103" t="s">
        <v>5084</v>
      </c>
      <c r="G103" s="108">
        <v>74241</v>
      </c>
      <c r="H103" t="s">
        <v>314</v>
      </c>
      <c r="I103" t="s">
        <v>1003</v>
      </c>
      <c r="J103" t="s">
        <v>837</v>
      </c>
      <c r="K103" t="s">
        <v>204</v>
      </c>
      <c r="L103" t="s">
        <v>204</v>
      </c>
      <c r="M103" t="s">
        <v>204</v>
      </c>
      <c r="N103" t="s">
        <v>204</v>
      </c>
      <c r="O103" t="s">
        <v>339</v>
      </c>
      <c r="P103" s="162">
        <v>44752</v>
      </c>
      <c r="Q103" t="s">
        <v>1212</v>
      </c>
      <c r="R103" t="s">
        <v>885</v>
      </c>
      <c r="S103" t="s">
        <v>889</v>
      </c>
      <c r="T103" t="s">
        <v>5026</v>
      </c>
      <c r="U103" s="131">
        <v>1</v>
      </c>
      <c r="V103" s="131">
        <v>2944.59</v>
      </c>
      <c r="W103" s="131">
        <v>2944.59</v>
      </c>
      <c r="X103" s="163">
        <v>5.8299999999999998E-2</v>
      </c>
      <c r="Y103" s="132">
        <v>9.7309999999999994E-2</v>
      </c>
      <c r="Z103" s="132">
        <v>7.7600000000000004E-3</v>
      </c>
    </row>
    <row r="104" spans="1:26">
      <c r="A104" t="s">
        <v>1213</v>
      </c>
      <c r="B104" t="s">
        <v>1241</v>
      </c>
      <c r="C104" t="s">
        <v>5085</v>
      </c>
      <c r="D104" t="s">
        <v>5086</v>
      </c>
      <c r="E104" t="s">
        <v>309</v>
      </c>
      <c r="F104" t="s">
        <v>5087</v>
      </c>
      <c r="G104" s="108">
        <v>74239</v>
      </c>
      <c r="H104" t="s">
        <v>314</v>
      </c>
      <c r="I104" t="s">
        <v>1003</v>
      </c>
      <c r="J104" t="s">
        <v>837</v>
      </c>
      <c r="K104" t="s">
        <v>204</v>
      </c>
      <c r="L104" t="s">
        <v>204</v>
      </c>
      <c r="M104" t="s">
        <v>204</v>
      </c>
      <c r="N104" t="s">
        <v>204</v>
      </c>
      <c r="O104" t="s">
        <v>339</v>
      </c>
      <c r="P104" s="162">
        <v>44741</v>
      </c>
      <c r="Q104" t="s">
        <v>1212</v>
      </c>
      <c r="R104" t="s">
        <v>885</v>
      </c>
      <c r="S104" t="s">
        <v>889</v>
      </c>
      <c r="T104" t="s">
        <v>4876</v>
      </c>
      <c r="U104" s="131">
        <v>1</v>
      </c>
      <c r="V104" s="131">
        <v>2180.3069999999998</v>
      </c>
      <c r="W104" s="131">
        <v>2180.3069999999998</v>
      </c>
      <c r="X104" s="163">
        <v>3.4099999999999998E-2</v>
      </c>
      <c r="Y104" s="132">
        <v>7.2050000000000003E-2</v>
      </c>
      <c r="Z104" s="132">
        <v>5.7499999999999999E-3</v>
      </c>
    </row>
    <row r="105" spans="1:26">
      <c r="A105" t="s">
        <v>1213</v>
      </c>
      <c r="B105" t="s">
        <v>1241</v>
      </c>
      <c r="C105" t="s">
        <v>5000</v>
      </c>
      <c r="D105" t="s">
        <v>5001</v>
      </c>
      <c r="E105" t="s">
        <v>310</v>
      </c>
      <c r="F105" t="s">
        <v>5059</v>
      </c>
      <c r="G105" s="108">
        <v>74204</v>
      </c>
      <c r="H105" t="s">
        <v>314</v>
      </c>
      <c r="I105" t="s">
        <v>1004</v>
      </c>
      <c r="J105" t="s">
        <v>833</v>
      </c>
      <c r="K105" t="s">
        <v>204</v>
      </c>
      <c r="L105" t="s">
        <v>204</v>
      </c>
      <c r="M105" t="s">
        <v>204</v>
      </c>
      <c r="N105" t="s">
        <v>204</v>
      </c>
      <c r="O105" t="s">
        <v>339</v>
      </c>
      <c r="P105" s="162">
        <v>44084</v>
      </c>
      <c r="Q105" t="s">
        <v>1212</v>
      </c>
      <c r="R105" t="s">
        <v>885</v>
      </c>
      <c r="S105" t="s">
        <v>889</v>
      </c>
      <c r="T105" t="s">
        <v>5060</v>
      </c>
      <c r="U105" s="131">
        <v>1</v>
      </c>
      <c r="V105" s="131">
        <v>2032.1690000000001</v>
      </c>
      <c r="W105" s="131">
        <v>2032.1690000000001</v>
      </c>
      <c r="X105" s="163">
        <v>7.8700000000000006E-2</v>
      </c>
      <c r="Y105" s="132">
        <v>6.7159999999999997E-2</v>
      </c>
      <c r="Z105" s="132">
        <v>5.3600000000000002E-3</v>
      </c>
    </row>
    <row r="106" spans="1:26">
      <c r="A106" t="s">
        <v>1213</v>
      </c>
      <c r="B106" t="s">
        <v>1241</v>
      </c>
      <c r="C106" t="s">
        <v>5061</v>
      </c>
      <c r="D106" t="s">
        <v>5062</v>
      </c>
      <c r="E106" t="s">
        <v>309</v>
      </c>
      <c r="F106" t="s">
        <v>5063</v>
      </c>
      <c r="G106" s="108">
        <v>74231</v>
      </c>
      <c r="H106" t="s">
        <v>314</v>
      </c>
      <c r="I106" t="s">
        <v>1003</v>
      </c>
      <c r="J106" t="s">
        <v>836</v>
      </c>
      <c r="K106" t="s">
        <v>204</v>
      </c>
      <c r="L106" t="s">
        <v>204</v>
      </c>
      <c r="M106" t="s">
        <v>204</v>
      </c>
      <c r="N106" t="s">
        <v>204</v>
      </c>
      <c r="O106" t="s">
        <v>339</v>
      </c>
      <c r="P106" s="162">
        <v>44591</v>
      </c>
      <c r="Q106" t="s">
        <v>1212</v>
      </c>
      <c r="R106" t="s">
        <v>885</v>
      </c>
      <c r="S106" t="s">
        <v>889</v>
      </c>
      <c r="T106" t="s">
        <v>4876</v>
      </c>
      <c r="U106" s="131">
        <v>1</v>
      </c>
      <c r="V106" s="131">
        <v>2021.029</v>
      </c>
      <c r="W106" s="131">
        <v>2021.029</v>
      </c>
      <c r="X106" s="163">
        <v>5.2600000000000001E-2</v>
      </c>
      <c r="Y106" s="132">
        <v>6.6790000000000002E-2</v>
      </c>
      <c r="Z106" s="132">
        <v>5.3299999999999997E-3</v>
      </c>
    </row>
    <row r="107" spans="1:26">
      <c r="A107" t="s">
        <v>1213</v>
      </c>
      <c r="B107" t="s">
        <v>1241</v>
      </c>
      <c r="C107" t="s">
        <v>5079</v>
      </c>
      <c r="D107" t="s">
        <v>5080</v>
      </c>
      <c r="E107" t="s">
        <v>309</v>
      </c>
      <c r="F107" t="s">
        <v>5081</v>
      </c>
      <c r="G107" s="108">
        <v>74233</v>
      </c>
      <c r="H107" t="s">
        <v>314</v>
      </c>
      <c r="I107" t="s">
        <v>1002</v>
      </c>
      <c r="J107" t="s">
        <v>569</v>
      </c>
      <c r="K107" t="s">
        <v>204</v>
      </c>
      <c r="L107" t="s">
        <v>204</v>
      </c>
      <c r="M107" t="s">
        <v>204</v>
      </c>
      <c r="N107" t="s">
        <v>224</v>
      </c>
      <c r="O107" t="s">
        <v>339</v>
      </c>
      <c r="P107" s="162">
        <v>44622</v>
      </c>
      <c r="Q107" t="s">
        <v>1212</v>
      </c>
      <c r="R107" t="s">
        <v>885</v>
      </c>
      <c r="S107" t="s">
        <v>889</v>
      </c>
      <c r="T107" t="s">
        <v>5014</v>
      </c>
      <c r="U107" s="131">
        <v>1</v>
      </c>
      <c r="V107" s="131">
        <v>1859.001</v>
      </c>
      <c r="W107" s="131">
        <v>1859.001</v>
      </c>
      <c r="X107" s="163">
        <v>0.104</v>
      </c>
      <c r="Y107" s="132">
        <v>6.1440000000000002E-2</v>
      </c>
      <c r="Z107" s="132">
        <v>4.8999999999999998E-3</v>
      </c>
    </row>
    <row r="108" spans="1:26">
      <c r="A108" t="s">
        <v>1213</v>
      </c>
      <c r="B108" t="s">
        <v>1241</v>
      </c>
      <c r="C108" t="s">
        <v>5064</v>
      </c>
      <c r="D108" t="s">
        <v>5065</v>
      </c>
      <c r="E108" t="s">
        <v>309</v>
      </c>
      <c r="F108" t="s">
        <v>5066</v>
      </c>
      <c r="G108" s="108">
        <v>74217</v>
      </c>
      <c r="H108" t="s">
        <v>314</v>
      </c>
      <c r="I108" t="s">
        <v>1003</v>
      </c>
      <c r="J108" t="s">
        <v>836</v>
      </c>
      <c r="K108" t="s">
        <v>204</v>
      </c>
      <c r="L108" t="s">
        <v>204</v>
      </c>
      <c r="M108" t="s">
        <v>204</v>
      </c>
      <c r="N108" t="s">
        <v>204</v>
      </c>
      <c r="O108" t="s">
        <v>339</v>
      </c>
      <c r="P108" s="162">
        <v>44370</v>
      </c>
      <c r="Q108" t="s">
        <v>1212</v>
      </c>
      <c r="R108" t="s">
        <v>885</v>
      </c>
      <c r="S108" t="s">
        <v>889</v>
      </c>
      <c r="T108" t="s">
        <v>4942</v>
      </c>
      <c r="U108" s="131">
        <v>1</v>
      </c>
      <c r="V108" s="131">
        <v>1654.66</v>
      </c>
      <c r="W108" s="131">
        <v>1654.66</v>
      </c>
      <c r="X108" s="163">
        <v>0.25196850393700787</v>
      </c>
      <c r="Y108" s="132">
        <v>5.4679999999999999E-2</v>
      </c>
      <c r="Z108" s="132">
        <v>4.3600000000000002E-3</v>
      </c>
    </row>
    <row r="109" spans="1:26">
      <c r="A109" t="s">
        <v>1213</v>
      </c>
      <c r="B109" t="s">
        <v>1241</v>
      </c>
      <c r="C109" t="s">
        <v>4939</v>
      </c>
      <c r="D109" t="s">
        <v>4940</v>
      </c>
      <c r="E109" t="s">
        <v>309</v>
      </c>
      <c r="F109" t="s">
        <v>4955</v>
      </c>
      <c r="G109" s="108">
        <v>74252</v>
      </c>
      <c r="H109" t="s">
        <v>314</v>
      </c>
      <c r="I109" t="s">
        <v>1003</v>
      </c>
      <c r="J109" t="s">
        <v>839</v>
      </c>
      <c r="K109" t="s">
        <v>204</v>
      </c>
      <c r="L109" t="s">
        <v>204</v>
      </c>
      <c r="M109" t="s">
        <v>204</v>
      </c>
      <c r="N109" t="s">
        <v>204</v>
      </c>
      <c r="O109" t="s">
        <v>339</v>
      </c>
      <c r="P109" s="162">
        <v>45036</v>
      </c>
      <c r="Q109" t="s">
        <v>1212</v>
      </c>
      <c r="R109" t="s">
        <v>885</v>
      </c>
      <c r="S109" t="s">
        <v>889</v>
      </c>
      <c r="T109" t="s">
        <v>4942</v>
      </c>
      <c r="U109" s="131">
        <v>1</v>
      </c>
      <c r="V109" s="131">
        <v>622.34799999999996</v>
      </c>
      <c r="W109" s="131">
        <v>622.34799999999996</v>
      </c>
      <c r="X109" s="163">
        <v>2.07E-2</v>
      </c>
      <c r="Y109" s="132">
        <v>2.0570000000000001E-2</v>
      </c>
      <c r="Z109" s="132">
        <v>1.64E-3</v>
      </c>
    </row>
    <row r="110" spans="1:26">
      <c r="A110" t="s">
        <v>1213</v>
      </c>
      <c r="B110" t="s">
        <v>1241</v>
      </c>
      <c r="C110" t="s">
        <v>5117</v>
      </c>
      <c r="D110" t="s">
        <v>5118</v>
      </c>
      <c r="E110" t="s">
        <v>310</v>
      </c>
      <c r="F110" t="s">
        <v>5119</v>
      </c>
      <c r="G110" s="108">
        <v>74205</v>
      </c>
      <c r="H110" t="s">
        <v>314</v>
      </c>
      <c r="I110" t="s">
        <v>1001</v>
      </c>
      <c r="J110" t="s">
        <v>831</v>
      </c>
      <c r="K110" t="s">
        <v>205</v>
      </c>
      <c r="L110" t="s">
        <v>286</v>
      </c>
      <c r="M110" t="s">
        <v>286</v>
      </c>
      <c r="N110" t="s">
        <v>286</v>
      </c>
      <c r="O110" t="s">
        <v>339</v>
      </c>
      <c r="P110" s="162">
        <v>44159</v>
      </c>
      <c r="Q110" t="s">
        <v>1218</v>
      </c>
      <c r="R110" t="s">
        <v>885</v>
      </c>
      <c r="S110" t="s">
        <v>889</v>
      </c>
      <c r="T110" t="s">
        <v>5120</v>
      </c>
      <c r="U110" s="131">
        <v>4.1520000000000001</v>
      </c>
      <c r="V110" s="131">
        <v>502.72399999999999</v>
      </c>
      <c r="W110" s="131">
        <v>2087.5120000000002</v>
      </c>
      <c r="X110" s="163">
        <v>0.19639999999999999</v>
      </c>
      <c r="Y110" s="132">
        <v>6.8989999999999996E-2</v>
      </c>
      <c r="Z110" s="132">
        <v>5.4999999999999997E-3</v>
      </c>
    </row>
    <row r="111" spans="1:26">
      <c r="A111" t="s">
        <v>1213</v>
      </c>
      <c r="B111" t="s">
        <v>1241</v>
      </c>
      <c r="D111" t="s">
        <v>5121</v>
      </c>
      <c r="E111" t="s">
        <v>311</v>
      </c>
      <c r="F111" t="s">
        <v>5122</v>
      </c>
      <c r="G111" s="108">
        <v>74207</v>
      </c>
      <c r="H111" t="s">
        <v>314</v>
      </c>
      <c r="I111" t="s">
        <v>1005</v>
      </c>
      <c r="J111" t="s">
        <v>569</v>
      </c>
      <c r="K111" t="s">
        <v>205</v>
      </c>
      <c r="L111" t="s">
        <v>233</v>
      </c>
      <c r="M111" t="s">
        <v>224</v>
      </c>
      <c r="N111" t="s">
        <v>296</v>
      </c>
      <c r="O111" t="s">
        <v>339</v>
      </c>
      <c r="P111" s="162">
        <v>44166</v>
      </c>
      <c r="Q111" t="s">
        <v>1216</v>
      </c>
      <c r="R111" t="s">
        <v>885</v>
      </c>
      <c r="S111" t="s">
        <v>889</v>
      </c>
      <c r="T111" t="s">
        <v>5123</v>
      </c>
      <c r="U111" s="131">
        <v>3.71</v>
      </c>
      <c r="V111" s="131">
        <v>485.029</v>
      </c>
      <c r="W111" s="131">
        <v>1799.4590000000001</v>
      </c>
      <c r="X111" s="163">
        <v>1.1111111111111111E-3</v>
      </c>
      <c r="Y111" s="132">
        <v>5.9470000000000002E-2</v>
      </c>
      <c r="Z111" s="132">
        <v>4.7400000000000003E-3</v>
      </c>
    </row>
    <row r="112" spans="1:26">
      <c r="A112" t="s">
        <v>1213</v>
      </c>
      <c r="B112" t="s">
        <v>1241</v>
      </c>
      <c r="D112" t="s">
        <v>3826</v>
      </c>
      <c r="E112" t="s">
        <v>311</v>
      </c>
      <c r="F112" t="s">
        <v>3825</v>
      </c>
      <c r="G112" s="108">
        <v>74242</v>
      </c>
      <c r="H112" t="s">
        <v>314</v>
      </c>
      <c r="I112" t="s">
        <v>1004</v>
      </c>
      <c r="J112" t="s">
        <v>833</v>
      </c>
      <c r="K112" t="s">
        <v>205</v>
      </c>
      <c r="L112" t="s">
        <v>272</v>
      </c>
      <c r="M112" t="s">
        <v>272</v>
      </c>
      <c r="N112" t="s">
        <v>272</v>
      </c>
      <c r="O112" t="s">
        <v>339</v>
      </c>
      <c r="P112" s="162">
        <v>44812</v>
      </c>
      <c r="Q112" t="s">
        <v>1218</v>
      </c>
      <c r="R112" t="s">
        <v>885</v>
      </c>
      <c r="S112" t="s">
        <v>889</v>
      </c>
      <c r="T112" t="s">
        <v>5135</v>
      </c>
      <c r="U112" s="131">
        <v>4.1520000000000001</v>
      </c>
      <c r="V112" s="131">
        <v>375.428</v>
      </c>
      <c r="W112" s="131">
        <v>1558.9269999999999</v>
      </c>
      <c r="X112" s="163">
        <v>0.127</v>
      </c>
      <c r="Y112" s="132">
        <v>5.1520000000000003E-2</v>
      </c>
      <c r="Z112" s="132">
        <v>4.1099999999999999E-3</v>
      </c>
    </row>
    <row r="113" spans="1:26">
      <c r="A113" t="s">
        <v>1213</v>
      </c>
      <c r="B113" t="s">
        <v>1241</v>
      </c>
      <c r="D113" t="s">
        <v>5034</v>
      </c>
      <c r="E113" t="s">
        <v>311</v>
      </c>
      <c r="F113" t="s">
        <v>5035</v>
      </c>
      <c r="G113" s="108">
        <v>74197</v>
      </c>
      <c r="H113" t="s">
        <v>314</v>
      </c>
      <c r="I113" t="s">
        <v>1003</v>
      </c>
      <c r="J113" t="s">
        <v>836</v>
      </c>
      <c r="K113" t="s">
        <v>205</v>
      </c>
      <c r="L113" t="s">
        <v>224</v>
      </c>
      <c r="M113" t="s">
        <v>224</v>
      </c>
      <c r="N113" t="s">
        <v>224</v>
      </c>
      <c r="O113" t="s">
        <v>339</v>
      </c>
      <c r="P113" s="162">
        <v>43857</v>
      </c>
      <c r="Q113" t="s">
        <v>1216</v>
      </c>
      <c r="R113" t="s">
        <v>885</v>
      </c>
      <c r="S113" t="s">
        <v>889</v>
      </c>
      <c r="T113" t="s">
        <v>4876</v>
      </c>
      <c r="U113" s="131">
        <v>3.71</v>
      </c>
      <c r="V113" s="131">
        <v>285.12700000000001</v>
      </c>
      <c r="W113" s="131">
        <v>1057.82</v>
      </c>
      <c r="X113" s="163">
        <v>2.53E-2</v>
      </c>
      <c r="Y113" s="132">
        <v>3.4959999999999998E-2</v>
      </c>
      <c r="Z113" s="132">
        <v>2.7899999999999999E-3</v>
      </c>
    </row>
    <row r="114" spans="1:26">
      <c r="A114" t="s">
        <v>1213</v>
      </c>
      <c r="B114" t="s">
        <v>1241</v>
      </c>
      <c r="D114" t="s">
        <v>5027</v>
      </c>
      <c r="E114" t="s">
        <v>311</v>
      </c>
      <c r="F114" t="s">
        <v>5134</v>
      </c>
      <c r="G114" s="108">
        <v>74215</v>
      </c>
      <c r="H114" t="s">
        <v>314</v>
      </c>
      <c r="I114" t="s">
        <v>1000</v>
      </c>
      <c r="J114" t="s">
        <v>844</v>
      </c>
      <c r="K114" t="s">
        <v>205</v>
      </c>
      <c r="L114" t="s">
        <v>224</v>
      </c>
      <c r="M114" t="s">
        <v>224</v>
      </c>
      <c r="N114" t="s">
        <v>224</v>
      </c>
      <c r="O114" t="s">
        <v>339</v>
      </c>
      <c r="P114" s="162">
        <v>44308</v>
      </c>
      <c r="Q114" t="s">
        <v>1216</v>
      </c>
      <c r="R114" t="s">
        <v>885</v>
      </c>
      <c r="S114" t="s">
        <v>889</v>
      </c>
      <c r="T114" t="s">
        <v>4795</v>
      </c>
      <c r="U114" s="131">
        <v>3.71</v>
      </c>
      <c r="V114" s="131">
        <v>272.01900000000001</v>
      </c>
      <c r="W114" s="131">
        <v>1009.191</v>
      </c>
      <c r="X114" s="163">
        <v>3.5400000000000001E-2</v>
      </c>
      <c r="Y114" s="132">
        <v>3.3349999999999998E-2</v>
      </c>
      <c r="Z114" s="132">
        <v>2.66E-3</v>
      </c>
    </row>
    <row r="115" spans="1:26">
      <c r="A115" t="s">
        <v>1213</v>
      </c>
      <c r="B115" t="s">
        <v>1241</v>
      </c>
      <c r="D115" t="s">
        <v>5138</v>
      </c>
      <c r="E115" t="s">
        <v>311</v>
      </c>
      <c r="F115" t="s">
        <v>5139</v>
      </c>
      <c r="G115" s="108">
        <v>74247</v>
      </c>
      <c r="H115" t="s">
        <v>314</v>
      </c>
      <c r="I115" t="s">
        <v>1004</v>
      </c>
      <c r="J115" t="s">
        <v>833</v>
      </c>
      <c r="K115" t="s">
        <v>205</v>
      </c>
      <c r="L115" t="s">
        <v>233</v>
      </c>
      <c r="M115" t="s">
        <v>233</v>
      </c>
      <c r="N115" t="s">
        <v>233</v>
      </c>
      <c r="O115" t="s">
        <v>339</v>
      </c>
      <c r="P115" s="162">
        <v>44938</v>
      </c>
      <c r="Q115" t="s">
        <v>1227</v>
      </c>
      <c r="R115" t="s">
        <v>885</v>
      </c>
      <c r="S115" t="s">
        <v>889</v>
      </c>
      <c r="T115" t="s">
        <v>5003</v>
      </c>
      <c r="U115" s="131">
        <v>4.9749999999999996</v>
      </c>
      <c r="V115" s="131">
        <v>131.798</v>
      </c>
      <c r="W115" s="131">
        <v>655.66899999999998</v>
      </c>
      <c r="X115" s="163">
        <v>2.8799999999999999E-2</v>
      </c>
      <c r="Y115" s="132">
        <v>2.1669999999999998E-2</v>
      </c>
      <c r="Z115" s="132">
        <v>1.73E-3</v>
      </c>
    </row>
    <row r="116" spans="1:26">
      <c r="A116" t="s">
        <v>1213</v>
      </c>
      <c r="B116" t="s">
        <v>1241</v>
      </c>
      <c r="D116" t="s">
        <v>5140</v>
      </c>
      <c r="E116" t="s">
        <v>311</v>
      </c>
      <c r="F116" t="s">
        <v>5141</v>
      </c>
      <c r="G116" s="108">
        <v>74193</v>
      </c>
      <c r="H116" t="s">
        <v>314</v>
      </c>
      <c r="I116" t="s">
        <v>1003</v>
      </c>
      <c r="J116" t="s">
        <v>836</v>
      </c>
      <c r="K116" t="s">
        <v>205</v>
      </c>
      <c r="L116" t="s">
        <v>224</v>
      </c>
      <c r="M116" t="s">
        <v>224</v>
      </c>
      <c r="N116" t="s">
        <v>224</v>
      </c>
      <c r="O116" t="s">
        <v>339</v>
      </c>
      <c r="P116" s="162">
        <v>43790</v>
      </c>
      <c r="Q116" t="s">
        <v>1216</v>
      </c>
      <c r="R116" t="s">
        <v>885</v>
      </c>
      <c r="S116" t="s">
        <v>889</v>
      </c>
      <c r="T116" t="s">
        <v>5022</v>
      </c>
      <c r="U116" s="131">
        <v>3.71</v>
      </c>
      <c r="V116" s="131">
        <v>34.694000000000003</v>
      </c>
      <c r="W116" s="131">
        <v>128.714</v>
      </c>
      <c r="X116" s="163">
        <v>1.0200000000000001E-2</v>
      </c>
      <c r="Y116" s="132">
        <v>4.2500000000000003E-3</v>
      </c>
      <c r="Z116" s="132">
        <v>3.4000000000000002E-4</v>
      </c>
    </row>
    <row r="117" spans="1:26">
      <c r="A117" t="s">
        <v>1213</v>
      </c>
      <c r="B117" t="s">
        <v>1241</v>
      </c>
      <c r="C117" t="s">
        <v>5144</v>
      </c>
      <c r="D117" t="s">
        <v>5145</v>
      </c>
      <c r="E117" t="s">
        <v>309</v>
      </c>
      <c r="F117" t="s">
        <v>5146</v>
      </c>
      <c r="G117" s="108">
        <v>74192</v>
      </c>
      <c r="H117" t="s">
        <v>314</v>
      </c>
      <c r="I117" t="s">
        <v>1004</v>
      </c>
      <c r="J117" t="s">
        <v>833</v>
      </c>
      <c r="K117" t="s">
        <v>205</v>
      </c>
      <c r="L117" t="s">
        <v>224</v>
      </c>
      <c r="M117" t="s">
        <v>224</v>
      </c>
      <c r="N117" t="s">
        <v>224</v>
      </c>
      <c r="O117" t="s">
        <v>339</v>
      </c>
      <c r="P117" s="162">
        <v>43761</v>
      </c>
      <c r="Q117" t="s">
        <v>1216</v>
      </c>
      <c r="R117" t="s">
        <v>885</v>
      </c>
      <c r="S117" t="s">
        <v>889</v>
      </c>
      <c r="T117" t="s">
        <v>5018</v>
      </c>
      <c r="U117" s="131">
        <v>3.71</v>
      </c>
      <c r="V117" s="131">
        <v>22.68</v>
      </c>
      <c r="W117" s="131">
        <v>84.143000000000001</v>
      </c>
      <c r="X117" s="163">
        <v>3.5400000000000001E-2</v>
      </c>
      <c r="Y117" s="132">
        <v>2.7799999999999999E-3</v>
      </c>
      <c r="Z117" s="132">
        <v>2.2000000000000001E-4</v>
      </c>
    </row>
    <row r="118" spans="1:26">
      <c r="A118" t="s">
        <v>1213</v>
      </c>
      <c r="B118" t="s">
        <v>1242</v>
      </c>
      <c r="C118" t="s">
        <v>5047</v>
      </c>
      <c r="D118" t="s">
        <v>5048</v>
      </c>
      <c r="E118" t="s">
        <v>309</v>
      </c>
      <c r="F118" t="s">
        <v>5049</v>
      </c>
      <c r="G118" s="108" t="s">
        <v>5050</v>
      </c>
      <c r="H118" t="s">
        <v>321</v>
      </c>
      <c r="I118" t="s">
        <v>1002</v>
      </c>
      <c r="J118" t="s">
        <v>569</v>
      </c>
      <c r="K118" t="s">
        <v>204</v>
      </c>
      <c r="L118" t="s">
        <v>217</v>
      </c>
      <c r="M118" t="s">
        <v>204</v>
      </c>
      <c r="N118" t="s">
        <v>204</v>
      </c>
      <c r="O118" t="s">
        <v>339</v>
      </c>
      <c r="P118" s="162">
        <v>45565</v>
      </c>
      <c r="Q118" t="s">
        <v>1212</v>
      </c>
      <c r="R118" t="s">
        <v>885</v>
      </c>
      <c r="S118" t="s">
        <v>889</v>
      </c>
      <c r="T118" t="s">
        <v>4723</v>
      </c>
      <c r="U118" s="131">
        <v>1</v>
      </c>
      <c r="V118" s="131">
        <v>857.98800000000006</v>
      </c>
      <c r="W118" s="131">
        <v>857.98800000000006</v>
      </c>
      <c r="X118" s="165">
        <v>1.6E-2</v>
      </c>
      <c r="Y118" s="132">
        <v>2.9090000000000001E-2</v>
      </c>
      <c r="Z118" s="132">
        <v>2.2399999999999998E-3</v>
      </c>
    </row>
    <row r="119" spans="1:26">
      <c r="A119" t="s">
        <v>1213</v>
      </c>
      <c r="B119" t="s">
        <v>1242</v>
      </c>
      <c r="D119" t="s">
        <v>5067</v>
      </c>
      <c r="E119" t="s">
        <v>309</v>
      </c>
      <c r="F119" t="s">
        <v>5068</v>
      </c>
      <c r="G119" s="108">
        <v>74249</v>
      </c>
      <c r="H119" t="s">
        <v>314</v>
      </c>
      <c r="I119" t="s">
        <v>1005</v>
      </c>
      <c r="J119" t="s">
        <v>832</v>
      </c>
      <c r="K119" t="s">
        <v>204</v>
      </c>
      <c r="L119" t="s">
        <v>204</v>
      </c>
      <c r="M119" t="s">
        <v>204</v>
      </c>
      <c r="N119" t="s">
        <v>204</v>
      </c>
      <c r="O119" t="s">
        <v>339</v>
      </c>
      <c r="P119" s="162">
        <v>45006</v>
      </c>
      <c r="Q119" t="s">
        <v>1212</v>
      </c>
      <c r="R119" t="s">
        <v>885</v>
      </c>
      <c r="S119" t="s">
        <v>889</v>
      </c>
      <c r="T119" t="s">
        <v>5069</v>
      </c>
      <c r="U119" s="131">
        <v>1</v>
      </c>
      <c r="V119" s="131">
        <v>2428.3380000000002</v>
      </c>
      <c r="W119" s="131">
        <v>2428.3380000000002</v>
      </c>
      <c r="X119" s="163">
        <v>0.19600000000000001</v>
      </c>
      <c r="Y119" s="132">
        <v>8.233E-2</v>
      </c>
      <c r="Z119" s="132">
        <v>6.3499999999999997E-3</v>
      </c>
    </row>
    <row r="120" spans="1:26">
      <c r="A120" t="s">
        <v>1213</v>
      </c>
      <c r="B120" t="s">
        <v>1242</v>
      </c>
      <c r="C120" t="s">
        <v>5082</v>
      </c>
      <c r="D120" t="s">
        <v>5083</v>
      </c>
      <c r="E120" t="s">
        <v>309</v>
      </c>
      <c r="F120" t="s">
        <v>5084</v>
      </c>
      <c r="G120" s="108">
        <v>74241</v>
      </c>
      <c r="H120" t="s">
        <v>314</v>
      </c>
      <c r="I120" t="s">
        <v>1003</v>
      </c>
      <c r="J120" t="s">
        <v>837</v>
      </c>
      <c r="K120" t="s">
        <v>204</v>
      </c>
      <c r="L120" t="s">
        <v>204</v>
      </c>
      <c r="M120" t="s">
        <v>204</v>
      </c>
      <c r="N120" t="s">
        <v>204</v>
      </c>
      <c r="O120" t="s">
        <v>339</v>
      </c>
      <c r="P120" s="162">
        <v>44752</v>
      </c>
      <c r="Q120" t="s">
        <v>1212</v>
      </c>
      <c r="R120" t="s">
        <v>885</v>
      </c>
      <c r="S120" t="s">
        <v>889</v>
      </c>
      <c r="T120" t="s">
        <v>5026</v>
      </c>
      <c r="U120" s="131">
        <v>1</v>
      </c>
      <c r="V120" s="131">
        <v>2094.4810000000002</v>
      </c>
      <c r="W120" s="131">
        <v>2094.4810000000002</v>
      </c>
      <c r="X120" s="163">
        <v>5.8299999999999998E-2</v>
      </c>
      <c r="Y120" s="132">
        <v>7.1010000000000004E-2</v>
      </c>
      <c r="Z120" s="132">
        <v>5.47E-3</v>
      </c>
    </row>
    <row r="121" spans="1:26">
      <c r="A121" t="s">
        <v>1213</v>
      </c>
      <c r="B121" t="s">
        <v>1242</v>
      </c>
      <c r="C121" t="s">
        <v>5051</v>
      </c>
      <c r="D121" t="s">
        <v>5052</v>
      </c>
      <c r="E121" t="s">
        <v>309</v>
      </c>
      <c r="F121" t="s">
        <v>5053</v>
      </c>
      <c r="G121" s="108">
        <v>74196</v>
      </c>
      <c r="H121" t="s">
        <v>314</v>
      </c>
      <c r="I121" t="s">
        <v>1005</v>
      </c>
      <c r="J121" t="s">
        <v>826</v>
      </c>
      <c r="K121" t="s">
        <v>204</v>
      </c>
      <c r="L121" t="s">
        <v>204</v>
      </c>
      <c r="M121" t="s">
        <v>204</v>
      </c>
      <c r="N121" t="s">
        <v>204</v>
      </c>
      <c r="O121" t="s">
        <v>339</v>
      </c>
      <c r="P121" s="162">
        <v>43831</v>
      </c>
      <c r="Q121" t="s">
        <v>1212</v>
      </c>
      <c r="R121" t="s">
        <v>885</v>
      </c>
      <c r="S121" t="s">
        <v>889</v>
      </c>
      <c r="T121" t="s">
        <v>5054</v>
      </c>
      <c r="U121" s="131">
        <v>1</v>
      </c>
      <c r="V121" s="131">
        <v>1994.4929999999999</v>
      </c>
      <c r="W121" s="131">
        <v>1994.4929999999999</v>
      </c>
      <c r="X121" s="163">
        <v>0.14119999999999999</v>
      </c>
      <c r="Y121" s="132">
        <v>6.762E-2</v>
      </c>
      <c r="Z121" s="132">
        <v>5.2100000000000002E-3</v>
      </c>
    </row>
    <row r="122" spans="1:26">
      <c r="A122" t="s">
        <v>1213</v>
      </c>
      <c r="B122" t="s">
        <v>1242</v>
      </c>
      <c r="C122" t="s">
        <v>5070</v>
      </c>
      <c r="D122" t="s">
        <v>5071</v>
      </c>
      <c r="E122" t="s">
        <v>310</v>
      </c>
      <c r="F122" t="s">
        <v>5072</v>
      </c>
      <c r="G122" s="108">
        <v>74238</v>
      </c>
      <c r="H122" t="s">
        <v>314</v>
      </c>
      <c r="I122" t="s">
        <v>1004</v>
      </c>
      <c r="J122" t="s">
        <v>833</v>
      </c>
      <c r="K122" t="s">
        <v>204</v>
      </c>
      <c r="L122" t="s">
        <v>204</v>
      </c>
      <c r="M122" t="s">
        <v>204</v>
      </c>
      <c r="N122" t="s">
        <v>204</v>
      </c>
      <c r="O122" t="s">
        <v>339</v>
      </c>
      <c r="P122" s="162">
        <v>44721</v>
      </c>
      <c r="Q122" t="s">
        <v>1212</v>
      </c>
      <c r="R122" t="s">
        <v>885</v>
      </c>
      <c r="S122" t="s">
        <v>889</v>
      </c>
      <c r="T122" t="s">
        <v>5003</v>
      </c>
      <c r="U122" s="131">
        <v>1</v>
      </c>
      <c r="V122" s="131">
        <v>1755.4</v>
      </c>
      <c r="W122" s="131">
        <v>1755.4</v>
      </c>
      <c r="X122" s="163">
        <v>1.89E-2</v>
      </c>
      <c r="Y122" s="132">
        <v>5.9520000000000003E-2</v>
      </c>
      <c r="Z122" s="132">
        <v>4.5900000000000003E-3</v>
      </c>
    </row>
    <row r="123" spans="1:26">
      <c r="A123" t="s">
        <v>1213</v>
      </c>
      <c r="B123" t="s">
        <v>1242</v>
      </c>
      <c r="C123" t="s">
        <v>5076</v>
      </c>
      <c r="D123" t="s">
        <v>5077</v>
      </c>
      <c r="E123" t="s">
        <v>309</v>
      </c>
      <c r="F123" t="s">
        <v>5078</v>
      </c>
      <c r="G123" s="108">
        <v>74228</v>
      </c>
      <c r="H123" t="s">
        <v>314</v>
      </c>
      <c r="I123" t="s">
        <v>1000</v>
      </c>
      <c r="J123" t="s">
        <v>844</v>
      </c>
      <c r="K123" t="s">
        <v>204</v>
      </c>
      <c r="L123" t="s">
        <v>204</v>
      </c>
      <c r="M123" t="s">
        <v>204</v>
      </c>
      <c r="N123" t="s">
        <v>204</v>
      </c>
      <c r="O123" t="s">
        <v>339</v>
      </c>
      <c r="P123" s="162">
        <v>44560</v>
      </c>
      <c r="Q123" t="s">
        <v>1216</v>
      </c>
      <c r="R123" t="s">
        <v>885</v>
      </c>
      <c r="S123" t="s">
        <v>889</v>
      </c>
      <c r="T123" t="s">
        <v>5022</v>
      </c>
      <c r="U123" s="131">
        <v>3.71</v>
      </c>
      <c r="V123" s="131">
        <v>447.6</v>
      </c>
      <c r="W123" s="131">
        <v>1660.596</v>
      </c>
      <c r="X123" s="163">
        <v>6.7400000000000002E-2</v>
      </c>
      <c r="Y123" s="132">
        <v>5.6300000000000003E-2</v>
      </c>
      <c r="Z123" s="132">
        <v>4.3400000000000001E-3</v>
      </c>
    </row>
    <row r="124" spans="1:26">
      <c r="A124" t="s">
        <v>1213</v>
      </c>
      <c r="B124" t="s">
        <v>1242</v>
      </c>
      <c r="C124" t="s">
        <v>5085</v>
      </c>
      <c r="D124" t="s">
        <v>5086</v>
      </c>
      <c r="E124" t="s">
        <v>309</v>
      </c>
      <c r="F124" t="s">
        <v>5087</v>
      </c>
      <c r="G124" s="108">
        <v>74239</v>
      </c>
      <c r="H124" t="s">
        <v>314</v>
      </c>
      <c r="I124" t="s">
        <v>1003</v>
      </c>
      <c r="J124" t="s">
        <v>837</v>
      </c>
      <c r="K124" t="s">
        <v>204</v>
      </c>
      <c r="L124" t="s">
        <v>204</v>
      </c>
      <c r="M124" t="s">
        <v>204</v>
      </c>
      <c r="N124" t="s">
        <v>204</v>
      </c>
      <c r="O124" t="s">
        <v>339</v>
      </c>
      <c r="P124" s="162">
        <v>44741</v>
      </c>
      <c r="Q124" t="s">
        <v>1212</v>
      </c>
      <c r="R124" t="s">
        <v>885</v>
      </c>
      <c r="S124" t="s">
        <v>889</v>
      </c>
      <c r="T124" t="s">
        <v>4876</v>
      </c>
      <c r="U124" s="131">
        <v>1</v>
      </c>
      <c r="V124" s="131">
        <v>1550.846</v>
      </c>
      <c r="W124" s="131">
        <v>1550.846</v>
      </c>
      <c r="X124" s="163">
        <v>3.4099999999999998E-2</v>
      </c>
      <c r="Y124" s="132">
        <v>5.2580000000000002E-2</v>
      </c>
      <c r="Z124" s="132">
        <v>4.0499999999999998E-3</v>
      </c>
    </row>
    <row r="125" spans="1:26">
      <c r="A125" t="s">
        <v>1213</v>
      </c>
      <c r="B125" t="s">
        <v>1242</v>
      </c>
      <c r="C125" t="s">
        <v>5079</v>
      </c>
      <c r="D125" t="s">
        <v>5080</v>
      </c>
      <c r="E125" t="s">
        <v>309</v>
      </c>
      <c r="F125" t="s">
        <v>5081</v>
      </c>
      <c r="G125" s="108">
        <v>74233</v>
      </c>
      <c r="H125" t="s">
        <v>314</v>
      </c>
      <c r="I125" t="s">
        <v>1002</v>
      </c>
      <c r="J125" t="s">
        <v>569</v>
      </c>
      <c r="K125" t="s">
        <v>204</v>
      </c>
      <c r="L125" t="s">
        <v>204</v>
      </c>
      <c r="M125" t="s">
        <v>204</v>
      </c>
      <c r="N125" t="s">
        <v>224</v>
      </c>
      <c r="O125" t="s">
        <v>339</v>
      </c>
      <c r="P125" s="162">
        <v>44622</v>
      </c>
      <c r="Q125" t="s">
        <v>1212</v>
      </c>
      <c r="R125" t="s">
        <v>885</v>
      </c>
      <c r="S125" t="s">
        <v>889</v>
      </c>
      <c r="T125" t="s">
        <v>5014</v>
      </c>
      <c r="U125" s="131">
        <v>1</v>
      </c>
      <c r="V125" s="131">
        <v>1534.992</v>
      </c>
      <c r="W125" s="131">
        <v>1534.992</v>
      </c>
      <c r="X125" s="163">
        <v>0.104</v>
      </c>
      <c r="Y125" s="132">
        <v>5.2040000000000003E-2</v>
      </c>
      <c r="Z125" s="132">
        <v>4.0099999999999997E-3</v>
      </c>
    </row>
    <row r="126" spans="1:26">
      <c r="A126" t="s">
        <v>1213</v>
      </c>
      <c r="B126" t="s">
        <v>1242</v>
      </c>
      <c r="C126" t="s">
        <v>5105</v>
      </c>
      <c r="D126" t="s">
        <v>5106</v>
      </c>
      <c r="E126" t="s">
        <v>311</v>
      </c>
      <c r="F126" t="s">
        <v>5107</v>
      </c>
      <c r="G126" s="108">
        <v>74243</v>
      </c>
      <c r="H126" t="s">
        <v>314</v>
      </c>
      <c r="I126" t="s">
        <v>1000</v>
      </c>
      <c r="J126" t="s">
        <v>844</v>
      </c>
      <c r="K126" t="s">
        <v>204</v>
      </c>
      <c r="L126" t="s">
        <v>204</v>
      </c>
      <c r="M126" t="s">
        <v>204</v>
      </c>
      <c r="N126" t="s">
        <v>204</v>
      </c>
      <c r="O126" t="s">
        <v>339</v>
      </c>
      <c r="P126" s="162">
        <v>44823</v>
      </c>
      <c r="Q126" t="s">
        <v>1216</v>
      </c>
      <c r="R126" t="s">
        <v>885</v>
      </c>
      <c r="S126" t="s">
        <v>889</v>
      </c>
      <c r="T126" t="s">
        <v>5018</v>
      </c>
      <c r="U126" s="131">
        <v>3.71</v>
      </c>
      <c r="V126" s="131">
        <v>213.19</v>
      </c>
      <c r="W126" s="131">
        <v>790.93499999999995</v>
      </c>
      <c r="X126" s="163">
        <v>0.1371</v>
      </c>
      <c r="Y126" s="132">
        <v>2.682E-2</v>
      </c>
      <c r="Z126" s="132">
        <v>2.0699999999999998E-3</v>
      </c>
    </row>
    <row r="127" spans="1:26">
      <c r="A127" t="s">
        <v>1213</v>
      </c>
      <c r="B127" t="s">
        <v>1242</v>
      </c>
      <c r="C127" t="s">
        <v>5088</v>
      </c>
      <c r="D127" t="s">
        <v>5089</v>
      </c>
      <c r="E127" t="s">
        <v>309</v>
      </c>
      <c r="F127" t="s">
        <v>5090</v>
      </c>
      <c r="G127" s="108">
        <v>74221</v>
      </c>
      <c r="H127" t="s">
        <v>314</v>
      </c>
      <c r="I127" t="s">
        <v>1000</v>
      </c>
      <c r="J127" t="s">
        <v>844</v>
      </c>
      <c r="K127" t="s">
        <v>204</v>
      </c>
      <c r="L127" t="s">
        <v>204</v>
      </c>
      <c r="M127" t="s">
        <v>204</v>
      </c>
      <c r="N127" t="s">
        <v>296</v>
      </c>
      <c r="O127" t="s">
        <v>339</v>
      </c>
      <c r="P127" s="162">
        <v>44409</v>
      </c>
      <c r="Q127" t="s">
        <v>1216</v>
      </c>
      <c r="R127" t="s">
        <v>885</v>
      </c>
      <c r="S127" t="s">
        <v>889</v>
      </c>
      <c r="T127" t="s">
        <v>4876</v>
      </c>
      <c r="U127" s="131">
        <v>3.71</v>
      </c>
      <c r="V127" s="131">
        <v>187.911</v>
      </c>
      <c r="W127" s="131">
        <v>697.15099999999995</v>
      </c>
      <c r="X127" s="163">
        <v>7.5700000000000003E-2</v>
      </c>
      <c r="Y127" s="132">
        <v>2.3640000000000001E-2</v>
      </c>
      <c r="Z127" s="132">
        <v>1.82E-3</v>
      </c>
    </row>
    <row r="128" spans="1:26">
      <c r="A128" t="s">
        <v>1213</v>
      </c>
      <c r="B128" t="s">
        <v>1242</v>
      </c>
      <c r="C128" t="s">
        <v>4939</v>
      </c>
      <c r="D128" t="s">
        <v>4940</v>
      </c>
      <c r="E128" t="s">
        <v>309</v>
      </c>
      <c r="F128" t="s">
        <v>4955</v>
      </c>
      <c r="G128" s="108">
        <v>74252</v>
      </c>
      <c r="H128" t="s">
        <v>314</v>
      </c>
      <c r="I128" t="s">
        <v>1003</v>
      </c>
      <c r="J128" t="s">
        <v>839</v>
      </c>
      <c r="K128" t="s">
        <v>204</v>
      </c>
      <c r="L128" t="s">
        <v>204</v>
      </c>
      <c r="M128" t="s">
        <v>204</v>
      </c>
      <c r="N128" t="s">
        <v>204</v>
      </c>
      <c r="O128" t="s">
        <v>339</v>
      </c>
      <c r="P128" s="162">
        <v>45036</v>
      </c>
      <c r="Q128" t="s">
        <v>1212</v>
      </c>
      <c r="R128" t="s">
        <v>885</v>
      </c>
      <c r="S128" t="s">
        <v>889</v>
      </c>
      <c r="T128" t="s">
        <v>4942</v>
      </c>
      <c r="U128" s="131">
        <v>1</v>
      </c>
      <c r="V128" s="131">
        <v>620.42700000000002</v>
      </c>
      <c r="W128" s="131">
        <v>620.42700000000002</v>
      </c>
      <c r="X128" s="163">
        <v>2.07E-2</v>
      </c>
      <c r="Y128" s="132">
        <v>2.104E-2</v>
      </c>
      <c r="Z128" s="132">
        <v>1.6199999999999999E-3</v>
      </c>
    </row>
    <row r="129" spans="1:26">
      <c r="A129" t="s">
        <v>1213</v>
      </c>
      <c r="B129" t="s">
        <v>1242</v>
      </c>
      <c r="C129" t="s">
        <v>5000</v>
      </c>
      <c r="D129" t="s">
        <v>5001</v>
      </c>
      <c r="E129" t="s">
        <v>310</v>
      </c>
      <c r="F129" t="s">
        <v>5059</v>
      </c>
      <c r="G129" s="108">
        <v>74204</v>
      </c>
      <c r="H129" t="s">
        <v>314</v>
      </c>
      <c r="I129" t="s">
        <v>1004</v>
      </c>
      <c r="J129" t="s">
        <v>833</v>
      </c>
      <c r="K129" t="s">
        <v>204</v>
      </c>
      <c r="L129" t="s">
        <v>204</v>
      </c>
      <c r="M129" t="s">
        <v>204</v>
      </c>
      <c r="N129" t="s">
        <v>204</v>
      </c>
      <c r="O129" t="s">
        <v>339</v>
      </c>
      <c r="P129" s="162">
        <v>44084</v>
      </c>
      <c r="Q129" t="s">
        <v>1212</v>
      </c>
      <c r="R129" t="s">
        <v>885</v>
      </c>
      <c r="S129" t="s">
        <v>889</v>
      </c>
      <c r="T129" t="s">
        <v>5060</v>
      </c>
      <c r="U129" s="131">
        <v>1</v>
      </c>
      <c r="V129" s="131">
        <v>613.88499999999999</v>
      </c>
      <c r="W129" s="131">
        <v>613.88499999999999</v>
      </c>
      <c r="X129" s="163">
        <v>7.8700000000000006E-2</v>
      </c>
      <c r="Y129" s="132">
        <v>2.0809999999999999E-2</v>
      </c>
      <c r="Z129" s="132">
        <v>1.6000000000000001E-3</v>
      </c>
    </row>
    <row r="130" spans="1:26">
      <c r="A130" t="s">
        <v>1213</v>
      </c>
      <c r="B130" t="s">
        <v>1242</v>
      </c>
      <c r="C130" t="s">
        <v>5019</v>
      </c>
      <c r="D130" t="s">
        <v>5020</v>
      </c>
      <c r="E130" t="s">
        <v>309</v>
      </c>
      <c r="F130" t="s">
        <v>5021</v>
      </c>
      <c r="G130" s="108">
        <v>74177</v>
      </c>
      <c r="H130" t="s">
        <v>314</v>
      </c>
      <c r="I130" t="s">
        <v>1002</v>
      </c>
      <c r="J130" t="s">
        <v>569</v>
      </c>
      <c r="K130" t="s">
        <v>204</v>
      </c>
      <c r="L130" t="s">
        <v>204</v>
      </c>
      <c r="M130" t="s">
        <v>204</v>
      </c>
      <c r="N130" t="s">
        <v>204</v>
      </c>
      <c r="O130" t="s">
        <v>339</v>
      </c>
      <c r="P130" s="162">
        <v>43312</v>
      </c>
      <c r="Q130" t="s">
        <v>1212</v>
      </c>
      <c r="R130" t="s">
        <v>885</v>
      </c>
      <c r="S130" t="s">
        <v>889</v>
      </c>
      <c r="T130" t="s">
        <v>5022</v>
      </c>
      <c r="U130" s="131">
        <v>1</v>
      </c>
      <c r="V130" s="131">
        <v>157.83699999999999</v>
      </c>
      <c r="W130" s="131">
        <v>157.83699999999999</v>
      </c>
      <c r="X130" s="163">
        <v>2.9600000000000001E-2</v>
      </c>
      <c r="Y130" s="132">
        <v>5.3499999999999997E-3</v>
      </c>
      <c r="Z130" s="132">
        <v>4.0999999999999999E-4</v>
      </c>
    </row>
    <row r="131" spans="1:26">
      <c r="A131" t="s">
        <v>1213</v>
      </c>
      <c r="B131" t="s">
        <v>1242</v>
      </c>
      <c r="C131" t="s">
        <v>5015</v>
      </c>
      <c r="D131" t="s">
        <v>5016</v>
      </c>
      <c r="E131" t="s">
        <v>309</v>
      </c>
      <c r="F131" t="s">
        <v>5017</v>
      </c>
      <c r="G131" s="108">
        <v>74173</v>
      </c>
      <c r="H131" t="s">
        <v>314</v>
      </c>
      <c r="I131" t="s">
        <v>1000</v>
      </c>
      <c r="J131" t="s">
        <v>845</v>
      </c>
      <c r="K131" t="s">
        <v>204</v>
      </c>
      <c r="L131" t="s">
        <v>204</v>
      </c>
      <c r="M131" t="s">
        <v>204</v>
      </c>
      <c r="N131" t="s">
        <v>204</v>
      </c>
      <c r="O131" t="s">
        <v>339</v>
      </c>
      <c r="P131" s="162">
        <v>43157</v>
      </c>
      <c r="Q131" t="s">
        <v>1216</v>
      </c>
      <c r="R131" t="s">
        <v>885</v>
      </c>
      <c r="S131" t="s">
        <v>889</v>
      </c>
      <c r="T131" t="s">
        <v>5018</v>
      </c>
      <c r="U131" s="131">
        <v>3.71</v>
      </c>
      <c r="V131" s="131">
        <v>40.869</v>
      </c>
      <c r="W131" s="131">
        <v>151.62299999999999</v>
      </c>
      <c r="X131" s="163">
        <v>0.10349999999999999</v>
      </c>
      <c r="Y131" s="132">
        <v>5.1399999999999996E-3</v>
      </c>
      <c r="Z131" s="132">
        <v>4.0000000000000002E-4</v>
      </c>
    </row>
    <row r="132" spans="1:26">
      <c r="A132" t="s">
        <v>1213</v>
      </c>
      <c r="B132" t="s">
        <v>1242</v>
      </c>
      <c r="D132" t="s">
        <v>4943</v>
      </c>
      <c r="E132" t="s">
        <v>309</v>
      </c>
      <c r="F132" t="s">
        <v>4944</v>
      </c>
      <c r="G132" s="108">
        <v>74254</v>
      </c>
      <c r="H132" t="s">
        <v>314</v>
      </c>
      <c r="I132" t="s">
        <v>1000</v>
      </c>
      <c r="J132" t="s">
        <v>845</v>
      </c>
      <c r="K132" t="s">
        <v>204</v>
      </c>
      <c r="L132" t="s">
        <v>204</v>
      </c>
      <c r="M132" t="s">
        <v>204</v>
      </c>
      <c r="N132" t="s">
        <v>204</v>
      </c>
      <c r="O132" t="s">
        <v>339</v>
      </c>
      <c r="P132" s="162">
        <v>45124</v>
      </c>
      <c r="Q132" t="s">
        <v>1216</v>
      </c>
      <c r="R132" t="s">
        <v>885</v>
      </c>
      <c r="S132" t="s">
        <v>889</v>
      </c>
      <c r="T132" t="s">
        <v>4945</v>
      </c>
      <c r="U132" s="131">
        <v>3.71</v>
      </c>
      <c r="V132" s="131">
        <v>22.962</v>
      </c>
      <c r="W132" s="131">
        <v>85.19</v>
      </c>
      <c r="X132" s="163">
        <v>7.0800000000000002E-2</v>
      </c>
      <c r="Y132" s="132">
        <v>2.8900000000000002E-3</v>
      </c>
      <c r="Z132" s="132">
        <v>2.2000000000000001E-4</v>
      </c>
    </row>
    <row r="133" spans="1:26">
      <c r="A133" t="s">
        <v>1213</v>
      </c>
      <c r="B133" t="s">
        <v>1242</v>
      </c>
      <c r="D133" t="s">
        <v>5115</v>
      </c>
      <c r="E133" t="s">
        <v>309</v>
      </c>
      <c r="F133" t="s">
        <v>5116</v>
      </c>
      <c r="G133" s="108">
        <v>74240</v>
      </c>
      <c r="H133" t="s">
        <v>314</v>
      </c>
      <c r="I133" t="s">
        <v>1005</v>
      </c>
      <c r="J133" t="s">
        <v>832</v>
      </c>
      <c r="K133" t="s">
        <v>205</v>
      </c>
      <c r="L133" t="s">
        <v>204</v>
      </c>
      <c r="M133" t="s">
        <v>204</v>
      </c>
      <c r="N133" t="s">
        <v>303</v>
      </c>
      <c r="O133" t="s">
        <v>339</v>
      </c>
      <c r="P133" s="162">
        <v>44748</v>
      </c>
      <c r="Q133" t="s">
        <v>1218</v>
      </c>
      <c r="R133" t="s">
        <v>885</v>
      </c>
      <c r="S133" t="s">
        <v>889</v>
      </c>
      <c r="T133" t="s">
        <v>4954</v>
      </c>
      <c r="U133" s="131">
        <v>4.1520000000000001</v>
      </c>
      <c r="V133" s="131">
        <v>512.63300000000004</v>
      </c>
      <c r="W133" s="131">
        <v>2128.6579999999999</v>
      </c>
      <c r="X133" s="163">
        <v>2.6239999999999999E-2</v>
      </c>
      <c r="Y133" s="132">
        <v>7.2169999999999998E-2</v>
      </c>
      <c r="Z133" s="132">
        <v>5.5599999999999998E-3</v>
      </c>
    </row>
    <row r="134" spans="1:26">
      <c r="A134" t="s">
        <v>1213</v>
      </c>
      <c r="B134" t="s">
        <v>1242</v>
      </c>
      <c r="C134" t="s">
        <v>5127</v>
      </c>
      <c r="D134" t="s">
        <v>5128</v>
      </c>
      <c r="E134" t="s">
        <v>310</v>
      </c>
      <c r="F134" t="s">
        <v>5129</v>
      </c>
      <c r="G134" s="108">
        <v>74256</v>
      </c>
      <c r="H134" t="s">
        <v>314</v>
      </c>
      <c r="I134" t="s">
        <v>1004</v>
      </c>
      <c r="J134" t="s">
        <v>832</v>
      </c>
      <c r="K134" t="s">
        <v>205</v>
      </c>
      <c r="L134" t="s">
        <v>272</v>
      </c>
      <c r="M134" t="s">
        <v>272</v>
      </c>
      <c r="N134" t="s">
        <v>272</v>
      </c>
      <c r="O134" t="s">
        <v>339</v>
      </c>
      <c r="P134" s="162">
        <v>45166</v>
      </c>
      <c r="Q134" t="s">
        <v>1218</v>
      </c>
      <c r="R134" t="s">
        <v>885</v>
      </c>
      <c r="S134" t="s">
        <v>889</v>
      </c>
      <c r="T134" t="s">
        <v>5026</v>
      </c>
      <c r="U134" s="131">
        <v>4.1520000000000001</v>
      </c>
      <c r="V134" s="131">
        <v>469.61099999999999</v>
      </c>
      <c r="W134" s="131">
        <v>1950.0129999999999</v>
      </c>
      <c r="X134" s="163">
        <v>0.18</v>
      </c>
      <c r="Y134" s="132">
        <v>6.6119999999999998E-2</v>
      </c>
      <c r="Z134" s="132">
        <v>5.1000000000000004E-3</v>
      </c>
    </row>
    <row r="135" spans="1:26">
      <c r="A135" t="s">
        <v>1213</v>
      </c>
      <c r="B135" t="s">
        <v>1242</v>
      </c>
      <c r="C135" t="s">
        <v>5130</v>
      </c>
      <c r="D135" t="s">
        <v>5131</v>
      </c>
      <c r="E135" t="s">
        <v>311</v>
      </c>
      <c r="F135" t="s">
        <v>5132</v>
      </c>
      <c r="G135" s="108">
        <v>74237</v>
      </c>
      <c r="H135" t="s">
        <v>314</v>
      </c>
      <c r="I135" t="s">
        <v>1004</v>
      </c>
      <c r="J135" t="s">
        <v>833</v>
      </c>
      <c r="K135" t="s">
        <v>205</v>
      </c>
      <c r="L135" t="s">
        <v>233</v>
      </c>
      <c r="M135" t="s">
        <v>233</v>
      </c>
      <c r="N135" t="s">
        <v>233</v>
      </c>
      <c r="O135" t="s">
        <v>339</v>
      </c>
      <c r="P135" s="162">
        <v>44721</v>
      </c>
      <c r="Q135" t="s">
        <v>1227</v>
      </c>
      <c r="R135" t="s">
        <v>885</v>
      </c>
      <c r="S135" t="s">
        <v>889</v>
      </c>
      <c r="T135" t="s">
        <v>5133</v>
      </c>
      <c r="U135" s="131">
        <v>4.9749999999999996</v>
      </c>
      <c r="V135" s="131">
        <v>284.25200000000001</v>
      </c>
      <c r="W135" s="131">
        <v>1414.097</v>
      </c>
      <c r="X135" s="163">
        <v>4.5373999999999998E-2</v>
      </c>
      <c r="Y135" s="132">
        <v>4.7940000000000003E-2</v>
      </c>
      <c r="Z135" s="132">
        <v>3.7000000000000002E-3</v>
      </c>
    </row>
    <row r="136" spans="1:26">
      <c r="A136" t="s">
        <v>1213</v>
      </c>
      <c r="B136" t="s">
        <v>1242</v>
      </c>
      <c r="D136" t="s">
        <v>5027</v>
      </c>
      <c r="E136" t="s">
        <v>311</v>
      </c>
      <c r="F136" t="s">
        <v>5137</v>
      </c>
      <c r="G136" s="108">
        <v>74235</v>
      </c>
      <c r="H136" t="s">
        <v>314</v>
      </c>
      <c r="I136" t="s">
        <v>1000</v>
      </c>
      <c r="J136" t="s">
        <v>844</v>
      </c>
      <c r="K136" t="s">
        <v>205</v>
      </c>
      <c r="L136" t="s">
        <v>224</v>
      </c>
      <c r="M136" t="s">
        <v>224</v>
      </c>
      <c r="N136" t="s">
        <v>224</v>
      </c>
      <c r="O136" t="s">
        <v>339</v>
      </c>
      <c r="P136" s="162">
        <v>44712</v>
      </c>
      <c r="Q136" t="s">
        <v>1216</v>
      </c>
      <c r="R136" t="s">
        <v>885</v>
      </c>
      <c r="S136" t="s">
        <v>889</v>
      </c>
      <c r="T136" t="s">
        <v>4795</v>
      </c>
      <c r="U136" s="131">
        <v>3.71</v>
      </c>
      <c r="V136" s="131">
        <v>277.55</v>
      </c>
      <c r="W136" s="131">
        <v>1029.7090000000001</v>
      </c>
      <c r="X136" s="163">
        <v>6.13E-2</v>
      </c>
      <c r="Y136" s="132">
        <v>3.4909999999999997E-2</v>
      </c>
      <c r="Z136" s="132">
        <v>2.6900000000000001E-3</v>
      </c>
    </row>
    <row r="137" spans="1:26">
      <c r="A137" t="s">
        <v>1213</v>
      </c>
      <c r="B137" t="s">
        <v>1242</v>
      </c>
      <c r="D137" t="s">
        <v>3826</v>
      </c>
      <c r="E137" t="s">
        <v>311</v>
      </c>
      <c r="F137" t="s">
        <v>3825</v>
      </c>
      <c r="G137" s="108">
        <v>74242</v>
      </c>
      <c r="H137" t="s">
        <v>314</v>
      </c>
      <c r="I137" t="s">
        <v>1004</v>
      </c>
      <c r="J137" t="s">
        <v>833</v>
      </c>
      <c r="K137" t="s">
        <v>205</v>
      </c>
      <c r="L137" t="s">
        <v>272</v>
      </c>
      <c r="M137" t="s">
        <v>272</v>
      </c>
      <c r="N137" t="s">
        <v>272</v>
      </c>
      <c r="O137" t="s">
        <v>339</v>
      </c>
      <c r="P137" s="162">
        <v>44812</v>
      </c>
      <c r="Q137" t="s">
        <v>1218</v>
      </c>
      <c r="R137" t="s">
        <v>885</v>
      </c>
      <c r="S137" t="s">
        <v>889</v>
      </c>
      <c r="T137" t="s">
        <v>5135</v>
      </c>
      <c r="U137" s="131">
        <v>4.1520000000000001</v>
      </c>
      <c r="V137" s="131">
        <v>247.33099999999999</v>
      </c>
      <c r="W137" s="131">
        <v>1027.0170000000001</v>
      </c>
      <c r="X137" s="163">
        <v>0.127</v>
      </c>
      <c r="Y137" s="132">
        <v>3.4819999999999997E-2</v>
      </c>
      <c r="Z137" s="132">
        <v>2.6800000000000001E-3</v>
      </c>
    </row>
    <row r="138" spans="1:26">
      <c r="A138" t="s">
        <v>1213</v>
      </c>
      <c r="B138" t="s">
        <v>1242</v>
      </c>
      <c r="C138" t="s">
        <v>4988</v>
      </c>
      <c r="D138" t="s">
        <v>4989</v>
      </c>
      <c r="E138" t="s">
        <v>309</v>
      </c>
      <c r="F138" t="s">
        <v>4990</v>
      </c>
      <c r="G138" s="108">
        <v>74255</v>
      </c>
      <c r="H138" t="s">
        <v>314</v>
      </c>
      <c r="I138" t="s">
        <v>1005</v>
      </c>
      <c r="J138" t="s">
        <v>831</v>
      </c>
      <c r="K138" t="s">
        <v>205</v>
      </c>
      <c r="L138" t="s">
        <v>233</v>
      </c>
      <c r="M138" t="s">
        <v>233</v>
      </c>
      <c r="N138" t="s">
        <v>233</v>
      </c>
      <c r="O138" t="s">
        <v>339</v>
      </c>
      <c r="P138" s="162">
        <v>45208</v>
      </c>
      <c r="Q138" t="s">
        <v>1227</v>
      </c>
      <c r="R138" t="s">
        <v>885</v>
      </c>
      <c r="S138" t="s">
        <v>889</v>
      </c>
      <c r="T138" t="s">
        <v>4991</v>
      </c>
      <c r="U138" s="131">
        <v>4.9749999999999996</v>
      </c>
      <c r="V138" s="131">
        <v>149.95099999999999</v>
      </c>
      <c r="W138" s="131">
        <v>745.976</v>
      </c>
      <c r="X138" s="163">
        <v>0.107</v>
      </c>
      <c r="Y138" s="132">
        <v>2.529E-2</v>
      </c>
      <c r="Z138" s="132">
        <v>1.9499999999999999E-3</v>
      </c>
    </row>
    <row r="139" spans="1:26">
      <c r="A139" t="s">
        <v>1213</v>
      </c>
      <c r="B139" t="s">
        <v>1242</v>
      </c>
      <c r="D139" t="s">
        <v>5027</v>
      </c>
      <c r="E139" t="s">
        <v>311</v>
      </c>
      <c r="F139" t="s">
        <v>5134</v>
      </c>
      <c r="G139" s="108">
        <v>74215</v>
      </c>
      <c r="H139" t="s">
        <v>314</v>
      </c>
      <c r="I139" t="s">
        <v>1000</v>
      </c>
      <c r="J139" t="s">
        <v>844</v>
      </c>
      <c r="K139" t="s">
        <v>205</v>
      </c>
      <c r="L139" t="s">
        <v>224</v>
      </c>
      <c r="M139" t="s">
        <v>224</v>
      </c>
      <c r="N139" t="s">
        <v>224</v>
      </c>
      <c r="O139" t="s">
        <v>339</v>
      </c>
      <c r="P139" s="162">
        <v>44308</v>
      </c>
      <c r="Q139" t="s">
        <v>1216</v>
      </c>
      <c r="R139" t="s">
        <v>885</v>
      </c>
      <c r="S139" t="s">
        <v>889</v>
      </c>
      <c r="T139" t="s">
        <v>4795</v>
      </c>
      <c r="U139" s="131">
        <v>3.71</v>
      </c>
      <c r="V139" s="131">
        <v>178.416</v>
      </c>
      <c r="W139" s="131">
        <v>661.923</v>
      </c>
      <c r="X139" s="163">
        <v>3.5400000000000001E-2</v>
      </c>
      <c r="Y139" s="132">
        <v>2.2440000000000002E-2</v>
      </c>
      <c r="Z139" s="132">
        <v>1.73E-3</v>
      </c>
    </row>
    <row r="140" spans="1:26">
      <c r="A140" t="s">
        <v>1213</v>
      </c>
      <c r="B140" t="s">
        <v>1242</v>
      </c>
      <c r="D140" t="s">
        <v>5121</v>
      </c>
      <c r="E140" t="s">
        <v>311</v>
      </c>
      <c r="F140" t="s">
        <v>5122</v>
      </c>
      <c r="G140" s="108">
        <v>74207</v>
      </c>
      <c r="H140" t="s">
        <v>314</v>
      </c>
      <c r="I140" t="s">
        <v>1005</v>
      </c>
      <c r="J140" t="s">
        <v>569</v>
      </c>
      <c r="K140" t="s">
        <v>205</v>
      </c>
      <c r="L140" t="s">
        <v>233</v>
      </c>
      <c r="M140" t="s">
        <v>224</v>
      </c>
      <c r="N140" t="s">
        <v>296</v>
      </c>
      <c r="O140" t="s">
        <v>339</v>
      </c>
      <c r="P140" s="162">
        <v>44166</v>
      </c>
      <c r="Q140" t="s">
        <v>1216</v>
      </c>
      <c r="R140" t="s">
        <v>885</v>
      </c>
      <c r="S140" t="s">
        <v>889</v>
      </c>
      <c r="T140" t="s">
        <v>5123</v>
      </c>
      <c r="U140" s="131">
        <v>3.71</v>
      </c>
      <c r="V140" s="131">
        <v>174.74</v>
      </c>
      <c r="W140" s="131">
        <v>648.28399999999999</v>
      </c>
      <c r="X140" s="163">
        <v>1.1111111111111111E-3</v>
      </c>
      <c r="Y140" s="132">
        <v>2.198E-2</v>
      </c>
      <c r="Z140" s="132">
        <v>1.6900000000000001E-3</v>
      </c>
    </row>
    <row r="141" spans="1:26">
      <c r="A141" t="s">
        <v>1213</v>
      </c>
      <c r="B141" t="s">
        <v>1242</v>
      </c>
      <c r="C141" t="s">
        <v>5117</v>
      </c>
      <c r="D141" t="s">
        <v>5118</v>
      </c>
      <c r="E141" t="s">
        <v>310</v>
      </c>
      <c r="F141" t="s">
        <v>5119</v>
      </c>
      <c r="G141" s="108">
        <v>74205</v>
      </c>
      <c r="H141" t="s">
        <v>314</v>
      </c>
      <c r="I141" t="s">
        <v>1001</v>
      </c>
      <c r="J141" t="s">
        <v>831</v>
      </c>
      <c r="K141" t="s">
        <v>205</v>
      </c>
      <c r="L141" t="s">
        <v>286</v>
      </c>
      <c r="M141" t="s">
        <v>286</v>
      </c>
      <c r="N141" t="s">
        <v>286</v>
      </c>
      <c r="O141" t="s">
        <v>339</v>
      </c>
      <c r="P141" s="162">
        <v>44159</v>
      </c>
      <c r="Q141" t="s">
        <v>1218</v>
      </c>
      <c r="R141" t="s">
        <v>885</v>
      </c>
      <c r="S141" t="s">
        <v>889</v>
      </c>
      <c r="T141" t="s">
        <v>5120</v>
      </c>
      <c r="U141" s="131">
        <v>4.1520000000000001</v>
      </c>
      <c r="V141" s="131">
        <v>154.42099999999999</v>
      </c>
      <c r="W141" s="131">
        <v>641.21699999999998</v>
      </c>
      <c r="X141" s="163">
        <v>0.19639999999999999</v>
      </c>
      <c r="Y141" s="132">
        <v>2.1739999999999999E-2</v>
      </c>
      <c r="Z141" s="132">
        <v>1.6800000000000001E-3</v>
      </c>
    </row>
    <row r="142" spans="1:26">
      <c r="A142" t="s">
        <v>1213</v>
      </c>
      <c r="B142" t="s">
        <v>1242</v>
      </c>
      <c r="C142" t="s">
        <v>5023</v>
      </c>
      <c r="D142" t="s">
        <v>5024</v>
      </c>
      <c r="E142" t="s">
        <v>309</v>
      </c>
      <c r="F142" t="s">
        <v>5025</v>
      </c>
      <c r="G142" s="108">
        <v>74189</v>
      </c>
      <c r="H142" t="s">
        <v>314</v>
      </c>
      <c r="I142" t="s">
        <v>1002</v>
      </c>
      <c r="J142" t="s">
        <v>569</v>
      </c>
      <c r="K142" t="s">
        <v>205</v>
      </c>
      <c r="L142" t="s">
        <v>224</v>
      </c>
      <c r="M142" t="s">
        <v>224</v>
      </c>
      <c r="N142" t="s">
        <v>224</v>
      </c>
      <c r="O142" t="s">
        <v>339</v>
      </c>
      <c r="P142" s="162">
        <v>43586</v>
      </c>
      <c r="Q142" t="s">
        <v>1216</v>
      </c>
      <c r="R142" t="s">
        <v>885</v>
      </c>
      <c r="S142" t="s">
        <v>889</v>
      </c>
      <c r="T142" t="s">
        <v>5026</v>
      </c>
      <c r="U142" s="131">
        <v>3.71</v>
      </c>
      <c r="V142" s="131">
        <v>169.37700000000001</v>
      </c>
      <c r="W142" s="131">
        <v>628.39</v>
      </c>
      <c r="X142" s="163">
        <v>3.3799999999999997E-2</v>
      </c>
      <c r="Y142" s="132">
        <v>2.1309999999999999E-2</v>
      </c>
      <c r="Z142" s="132">
        <v>1.64E-3</v>
      </c>
    </row>
    <row r="143" spans="1:26">
      <c r="A143" t="s">
        <v>1213</v>
      </c>
      <c r="B143" t="s">
        <v>1242</v>
      </c>
      <c r="D143" t="s">
        <v>5138</v>
      </c>
      <c r="E143" t="s">
        <v>311</v>
      </c>
      <c r="F143" t="s">
        <v>5139</v>
      </c>
      <c r="G143" s="108">
        <v>74247</v>
      </c>
      <c r="H143" t="s">
        <v>314</v>
      </c>
      <c r="I143" t="s">
        <v>1004</v>
      </c>
      <c r="J143" t="s">
        <v>833</v>
      </c>
      <c r="K143" t="s">
        <v>205</v>
      </c>
      <c r="L143" t="s">
        <v>233</v>
      </c>
      <c r="M143" t="s">
        <v>233</v>
      </c>
      <c r="N143" t="s">
        <v>233</v>
      </c>
      <c r="O143" t="s">
        <v>339</v>
      </c>
      <c r="P143" s="162">
        <v>44938</v>
      </c>
      <c r="Q143" t="s">
        <v>1227</v>
      </c>
      <c r="R143" t="s">
        <v>885</v>
      </c>
      <c r="S143" t="s">
        <v>889</v>
      </c>
      <c r="T143" t="s">
        <v>5003</v>
      </c>
      <c r="U143" s="131">
        <v>4.9749999999999996</v>
      </c>
      <c r="V143" s="131">
        <v>95.596999999999994</v>
      </c>
      <c r="W143" s="131">
        <v>475.57400000000001</v>
      </c>
      <c r="X143" s="163">
        <v>2.8799999999999999E-2</v>
      </c>
      <c r="Y143" s="132">
        <v>1.6119999999999999E-2</v>
      </c>
      <c r="Z143" s="132">
        <v>1.24E-3</v>
      </c>
    </row>
    <row r="144" spans="1:26">
      <c r="A144" t="s">
        <v>1213</v>
      </c>
      <c r="B144" t="s">
        <v>1242</v>
      </c>
      <c r="D144" t="s">
        <v>5036</v>
      </c>
      <c r="E144" t="s">
        <v>311</v>
      </c>
      <c r="F144" t="s">
        <v>5136</v>
      </c>
      <c r="G144" s="108">
        <v>74216</v>
      </c>
      <c r="H144" t="s">
        <v>314</v>
      </c>
      <c r="I144" t="s">
        <v>1000</v>
      </c>
      <c r="J144" t="s">
        <v>844</v>
      </c>
      <c r="K144" t="s">
        <v>205</v>
      </c>
      <c r="L144" t="s">
        <v>224</v>
      </c>
      <c r="M144" t="s">
        <v>224</v>
      </c>
      <c r="N144" t="s">
        <v>224</v>
      </c>
      <c r="O144" t="s">
        <v>339</v>
      </c>
      <c r="P144" s="162">
        <v>44371</v>
      </c>
      <c r="Q144" t="s">
        <v>1216</v>
      </c>
      <c r="R144" t="s">
        <v>885</v>
      </c>
      <c r="S144" t="s">
        <v>889</v>
      </c>
      <c r="T144" t="s">
        <v>4991</v>
      </c>
      <c r="U144" s="131">
        <v>3.71</v>
      </c>
      <c r="V144" s="131">
        <v>126.947</v>
      </c>
      <c r="W144" s="131">
        <v>470.97300000000001</v>
      </c>
      <c r="X144" s="163">
        <v>1.6000000000000004E-2</v>
      </c>
      <c r="Y144" s="132">
        <v>1.5970000000000002E-2</v>
      </c>
      <c r="Z144" s="132">
        <v>1.23E-3</v>
      </c>
    </row>
    <row r="145" spans="1:26">
      <c r="A145" t="s">
        <v>1213</v>
      </c>
      <c r="B145" t="s">
        <v>1242</v>
      </c>
      <c r="C145" t="s">
        <v>4992</v>
      </c>
      <c r="D145" t="s">
        <v>4993</v>
      </c>
      <c r="E145" t="s">
        <v>311</v>
      </c>
      <c r="F145" t="s">
        <v>4994</v>
      </c>
      <c r="G145" s="108">
        <v>74272</v>
      </c>
      <c r="H145" t="s">
        <v>314</v>
      </c>
      <c r="I145" t="s">
        <v>1004</v>
      </c>
      <c r="J145" t="s">
        <v>832</v>
      </c>
      <c r="K145" t="s">
        <v>205</v>
      </c>
      <c r="L145" t="s">
        <v>224</v>
      </c>
      <c r="M145" t="s">
        <v>224</v>
      </c>
      <c r="N145" t="s">
        <v>224</v>
      </c>
      <c r="O145" t="s">
        <v>339</v>
      </c>
      <c r="P145" s="162">
        <v>45505</v>
      </c>
      <c r="Q145" t="s">
        <v>1216</v>
      </c>
      <c r="R145" t="s">
        <v>885</v>
      </c>
      <c r="S145" t="s">
        <v>889</v>
      </c>
      <c r="T145" t="s">
        <v>4995</v>
      </c>
      <c r="U145" s="131">
        <v>3.71</v>
      </c>
      <c r="V145" s="131">
        <v>70.543999999999997</v>
      </c>
      <c r="W145" s="131">
        <v>261.71800000000002</v>
      </c>
      <c r="X145" s="164">
        <v>0.34670000000000001</v>
      </c>
      <c r="Y145" s="132">
        <v>8.8699999999999994E-3</v>
      </c>
      <c r="Z145" s="132">
        <v>6.8000000000000005E-4</v>
      </c>
    </row>
    <row r="146" spans="1:26">
      <c r="A146" t="s">
        <v>1213</v>
      </c>
      <c r="B146" t="s">
        <v>1242</v>
      </c>
      <c r="C146" t="s">
        <v>4992</v>
      </c>
      <c r="D146" t="s">
        <v>4993</v>
      </c>
      <c r="E146" t="s">
        <v>311</v>
      </c>
      <c r="F146" t="s">
        <v>4996</v>
      </c>
      <c r="G146" s="108">
        <v>74266</v>
      </c>
      <c r="H146" t="s">
        <v>314</v>
      </c>
      <c r="I146" t="s">
        <v>1004</v>
      </c>
      <c r="J146" t="s">
        <v>832</v>
      </c>
      <c r="K146" t="s">
        <v>205</v>
      </c>
      <c r="L146" t="s">
        <v>224</v>
      </c>
      <c r="M146" t="s">
        <v>224</v>
      </c>
      <c r="N146" t="s">
        <v>224</v>
      </c>
      <c r="O146" t="s">
        <v>339</v>
      </c>
      <c r="P146" s="162">
        <v>45400</v>
      </c>
      <c r="Q146" t="s">
        <v>1216</v>
      </c>
      <c r="R146" t="s">
        <v>885</v>
      </c>
      <c r="S146" t="s">
        <v>889</v>
      </c>
      <c r="T146" t="s">
        <v>4870</v>
      </c>
      <c r="U146" s="131">
        <v>3.71</v>
      </c>
      <c r="V146" s="131">
        <v>63.677</v>
      </c>
      <c r="W146" s="131">
        <v>236.24199999999999</v>
      </c>
      <c r="X146" s="163">
        <v>0.4</v>
      </c>
      <c r="Y146" s="132">
        <v>8.0099999999999998E-3</v>
      </c>
      <c r="Z146" s="132">
        <v>6.2E-4</v>
      </c>
    </row>
    <row r="147" spans="1:26">
      <c r="A147" t="s">
        <v>1213</v>
      </c>
      <c r="B147" t="s">
        <v>1242</v>
      </c>
      <c r="C147" t="s">
        <v>5147</v>
      </c>
      <c r="D147" t="s">
        <v>5148</v>
      </c>
      <c r="E147" t="s">
        <v>311</v>
      </c>
      <c r="F147" t="s">
        <v>5149</v>
      </c>
      <c r="G147" s="108">
        <v>74270</v>
      </c>
      <c r="H147" t="s">
        <v>314</v>
      </c>
      <c r="I147" t="s">
        <v>1004</v>
      </c>
      <c r="J147" t="s">
        <v>833</v>
      </c>
      <c r="K147" t="s">
        <v>205</v>
      </c>
      <c r="L147" t="s">
        <v>253</v>
      </c>
      <c r="M147" t="s">
        <v>253</v>
      </c>
      <c r="N147" t="s">
        <v>212</v>
      </c>
      <c r="O147" t="s">
        <v>339</v>
      </c>
      <c r="P147" s="162">
        <v>45484</v>
      </c>
      <c r="Q147" t="s">
        <v>1218</v>
      </c>
      <c r="R147" t="s">
        <v>885</v>
      </c>
      <c r="S147" t="s">
        <v>889</v>
      </c>
      <c r="T147" t="s">
        <v>4737</v>
      </c>
      <c r="U147" s="131">
        <v>4.1520000000000001</v>
      </c>
      <c r="V147" s="131">
        <v>39.043999999999997</v>
      </c>
      <c r="W147" s="131">
        <v>162.126</v>
      </c>
      <c r="X147" s="166">
        <v>0.13500000000000001</v>
      </c>
      <c r="Y147" s="132">
        <v>5.4999999999999997E-3</v>
      </c>
      <c r="Z147" s="132">
        <v>4.2000000000000002E-4</v>
      </c>
    </row>
    <row r="148" spans="1:26">
      <c r="A148" t="s">
        <v>1213</v>
      </c>
      <c r="B148" t="s">
        <v>1242</v>
      </c>
      <c r="D148" t="s">
        <v>5044</v>
      </c>
      <c r="E148" t="s">
        <v>311</v>
      </c>
      <c r="F148" t="s">
        <v>5045</v>
      </c>
      <c r="G148" s="108">
        <v>74188</v>
      </c>
      <c r="H148" t="s">
        <v>314</v>
      </c>
      <c r="I148" t="s">
        <v>1002</v>
      </c>
      <c r="J148" t="s">
        <v>569</v>
      </c>
      <c r="K148" t="s">
        <v>205</v>
      </c>
      <c r="L148" t="s">
        <v>224</v>
      </c>
      <c r="M148" t="s">
        <v>224</v>
      </c>
      <c r="N148" t="s">
        <v>224</v>
      </c>
      <c r="O148" t="s">
        <v>339</v>
      </c>
      <c r="P148" s="162">
        <v>43578</v>
      </c>
      <c r="Q148" t="s">
        <v>1216</v>
      </c>
      <c r="R148" t="s">
        <v>885</v>
      </c>
      <c r="S148" t="s">
        <v>889</v>
      </c>
      <c r="T148" t="s">
        <v>5046</v>
      </c>
      <c r="U148" s="131">
        <v>3.71</v>
      </c>
      <c r="V148" s="131">
        <v>4.8689999999999998</v>
      </c>
      <c r="W148" s="131">
        <v>18.065000000000001</v>
      </c>
      <c r="X148" s="163">
        <v>1.7999999999999999E-2</v>
      </c>
      <c r="Y148" s="132">
        <v>6.0999999999999997E-4</v>
      </c>
      <c r="Z148" s="132">
        <v>5.0000000000000002E-5</v>
      </c>
    </row>
    <row r="149" spans="1:26">
      <c r="A149" t="s">
        <v>1213</v>
      </c>
      <c r="B149" t="s">
        <v>1243</v>
      </c>
      <c r="C149" t="s">
        <v>5047</v>
      </c>
      <c r="D149" t="s">
        <v>5048</v>
      </c>
      <c r="E149" t="s">
        <v>309</v>
      </c>
      <c r="F149" t="s">
        <v>5049</v>
      </c>
      <c r="G149" s="108" t="s">
        <v>5050</v>
      </c>
      <c r="H149" t="s">
        <v>321</v>
      </c>
      <c r="I149" t="s">
        <v>1002</v>
      </c>
      <c r="J149" t="s">
        <v>569</v>
      </c>
      <c r="K149" t="s">
        <v>204</v>
      </c>
      <c r="L149" t="s">
        <v>217</v>
      </c>
      <c r="M149" t="s">
        <v>204</v>
      </c>
      <c r="N149" t="s">
        <v>204</v>
      </c>
      <c r="O149" t="s">
        <v>339</v>
      </c>
      <c r="P149" s="162">
        <v>45565</v>
      </c>
      <c r="Q149" t="s">
        <v>1212</v>
      </c>
      <c r="R149" t="s">
        <v>885</v>
      </c>
      <c r="S149" t="s">
        <v>889</v>
      </c>
      <c r="T149" t="s">
        <v>4723</v>
      </c>
      <c r="U149" s="131">
        <v>1</v>
      </c>
      <c r="V149" s="131">
        <v>10136.549999999999</v>
      </c>
      <c r="W149" s="131">
        <v>10136.549999999999</v>
      </c>
      <c r="X149" s="165">
        <v>1.6E-2</v>
      </c>
      <c r="Y149" s="132">
        <v>1.1990000000000001E-2</v>
      </c>
      <c r="Z149" s="132">
        <v>2.2799999999999999E-3</v>
      </c>
    </row>
    <row r="150" spans="1:26">
      <c r="A150" t="s">
        <v>1213</v>
      </c>
      <c r="B150" t="s">
        <v>1243</v>
      </c>
      <c r="C150" t="s">
        <v>5051</v>
      </c>
      <c r="D150" t="s">
        <v>5052</v>
      </c>
      <c r="E150" t="s">
        <v>309</v>
      </c>
      <c r="F150" t="s">
        <v>5053</v>
      </c>
      <c r="G150" s="108">
        <v>74196</v>
      </c>
      <c r="H150" t="s">
        <v>314</v>
      </c>
      <c r="I150" t="s">
        <v>1005</v>
      </c>
      <c r="J150" t="s">
        <v>826</v>
      </c>
      <c r="K150" t="s">
        <v>204</v>
      </c>
      <c r="L150" t="s">
        <v>204</v>
      </c>
      <c r="M150" t="s">
        <v>204</v>
      </c>
      <c r="N150" t="s">
        <v>204</v>
      </c>
      <c r="O150" t="s">
        <v>339</v>
      </c>
      <c r="P150" s="162">
        <v>43831</v>
      </c>
      <c r="Q150" t="s">
        <v>1212</v>
      </c>
      <c r="R150" t="s">
        <v>885</v>
      </c>
      <c r="S150" t="s">
        <v>889</v>
      </c>
      <c r="T150" t="s">
        <v>5054</v>
      </c>
      <c r="U150" s="131">
        <v>1</v>
      </c>
      <c r="V150" s="131">
        <v>72394.706999999995</v>
      </c>
      <c r="W150" s="131">
        <v>72394.706999999995</v>
      </c>
      <c r="X150" s="163">
        <v>0.14119999999999999</v>
      </c>
      <c r="Y150" s="132">
        <v>8.5610000000000006E-2</v>
      </c>
      <c r="Z150" s="132">
        <v>1.626E-2</v>
      </c>
    </row>
    <row r="151" spans="1:26">
      <c r="A151" t="s">
        <v>1213</v>
      </c>
      <c r="B151" t="s">
        <v>1243</v>
      </c>
      <c r="C151" t="s">
        <v>5000</v>
      </c>
      <c r="D151" t="s">
        <v>5001</v>
      </c>
      <c r="E151" t="s">
        <v>310</v>
      </c>
      <c r="F151" t="s">
        <v>5002</v>
      </c>
      <c r="G151" s="108">
        <v>74186</v>
      </c>
      <c r="H151" t="s">
        <v>314</v>
      </c>
      <c r="I151" t="s">
        <v>1004</v>
      </c>
      <c r="J151" t="s">
        <v>833</v>
      </c>
      <c r="K151" t="s">
        <v>204</v>
      </c>
      <c r="L151" t="s">
        <v>204</v>
      </c>
      <c r="M151" t="s">
        <v>204</v>
      </c>
      <c r="N151" t="s">
        <v>204</v>
      </c>
      <c r="O151" t="s">
        <v>339</v>
      </c>
      <c r="P151" s="162">
        <v>43542</v>
      </c>
      <c r="Q151" t="s">
        <v>1212</v>
      </c>
      <c r="R151" t="s">
        <v>885</v>
      </c>
      <c r="S151" t="s">
        <v>889</v>
      </c>
      <c r="T151" t="s">
        <v>5003</v>
      </c>
      <c r="U151" s="131">
        <v>1</v>
      </c>
      <c r="V151" s="131">
        <v>36124.972999999998</v>
      </c>
      <c r="W151" s="131">
        <v>36124.972999999998</v>
      </c>
      <c r="X151" s="163">
        <v>7.8700000000000006E-2</v>
      </c>
      <c r="Y151" s="132">
        <v>4.2720000000000001E-2</v>
      </c>
      <c r="Z151" s="132">
        <v>8.1099999999999992E-3</v>
      </c>
    </row>
    <row r="152" spans="1:26">
      <c r="A152" t="s">
        <v>1213</v>
      </c>
      <c r="B152" t="s">
        <v>1243</v>
      </c>
      <c r="D152" t="s">
        <v>5067</v>
      </c>
      <c r="E152" t="s">
        <v>309</v>
      </c>
      <c r="F152" t="s">
        <v>5068</v>
      </c>
      <c r="G152" s="108">
        <v>74249</v>
      </c>
      <c r="H152" t="s">
        <v>314</v>
      </c>
      <c r="I152" t="s">
        <v>1005</v>
      </c>
      <c r="J152" t="s">
        <v>832</v>
      </c>
      <c r="K152" t="s">
        <v>204</v>
      </c>
      <c r="L152" t="s">
        <v>204</v>
      </c>
      <c r="M152" t="s">
        <v>204</v>
      </c>
      <c r="N152" t="s">
        <v>204</v>
      </c>
      <c r="O152" t="s">
        <v>339</v>
      </c>
      <c r="P152" s="162">
        <v>45006</v>
      </c>
      <c r="Q152" t="s">
        <v>1212</v>
      </c>
      <c r="R152" t="s">
        <v>885</v>
      </c>
      <c r="S152" t="s">
        <v>889</v>
      </c>
      <c r="T152" t="s">
        <v>5069</v>
      </c>
      <c r="U152" s="131">
        <v>1</v>
      </c>
      <c r="V152" s="131">
        <v>34574.156000000003</v>
      </c>
      <c r="W152" s="131">
        <v>34574.156000000003</v>
      </c>
      <c r="X152" s="163">
        <v>0.19600000000000001</v>
      </c>
      <c r="Y152" s="132">
        <v>4.0890000000000003E-2</v>
      </c>
      <c r="Z152" s="132">
        <v>7.77E-3</v>
      </c>
    </row>
    <row r="153" spans="1:26">
      <c r="A153" t="s">
        <v>1213</v>
      </c>
      <c r="B153" t="s">
        <v>1243</v>
      </c>
      <c r="C153" t="s">
        <v>5004</v>
      </c>
      <c r="D153" t="s">
        <v>5005</v>
      </c>
      <c r="E153" t="s">
        <v>309</v>
      </c>
      <c r="F153" t="s">
        <v>5006</v>
      </c>
      <c r="G153" s="108">
        <v>74185</v>
      </c>
      <c r="H153" t="s">
        <v>314</v>
      </c>
      <c r="I153" t="s">
        <v>1001</v>
      </c>
      <c r="J153" t="s">
        <v>831</v>
      </c>
      <c r="K153" t="s">
        <v>204</v>
      </c>
      <c r="L153" t="s">
        <v>204</v>
      </c>
      <c r="M153" t="s">
        <v>204</v>
      </c>
      <c r="N153" t="s">
        <v>204</v>
      </c>
      <c r="O153" t="s">
        <v>339</v>
      </c>
      <c r="P153" s="162">
        <v>43524</v>
      </c>
      <c r="Q153" t="s">
        <v>1212</v>
      </c>
      <c r="R153" t="s">
        <v>885</v>
      </c>
      <c r="S153" t="s">
        <v>889</v>
      </c>
      <c r="T153" t="s">
        <v>4877</v>
      </c>
      <c r="U153" s="131">
        <v>1</v>
      </c>
      <c r="V153" s="131">
        <v>33136.898999999998</v>
      </c>
      <c r="W153" s="131">
        <v>33136.898999999998</v>
      </c>
      <c r="X153" s="163">
        <v>0.1298</v>
      </c>
      <c r="Y153" s="132">
        <v>3.9190000000000003E-2</v>
      </c>
      <c r="Z153" s="132">
        <v>7.4400000000000004E-3</v>
      </c>
    </row>
    <row r="154" spans="1:26">
      <c r="A154" t="s">
        <v>1213</v>
      </c>
      <c r="B154" t="s">
        <v>1243</v>
      </c>
      <c r="C154" t="s">
        <v>5082</v>
      </c>
      <c r="D154" t="s">
        <v>5083</v>
      </c>
      <c r="E154" t="s">
        <v>309</v>
      </c>
      <c r="F154" t="s">
        <v>5084</v>
      </c>
      <c r="G154" s="108">
        <v>74241</v>
      </c>
      <c r="H154" t="s">
        <v>314</v>
      </c>
      <c r="I154" t="s">
        <v>1003</v>
      </c>
      <c r="J154" t="s">
        <v>837</v>
      </c>
      <c r="K154" t="s">
        <v>204</v>
      </c>
      <c r="L154" t="s">
        <v>204</v>
      </c>
      <c r="M154" t="s">
        <v>204</v>
      </c>
      <c r="N154" t="s">
        <v>204</v>
      </c>
      <c r="O154" t="s">
        <v>339</v>
      </c>
      <c r="P154" s="162">
        <v>44752</v>
      </c>
      <c r="Q154" t="s">
        <v>1212</v>
      </c>
      <c r="R154" t="s">
        <v>885</v>
      </c>
      <c r="S154" t="s">
        <v>889</v>
      </c>
      <c r="T154" t="s">
        <v>5026</v>
      </c>
      <c r="U154" s="131">
        <v>1</v>
      </c>
      <c r="V154" s="131">
        <v>27111.190999999999</v>
      </c>
      <c r="W154" s="131">
        <v>27111.190999999999</v>
      </c>
      <c r="X154" s="163">
        <v>5.8299999999999998E-2</v>
      </c>
      <c r="Y154" s="132">
        <v>3.2059999999999998E-2</v>
      </c>
      <c r="Z154" s="132">
        <v>6.0899999999999999E-3</v>
      </c>
    </row>
    <row r="155" spans="1:26">
      <c r="A155" t="s">
        <v>1213</v>
      </c>
      <c r="B155" t="s">
        <v>1243</v>
      </c>
      <c r="C155" t="s">
        <v>5055</v>
      </c>
      <c r="D155" t="s">
        <v>5056</v>
      </c>
      <c r="E155" t="s">
        <v>309</v>
      </c>
      <c r="F155" t="s">
        <v>5057</v>
      </c>
      <c r="G155" s="108">
        <v>74168</v>
      </c>
      <c r="H155" t="s">
        <v>314</v>
      </c>
      <c r="I155" t="s">
        <v>1005</v>
      </c>
      <c r="J155" t="s">
        <v>842</v>
      </c>
      <c r="K155" t="s">
        <v>204</v>
      </c>
      <c r="L155" t="s">
        <v>204</v>
      </c>
      <c r="M155" t="s">
        <v>204</v>
      </c>
      <c r="N155" t="s">
        <v>204</v>
      </c>
      <c r="O155" t="s">
        <v>339</v>
      </c>
      <c r="P155" s="162">
        <v>42565</v>
      </c>
      <c r="Q155" t="s">
        <v>1216</v>
      </c>
      <c r="R155" t="s">
        <v>885</v>
      </c>
      <c r="S155" t="s">
        <v>889</v>
      </c>
      <c r="T155" t="s">
        <v>5058</v>
      </c>
      <c r="U155" s="131">
        <v>3.71</v>
      </c>
      <c r="V155" s="131">
        <v>7192.808</v>
      </c>
      <c r="W155" s="131">
        <v>26685.315999999999</v>
      </c>
      <c r="X155" s="163">
        <v>1.09E-2</v>
      </c>
      <c r="Y155" s="132">
        <v>3.1559999999999998E-2</v>
      </c>
      <c r="Z155" s="132">
        <v>5.9899999999999997E-3</v>
      </c>
    </row>
    <row r="156" spans="1:26">
      <c r="A156" t="s">
        <v>1213</v>
      </c>
      <c r="B156" t="s">
        <v>1243</v>
      </c>
      <c r="C156" t="s">
        <v>5061</v>
      </c>
      <c r="D156" t="s">
        <v>5062</v>
      </c>
      <c r="E156" t="s">
        <v>309</v>
      </c>
      <c r="F156" t="s">
        <v>5063</v>
      </c>
      <c r="G156" s="108">
        <v>74231</v>
      </c>
      <c r="H156" t="s">
        <v>314</v>
      </c>
      <c r="I156" t="s">
        <v>1003</v>
      </c>
      <c r="J156" t="s">
        <v>836</v>
      </c>
      <c r="K156" t="s">
        <v>204</v>
      </c>
      <c r="L156" t="s">
        <v>204</v>
      </c>
      <c r="M156" t="s">
        <v>204</v>
      </c>
      <c r="N156" t="s">
        <v>204</v>
      </c>
      <c r="O156" t="s">
        <v>339</v>
      </c>
      <c r="P156" s="162">
        <v>44591</v>
      </c>
      <c r="Q156" t="s">
        <v>1212</v>
      </c>
      <c r="R156" t="s">
        <v>885</v>
      </c>
      <c r="S156" t="s">
        <v>889</v>
      </c>
      <c r="T156" t="s">
        <v>4876</v>
      </c>
      <c r="U156" s="131">
        <v>1</v>
      </c>
      <c r="V156" s="131">
        <v>21578.714</v>
      </c>
      <c r="W156" s="131">
        <v>21578.714</v>
      </c>
      <c r="X156" s="163">
        <v>5.2600000000000001E-2</v>
      </c>
      <c r="Y156" s="132">
        <v>2.5520000000000001E-2</v>
      </c>
      <c r="Z156" s="132">
        <v>4.8500000000000001E-3</v>
      </c>
    </row>
    <row r="157" spans="1:26">
      <c r="A157" t="s">
        <v>1213</v>
      </c>
      <c r="B157" t="s">
        <v>1243</v>
      </c>
      <c r="C157" t="s">
        <v>5070</v>
      </c>
      <c r="D157" t="s">
        <v>5071</v>
      </c>
      <c r="E157" t="s">
        <v>310</v>
      </c>
      <c r="F157" t="s">
        <v>5072</v>
      </c>
      <c r="G157" s="108">
        <v>74238</v>
      </c>
      <c r="H157" t="s">
        <v>314</v>
      </c>
      <c r="I157" t="s">
        <v>1004</v>
      </c>
      <c r="J157" t="s">
        <v>833</v>
      </c>
      <c r="K157" t="s">
        <v>204</v>
      </c>
      <c r="L157" t="s">
        <v>204</v>
      </c>
      <c r="M157" t="s">
        <v>204</v>
      </c>
      <c r="N157" t="s">
        <v>204</v>
      </c>
      <c r="O157" t="s">
        <v>339</v>
      </c>
      <c r="P157" s="162">
        <v>44721</v>
      </c>
      <c r="Q157" t="s">
        <v>1212</v>
      </c>
      <c r="R157" t="s">
        <v>885</v>
      </c>
      <c r="S157" t="s">
        <v>889</v>
      </c>
      <c r="T157" t="s">
        <v>5003</v>
      </c>
      <c r="U157" s="131">
        <v>1</v>
      </c>
      <c r="V157" s="131">
        <v>20651.749</v>
      </c>
      <c r="W157" s="131">
        <v>20651.749</v>
      </c>
      <c r="X157" s="163">
        <v>1.89E-2</v>
      </c>
      <c r="Y157" s="132">
        <v>2.4420000000000001E-2</v>
      </c>
      <c r="Z157" s="132">
        <v>4.64E-3</v>
      </c>
    </row>
    <row r="158" spans="1:26">
      <c r="A158" t="s">
        <v>1213</v>
      </c>
      <c r="B158" t="s">
        <v>1243</v>
      </c>
      <c r="C158" t="s">
        <v>5085</v>
      </c>
      <c r="D158" t="s">
        <v>5086</v>
      </c>
      <c r="E158" t="s">
        <v>309</v>
      </c>
      <c r="F158" t="s">
        <v>5087</v>
      </c>
      <c r="G158" s="108">
        <v>74239</v>
      </c>
      <c r="H158" t="s">
        <v>314</v>
      </c>
      <c r="I158" t="s">
        <v>1003</v>
      </c>
      <c r="J158" t="s">
        <v>837</v>
      </c>
      <c r="K158" t="s">
        <v>204</v>
      </c>
      <c r="L158" t="s">
        <v>204</v>
      </c>
      <c r="M158" t="s">
        <v>204</v>
      </c>
      <c r="N158" t="s">
        <v>204</v>
      </c>
      <c r="O158" t="s">
        <v>339</v>
      </c>
      <c r="P158" s="162">
        <v>44741</v>
      </c>
      <c r="Q158" t="s">
        <v>1212</v>
      </c>
      <c r="R158" t="s">
        <v>885</v>
      </c>
      <c r="S158" t="s">
        <v>889</v>
      </c>
      <c r="T158" t="s">
        <v>4876</v>
      </c>
      <c r="U158" s="131">
        <v>1</v>
      </c>
      <c r="V158" s="131">
        <v>20074.330999999998</v>
      </c>
      <c r="W158" s="131">
        <v>20074.330999999998</v>
      </c>
      <c r="X158" s="163">
        <v>3.4099999999999998E-2</v>
      </c>
      <c r="Y158" s="132">
        <v>2.3740000000000001E-2</v>
      </c>
      <c r="Z158" s="132">
        <v>4.5100000000000001E-3</v>
      </c>
    </row>
    <row r="159" spans="1:26">
      <c r="A159" t="s">
        <v>1213</v>
      </c>
      <c r="B159" t="s">
        <v>1243</v>
      </c>
      <c r="C159" t="s">
        <v>5076</v>
      </c>
      <c r="D159" t="s">
        <v>5077</v>
      </c>
      <c r="E159" t="s">
        <v>309</v>
      </c>
      <c r="F159" t="s">
        <v>5078</v>
      </c>
      <c r="G159" s="108">
        <v>74228</v>
      </c>
      <c r="H159" t="s">
        <v>314</v>
      </c>
      <c r="I159" t="s">
        <v>1000</v>
      </c>
      <c r="J159" t="s">
        <v>844</v>
      </c>
      <c r="K159" t="s">
        <v>204</v>
      </c>
      <c r="L159" t="s">
        <v>204</v>
      </c>
      <c r="M159" t="s">
        <v>204</v>
      </c>
      <c r="N159" t="s">
        <v>204</v>
      </c>
      <c r="O159" t="s">
        <v>339</v>
      </c>
      <c r="P159" s="162">
        <v>44560</v>
      </c>
      <c r="Q159" t="s">
        <v>1216</v>
      </c>
      <c r="R159" t="s">
        <v>885</v>
      </c>
      <c r="S159" t="s">
        <v>889</v>
      </c>
      <c r="T159" t="s">
        <v>5022</v>
      </c>
      <c r="U159" s="131">
        <v>3.71</v>
      </c>
      <c r="V159" s="131">
        <v>5211.674</v>
      </c>
      <c r="W159" s="131">
        <v>19335.311000000002</v>
      </c>
      <c r="X159" s="163">
        <v>6.7400000000000002E-2</v>
      </c>
      <c r="Y159" s="132">
        <v>2.2870000000000001E-2</v>
      </c>
      <c r="Z159" s="132">
        <v>4.3400000000000001E-3</v>
      </c>
    </row>
    <row r="160" spans="1:26">
      <c r="A160" t="s">
        <v>1213</v>
      </c>
      <c r="B160" t="s">
        <v>1243</v>
      </c>
      <c r="C160" t="s">
        <v>5079</v>
      </c>
      <c r="D160" t="s">
        <v>5080</v>
      </c>
      <c r="E160" t="s">
        <v>309</v>
      </c>
      <c r="F160" t="s">
        <v>5081</v>
      </c>
      <c r="G160" s="108">
        <v>74233</v>
      </c>
      <c r="H160" t="s">
        <v>314</v>
      </c>
      <c r="I160" t="s">
        <v>1002</v>
      </c>
      <c r="J160" t="s">
        <v>569</v>
      </c>
      <c r="K160" t="s">
        <v>204</v>
      </c>
      <c r="L160" t="s">
        <v>204</v>
      </c>
      <c r="M160" t="s">
        <v>204</v>
      </c>
      <c r="N160" t="s">
        <v>224</v>
      </c>
      <c r="O160" t="s">
        <v>339</v>
      </c>
      <c r="P160" s="162">
        <v>44622</v>
      </c>
      <c r="Q160" t="s">
        <v>1212</v>
      </c>
      <c r="R160" t="s">
        <v>885</v>
      </c>
      <c r="S160" t="s">
        <v>889</v>
      </c>
      <c r="T160" t="s">
        <v>5014</v>
      </c>
      <c r="U160" s="131">
        <v>1</v>
      </c>
      <c r="V160" s="131">
        <v>18403.702000000001</v>
      </c>
      <c r="W160" s="131">
        <v>18403.702000000001</v>
      </c>
      <c r="X160" s="163">
        <v>0.104</v>
      </c>
      <c r="Y160" s="132">
        <v>2.1760000000000002E-2</v>
      </c>
      <c r="Z160" s="132">
        <v>4.13E-3</v>
      </c>
    </row>
    <row r="161" spans="1:26">
      <c r="A161" t="s">
        <v>1213</v>
      </c>
      <c r="B161" t="s">
        <v>1243</v>
      </c>
      <c r="C161" t="s">
        <v>5004</v>
      </c>
      <c r="D161" t="s">
        <v>5009</v>
      </c>
      <c r="E161" t="s">
        <v>309</v>
      </c>
      <c r="F161" t="s">
        <v>5010</v>
      </c>
      <c r="G161" s="108">
        <v>74202</v>
      </c>
      <c r="H161" t="s">
        <v>314</v>
      </c>
      <c r="I161" t="s">
        <v>1001</v>
      </c>
      <c r="J161" t="s">
        <v>831</v>
      </c>
      <c r="K161" t="s">
        <v>204</v>
      </c>
      <c r="L161" t="s">
        <v>204</v>
      </c>
      <c r="M161" t="s">
        <v>204</v>
      </c>
      <c r="N161" t="s">
        <v>204</v>
      </c>
      <c r="O161" t="s">
        <v>339</v>
      </c>
      <c r="P161" s="162">
        <v>43913</v>
      </c>
      <c r="Q161" t="s">
        <v>1212</v>
      </c>
      <c r="R161" t="s">
        <v>885</v>
      </c>
      <c r="S161" t="s">
        <v>889</v>
      </c>
      <c r="T161" t="s">
        <v>4877</v>
      </c>
      <c r="U161" s="131">
        <v>1</v>
      </c>
      <c r="V161" s="131">
        <v>18269.058000000001</v>
      </c>
      <c r="W161" s="131">
        <v>18269.058000000001</v>
      </c>
      <c r="X161" s="163">
        <v>0.1036</v>
      </c>
      <c r="Y161" s="132">
        <v>2.1600000000000001E-2</v>
      </c>
      <c r="Z161" s="132">
        <v>4.1000000000000003E-3</v>
      </c>
    </row>
    <row r="162" spans="1:26">
      <c r="A162" t="s">
        <v>1213</v>
      </c>
      <c r="B162" t="s">
        <v>1243</v>
      </c>
      <c r="C162" t="s">
        <v>5007</v>
      </c>
      <c r="D162" t="s">
        <v>2129</v>
      </c>
      <c r="E162" t="s">
        <v>309</v>
      </c>
      <c r="F162" t="s">
        <v>5008</v>
      </c>
      <c r="G162" s="108">
        <v>74190</v>
      </c>
      <c r="H162" t="s">
        <v>314</v>
      </c>
      <c r="I162" t="s">
        <v>1005</v>
      </c>
      <c r="J162" t="s">
        <v>569</v>
      </c>
      <c r="K162" t="s">
        <v>204</v>
      </c>
      <c r="L162" t="s">
        <v>204</v>
      </c>
      <c r="M162" t="s">
        <v>204</v>
      </c>
      <c r="N162" t="s">
        <v>224</v>
      </c>
      <c r="O162" t="s">
        <v>339</v>
      </c>
      <c r="P162" s="162">
        <v>43691</v>
      </c>
      <c r="Q162" t="s">
        <v>1216</v>
      </c>
      <c r="R162" t="s">
        <v>885</v>
      </c>
      <c r="S162" t="s">
        <v>889</v>
      </c>
      <c r="T162" t="s">
        <v>4876</v>
      </c>
      <c r="U162" s="131">
        <v>3.71</v>
      </c>
      <c r="V162" s="131">
        <v>4905.3779999999997</v>
      </c>
      <c r="W162" s="131">
        <v>18198.953000000001</v>
      </c>
      <c r="X162" s="163">
        <v>0.19874</v>
      </c>
      <c r="Y162" s="132">
        <v>2.1520000000000001E-2</v>
      </c>
      <c r="Z162" s="132">
        <v>4.0899999999999999E-3</v>
      </c>
    </row>
    <row r="163" spans="1:26">
      <c r="A163" t="s">
        <v>1213</v>
      </c>
      <c r="B163" t="s">
        <v>1243</v>
      </c>
      <c r="C163" t="s">
        <v>5064</v>
      </c>
      <c r="D163" t="s">
        <v>5065</v>
      </c>
      <c r="E163" t="s">
        <v>309</v>
      </c>
      <c r="F163" t="s">
        <v>5066</v>
      </c>
      <c r="G163" s="108">
        <v>74217</v>
      </c>
      <c r="H163" t="s">
        <v>314</v>
      </c>
      <c r="I163" t="s">
        <v>1003</v>
      </c>
      <c r="J163" t="s">
        <v>836</v>
      </c>
      <c r="K163" t="s">
        <v>204</v>
      </c>
      <c r="L163" t="s">
        <v>204</v>
      </c>
      <c r="M163" t="s">
        <v>204</v>
      </c>
      <c r="N163" t="s">
        <v>204</v>
      </c>
      <c r="O163" t="s">
        <v>339</v>
      </c>
      <c r="P163" s="162">
        <v>44370</v>
      </c>
      <c r="Q163" t="s">
        <v>1212</v>
      </c>
      <c r="R163" t="s">
        <v>885</v>
      </c>
      <c r="S163" t="s">
        <v>889</v>
      </c>
      <c r="T163" t="s">
        <v>4942</v>
      </c>
      <c r="U163" s="131">
        <v>1</v>
      </c>
      <c r="V163" s="131">
        <v>16810.545999999998</v>
      </c>
      <c r="W163" s="131">
        <v>16810.545999999998</v>
      </c>
      <c r="X163" s="163">
        <v>0.25196850393700787</v>
      </c>
      <c r="Y163" s="132">
        <v>1.9879999999999998E-2</v>
      </c>
      <c r="Z163" s="132">
        <v>3.7799999999999999E-3</v>
      </c>
    </row>
    <row r="164" spans="1:26">
      <c r="A164" t="s">
        <v>1213</v>
      </c>
      <c r="B164" t="s">
        <v>1243</v>
      </c>
      <c r="C164" t="s">
        <v>5000</v>
      </c>
      <c r="D164" t="s">
        <v>5001</v>
      </c>
      <c r="E164" t="s">
        <v>310</v>
      </c>
      <c r="F164" t="s">
        <v>5059</v>
      </c>
      <c r="G164" s="108">
        <v>74204</v>
      </c>
      <c r="H164" t="s">
        <v>314</v>
      </c>
      <c r="I164" t="s">
        <v>1004</v>
      </c>
      <c r="J164" t="s">
        <v>833</v>
      </c>
      <c r="K164" t="s">
        <v>204</v>
      </c>
      <c r="L164" t="s">
        <v>204</v>
      </c>
      <c r="M164" t="s">
        <v>204</v>
      </c>
      <c r="N164" t="s">
        <v>204</v>
      </c>
      <c r="O164" t="s">
        <v>339</v>
      </c>
      <c r="P164" s="162">
        <v>44084</v>
      </c>
      <c r="Q164" t="s">
        <v>1212</v>
      </c>
      <c r="R164" t="s">
        <v>885</v>
      </c>
      <c r="S164" t="s">
        <v>889</v>
      </c>
      <c r="T164" t="s">
        <v>5060</v>
      </c>
      <c r="U164" s="131">
        <v>1</v>
      </c>
      <c r="V164" s="131">
        <v>16546.647000000001</v>
      </c>
      <c r="W164" s="131">
        <v>16546.647000000001</v>
      </c>
      <c r="X164" s="163">
        <v>7.8700000000000006E-2</v>
      </c>
      <c r="Y164" s="132">
        <v>1.9570000000000001E-2</v>
      </c>
      <c r="Z164" s="132">
        <v>3.7200000000000002E-3</v>
      </c>
    </row>
    <row r="165" spans="1:26">
      <c r="A165" t="s">
        <v>1213</v>
      </c>
      <c r="B165" t="s">
        <v>1243</v>
      </c>
      <c r="C165" t="s">
        <v>5011</v>
      </c>
      <c r="D165" t="s">
        <v>5012</v>
      </c>
      <c r="E165" t="s">
        <v>309</v>
      </c>
      <c r="F165" t="s">
        <v>5013</v>
      </c>
      <c r="G165" s="108">
        <v>74176</v>
      </c>
      <c r="H165" t="s">
        <v>314</v>
      </c>
      <c r="I165" t="s">
        <v>1002</v>
      </c>
      <c r="J165" t="s">
        <v>569</v>
      </c>
      <c r="K165" t="s">
        <v>204</v>
      </c>
      <c r="L165" t="s">
        <v>204</v>
      </c>
      <c r="M165" t="s">
        <v>204</v>
      </c>
      <c r="N165" t="s">
        <v>204</v>
      </c>
      <c r="O165" t="s">
        <v>339</v>
      </c>
      <c r="P165" s="162">
        <v>43306</v>
      </c>
      <c r="Q165" t="s">
        <v>1212</v>
      </c>
      <c r="R165" t="s">
        <v>885</v>
      </c>
      <c r="S165" t="s">
        <v>889</v>
      </c>
      <c r="T165" t="s">
        <v>5014</v>
      </c>
      <c r="U165" s="131">
        <v>1</v>
      </c>
      <c r="V165" s="131">
        <v>13274.781999999999</v>
      </c>
      <c r="W165" s="131">
        <v>13274.781999999999</v>
      </c>
      <c r="X165" s="163">
        <v>1.7500000000000002E-2</v>
      </c>
      <c r="Y165" s="132">
        <v>1.5699999999999999E-2</v>
      </c>
      <c r="Z165" s="132">
        <v>2.98E-3</v>
      </c>
    </row>
    <row r="166" spans="1:26">
      <c r="A166" t="s">
        <v>1213</v>
      </c>
      <c r="B166" t="s">
        <v>1243</v>
      </c>
      <c r="C166" t="s">
        <v>5105</v>
      </c>
      <c r="D166" t="s">
        <v>5106</v>
      </c>
      <c r="E166" t="s">
        <v>311</v>
      </c>
      <c r="F166" t="s">
        <v>5107</v>
      </c>
      <c r="G166" s="108">
        <v>74243</v>
      </c>
      <c r="H166" t="s">
        <v>314</v>
      </c>
      <c r="I166" t="s">
        <v>1000</v>
      </c>
      <c r="J166" t="s">
        <v>844</v>
      </c>
      <c r="K166" t="s">
        <v>204</v>
      </c>
      <c r="L166" t="s">
        <v>204</v>
      </c>
      <c r="M166" t="s">
        <v>204</v>
      </c>
      <c r="N166" t="s">
        <v>204</v>
      </c>
      <c r="O166" t="s">
        <v>339</v>
      </c>
      <c r="P166" s="162">
        <v>44823</v>
      </c>
      <c r="Q166" t="s">
        <v>1216</v>
      </c>
      <c r="R166" t="s">
        <v>885</v>
      </c>
      <c r="S166" t="s">
        <v>889</v>
      </c>
      <c r="T166" t="s">
        <v>5018</v>
      </c>
      <c r="U166" s="131">
        <v>3.71</v>
      </c>
      <c r="V166" s="131">
        <v>2867.0929999999998</v>
      </c>
      <c r="W166" s="131">
        <v>10636.914000000001</v>
      </c>
      <c r="X166" s="163">
        <v>0.1371</v>
      </c>
      <c r="Y166" s="132">
        <v>1.2579999999999999E-2</v>
      </c>
      <c r="Z166" s="132">
        <v>2.3900000000000002E-3</v>
      </c>
    </row>
    <row r="167" spans="1:26">
      <c r="A167" t="s">
        <v>1213</v>
      </c>
      <c r="B167" t="s">
        <v>1243</v>
      </c>
      <c r="C167" t="s">
        <v>5088</v>
      </c>
      <c r="D167" t="s">
        <v>5089</v>
      </c>
      <c r="E167" t="s">
        <v>309</v>
      </c>
      <c r="F167" t="s">
        <v>5090</v>
      </c>
      <c r="G167" s="108">
        <v>74221</v>
      </c>
      <c r="H167" t="s">
        <v>314</v>
      </c>
      <c r="I167" t="s">
        <v>1000</v>
      </c>
      <c r="J167" t="s">
        <v>844</v>
      </c>
      <c r="K167" t="s">
        <v>204</v>
      </c>
      <c r="L167" t="s">
        <v>204</v>
      </c>
      <c r="M167" t="s">
        <v>204</v>
      </c>
      <c r="N167" t="s">
        <v>296</v>
      </c>
      <c r="O167" t="s">
        <v>339</v>
      </c>
      <c r="P167" s="162">
        <v>44409</v>
      </c>
      <c r="Q167" t="s">
        <v>1216</v>
      </c>
      <c r="R167" t="s">
        <v>885</v>
      </c>
      <c r="S167" t="s">
        <v>889</v>
      </c>
      <c r="T167" t="s">
        <v>4876</v>
      </c>
      <c r="U167" s="131">
        <v>3.71</v>
      </c>
      <c r="V167" s="131">
        <v>2440.2719999999999</v>
      </c>
      <c r="W167" s="131">
        <v>9053.41</v>
      </c>
      <c r="X167" s="163">
        <v>7.5700000000000003E-2</v>
      </c>
      <c r="Y167" s="132">
        <v>1.0710000000000001E-2</v>
      </c>
      <c r="Z167" s="132">
        <v>2.0300000000000001E-3</v>
      </c>
    </row>
    <row r="168" spans="1:26">
      <c r="A168" t="s">
        <v>1213</v>
      </c>
      <c r="B168" t="s">
        <v>1243</v>
      </c>
      <c r="C168" t="s">
        <v>4939</v>
      </c>
      <c r="D168" t="s">
        <v>4940</v>
      </c>
      <c r="E168" t="s">
        <v>309</v>
      </c>
      <c r="F168" t="s">
        <v>4955</v>
      </c>
      <c r="G168" s="108">
        <v>74252</v>
      </c>
      <c r="H168" t="s">
        <v>314</v>
      </c>
      <c r="I168" t="s">
        <v>1003</v>
      </c>
      <c r="J168" t="s">
        <v>839</v>
      </c>
      <c r="K168" t="s">
        <v>204</v>
      </c>
      <c r="L168" t="s">
        <v>204</v>
      </c>
      <c r="M168" t="s">
        <v>204</v>
      </c>
      <c r="N168" t="s">
        <v>204</v>
      </c>
      <c r="O168" t="s">
        <v>339</v>
      </c>
      <c r="P168" s="162">
        <v>45036</v>
      </c>
      <c r="Q168" t="s">
        <v>1212</v>
      </c>
      <c r="R168" t="s">
        <v>885</v>
      </c>
      <c r="S168" t="s">
        <v>889</v>
      </c>
      <c r="T168" t="s">
        <v>4942</v>
      </c>
      <c r="U168" s="131">
        <v>1</v>
      </c>
      <c r="V168" s="131">
        <v>8680.2139999999999</v>
      </c>
      <c r="W168" s="131">
        <v>8680.2139999999999</v>
      </c>
      <c r="X168" s="163">
        <v>2.07E-2</v>
      </c>
      <c r="Y168" s="132">
        <v>1.026E-2</v>
      </c>
      <c r="Z168" s="132">
        <v>1.9499999999999999E-3</v>
      </c>
    </row>
    <row r="169" spans="1:26">
      <c r="A169" t="s">
        <v>1213</v>
      </c>
      <c r="B169" t="s">
        <v>1243</v>
      </c>
      <c r="C169" t="s">
        <v>5073</v>
      </c>
      <c r="D169" t="s">
        <v>5062</v>
      </c>
      <c r="E169" t="s">
        <v>310</v>
      </c>
      <c r="F169" t="s">
        <v>5074</v>
      </c>
      <c r="G169" s="108">
        <v>74171</v>
      </c>
      <c r="H169" t="s">
        <v>314</v>
      </c>
      <c r="I169" t="s">
        <v>1003</v>
      </c>
      <c r="J169" t="s">
        <v>836</v>
      </c>
      <c r="K169" t="s">
        <v>204</v>
      </c>
      <c r="L169" t="s">
        <v>204</v>
      </c>
      <c r="M169" t="s">
        <v>204</v>
      </c>
      <c r="N169" t="s">
        <v>204</v>
      </c>
      <c r="O169" t="s">
        <v>339</v>
      </c>
      <c r="P169" s="162">
        <v>42736</v>
      </c>
      <c r="Q169" t="s">
        <v>1212</v>
      </c>
      <c r="R169" t="s">
        <v>885</v>
      </c>
      <c r="S169" t="s">
        <v>889</v>
      </c>
      <c r="T169" t="s">
        <v>5075</v>
      </c>
      <c r="U169" s="131">
        <v>1</v>
      </c>
      <c r="V169" s="131">
        <v>6394.19</v>
      </c>
      <c r="W169" s="131">
        <v>6394.19</v>
      </c>
      <c r="X169" s="163">
        <v>8.1039999999999987E-2</v>
      </c>
      <c r="Y169" s="132">
        <v>7.5599999999999999E-3</v>
      </c>
      <c r="Z169" s="132">
        <v>1.4400000000000001E-3</v>
      </c>
    </row>
    <row r="170" spans="1:26">
      <c r="A170" t="s">
        <v>1213</v>
      </c>
      <c r="B170" t="s">
        <v>1243</v>
      </c>
      <c r="C170" t="s">
        <v>5015</v>
      </c>
      <c r="D170" t="s">
        <v>5016</v>
      </c>
      <c r="E170" t="s">
        <v>309</v>
      </c>
      <c r="F170" t="s">
        <v>5017</v>
      </c>
      <c r="G170" s="108">
        <v>74173</v>
      </c>
      <c r="H170" t="s">
        <v>314</v>
      </c>
      <c r="I170" t="s">
        <v>1000</v>
      </c>
      <c r="J170" t="s">
        <v>845</v>
      </c>
      <c r="K170" t="s">
        <v>204</v>
      </c>
      <c r="L170" t="s">
        <v>204</v>
      </c>
      <c r="M170" t="s">
        <v>204</v>
      </c>
      <c r="N170" t="s">
        <v>204</v>
      </c>
      <c r="O170" t="s">
        <v>339</v>
      </c>
      <c r="P170" s="162">
        <v>43157</v>
      </c>
      <c r="Q170" t="s">
        <v>1216</v>
      </c>
      <c r="R170" t="s">
        <v>885</v>
      </c>
      <c r="S170" t="s">
        <v>889</v>
      </c>
      <c r="T170" t="s">
        <v>5018</v>
      </c>
      <c r="U170" s="131">
        <v>3.71</v>
      </c>
      <c r="V170" s="131">
        <v>1677.335</v>
      </c>
      <c r="W170" s="131">
        <v>6222.9120000000003</v>
      </c>
      <c r="X170" s="163">
        <v>0.10349999999999999</v>
      </c>
      <c r="Y170" s="132">
        <v>7.3600000000000002E-3</v>
      </c>
      <c r="Z170" s="132">
        <v>1.4E-3</v>
      </c>
    </row>
    <row r="171" spans="1:26">
      <c r="A171" t="s">
        <v>1213</v>
      </c>
      <c r="B171" t="s">
        <v>1243</v>
      </c>
      <c r="C171" t="s">
        <v>5019</v>
      </c>
      <c r="D171" t="s">
        <v>5020</v>
      </c>
      <c r="E171" t="s">
        <v>309</v>
      </c>
      <c r="F171" t="s">
        <v>5021</v>
      </c>
      <c r="G171" s="108">
        <v>74177</v>
      </c>
      <c r="H171" t="s">
        <v>314</v>
      </c>
      <c r="I171" t="s">
        <v>1002</v>
      </c>
      <c r="J171" t="s">
        <v>569</v>
      </c>
      <c r="K171" t="s">
        <v>204</v>
      </c>
      <c r="L171" t="s">
        <v>204</v>
      </c>
      <c r="M171" t="s">
        <v>204</v>
      </c>
      <c r="N171" t="s">
        <v>204</v>
      </c>
      <c r="O171" t="s">
        <v>339</v>
      </c>
      <c r="P171" s="162">
        <v>43312</v>
      </c>
      <c r="Q171" t="s">
        <v>1212</v>
      </c>
      <c r="R171" t="s">
        <v>885</v>
      </c>
      <c r="S171" t="s">
        <v>889</v>
      </c>
      <c r="T171" t="s">
        <v>5022</v>
      </c>
      <c r="U171" s="131">
        <v>1</v>
      </c>
      <c r="V171" s="131">
        <v>6175.3720000000003</v>
      </c>
      <c r="W171" s="131">
        <v>6175.3720000000003</v>
      </c>
      <c r="X171" s="163">
        <v>2.9600000000000001E-2</v>
      </c>
      <c r="Y171" s="132">
        <v>7.3000000000000001E-3</v>
      </c>
      <c r="Z171" s="132">
        <v>1.39E-3</v>
      </c>
    </row>
    <row r="172" spans="1:26">
      <c r="A172" t="s">
        <v>1213</v>
      </c>
      <c r="B172" t="s">
        <v>1243</v>
      </c>
      <c r="C172" t="s">
        <v>5094</v>
      </c>
      <c r="D172" t="s">
        <v>5095</v>
      </c>
      <c r="E172" t="s">
        <v>309</v>
      </c>
      <c r="F172" t="s">
        <v>5096</v>
      </c>
      <c r="G172" s="108">
        <v>74179</v>
      </c>
      <c r="H172" t="s">
        <v>314</v>
      </c>
      <c r="I172" t="s">
        <v>1001</v>
      </c>
      <c r="J172" t="s">
        <v>831</v>
      </c>
      <c r="K172" t="s">
        <v>204</v>
      </c>
      <c r="L172" t="s">
        <v>204</v>
      </c>
      <c r="M172" t="s">
        <v>204</v>
      </c>
      <c r="N172" t="s">
        <v>204</v>
      </c>
      <c r="O172" t="s">
        <v>339</v>
      </c>
      <c r="P172" s="162">
        <v>43394</v>
      </c>
      <c r="Q172" t="s">
        <v>1212</v>
      </c>
      <c r="R172" t="s">
        <v>885</v>
      </c>
      <c r="S172" t="s">
        <v>889</v>
      </c>
      <c r="T172" t="s">
        <v>5022</v>
      </c>
      <c r="U172" s="131">
        <v>1</v>
      </c>
      <c r="V172" s="131">
        <v>3334.7179999999998</v>
      </c>
      <c r="W172" s="131">
        <v>3334.7179999999998</v>
      </c>
      <c r="X172" s="163">
        <v>0.11990000000000001</v>
      </c>
      <c r="Y172" s="132">
        <v>3.9399999999999999E-3</v>
      </c>
      <c r="Z172" s="132">
        <v>7.5000000000000002E-4</v>
      </c>
    </row>
    <row r="173" spans="1:26">
      <c r="A173" t="s">
        <v>1213</v>
      </c>
      <c r="B173" t="s">
        <v>1243</v>
      </c>
      <c r="C173" t="s">
        <v>5091</v>
      </c>
      <c r="D173" t="s">
        <v>5092</v>
      </c>
      <c r="E173" t="s">
        <v>309</v>
      </c>
      <c r="F173" t="s">
        <v>5093</v>
      </c>
      <c r="G173" s="108">
        <v>74170</v>
      </c>
      <c r="H173" t="s">
        <v>314</v>
      </c>
      <c r="I173" t="s">
        <v>1003</v>
      </c>
      <c r="J173" t="s">
        <v>836</v>
      </c>
      <c r="K173" t="s">
        <v>204</v>
      </c>
      <c r="L173" t="s">
        <v>204</v>
      </c>
      <c r="M173" t="s">
        <v>204</v>
      </c>
      <c r="N173" t="s">
        <v>204</v>
      </c>
      <c r="O173" t="s">
        <v>339</v>
      </c>
      <c r="P173" s="162">
        <v>42583</v>
      </c>
      <c r="Q173" t="s">
        <v>1212</v>
      </c>
      <c r="R173" t="s">
        <v>885</v>
      </c>
      <c r="S173" t="s">
        <v>889</v>
      </c>
      <c r="T173" t="s">
        <v>5014</v>
      </c>
      <c r="U173" s="131">
        <v>1</v>
      </c>
      <c r="V173" s="131">
        <v>3143.748</v>
      </c>
      <c r="W173" s="131">
        <v>3143.748</v>
      </c>
      <c r="X173" s="163">
        <v>4.0399999999999998E-2</v>
      </c>
      <c r="Y173" s="132">
        <v>3.7200000000000002E-3</v>
      </c>
      <c r="Z173" s="132">
        <v>7.1000000000000002E-4</v>
      </c>
    </row>
    <row r="174" spans="1:26">
      <c r="A174" t="s">
        <v>1213</v>
      </c>
      <c r="B174" t="s">
        <v>1243</v>
      </c>
      <c r="C174" t="s">
        <v>5101</v>
      </c>
      <c r="D174" t="s">
        <v>5102</v>
      </c>
      <c r="E174" t="s">
        <v>309</v>
      </c>
      <c r="F174" t="s">
        <v>5103</v>
      </c>
      <c r="G174" s="108">
        <v>74166</v>
      </c>
      <c r="H174" t="s">
        <v>314</v>
      </c>
      <c r="I174" t="s">
        <v>1003</v>
      </c>
      <c r="J174" t="s">
        <v>836</v>
      </c>
      <c r="K174" t="s">
        <v>204</v>
      </c>
      <c r="L174" t="s">
        <v>204</v>
      </c>
      <c r="M174" t="s">
        <v>204</v>
      </c>
      <c r="N174" t="s">
        <v>204</v>
      </c>
      <c r="O174" t="s">
        <v>339</v>
      </c>
      <c r="P174" s="162">
        <v>41334</v>
      </c>
      <c r="Q174" t="s">
        <v>1212</v>
      </c>
      <c r="R174" t="s">
        <v>885</v>
      </c>
      <c r="S174" t="s">
        <v>889</v>
      </c>
      <c r="T174" t="s">
        <v>5104</v>
      </c>
      <c r="U174" s="131">
        <v>1</v>
      </c>
      <c r="V174" s="131">
        <v>2189.9180000000001</v>
      </c>
      <c r="W174" s="131">
        <v>2189.9180000000001</v>
      </c>
      <c r="X174" s="163">
        <v>0.16389999999999999</v>
      </c>
      <c r="Y174" s="132">
        <v>2.5899999999999999E-3</v>
      </c>
      <c r="Z174" s="132">
        <v>4.8999999999999998E-4</v>
      </c>
    </row>
    <row r="175" spans="1:26">
      <c r="A175" t="s">
        <v>1213</v>
      </c>
      <c r="B175" t="s">
        <v>1243</v>
      </c>
      <c r="C175" t="s">
        <v>5097</v>
      </c>
      <c r="D175" t="s">
        <v>5098</v>
      </c>
      <c r="E175" t="s">
        <v>309</v>
      </c>
      <c r="F175" t="s">
        <v>5099</v>
      </c>
      <c r="G175" s="108">
        <v>74167</v>
      </c>
      <c r="H175" t="s">
        <v>314</v>
      </c>
      <c r="I175" t="s">
        <v>1003</v>
      </c>
      <c r="J175" t="s">
        <v>836</v>
      </c>
      <c r="K175" t="s">
        <v>204</v>
      </c>
      <c r="L175" t="s">
        <v>204</v>
      </c>
      <c r="M175" t="s">
        <v>204</v>
      </c>
      <c r="N175" t="s">
        <v>204</v>
      </c>
      <c r="O175" t="s">
        <v>339</v>
      </c>
      <c r="P175" s="162">
        <v>42125</v>
      </c>
      <c r="Q175" t="s">
        <v>1212</v>
      </c>
      <c r="R175" t="s">
        <v>885</v>
      </c>
      <c r="S175" t="s">
        <v>889</v>
      </c>
      <c r="T175" t="s">
        <v>5100</v>
      </c>
      <c r="U175" s="131">
        <v>1</v>
      </c>
      <c r="V175" s="131">
        <v>1942.2750000000001</v>
      </c>
      <c r="W175" s="131">
        <v>1942.2750000000001</v>
      </c>
      <c r="X175" s="163">
        <v>0.30430000000000001</v>
      </c>
      <c r="Y175" s="132">
        <v>2.3E-3</v>
      </c>
      <c r="Z175" s="132">
        <v>4.4000000000000002E-4</v>
      </c>
    </row>
    <row r="176" spans="1:26">
      <c r="A176" t="s">
        <v>1213</v>
      </c>
      <c r="B176" t="s">
        <v>1243</v>
      </c>
      <c r="D176" t="s">
        <v>4943</v>
      </c>
      <c r="E176" t="s">
        <v>309</v>
      </c>
      <c r="F176" t="s">
        <v>4944</v>
      </c>
      <c r="G176" s="108">
        <v>74254</v>
      </c>
      <c r="H176" t="s">
        <v>314</v>
      </c>
      <c r="I176" t="s">
        <v>1000</v>
      </c>
      <c r="J176" t="s">
        <v>845</v>
      </c>
      <c r="K176" t="s">
        <v>204</v>
      </c>
      <c r="L176" t="s">
        <v>204</v>
      </c>
      <c r="M176" t="s">
        <v>204</v>
      </c>
      <c r="N176" t="s">
        <v>204</v>
      </c>
      <c r="O176" t="s">
        <v>339</v>
      </c>
      <c r="P176" s="162">
        <v>45124</v>
      </c>
      <c r="Q176" t="s">
        <v>1216</v>
      </c>
      <c r="R176" t="s">
        <v>885</v>
      </c>
      <c r="S176" t="s">
        <v>889</v>
      </c>
      <c r="T176" t="s">
        <v>4945</v>
      </c>
      <c r="U176" s="131">
        <v>3.71</v>
      </c>
      <c r="V176" s="131">
        <v>306.29899999999998</v>
      </c>
      <c r="W176" s="131">
        <v>1136.3679999999999</v>
      </c>
      <c r="X176" s="163">
        <v>7.0800000000000002E-2</v>
      </c>
      <c r="Y176" s="132">
        <v>1.34E-3</v>
      </c>
      <c r="Z176" s="132">
        <v>2.5999999999999998E-4</v>
      </c>
    </row>
    <row r="177" spans="1:26">
      <c r="A177" t="s">
        <v>1213</v>
      </c>
      <c r="B177" t="s">
        <v>1243</v>
      </c>
      <c r="C177" t="s">
        <v>5150</v>
      </c>
      <c r="D177" t="s">
        <v>5151</v>
      </c>
      <c r="E177" t="s">
        <v>311</v>
      </c>
      <c r="F177" t="s">
        <v>5152</v>
      </c>
      <c r="G177" s="108">
        <v>74244</v>
      </c>
      <c r="H177" t="s">
        <v>314</v>
      </c>
      <c r="I177" t="s">
        <v>1004</v>
      </c>
      <c r="J177" t="s">
        <v>833</v>
      </c>
      <c r="K177" t="s">
        <v>205</v>
      </c>
      <c r="L177" t="s">
        <v>224</v>
      </c>
      <c r="M177" t="s">
        <v>224</v>
      </c>
      <c r="N177" t="s">
        <v>224</v>
      </c>
      <c r="O177" t="s">
        <v>339</v>
      </c>
      <c r="P177" s="162">
        <v>44881</v>
      </c>
      <c r="Q177" t="s">
        <v>1216</v>
      </c>
      <c r="R177" t="s">
        <v>885</v>
      </c>
      <c r="S177" t="s">
        <v>889</v>
      </c>
      <c r="T177" t="s">
        <v>4876</v>
      </c>
      <c r="U177" s="131">
        <v>3.71</v>
      </c>
      <c r="V177" s="131">
        <v>8717.634</v>
      </c>
      <c r="W177" s="131">
        <v>32342.422999999999</v>
      </c>
      <c r="X177" s="163">
        <v>2.4199999999999999E-2</v>
      </c>
      <c r="Y177" s="132">
        <v>3.8249999999999999E-2</v>
      </c>
      <c r="Z177" s="132">
        <v>7.26E-3</v>
      </c>
    </row>
    <row r="178" spans="1:26">
      <c r="A178" t="s">
        <v>1213</v>
      </c>
      <c r="B178" t="s">
        <v>1243</v>
      </c>
      <c r="D178" t="s">
        <v>5115</v>
      </c>
      <c r="E178" t="s">
        <v>309</v>
      </c>
      <c r="F178" t="s">
        <v>5116</v>
      </c>
      <c r="G178" s="108">
        <v>74240</v>
      </c>
      <c r="H178" t="s">
        <v>314</v>
      </c>
      <c r="I178" t="s">
        <v>1005</v>
      </c>
      <c r="J178" t="s">
        <v>832</v>
      </c>
      <c r="K178" t="s">
        <v>205</v>
      </c>
      <c r="L178" t="s">
        <v>204</v>
      </c>
      <c r="M178" t="s">
        <v>204</v>
      </c>
      <c r="N178" t="s">
        <v>303</v>
      </c>
      <c r="O178" t="s">
        <v>339</v>
      </c>
      <c r="P178" s="162">
        <v>44748</v>
      </c>
      <c r="Q178" t="s">
        <v>1218</v>
      </c>
      <c r="R178" t="s">
        <v>885</v>
      </c>
      <c r="S178" t="s">
        <v>889</v>
      </c>
      <c r="T178" t="s">
        <v>4954</v>
      </c>
      <c r="U178" s="131">
        <v>4.1520000000000001</v>
      </c>
      <c r="V178" s="131">
        <v>6814.2870000000003</v>
      </c>
      <c r="W178" s="131">
        <v>28295.645</v>
      </c>
      <c r="X178" s="163">
        <v>2.6239999999999999E-2</v>
      </c>
      <c r="Y178" s="132">
        <v>3.3459999999999997E-2</v>
      </c>
      <c r="Z178" s="132">
        <v>6.3600000000000002E-3</v>
      </c>
    </row>
    <row r="179" spans="1:26">
      <c r="A179" t="s">
        <v>1213</v>
      </c>
      <c r="B179" t="s">
        <v>1243</v>
      </c>
      <c r="C179" t="s">
        <v>5127</v>
      </c>
      <c r="D179" t="s">
        <v>5128</v>
      </c>
      <c r="E179" t="s">
        <v>310</v>
      </c>
      <c r="F179" t="s">
        <v>5129</v>
      </c>
      <c r="G179" s="108">
        <v>74256</v>
      </c>
      <c r="H179" t="s">
        <v>314</v>
      </c>
      <c r="I179" t="s">
        <v>1004</v>
      </c>
      <c r="J179" t="s">
        <v>832</v>
      </c>
      <c r="K179" t="s">
        <v>205</v>
      </c>
      <c r="L179" t="s">
        <v>272</v>
      </c>
      <c r="M179" t="s">
        <v>272</v>
      </c>
      <c r="N179" t="s">
        <v>272</v>
      </c>
      <c r="O179" t="s">
        <v>339</v>
      </c>
      <c r="P179" s="162">
        <v>45166</v>
      </c>
      <c r="Q179" t="s">
        <v>1218</v>
      </c>
      <c r="R179" t="s">
        <v>885</v>
      </c>
      <c r="S179" t="s">
        <v>889</v>
      </c>
      <c r="T179" t="s">
        <v>5026</v>
      </c>
      <c r="U179" s="131">
        <v>4.1520000000000001</v>
      </c>
      <c r="V179" s="131">
        <v>6454.5929999999998</v>
      </c>
      <c r="W179" s="131">
        <v>26802.052</v>
      </c>
      <c r="X179" s="163">
        <v>0.18</v>
      </c>
      <c r="Y179" s="132">
        <v>3.1699999999999999E-2</v>
      </c>
      <c r="Z179" s="132">
        <v>6.0200000000000002E-3</v>
      </c>
    </row>
    <row r="180" spans="1:26">
      <c r="A180" t="s">
        <v>1213</v>
      </c>
      <c r="B180" t="s">
        <v>1243</v>
      </c>
      <c r="D180" t="s">
        <v>4982</v>
      </c>
      <c r="E180" t="s">
        <v>311</v>
      </c>
      <c r="F180" t="s">
        <v>4983</v>
      </c>
      <c r="G180" s="108">
        <v>74203</v>
      </c>
      <c r="H180" t="s">
        <v>314</v>
      </c>
      <c r="I180" t="s">
        <v>1003</v>
      </c>
      <c r="J180" t="s">
        <v>833</v>
      </c>
      <c r="K180" t="s">
        <v>205</v>
      </c>
      <c r="L180" t="s">
        <v>224</v>
      </c>
      <c r="M180" t="s">
        <v>224</v>
      </c>
      <c r="N180" t="s">
        <v>224</v>
      </c>
      <c r="O180" t="s">
        <v>339</v>
      </c>
      <c r="P180" s="162">
        <v>43770</v>
      </c>
      <c r="Q180" t="s">
        <v>1216</v>
      </c>
      <c r="R180" t="s">
        <v>885</v>
      </c>
      <c r="S180" t="s">
        <v>889</v>
      </c>
      <c r="T180" t="s">
        <v>4882</v>
      </c>
      <c r="U180" s="131">
        <v>3.71</v>
      </c>
      <c r="V180" s="131">
        <v>6184.6180000000004</v>
      </c>
      <c r="W180" s="131">
        <v>22944.933000000001</v>
      </c>
      <c r="X180" s="163">
        <v>6.8529999999999994E-2</v>
      </c>
      <c r="Y180" s="132">
        <v>2.7130000000000001E-2</v>
      </c>
      <c r="Z180" s="132">
        <v>5.1500000000000001E-3</v>
      </c>
    </row>
    <row r="181" spans="1:26">
      <c r="A181" t="s">
        <v>1213</v>
      </c>
      <c r="B181" t="s">
        <v>1243</v>
      </c>
      <c r="C181" t="s">
        <v>5023</v>
      </c>
      <c r="D181" t="s">
        <v>5024</v>
      </c>
      <c r="E181" t="s">
        <v>309</v>
      </c>
      <c r="F181" t="s">
        <v>5025</v>
      </c>
      <c r="G181" s="108">
        <v>74189</v>
      </c>
      <c r="H181" t="s">
        <v>314</v>
      </c>
      <c r="I181" t="s">
        <v>1002</v>
      </c>
      <c r="J181" t="s">
        <v>569</v>
      </c>
      <c r="K181" t="s">
        <v>205</v>
      </c>
      <c r="L181" t="s">
        <v>224</v>
      </c>
      <c r="M181" t="s">
        <v>224</v>
      </c>
      <c r="N181" t="s">
        <v>224</v>
      </c>
      <c r="O181" t="s">
        <v>339</v>
      </c>
      <c r="P181" s="162">
        <v>43586</v>
      </c>
      <c r="Q181" t="s">
        <v>1216</v>
      </c>
      <c r="R181" t="s">
        <v>885</v>
      </c>
      <c r="S181" t="s">
        <v>889</v>
      </c>
      <c r="T181" t="s">
        <v>5026</v>
      </c>
      <c r="U181" s="131">
        <v>3.71</v>
      </c>
      <c r="V181" s="131">
        <v>4755.4799999999996</v>
      </c>
      <c r="W181" s="131">
        <v>17642.830000000002</v>
      </c>
      <c r="X181" s="163">
        <v>3.3799999999999997E-2</v>
      </c>
      <c r="Y181" s="132">
        <v>2.086E-2</v>
      </c>
      <c r="Z181" s="132">
        <v>3.96E-3</v>
      </c>
    </row>
    <row r="182" spans="1:26">
      <c r="A182" t="s">
        <v>1213</v>
      </c>
      <c r="B182" t="s">
        <v>1243</v>
      </c>
      <c r="D182" t="s">
        <v>5027</v>
      </c>
      <c r="E182" t="s">
        <v>311</v>
      </c>
      <c r="F182" t="s">
        <v>5134</v>
      </c>
      <c r="G182" s="108">
        <v>74215</v>
      </c>
      <c r="H182" t="s">
        <v>314</v>
      </c>
      <c r="I182" t="s">
        <v>1000</v>
      </c>
      <c r="J182" t="s">
        <v>844</v>
      </c>
      <c r="K182" t="s">
        <v>205</v>
      </c>
      <c r="L182" t="s">
        <v>224</v>
      </c>
      <c r="M182" t="s">
        <v>224</v>
      </c>
      <c r="N182" t="s">
        <v>224</v>
      </c>
      <c r="O182" t="s">
        <v>339</v>
      </c>
      <c r="P182" s="162">
        <v>44308</v>
      </c>
      <c r="Q182" t="s">
        <v>1216</v>
      </c>
      <c r="R182" t="s">
        <v>885</v>
      </c>
      <c r="S182" t="s">
        <v>889</v>
      </c>
      <c r="T182" t="s">
        <v>4795</v>
      </c>
      <c r="U182" s="131">
        <v>3.71</v>
      </c>
      <c r="V182" s="131">
        <v>4597.95</v>
      </c>
      <c r="W182" s="131">
        <v>17058.394</v>
      </c>
      <c r="X182" s="163">
        <v>3.5400000000000001E-2</v>
      </c>
      <c r="Y182" s="132">
        <v>2.017E-2</v>
      </c>
      <c r="Z182" s="132">
        <v>3.8300000000000001E-3</v>
      </c>
    </row>
    <row r="183" spans="1:26">
      <c r="A183" t="s">
        <v>1213</v>
      </c>
      <c r="B183" t="s">
        <v>1243</v>
      </c>
      <c r="C183" t="s">
        <v>5117</v>
      </c>
      <c r="D183" t="s">
        <v>5118</v>
      </c>
      <c r="E183" t="s">
        <v>310</v>
      </c>
      <c r="F183" t="s">
        <v>5119</v>
      </c>
      <c r="G183" s="108">
        <v>74205</v>
      </c>
      <c r="H183" t="s">
        <v>314</v>
      </c>
      <c r="I183" t="s">
        <v>1001</v>
      </c>
      <c r="J183" t="s">
        <v>831</v>
      </c>
      <c r="K183" t="s">
        <v>205</v>
      </c>
      <c r="L183" t="s">
        <v>286</v>
      </c>
      <c r="M183" t="s">
        <v>286</v>
      </c>
      <c r="N183" t="s">
        <v>286</v>
      </c>
      <c r="O183" t="s">
        <v>339</v>
      </c>
      <c r="P183" s="162">
        <v>44159</v>
      </c>
      <c r="Q183" t="s">
        <v>1218</v>
      </c>
      <c r="R183" t="s">
        <v>885</v>
      </c>
      <c r="S183" t="s">
        <v>889</v>
      </c>
      <c r="T183" t="s">
        <v>5120</v>
      </c>
      <c r="U183" s="131">
        <v>4.1520000000000001</v>
      </c>
      <c r="V183" s="131">
        <v>4095.5810000000001</v>
      </c>
      <c r="W183" s="131">
        <v>17006.491000000002</v>
      </c>
      <c r="X183" s="163">
        <v>0.19639999999999999</v>
      </c>
      <c r="Y183" s="132">
        <v>2.0109999999999999E-2</v>
      </c>
      <c r="Z183" s="132">
        <v>3.82E-3</v>
      </c>
    </row>
    <row r="184" spans="1:26">
      <c r="A184" t="s">
        <v>1213</v>
      </c>
      <c r="B184" t="s">
        <v>1243</v>
      </c>
      <c r="C184" t="s">
        <v>5130</v>
      </c>
      <c r="D184" t="s">
        <v>5131</v>
      </c>
      <c r="E184" t="s">
        <v>311</v>
      </c>
      <c r="F184" t="s">
        <v>5132</v>
      </c>
      <c r="G184" s="108">
        <v>74237</v>
      </c>
      <c r="H184" t="s">
        <v>314</v>
      </c>
      <c r="I184" t="s">
        <v>1004</v>
      </c>
      <c r="J184" t="s">
        <v>833</v>
      </c>
      <c r="K184" t="s">
        <v>205</v>
      </c>
      <c r="L184" t="s">
        <v>233</v>
      </c>
      <c r="M184" t="s">
        <v>233</v>
      </c>
      <c r="N184" t="s">
        <v>233</v>
      </c>
      <c r="O184" t="s">
        <v>339</v>
      </c>
      <c r="P184" s="162">
        <v>44721</v>
      </c>
      <c r="Q184" t="s">
        <v>1227</v>
      </c>
      <c r="R184" t="s">
        <v>885</v>
      </c>
      <c r="S184" t="s">
        <v>889</v>
      </c>
      <c r="T184" t="s">
        <v>5133</v>
      </c>
      <c r="U184" s="131">
        <v>4.9749999999999996</v>
      </c>
      <c r="V184" s="131">
        <v>3286.31</v>
      </c>
      <c r="W184" s="131">
        <v>16348.733</v>
      </c>
      <c r="X184" s="163">
        <v>4.5373999999999998E-2</v>
      </c>
      <c r="Y184" s="132">
        <v>1.933E-2</v>
      </c>
      <c r="Z184" s="132">
        <v>3.6700000000000001E-3</v>
      </c>
    </row>
    <row r="185" spans="1:26">
      <c r="A185" t="s">
        <v>1213</v>
      </c>
      <c r="B185" t="s">
        <v>1243</v>
      </c>
      <c r="D185" t="s">
        <v>5027</v>
      </c>
      <c r="E185" t="s">
        <v>311</v>
      </c>
      <c r="F185" t="s">
        <v>5028</v>
      </c>
      <c r="G185" s="108">
        <v>74180</v>
      </c>
      <c r="H185" t="s">
        <v>314</v>
      </c>
      <c r="I185" t="s">
        <v>1000</v>
      </c>
      <c r="J185" t="s">
        <v>844</v>
      </c>
      <c r="K185" t="s">
        <v>205</v>
      </c>
      <c r="L185" t="s">
        <v>224</v>
      </c>
      <c r="M185" t="s">
        <v>224</v>
      </c>
      <c r="N185" t="s">
        <v>224</v>
      </c>
      <c r="O185" t="s">
        <v>339</v>
      </c>
      <c r="P185" s="162">
        <v>43411</v>
      </c>
      <c r="Q185" t="s">
        <v>1216</v>
      </c>
      <c r="R185" t="s">
        <v>885</v>
      </c>
      <c r="S185" t="s">
        <v>889</v>
      </c>
      <c r="T185" t="s">
        <v>4795</v>
      </c>
      <c r="U185" s="131">
        <v>3.71</v>
      </c>
      <c r="V185" s="131">
        <v>4362.027</v>
      </c>
      <c r="W185" s="131">
        <v>16183.118</v>
      </c>
      <c r="X185" s="163">
        <v>5.8900000000000001E-2</v>
      </c>
      <c r="Y185" s="132">
        <v>1.9140000000000001E-2</v>
      </c>
      <c r="Z185" s="132">
        <v>3.63E-3</v>
      </c>
    </row>
    <row r="186" spans="1:26">
      <c r="A186" t="s">
        <v>1213</v>
      </c>
      <c r="B186" t="s">
        <v>1243</v>
      </c>
      <c r="D186" t="s">
        <v>5121</v>
      </c>
      <c r="E186" t="s">
        <v>311</v>
      </c>
      <c r="F186" t="s">
        <v>5122</v>
      </c>
      <c r="G186" s="108">
        <v>74207</v>
      </c>
      <c r="H186" t="s">
        <v>314</v>
      </c>
      <c r="I186" t="s">
        <v>1005</v>
      </c>
      <c r="J186" t="s">
        <v>569</v>
      </c>
      <c r="K186" t="s">
        <v>205</v>
      </c>
      <c r="L186" t="s">
        <v>233</v>
      </c>
      <c r="M186" t="s">
        <v>224</v>
      </c>
      <c r="N186" t="s">
        <v>296</v>
      </c>
      <c r="O186" t="s">
        <v>339</v>
      </c>
      <c r="P186" s="162">
        <v>44166</v>
      </c>
      <c r="Q186" t="s">
        <v>1216</v>
      </c>
      <c r="R186" t="s">
        <v>885</v>
      </c>
      <c r="S186" t="s">
        <v>889</v>
      </c>
      <c r="T186" t="s">
        <v>5123</v>
      </c>
      <c r="U186" s="131">
        <v>3.71</v>
      </c>
      <c r="V186" s="131">
        <v>4260.7740000000003</v>
      </c>
      <c r="W186" s="131">
        <v>15807.472</v>
      </c>
      <c r="X186" s="163">
        <v>1.1111111111111111E-3</v>
      </c>
      <c r="Y186" s="132">
        <v>1.8689999999999998E-2</v>
      </c>
      <c r="Z186" s="132">
        <v>3.5500000000000002E-3</v>
      </c>
    </row>
    <row r="187" spans="1:26">
      <c r="A187" t="s">
        <v>1213</v>
      </c>
      <c r="B187" t="s">
        <v>1243</v>
      </c>
      <c r="D187" t="s">
        <v>5027</v>
      </c>
      <c r="E187" t="s">
        <v>311</v>
      </c>
      <c r="F187" t="s">
        <v>5114</v>
      </c>
      <c r="G187" s="108">
        <v>74200</v>
      </c>
      <c r="H187" t="s">
        <v>314</v>
      </c>
      <c r="I187" t="s">
        <v>1000</v>
      </c>
      <c r="J187" t="s">
        <v>844</v>
      </c>
      <c r="K187" t="s">
        <v>205</v>
      </c>
      <c r="L187" t="s">
        <v>224</v>
      </c>
      <c r="M187" t="s">
        <v>224</v>
      </c>
      <c r="N187" t="s">
        <v>224</v>
      </c>
      <c r="O187" t="s">
        <v>339</v>
      </c>
      <c r="P187" s="162">
        <v>43891</v>
      </c>
      <c r="Q187" t="s">
        <v>1216</v>
      </c>
      <c r="R187" t="s">
        <v>885</v>
      </c>
      <c r="S187" t="s">
        <v>889</v>
      </c>
      <c r="T187" t="s">
        <v>4795</v>
      </c>
      <c r="U187" s="131">
        <v>3.71</v>
      </c>
      <c r="V187" s="131">
        <v>4187.3100000000004</v>
      </c>
      <c r="W187" s="131">
        <v>15534.919</v>
      </c>
      <c r="X187" s="163">
        <v>5.6800000000000003E-2</v>
      </c>
      <c r="Y187" s="132">
        <v>1.8370000000000001E-2</v>
      </c>
      <c r="Z187" s="132">
        <v>3.49E-3</v>
      </c>
    </row>
    <row r="188" spans="1:26">
      <c r="A188" t="s">
        <v>1213</v>
      </c>
      <c r="B188" t="s">
        <v>1243</v>
      </c>
      <c r="C188" t="s">
        <v>5029</v>
      </c>
      <c r="D188" t="s">
        <v>5030</v>
      </c>
      <c r="E188" t="s">
        <v>311</v>
      </c>
      <c r="F188" t="s">
        <v>5031</v>
      </c>
      <c r="G188" s="108">
        <v>74178</v>
      </c>
      <c r="H188" t="s">
        <v>314</v>
      </c>
      <c r="I188" t="s">
        <v>1004</v>
      </c>
      <c r="J188" t="s">
        <v>833</v>
      </c>
      <c r="K188" t="s">
        <v>205</v>
      </c>
      <c r="L188" t="s">
        <v>224</v>
      </c>
      <c r="M188" t="s">
        <v>224</v>
      </c>
      <c r="N188" t="s">
        <v>224</v>
      </c>
      <c r="O188" t="s">
        <v>339</v>
      </c>
      <c r="P188" s="162">
        <v>43321</v>
      </c>
      <c r="Q188" t="s">
        <v>1216</v>
      </c>
      <c r="R188" t="s">
        <v>885</v>
      </c>
      <c r="S188" t="s">
        <v>889</v>
      </c>
      <c r="T188" t="s">
        <v>4876</v>
      </c>
      <c r="U188" s="131">
        <v>3.71</v>
      </c>
      <c r="V188" s="131">
        <v>3971.2420000000002</v>
      </c>
      <c r="W188" s="131">
        <v>14733.308000000001</v>
      </c>
      <c r="X188" s="163">
        <v>3.4639999999999997E-2</v>
      </c>
      <c r="Y188" s="132">
        <v>1.7420000000000001E-2</v>
      </c>
      <c r="Z188" s="132">
        <v>3.31E-3</v>
      </c>
    </row>
    <row r="189" spans="1:26">
      <c r="A189" t="s">
        <v>1213</v>
      </c>
      <c r="B189" t="s">
        <v>1243</v>
      </c>
      <c r="D189" t="s">
        <v>3826</v>
      </c>
      <c r="E189" t="s">
        <v>311</v>
      </c>
      <c r="F189" t="s">
        <v>3825</v>
      </c>
      <c r="G189" s="108">
        <v>74242</v>
      </c>
      <c r="H189" t="s">
        <v>314</v>
      </c>
      <c r="I189" t="s">
        <v>1004</v>
      </c>
      <c r="J189" t="s">
        <v>833</v>
      </c>
      <c r="K189" t="s">
        <v>205</v>
      </c>
      <c r="L189" t="s">
        <v>272</v>
      </c>
      <c r="M189" t="s">
        <v>272</v>
      </c>
      <c r="N189" t="s">
        <v>272</v>
      </c>
      <c r="O189" t="s">
        <v>339</v>
      </c>
      <c r="P189" s="162">
        <v>44812</v>
      </c>
      <c r="Q189" t="s">
        <v>1218</v>
      </c>
      <c r="R189" t="s">
        <v>885</v>
      </c>
      <c r="S189" t="s">
        <v>889</v>
      </c>
      <c r="T189" t="s">
        <v>5135</v>
      </c>
      <c r="U189" s="131">
        <v>4.1520000000000001</v>
      </c>
      <c r="V189" s="131">
        <v>3394.1590000000001</v>
      </c>
      <c r="W189" s="131">
        <v>14093.906000000001</v>
      </c>
      <c r="X189" s="163">
        <v>0.127</v>
      </c>
      <c r="Y189" s="132">
        <v>1.6670000000000001E-2</v>
      </c>
      <c r="Z189" s="132">
        <v>3.1700000000000001E-3</v>
      </c>
    </row>
    <row r="190" spans="1:26">
      <c r="A190" t="s">
        <v>1213</v>
      </c>
      <c r="B190" t="s">
        <v>1243</v>
      </c>
      <c r="D190" t="s">
        <v>5027</v>
      </c>
      <c r="E190" t="s">
        <v>311</v>
      </c>
      <c r="F190" t="s">
        <v>5137</v>
      </c>
      <c r="G190" s="108">
        <v>74235</v>
      </c>
      <c r="H190" t="s">
        <v>314</v>
      </c>
      <c r="I190" t="s">
        <v>1000</v>
      </c>
      <c r="J190" t="s">
        <v>844</v>
      </c>
      <c r="K190" t="s">
        <v>205</v>
      </c>
      <c r="L190" t="s">
        <v>224</v>
      </c>
      <c r="M190" t="s">
        <v>224</v>
      </c>
      <c r="N190" t="s">
        <v>224</v>
      </c>
      <c r="O190" t="s">
        <v>339</v>
      </c>
      <c r="P190" s="162">
        <v>44712</v>
      </c>
      <c r="Q190" t="s">
        <v>1216</v>
      </c>
      <c r="R190" t="s">
        <v>885</v>
      </c>
      <c r="S190" t="s">
        <v>889</v>
      </c>
      <c r="T190" t="s">
        <v>4795</v>
      </c>
      <c r="U190" s="131">
        <v>3.71</v>
      </c>
      <c r="V190" s="131">
        <v>3693.0230000000001</v>
      </c>
      <c r="W190" s="131">
        <v>13701.116</v>
      </c>
      <c r="X190" s="163">
        <v>6.13E-2</v>
      </c>
      <c r="Y190" s="132">
        <v>1.6199999999999999E-2</v>
      </c>
      <c r="Z190" s="132">
        <v>3.0799999999999998E-3</v>
      </c>
    </row>
    <row r="191" spans="1:26">
      <c r="A191" t="s">
        <v>1213</v>
      </c>
      <c r="B191" t="s">
        <v>1243</v>
      </c>
      <c r="D191" t="s">
        <v>5111</v>
      </c>
      <c r="E191" t="s">
        <v>311</v>
      </c>
      <c r="F191" t="s">
        <v>5112</v>
      </c>
      <c r="G191" s="108">
        <v>74169</v>
      </c>
      <c r="H191" t="s">
        <v>314</v>
      </c>
      <c r="I191" t="s">
        <v>1004</v>
      </c>
      <c r="J191" t="s">
        <v>833</v>
      </c>
      <c r="K191" t="s">
        <v>205</v>
      </c>
      <c r="L191" t="s">
        <v>224</v>
      </c>
      <c r="M191" t="s">
        <v>224</v>
      </c>
      <c r="N191" t="s">
        <v>224</v>
      </c>
      <c r="O191" t="s">
        <v>339</v>
      </c>
      <c r="P191" s="162">
        <v>42583</v>
      </c>
      <c r="Q191" t="s">
        <v>1216</v>
      </c>
      <c r="R191" t="s">
        <v>885</v>
      </c>
      <c r="S191" t="s">
        <v>889</v>
      </c>
      <c r="T191" t="s">
        <v>5113</v>
      </c>
      <c r="U191" s="131">
        <v>3.71</v>
      </c>
      <c r="V191" s="131">
        <v>3488.2829999999999</v>
      </c>
      <c r="W191" s="131">
        <v>12941.531000000001</v>
      </c>
      <c r="X191" s="163">
        <v>0.02</v>
      </c>
      <c r="Y191" s="132">
        <v>1.5299999999999999E-2</v>
      </c>
      <c r="Z191" s="132">
        <v>2.9099999999999998E-3</v>
      </c>
    </row>
    <row r="192" spans="1:26">
      <c r="A192" t="s">
        <v>1213</v>
      </c>
      <c r="B192" t="s">
        <v>1243</v>
      </c>
      <c r="D192" t="s">
        <v>5032</v>
      </c>
      <c r="E192" t="s">
        <v>309</v>
      </c>
      <c r="F192" t="s">
        <v>5033</v>
      </c>
      <c r="G192" s="108">
        <v>74181</v>
      </c>
      <c r="H192" t="s">
        <v>314</v>
      </c>
      <c r="I192" t="s">
        <v>1004</v>
      </c>
      <c r="J192" t="s">
        <v>833</v>
      </c>
      <c r="K192" t="s">
        <v>205</v>
      </c>
      <c r="L192" t="s">
        <v>204</v>
      </c>
      <c r="M192" t="s">
        <v>204</v>
      </c>
      <c r="N192" t="s">
        <v>224</v>
      </c>
      <c r="O192" t="s">
        <v>339</v>
      </c>
      <c r="P192" s="162">
        <v>43412</v>
      </c>
      <c r="Q192" t="s">
        <v>1216</v>
      </c>
      <c r="R192" t="s">
        <v>885</v>
      </c>
      <c r="S192" t="s">
        <v>889</v>
      </c>
      <c r="T192" t="s">
        <v>4954</v>
      </c>
      <c r="U192" s="131">
        <v>3.71</v>
      </c>
      <c r="V192" s="131">
        <v>3080.578</v>
      </c>
      <c r="W192" s="131">
        <v>11428.946</v>
      </c>
      <c r="X192" s="163">
        <v>0.19900000000000001</v>
      </c>
      <c r="Y192" s="132">
        <v>1.3520000000000001E-2</v>
      </c>
      <c r="Z192" s="132">
        <v>2.5699999999999998E-3</v>
      </c>
    </row>
    <row r="193" spans="1:26">
      <c r="A193" t="s">
        <v>1213</v>
      </c>
      <c r="B193" t="s">
        <v>1243</v>
      </c>
      <c r="C193" t="s">
        <v>4988</v>
      </c>
      <c r="D193" t="s">
        <v>4989</v>
      </c>
      <c r="E193" t="s">
        <v>309</v>
      </c>
      <c r="F193" t="s">
        <v>4990</v>
      </c>
      <c r="G193" s="108">
        <v>74255</v>
      </c>
      <c r="H193" t="s">
        <v>314</v>
      </c>
      <c r="I193" t="s">
        <v>1005</v>
      </c>
      <c r="J193" t="s">
        <v>831</v>
      </c>
      <c r="K193" t="s">
        <v>205</v>
      </c>
      <c r="L193" t="s">
        <v>233</v>
      </c>
      <c r="M193" t="s">
        <v>233</v>
      </c>
      <c r="N193" t="s">
        <v>233</v>
      </c>
      <c r="O193" t="s">
        <v>339</v>
      </c>
      <c r="P193" s="162">
        <v>45208</v>
      </c>
      <c r="Q193" t="s">
        <v>1227</v>
      </c>
      <c r="R193" t="s">
        <v>885</v>
      </c>
      <c r="S193" t="s">
        <v>889</v>
      </c>
      <c r="T193" t="s">
        <v>4991</v>
      </c>
      <c r="U193" s="131">
        <v>4.9749999999999996</v>
      </c>
      <c r="V193" s="131">
        <v>1977.865</v>
      </c>
      <c r="W193" s="131">
        <v>9839.482</v>
      </c>
      <c r="X193" s="163">
        <v>0.107</v>
      </c>
      <c r="Y193" s="132">
        <v>1.1639999999999999E-2</v>
      </c>
      <c r="Z193" s="132">
        <v>2.2100000000000002E-3</v>
      </c>
    </row>
    <row r="194" spans="1:26">
      <c r="A194" t="s">
        <v>1213</v>
      </c>
      <c r="B194" t="s">
        <v>1243</v>
      </c>
      <c r="C194" t="s">
        <v>5124</v>
      </c>
      <c r="D194" t="s">
        <v>5125</v>
      </c>
      <c r="E194" t="s">
        <v>311</v>
      </c>
      <c r="F194" t="s">
        <v>5126</v>
      </c>
      <c r="G194" s="108">
        <v>74199</v>
      </c>
      <c r="H194" t="s">
        <v>314</v>
      </c>
      <c r="I194" t="s">
        <v>1003</v>
      </c>
      <c r="J194" t="s">
        <v>837</v>
      </c>
      <c r="K194" t="s">
        <v>205</v>
      </c>
      <c r="L194" t="s">
        <v>224</v>
      </c>
      <c r="M194" t="s">
        <v>224</v>
      </c>
      <c r="N194" t="s">
        <v>224</v>
      </c>
      <c r="O194" t="s">
        <v>339</v>
      </c>
      <c r="P194" s="162">
        <v>43881</v>
      </c>
      <c r="Q194" t="s">
        <v>1216</v>
      </c>
      <c r="R194" t="s">
        <v>885</v>
      </c>
      <c r="S194" t="s">
        <v>889</v>
      </c>
      <c r="T194" t="s">
        <v>4876</v>
      </c>
      <c r="U194" s="131">
        <v>3.71</v>
      </c>
      <c r="V194" s="131">
        <v>2513.2489999999998</v>
      </c>
      <c r="W194" s="131">
        <v>9324.1560000000009</v>
      </c>
      <c r="X194" s="163">
        <v>2.6270000000000002E-2</v>
      </c>
      <c r="Y194" s="132">
        <v>1.103E-2</v>
      </c>
      <c r="Z194" s="132">
        <v>2.0899999999999998E-3</v>
      </c>
    </row>
    <row r="195" spans="1:26">
      <c r="A195" t="s">
        <v>1213</v>
      </c>
      <c r="B195" t="s">
        <v>1243</v>
      </c>
      <c r="C195" t="s">
        <v>5038</v>
      </c>
      <c r="D195" t="s">
        <v>5039</v>
      </c>
      <c r="E195" t="s">
        <v>311</v>
      </c>
      <c r="F195" t="s">
        <v>5040</v>
      </c>
      <c r="G195" s="108">
        <v>74208</v>
      </c>
      <c r="H195" t="s">
        <v>314</v>
      </c>
      <c r="I195" t="s">
        <v>1004</v>
      </c>
      <c r="J195" t="s">
        <v>833</v>
      </c>
      <c r="K195" t="s">
        <v>205</v>
      </c>
      <c r="L195" t="s">
        <v>224</v>
      </c>
      <c r="M195" t="s">
        <v>224</v>
      </c>
      <c r="N195" t="s">
        <v>224</v>
      </c>
      <c r="O195" t="s">
        <v>339</v>
      </c>
      <c r="P195" s="162">
        <v>44186</v>
      </c>
      <c r="Q195" t="s">
        <v>1216</v>
      </c>
      <c r="R195" t="s">
        <v>885</v>
      </c>
      <c r="S195" t="s">
        <v>889</v>
      </c>
      <c r="T195" t="s">
        <v>4876</v>
      </c>
      <c r="U195" s="131">
        <v>3.71</v>
      </c>
      <c r="V195" s="131">
        <v>2431.4189999999999</v>
      </c>
      <c r="W195" s="131">
        <v>9020.5640000000003</v>
      </c>
      <c r="X195" s="163">
        <v>4.7000000000000002E-3</v>
      </c>
      <c r="Y195" s="132">
        <v>1.0670000000000001E-2</v>
      </c>
      <c r="Z195" s="132">
        <v>2.0300000000000001E-3</v>
      </c>
    </row>
    <row r="196" spans="1:26">
      <c r="A196" t="s">
        <v>1213</v>
      </c>
      <c r="B196" t="s">
        <v>1243</v>
      </c>
      <c r="D196" t="s">
        <v>5034</v>
      </c>
      <c r="E196" t="s">
        <v>311</v>
      </c>
      <c r="F196" t="s">
        <v>5035</v>
      </c>
      <c r="G196" s="108">
        <v>74197</v>
      </c>
      <c r="H196" t="s">
        <v>314</v>
      </c>
      <c r="I196" t="s">
        <v>1003</v>
      </c>
      <c r="J196" t="s">
        <v>836</v>
      </c>
      <c r="K196" t="s">
        <v>205</v>
      </c>
      <c r="L196" t="s">
        <v>224</v>
      </c>
      <c r="M196" t="s">
        <v>224</v>
      </c>
      <c r="N196" t="s">
        <v>224</v>
      </c>
      <c r="O196" t="s">
        <v>339</v>
      </c>
      <c r="P196" s="162">
        <v>43857</v>
      </c>
      <c r="Q196" t="s">
        <v>1216</v>
      </c>
      <c r="R196" t="s">
        <v>885</v>
      </c>
      <c r="S196" t="s">
        <v>889</v>
      </c>
      <c r="T196" t="s">
        <v>4876</v>
      </c>
      <c r="U196" s="131">
        <v>3.71</v>
      </c>
      <c r="V196" s="131">
        <v>2261.855</v>
      </c>
      <c r="W196" s="131">
        <v>8391.482</v>
      </c>
      <c r="X196" s="163">
        <v>2.53E-2</v>
      </c>
      <c r="Y196" s="132">
        <v>9.92E-3</v>
      </c>
      <c r="Z196" s="132">
        <v>1.8799999999999999E-3</v>
      </c>
    </row>
    <row r="197" spans="1:26">
      <c r="A197" t="s">
        <v>1213</v>
      </c>
      <c r="B197" t="s">
        <v>1243</v>
      </c>
      <c r="D197" t="s">
        <v>5036</v>
      </c>
      <c r="E197" t="s">
        <v>311</v>
      </c>
      <c r="F197" t="s">
        <v>5136</v>
      </c>
      <c r="G197" s="108">
        <v>74216</v>
      </c>
      <c r="H197" t="s">
        <v>314</v>
      </c>
      <c r="I197" t="s">
        <v>1000</v>
      </c>
      <c r="J197" t="s">
        <v>844</v>
      </c>
      <c r="K197" t="s">
        <v>205</v>
      </c>
      <c r="L197" t="s">
        <v>224</v>
      </c>
      <c r="M197" t="s">
        <v>224</v>
      </c>
      <c r="N197" t="s">
        <v>224</v>
      </c>
      <c r="O197" t="s">
        <v>339</v>
      </c>
      <c r="P197" s="162">
        <v>44371</v>
      </c>
      <c r="Q197" t="s">
        <v>1216</v>
      </c>
      <c r="R197" t="s">
        <v>885</v>
      </c>
      <c r="S197" t="s">
        <v>889</v>
      </c>
      <c r="T197" t="s">
        <v>4991</v>
      </c>
      <c r="U197" s="131">
        <v>3.71</v>
      </c>
      <c r="V197" s="131">
        <v>1998.2349999999999</v>
      </c>
      <c r="W197" s="131">
        <v>7413.451</v>
      </c>
      <c r="X197" s="163">
        <v>1.6000000000000004E-2</v>
      </c>
      <c r="Y197" s="132">
        <v>8.77E-3</v>
      </c>
      <c r="Z197" s="132">
        <v>1.67E-3</v>
      </c>
    </row>
    <row r="198" spans="1:26">
      <c r="A198" t="s">
        <v>1213</v>
      </c>
      <c r="B198" t="s">
        <v>1243</v>
      </c>
      <c r="D198" t="s">
        <v>5138</v>
      </c>
      <c r="E198" t="s">
        <v>311</v>
      </c>
      <c r="F198" t="s">
        <v>5139</v>
      </c>
      <c r="G198" s="108">
        <v>74247</v>
      </c>
      <c r="H198" t="s">
        <v>314</v>
      </c>
      <c r="I198" t="s">
        <v>1004</v>
      </c>
      <c r="J198" t="s">
        <v>833</v>
      </c>
      <c r="K198" t="s">
        <v>205</v>
      </c>
      <c r="L198" t="s">
        <v>233</v>
      </c>
      <c r="M198" t="s">
        <v>233</v>
      </c>
      <c r="N198" t="s">
        <v>233</v>
      </c>
      <c r="O198" t="s">
        <v>339</v>
      </c>
      <c r="P198" s="162">
        <v>44938</v>
      </c>
      <c r="Q198" t="s">
        <v>1227</v>
      </c>
      <c r="R198" t="s">
        <v>885</v>
      </c>
      <c r="S198" t="s">
        <v>889</v>
      </c>
      <c r="T198" t="s">
        <v>5003</v>
      </c>
      <c r="U198" s="131">
        <v>4.9749999999999996</v>
      </c>
      <c r="V198" s="131">
        <v>1251.8</v>
      </c>
      <c r="W198" s="131">
        <v>6227.4560000000001</v>
      </c>
      <c r="X198" s="163">
        <v>2.8799999999999999E-2</v>
      </c>
      <c r="Y198" s="132">
        <v>7.3600000000000002E-3</v>
      </c>
      <c r="Z198" s="132">
        <v>1.4E-3</v>
      </c>
    </row>
    <row r="199" spans="1:26">
      <c r="A199" t="s">
        <v>1213</v>
      </c>
      <c r="B199" t="s">
        <v>1243</v>
      </c>
      <c r="D199" t="s">
        <v>5036</v>
      </c>
      <c r="E199" t="s">
        <v>311</v>
      </c>
      <c r="F199" t="s">
        <v>5037</v>
      </c>
      <c r="G199" s="108">
        <v>74183</v>
      </c>
      <c r="H199" t="s">
        <v>314</v>
      </c>
      <c r="I199" t="s">
        <v>1000</v>
      </c>
      <c r="J199" t="s">
        <v>844</v>
      </c>
      <c r="K199" t="s">
        <v>205</v>
      </c>
      <c r="L199" t="s">
        <v>224</v>
      </c>
      <c r="M199" t="s">
        <v>224</v>
      </c>
      <c r="N199" t="s">
        <v>224</v>
      </c>
      <c r="O199" t="s">
        <v>339</v>
      </c>
      <c r="P199" s="162">
        <v>43482</v>
      </c>
      <c r="Q199" t="s">
        <v>1216</v>
      </c>
      <c r="R199" t="s">
        <v>885</v>
      </c>
      <c r="S199" t="s">
        <v>889</v>
      </c>
      <c r="T199" t="s">
        <v>4991</v>
      </c>
      <c r="U199" s="131">
        <v>3.71</v>
      </c>
      <c r="V199" s="131">
        <v>1663.2360000000001</v>
      </c>
      <c r="W199" s="131">
        <v>6170.6049999999996</v>
      </c>
      <c r="X199" s="163">
        <v>5.2000000000000005E-2</v>
      </c>
      <c r="Y199" s="132">
        <v>7.3000000000000001E-3</v>
      </c>
      <c r="Z199" s="132">
        <v>1.39E-3</v>
      </c>
    </row>
    <row r="200" spans="1:26">
      <c r="A200" t="s">
        <v>1213</v>
      </c>
      <c r="B200" t="s">
        <v>1243</v>
      </c>
      <c r="C200" t="s">
        <v>4992</v>
      </c>
      <c r="D200" t="s">
        <v>4993</v>
      </c>
      <c r="E200" t="s">
        <v>311</v>
      </c>
      <c r="F200" t="s">
        <v>4994</v>
      </c>
      <c r="G200" s="108">
        <v>74272</v>
      </c>
      <c r="H200" t="s">
        <v>314</v>
      </c>
      <c r="I200" t="s">
        <v>1004</v>
      </c>
      <c r="J200" t="s">
        <v>832</v>
      </c>
      <c r="K200" t="s">
        <v>205</v>
      </c>
      <c r="L200" t="s">
        <v>224</v>
      </c>
      <c r="M200" t="s">
        <v>224</v>
      </c>
      <c r="N200" t="s">
        <v>224</v>
      </c>
      <c r="O200" t="s">
        <v>339</v>
      </c>
      <c r="P200" s="162">
        <v>45505</v>
      </c>
      <c r="Q200" t="s">
        <v>1216</v>
      </c>
      <c r="R200" t="s">
        <v>885</v>
      </c>
      <c r="S200" t="s">
        <v>889</v>
      </c>
      <c r="T200" t="s">
        <v>4995</v>
      </c>
      <c r="U200" s="131">
        <v>3.71</v>
      </c>
      <c r="V200" s="131">
        <v>833.77099999999996</v>
      </c>
      <c r="W200" s="131">
        <v>3093.29</v>
      </c>
      <c r="X200" s="164">
        <v>0.34670000000000001</v>
      </c>
      <c r="Y200" s="132">
        <v>3.6600000000000001E-3</v>
      </c>
      <c r="Z200" s="132">
        <v>6.8999999999999997E-4</v>
      </c>
    </row>
    <row r="201" spans="1:26">
      <c r="A201" t="s">
        <v>1213</v>
      </c>
      <c r="B201" t="s">
        <v>1243</v>
      </c>
      <c r="C201" t="s">
        <v>4992</v>
      </c>
      <c r="D201" t="s">
        <v>4993</v>
      </c>
      <c r="E201" t="s">
        <v>311</v>
      </c>
      <c r="F201" t="s">
        <v>4996</v>
      </c>
      <c r="G201" s="108">
        <v>74266</v>
      </c>
      <c r="H201" t="s">
        <v>314</v>
      </c>
      <c r="I201" t="s">
        <v>1004</v>
      </c>
      <c r="J201" t="s">
        <v>832</v>
      </c>
      <c r="K201" t="s">
        <v>205</v>
      </c>
      <c r="L201" t="s">
        <v>224</v>
      </c>
      <c r="M201" t="s">
        <v>224</v>
      </c>
      <c r="N201" t="s">
        <v>224</v>
      </c>
      <c r="O201" t="s">
        <v>339</v>
      </c>
      <c r="P201" s="162">
        <v>45400</v>
      </c>
      <c r="Q201" t="s">
        <v>1216</v>
      </c>
      <c r="R201" t="s">
        <v>885</v>
      </c>
      <c r="S201" t="s">
        <v>889</v>
      </c>
      <c r="T201" t="s">
        <v>4870</v>
      </c>
      <c r="U201" s="131">
        <v>3.71</v>
      </c>
      <c r="V201" s="131">
        <v>769.35400000000004</v>
      </c>
      <c r="W201" s="131">
        <v>2854.3029999999999</v>
      </c>
      <c r="X201" s="163">
        <v>0.4</v>
      </c>
      <c r="Y201" s="132">
        <v>3.3800000000000002E-3</v>
      </c>
      <c r="Z201" s="132">
        <v>6.4000000000000005E-4</v>
      </c>
    </row>
    <row r="202" spans="1:26">
      <c r="A202" t="s">
        <v>1213</v>
      </c>
      <c r="B202" t="s">
        <v>1243</v>
      </c>
      <c r="C202" t="s">
        <v>4997</v>
      </c>
      <c r="D202" t="s">
        <v>4998</v>
      </c>
      <c r="E202" t="s">
        <v>311</v>
      </c>
      <c r="F202" t="s">
        <v>4997</v>
      </c>
      <c r="G202" s="108">
        <v>74271</v>
      </c>
      <c r="H202" t="s">
        <v>314</v>
      </c>
      <c r="I202" t="s">
        <v>1004</v>
      </c>
      <c r="J202" t="s">
        <v>832</v>
      </c>
      <c r="K202" t="s">
        <v>205</v>
      </c>
      <c r="L202" t="s">
        <v>217</v>
      </c>
      <c r="M202" t="s">
        <v>233</v>
      </c>
      <c r="N202" t="s">
        <v>233</v>
      </c>
      <c r="O202" t="s">
        <v>339</v>
      </c>
      <c r="P202" s="162">
        <v>45495</v>
      </c>
      <c r="Q202" t="s">
        <v>1227</v>
      </c>
      <c r="R202" t="s">
        <v>885</v>
      </c>
      <c r="S202" t="s">
        <v>889</v>
      </c>
      <c r="T202" t="s">
        <v>4999</v>
      </c>
      <c r="U202" s="131">
        <v>4.9749999999999996</v>
      </c>
      <c r="V202" s="131">
        <v>542</v>
      </c>
      <c r="W202" s="131">
        <v>2696.3420000000001</v>
      </c>
      <c r="X202" s="164">
        <v>3.73E-2</v>
      </c>
      <c r="Y202" s="132">
        <v>3.1900000000000001E-3</v>
      </c>
      <c r="Z202" s="132">
        <v>6.0999999999999997E-4</v>
      </c>
    </row>
    <row r="203" spans="1:26">
      <c r="A203" t="s">
        <v>1213</v>
      </c>
      <c r="B203" t="s">
        <v>1243</v>
      </c>
      <c r="C203" t="s">
        <v>5147</v>
      </c>
      <c r="D203" t="s">
        <v>5148</v>
      </c>
      <c r="E203" t="s">
        <v>311</v>
      </c>
      <c r="F203" t="s">
        <v>5149</v>
      </c>
      <c r="G203" s="108">
        <v>74270</v>
      </c>
      <c r="H203" t="s">
        <v>314</v>
      </c>
      <c r="I203" t="s">
        <v>1004</v>
      </c>
      <c r="J203" t="s">
        <v>833</v>
      </c>
      <c r="K203" t="s">
        <v>205</v>
      </c>
      <c r="L203" t="s">
        <v>253</v>
      </c>
      <c r="M203" t="s">
        <v>253</v>
      </c>
      <c r="N203" t="s">
        <v>212</v>
      </c>
      <c r="O203" t="s">
        <v>339</v>
      </c>
      <c r="P203" s="162">
        <v>45484</v>
      </c>
      <c r="Q203" t="s">
        <v>1218</v>
      </c>
      <c r="R203" t="s">
        <v>885</v>
      </c>
      <c r="S203" t="s">
        <v>889</v>
      </c>
      <c r="T203" t="s">
        <v>4737</v>
      </c>
      <c r="U203" s="131">
        <v>4.1520000000000001</v>
      </c>
      <c r="V203" s="131">
        <v>515.67999999999995</v>
      </c>
      <c r="W203" s="131">
        <v>2141.31</v>
      </c>
      <c r="X203" s="166">
        <v>0.13500000000000001</v>
      </c>
      <c r="Y203" s="132">
        <v>2.5300000000000001E-3</v>
      </c>
      <c r="Z203" s="132">
        <v>4.8000000000000001E-4</v>
      </c>
    </row>
    <row r="204" spans="1:26">
      <c r="A204" t="s">
        <v>1213</v>
      </c>
      <c r="B204" t="s">
        <v>1243</v>
      </c>
      <c r="D204" t="s">
        <v>5140</v>
      </c>
      <c r="E204" t="s">
        <v>311</v>
      </c>
      <c r="F204" t="s">
        <v>5141</v>
      </c>
      <c r="G204" s="108">
        <v>74193</v>
      </c>
      <c r="H204" t="s">
        <v>314</v>
      </c>
      <c r="I204" t="s">
        <v>1003</v>
      </c>
      <c r="J204" t="s">
        <v>836</v>
      </c>
      <c r="K204" t="s">
        <v>205</v>
      </c>
      <c r="L204" t="s">
        <v>224</v>
      </c>
      <c r="M204" t="s">
        <v>224</v>
      </c>
      <c r="N204" t="s">
        <v>224</v>
      </c>
      <c r="O204" t="s">
        <v>339</v>
      </c>
      <c r="P204" s="162">
        <v>43790</v>
      </c>
      <c r="Q204" t="s">
        <v>1216</v>
      </c>
      <c r="R204" t="s">
        <v>885</v>
      </c>
      <c r="S204" t="s">
        <v>889</v>
      </c>
      <c r="T204" t="s">
        <v>5022</v>
      </c>
      <c r="U204" s="131">
        <v>3.71</v>
      </c>
      <c r="V204" s="131">
        <v>278.09300000000002</v>
      </c>
      <c r="W204" s="131">
        <v>1031.7249999999999</v>
      </c>
      <c r="X204" s="163">
        <v>1.0200000000000001E-2</v>
      </c>
      <c r="Y204" s="132">
        <v>1.2199999999999999E-3</v>
      </c>
      <c r="Z204" s="132">
        <v>2.3000000000000001E-4</v>
      </c>
    </row>
    <row r="205" spans="1:26">
      <c r="A205" t="s">
        <v>1213</v>
      </c>
      <c r="B205" t="s">
        <v>1243</v>
      </c>
      <c r="C205" t="s">
        <v>5041</v>
      </c>
      <c r="D205" t="s">
        <v>5042</v>
      </c>
      <c r="E205" t="s">
        <v>310</v>
      </c>
      <c r="F205" t="s">
        <v>5043</v>
      </c>
      <c r="G205" s="108">
        <v>74187</v>
      </c>
      <c r="H205" t="s">
        <v>314</v>
      </c>
      <c r="I205" t="s">
        <v>1003</v>
      </c>
      <c r="J205" t="s">
        <v>836</v>
      </c>
      <c r="K205" t="s">
        <v>205</v>
      </c>
      <c r="L205" t="s">
        <v>204</v>
      </c>
      <c r="M205" t="s">
        <v>204</v>
      </c>
      <c r="N205" t="s">
        <v>303</v>
      </c>
      <c r="O205" t="s">
        <v>339</v>
      </c>
      <c r="P205" s="162">
        <v>43571</v>
      </c>
      <c r="Q205" t="s">
        <v>1216</v>
      </c>
      <c r="R205" t="s">
        <v>885</v>
      </c>
      <c r="S205" t="s">
        <v>889</v>
      </c>
      <c r="T205" t="s">
        <v>5018</v>
      </c>
      <c r="U205" s="131">
        <v>3.71</v>
      </c>
      <c r="V205" s="131">
        <v>257.596</v>
      </c>
      <c r="W205" s="131">
        <v>955.68299999999999</v>
      </c>
      <c r="X205" s="163">
        <v>3.3300000000000003E-2</v>
      </c>
      <c r="Y205" s="132">
        <v>1.1299999999999999E-3</v>
      </c>
      <c r="Z205" s="132">
        <v>2.1000000000000001E-4</v>
      </c>
    </row>
    <row r="206" spans="1:26">
      <c r="A206" t="s">
        <v>1213</v>
      </c>
      <c r="B206" t="s">
        <v>1243</v>
      </c>
      <c r="D206" t="s">
        <v>5044</v>
      </c>
      <c r="E206" t="s">
        <v>311</v>
      </c>
      <c r="F206" t="s">
        <v>5045</v>
      </c>
      <c r="G206" s="108">
        <v>74188</v>
      </c>
      <c r="H206" t="s">
        <v>314</v>
      </c>
      <c r="I206" t="s">
        <v>1002</v>
      </c>
      <c r="J206" t="s">
        <v>569</v>
      </c>
      <c r="K206" t="s">
        <v>205</v>
      </c>
      <c r="L206" t="s">
        <v>224</v>
      </c>
      <c r="M206" t="s">
        <v>224</v>
      </c>
      <c r="N206" t="s">
        <v>224</v>
      </c>
      <c r="O206" t="s">
        <v>339</v>
      </c>
      <c r="P206" s="162">
        <v>43578</v>
      </c>
      <c r="Q206" t="s">
        <v>1216</v>
      </c>
      <c r="R206" t="s">
        <v>885</v>
      </c>
      <c r="S206" t="s">
        <v>889</v>
      </c>
      <c r="T206" t="s">
        <v>5046</v>
      </c>
      <c r="U206" s="131">
        <v>3.71</v>
      </c>
      <c r="V206" s="131">
        <v>188.86099999999999</v>
      </c>
      <c r="W206" s="131">
        <v>700.67600000000004</v>
      </c>
      <c r="X206" s="163">
        <v>1.7999999999999999E-2</v>
      </c>
      <c r="Y206" s="132">
        <v>8.3000000000000001E-4</v>
      </c>
      <c r="Z206" s="132">
        <v>1.6000000000000001E-4</v>
      </c>
    </row>
    <row r="207" spans="1:26">
      <c r="A207" t="s">
        <v>1213</v>
      </c>
      <c r="B207" t="s">
        <v>1243</v>
      </c>
      <c r="C207" t="s">
        <v>5144</v>
      </c>
      <c r="D207" t="s">
        <v>5145</v>
      </c>
      <c r="E207" t="s">
        <v>309</v>
      </c>
      <c r="F207" t="s">
        <v>5146</v>
      </c>
      <c r="G207" s="108">
        <v>74192</v>
      </c>
      <c r="H207" t="s">
        <v>314</v>
      </c>
      <c r="I207" t="s">
        <v>1004</v>
      </c>
      <c r="J207" t="s">
        <v>833</v>
      </c>
      <c r="K207" t="s">
        <v>205</v>
      </c>
      <c r="L207" t="s">
        <v>224</v>
      </c>
      <c r="M207" t="s">
        <v>224</v>
      </c>
      <c r="N207" t="s">
        <v>224</v>
      </c>
      <c r="O207" t="s">
        <v>339</v>
      </c>
      <c r="P207" s="162">
        <v>43761</v>
      </c>
      <c r="Q207" t="s">
        <v>1216</v>
      </c>
      <c r="R207" t="s">
        <v>885</v>
      </c>
      <c r="S207" t="s">
        <v>889</v>
      </c>
      <c r="T207" t="s">
        <v>5018</v>
      </c>
      <c r="U207" s="131">
        <v>3.71</v>
      </c>
      <c r="V207" s="131">
        <v>180.72800000000001</v>
      </c>
      <c r="W207" s="131">
        <v>670.50199999999995</v>
      </c>
      <c r="X207" s="163">
        <v>3.5400000000000001E-2</v>
      </c>
      <c r="Y207" s="132">
        <v>7.9000000000000001E-4</v>
      </c>
      <c r="Z207" s="132">
        <v>1.4999999999999999E-4</v>
      </c>
    </row>
    <row r="208" spans="1:26">
      <c r="A208" t="s">
        <v>1213</v>
      </c>
      <c r="B208" t="s">
        <v>1247</v>
      </c>
      <c r="D208" t="s">
        <v>5153</v>
      </c>
      <c r="E208" t="s">
        <v>309</v>
      </c>
      <c r="F208" t="s">
        <v>5154</v>
      </c>
      <c r="G208" s="108">
        <v>74201</v>
      </c>
      <c r="H208" t="s">
        <v>314</v>
      </c>
      <c r="I208" t="s">
        <v>1003</v>
      </c>
      <c r="J208" t="s">
        <v>836</v>
      </c>
      <c r="K208" t="s">
        <v>204</v>
      </c>
      <c r="L208" t="s">
        <v>204</v>
      </c>
      <c r="M208" t="s">
        <v>204</v>
      </c>
      <c r="N208" t="s">
        <v>204</v>
      </c>
      <c r="O208" t="s">
        <v>339</v>
      </c>
      <c r="P208" s="162">
        <v>43858</v>
      </c>
      <c r="Q208" t="s">
        <v>1212</v>
      </c>
      <c r="R208" t="s">
        <v>885</v>
      </c>
      <c r="S208" t="s">
        <v>889</v>
      </c>
      <c r="T208" t="s">
        <v>4876</v>
      </c>
      <c r="U208" s="131">
        <v>1</v>
      </c>
      <c r="V208" s="131">
        <v>1271.6479999999999</v>
      </c>
      <c r="W208" s="131">
        <v>1271.6479999999999</v>
      </c>
      <c r="X208" s="163">
        <v>2.2400000000000003E-2</v>
      </c>
      <c r="Y208" s="132">
        <v>1</v>
      </c>
      <c r="Z208" s="132">
        <v>4.1599999999999996E-3</v>
      </c>
    </row>
    <row r="209" spans="1:26">
      <c r="A209" t="s">
        <v>1213</v>
      </c>
      <c r="B209" t="s">
        <v>1250</v>
      </c>
      <c r="D209" t="s">
        <v>5153</v>
      </c>
      <c r="E209" t="s">
        <v>309</v>
      </c>
      <c r="F209" t="s">
        <v>5154</v>
      </c>
      <c r="G209" s="108">
        <v>74201</v>
      </c>
      <c r="H209" t="s">
        <v>314</v>
      </c>
      <c r="I209" t="s">
        <v>1003</v>
      </c>
      <c r="J209" t="s">
        <v>836</v>
      </c>
      <c r="K209" t="s">
        <v>204</v>
      </c>
      <c r="L209" t="s">
        <v>204</v>
      </c>
      <c r="M209" t="s">
        <v>204</v>
      </c>
      <c r="N209" t="s">
        <v>204</v>
      </c>
      <c r="O209" t="s">
        <v>339</v>
      </c>
      <c r="P209" s="162">
        <v>43858</v>
      </c>
      <c r="Q209" t="s">
        <v>1212</v>
      </c>
      <c r="R209" t="s">
        <v>885</v>
      </c>
      <c r="S209" t="s">
        <v>889</v>
      </c>
      <c r="T209" t="s">
        <v>4876</v>
      </c>
      <c r="U209" s="131">
        <v>1</v>
      </c>
      <c r="V209" s="131">
        <v>12857.772999999999</v>
      </c>
      <c r="W209" s="131">
        <v>12857.772999999999</v>
      </c>
      <c r="X209" s="163">
        <v>2.2400000000000003E-2</v>
      </c>
      <c r="Y209" s="132">
        <v>1</v>
      </c>
      <c r="Z209" s="132">
        <v>3.8500000000000001E-3</v>
      </c>
    </row>
    <row r="210" spans="1:26">
      <c r="A210" t="s">
        <v>1213</v>
      </c>
      <c r="B210" t="s">
        <v>1251</v>
      </c>
      <c r="C210" t="s">
        <v>5047</v>
      </c>
      <c r="D210" t="s">
        <v>5048</v>
      </c>
      <c r="E210" t="s">
        <v>309</v>
      </c>
      <c r="F210" t="s">
        <v>5049</v>
      </c>
      <c r="G210" s="108" t="s">
        <v>5050</v>
      </c>
      <c r="H210" t="s">
        <v>321</v>
      </c>
      <c r="I210" t="s">
        <v>1002</v>
      </c>
      <c r="J210" t="s">
        <v>569</v>
      </c>
      <c r="K210" t="s">
        <v>204</v>
      </c>
      <c r="L210" t="s">
        <v>217</v>
      </c>
      <c r="M210" t="s">
        <v>204</v>
      </c>
      <c r="N210" t="s">
        <v>204</v>
      </c>
      <c r="O210" t="s">
        <v>339</v>
      </c>
      <c r="P210" s="162">
        <v>45565</v>
      </c>
      <c r="Q210" t="s">
        <v>1212</v>
      </c>
      <c r="R210" t="s">
        <v>885</v>
      </c>
      <c r="S210" t="s">
        <v>889</v>
      </c>
      <c r="T210" t="s">
        <v>4723</v>
      </c>
      <c r="U210" s="131">
        <v>1</v>
      </c>
      <c r="V210" s="131">
        <v>630.40499999999997</v>
      </c>
      <c r="W210" s="131">
        <v>630.40499999999997</v>
      </c>
      <c r="X210" s="165">
        <v>1.6E-2</v>
      </c>
      <c r="Y210" s="132">
        <v>9.2800000000000001E-3</v>
      </c>
      <c r="Z210" s="132">
        <v>2.2699999999999999E-3</v>
      </c>
    </row>
    <row r="211" spans="1:26">
      <c r="A211" t="s">
        <v>1213</v>
      </c>
      <c r="B211" t="s">
        <v>1251</v>
      </c>
      <c r="C211" t="s">
        <v>5051</v>
      </c>
      <c r="D211" t="s">
        <v>5052</v>
      </c>
      <c r="E211" t="s">
        <v>309</v>
      </c>
      <c r="F211" t="s">
        <v>5053</v>
      </c>
      <c r="G211" s="108">
        <v>74196</v>
      </c>
      <c r="H211" t="s">
        <v>314</v>
      </c>
      <c r="I211" t="s">
        <v>1005</v>
      </c>
      <c r="J211" t="s">
        <v>826</v>
      </c>
      <c r="K211" t="s">
        <v>204</v>
      </c>
      <c r="L211" t="s">
        <v>204</v>
      </c>
      <c r="M211" t="s">
        <v>204</v>
      </c>
      <c r="N211" t="s">
        <v>204</v>
      </c>
      <c r="O211" t="s">
        <v>339</v>
      </c>
      <c r="P211" s="162">
        <v>43831</v>
      </c>
      <c r="Q211" t="s">
        <v>1212</v>
      </c>
      <c r="R211" t="s">
        <v>885</v>
      </c>
      <c r="S211" t="s">
        <v>889</v>
      </c>
      <c r="T211" t="s">
        <v>5054</v>
      </c>
      <c r="U211" s="131">
        <v>1</v>
      </c>
      <c r="V211" s="131">
        <v>9079.9189999999999</v>
      </c>
      <c r="W211" s="131">
        <v>9079.9189999999999</v>
      </c>
      <c r="X211" s="163">
        <v>0.14119999999999999</v>
      </c>
      <c r="Y211" s="132">
        <v>0.13366</v>
      </c>
      <c r="Z211" s="132">
        <v>3.2730000000000002E-2</v>
      </c>
    </row>
    <row r="212" spans="1:26">
      <c r="A212" t="s">
        <v>1213</v>
      </c>
      <c r="B212" t="s">
        <v>1251</v>
      </c>
      <c r="C212" t="s">
        <v>5000</v>
      </c>
      <c r="D212" t="s">
        <v>5001</v>
      </c>
      <c r="E212" t="s">
        <v>310</v>
      </c>
      <c r="F212" t="s">
        <v>5002</v>
      </c>
      <c r="G212" s="108">
        <v>74186</v>
      </c>
      <c r="H212" t="s">
        <v>314</v>
      </c>
      <c r="I212" t="s">
        <v>1004</v>
      </c>
      <c r="J212" t="s">
        <v>833</v>
      </c>
      <c r="K212" t="s">
        <v>204</v>
      </c>
      <c r="L212" t="s">
        <v>204</v>
      </c>
      <c r="M212" t="s">
        <v>204</v>
      </c>
      <c r="N212" t="s">
        <v>204</v>
      </c>
      <c r="O212" t="s">
        <v>339</v>
      </c>
      <c r="P212" s="162">
        <v>43542</v>
      </c>
      <c r="Q212" t="s">
        <v>1212</v>
      </c>
      <c r="R212" t="s">
        <v>885</v>
      </c>
      <c r="S212" t="s">
        <v>889</v>
      </c>
      <c r="T212" t="s">
        <v>5003</v>
      </c>
      <c r="U212" s="131">
        <v>1</v>
      </c>
      <c r="V212" s="131">
        <v>4505.5640000000003</v>
      </c>
      <c r="W212" s="131">
        <v>4505.5640000000003</v>
      </c>
      <c r="X212" s="163">
        <v>7.8700000000000006E-2</v>
      </c>
      <c r="Y212" s="132">
        <v>6.6320000000000004E-2</v>
      </c>
      <c r="Z212" s="132">
        <v>1.6240000000000001E-2</v>
      </c>
    </row>
    <row r="213" spans="1:26">
      <c r="A213" t="s">
        <v>1213</v>
      </c>
      <c r="B213" t="s">
        <v>1251</v>
      </c>
      <c r="C213" t="s">
        <v>5004</v>
      </c>
      <c r="D213" t="s">
        <v>5005</v>
      </c>
      <c r="E213" t="s">
        <v>309</v>
      </c>
      <c r="F213" t="s">
        <v>5006</v>
      </c>
      <c r="G213" s="108">
        <v>74185</v>
      </c>
      <c r="H213" t="s">
        <v>314</v>
      </c>
      <c r="I213" t="s">
        <v>1001</v>
      </c>
      <c r="J213" t="s">
        <v>831</v>
      </c>
      <c r="K213" t="s">
        <v>204</v>
      </c>
      <c r="L213" t="s">
        <v>204</v>
      </c>
      <c r="M213" t="s">
        <v>204</v>
      </c>
      <c r="N213" t="s">
        <v>204</v>
      </c>
      <c r="O213" t="s">
        <v>339</v>
      </c>
      <c r="P213" s="162">
        <v>43524</v>
      </c>
      <c r="Q213" t="s">
        <v>1212</v>
      </c>
      <c r="R213" t="s">
        <v>885</v>
      </c>
      <c r="S213" t="s">
        <v>889</v>
      </c>
      <c r="T213" t="s">
        <v>4877</v>
      </c>
      <c r="U213" s="131">
        <v>1</v>
      </c>
      <c r="V213" s="131">
        <v>4129.4189999999999</v>
      </c>
      <c r="W213" s="131">
        <v>4129.4189999999999</v>
      </c>
      <c r="X213" s="163">
        <v>0.1298</v>
      </c>
      <c r="Y213" s="132">
        <v>6.0789999999999997E-2</v>
      </c>
      <c r="Z213" s="132">
        <v>1.489E-2</v>
      </c>
    </row>
    <row r="214" spans="1:26">
      <c r="A214" t="s">
        <v>1213</v>
      </c>
      <c r="B214" t="s">
        <v>1251</v>
      </c>
      <c r="C214" t="s">
        <v>5007</v>
      </c>
      <c r="D214" t="s">
        <v>2129</v>
      </c>
      <c r="E214" t="s">
        <v>309</v>
      </c>
      <c r="F214" t="s">
        <v>5008</v>
      </c>
      <c r="G214" s="108">
        <v>74190</v>
      </c>
      <c r="H214" t="s">
        <v>314</v>
      </c>
      <c r="I214" t="s">
        <v>1005</v>
      </c>
      <c r="J214" t="s">
        <v>569</v>
      </c>
      <c r="K214" t="s">
        <v>204</v>
      </c>
      <c r="L214" t="s">
        <v>204</v>
      </c>
      <c r="M214" t="s">
        <v>204</v>
      </c>
      <c r="N214" t="s">
        <v>224</v>
      </c>
      <c r="O214" t="s">
        <v>339</v>
      </c>
      <c r="P214" s="162">
        <v>43691</v>
      </c>
      <c r="Q214" t="s">
        <v>1216</v>
      </c>
      <c r="R214" t="s">
        <v>885</v>
      </c>
      <c r="S214" t="s">
        <v>889</v>
      </c>
      <c r="T214" t="s">
        <v>4876</v>
      </c>
      <c r="U214" s="131">
        <v>3.71</v>
      </c>
      <c r="V214" s="131">
        <v>611.57399999999996</v>
      </c>
      <c r="W214" s="131">
        <v>2268.9380000000001</v>
      </c>
      <c r="X214" s="163">
        <v>0.19874</v>
      </c>
      <c r="Y214" s="132">
        <v>3.3399999999999999E-2</v>
      </c>
      <c r="Z214" s="132">
        <v>8.1799999999999998E-3</v>
      </c>
    </row>
    <row r="215" spans="1:26">
      <c r="A215" t="s">
        <v>1213</v>
      </c>
      <c r="B215" t="s">
        <v>1251</v>
      </c>
      <c r="C215" t="s">
        <v>5004</v>
      </c>
      <c r="D215" t="s">
        <v>5009</v>
      </c>
      <c r="E215" t="s">
        <v>309</v>
      </c>
      <c r="F215" t="s">
        <v>5010</v>
      </c>
      <c r="G215" s="108">
        <v>74202</v>
      </c>
      <c r="H215" t="s">
        <v>314</v>
      </c>
      <c r="I215" t="s">
        <v>1001</v>
      </c>
      <c r="J215" t="s">
        <v>831</v>
      </c>
      <c r="K215" t="s">
        <v>204</v>
      </c>
      <c r="L215" t="s">
        <v>204</v>
      </c>
      <c r="M215" t="s">
        <v>204</v>
      </c>
      <c r="N215" t="s">
        <v>204</v>
      </c>
      <c r="O215" t="s">
        <v>339</v>
      </c>
      <c r="P215" s="162">
        <v>43913</v>
      </c>
      <c r="Q215" t="s">
        <v>1212</v>
      </c>
      <c r="R215" t="s">
        <v>885</v>
      </c>
      <c r="S215" t="s">
        <v>889</v>
      </c>
      <c r="T215" t="s">
        <v>4877</v>
      </c>
      <c r="U215" s="131">
        <v>1</v>
      </c>
      <c r="V215" s="131">
        <v>2064.25</v>
      </c>
      <c r="W215" s="131">
        <v>2064.25</v>
      </c>
      <c r="X215" s="163">
        <v>0.1036</v>
      </c>
      <c r="Y215" s="132">
        <v>3.039E-2</v>
      </c>
      <c r="Z215" s="132">
        <v>7.4400000000000004E-3</v>
      </c>
    </row>
    <row r="216" spans="1:26">
      <c r="A216" t="s">
        <v>1213</v>
      </c>
      <c r="B216" t="s">
        <v>1251</v>
      </c>
      <c r="D216" t="s">
        <v>5067</v>
      </c>
      <c r="E216" t="s">
        <v>309</v>
      </c>
      <c r="F216" t="s">
        <v>5068</v>
      </c>
      <c r="G216" s="108">
        <v>74249</v>
      </c>
      <c r="H216" t="s">
        <v>314</v>
      </c>
      <c r="I216" t="s">
        <v>1005</v>
      </c>
      <c r="J216" t="s">
        <v>832</v>
      </c>
      <c r="K216" t="s">
        <v>204</v>
      </c>
      <c r="L216" t="s">
        <v>204</v>
      </c>
      <c r="M216" t="s">
        <v>204</v>
      </c>
      <c r="N216" t="s">
        <v>204</v>
      </c>
      <c r="O216" t="s">
        <v>339</v>
      </c>
      <c r="P216" s="162">
        <v>45006</v>
      </c>
      <c r="Q216" t="s">
        <v>1212</v>
      </c>
      <c r="R216" t="s">
        <v>885</v>
      </c>
      <c r="S216" t="s">
        <v>889</v>
      </c>
      <c r="T216" t="s">
        <v>5069</v>
      </c>
      <c r="U216" s="131">
        <v>1</v>
      </c>
      <c r="V216" s="131">
        <v>2009.1130000000001</v>
      </c>
      <c r="W216" s="131">
        <v>2009.1130000000001</v>
      </c>
      <c r="X216" s="163">
        <v>0.19600000000000001</v>
      </c>
      <c r="Y216" s="132">
        <v>2.9569999999999999E-2</v>
      </c>
      <c r="Z216" s="132">
        <v>7.2399999999999999E-3</v>
      </c>
    </row>
    <row r="217" spans="1:26">
      <c r="A217" t="s">
        <v>1213</v>
      </c>
      <c r="B217" t="s">
        <v>1251</v>
      </c>
      <c r="C217" t="s">
        <v>5000</v>
      </c>
      <c r="D217" t="s">
        <v>5001</v>
      </c>
      <c r="E217" t="s">
        <v>310</v>
      </c>
      <c r="F217" t="s">
        <v>5059</v>
      </c>
      <c r="G217" s="108">
        <v>74204</v>
      </c>
      <c r="H217" t="s">
        <v>314</v>
      </c>
      <c r="I217" t="s">
        <v>1004</v>
      </c>
      <c r="J217" t="s">
        <v>833</v>
      </c>
      <c r="K217" t="s">
        <v>204</v>
      </c>
      <c r="L217" t="s">
        <v>204</v>
      </c>
      <c r="M217" t="s">
        <v>204</v>
      </c>
      <c r="N217" t="s">
        <v>204</v>
      </c>
      <c r="O217" t="s">
        <v>339</v>
      </c>
      <c r="P217" s="162">
        <v>44084</v>
      </c>
      <c r="Q217" t="s">
        <v>1212</v>
      </c>
      <c r="R217" t="s">
        <v>885</v>
      </c>
      <c r="S217" t="s">
        <v>889</v>
      </c>
      <c r="T217" t="s">
        <v>5060</v>
      </c>
      <c r="U217" s="131">
        <v>1</v>
      </c>
      <c r="V217" s="131">
        <v>1891.0450000000001</v>
      </c>
      <c r="W217" s="131">
        <v>1891.0450000000001</v>
      </c>
      <c r="X217" s="163">
        <v>7.8700000000000006E-2</v>
      </c>
      <c r="Y217" s="132">
        <v>2.784E-2</v>
      </c>
      <c r="Z217" s="132">
        <v>6.8199999999999997E-3</v>
      </c>
    </row>
    <row r="218" spans="1:26">
      <c r="A218" t="s">
        <v>1213</v>
      </c>
      <c r="B218" t="s">
        <v>1251</v>
      </c>
      <c r="C218" t="s">
        <v>5011</v>
      </c>
      <c r="D218" t="s">
        <v>5012</v>
      </c>
      <c r="E218" t="s">
        <v>309</v>
      </c>
      <c r="F218" t="s">
        <v>5013</v>
      </c>
      <c r="G218" s="108">
        <v>74176</v>
      </c>
      <c r="H218" t="s">
        <v>314</v>
      </c>
      <c r="I218" t="s">
        <v>1002</v>
      </c>
      <c r="J218" t="s">
        <v>569</v>
      </c>
      <c r="K218" t="s">
        <v>204</v>
      </c>
      <c r="L218" t="s">
        <v>204</v>
      </c>
      <c r="M218" t="s">
        <v>204</v>
      </c>
      <c r="N218" t="s">
        <v>204</v>
      </c>
      <c r="O218" t="s">
        <v>339</v>
      </c>
      <c r="P218" s="162">
        <v>43306</v>
      </c>
      <c r="Q218" t="s">
        <v>1212</v>
      </c>
      <c r="R218" t="s">
        <v>885</v>
      </c>
      <c r="S218" t="s">
        <v>889</v>
      </c>
      <c r="T218" t="s">
        <v>5014</v>
      </c>
      <c r="U218" s="131">
        <v>1</v>
      </c>
      <c r="V218" s="131">
        <v>1566.3130000000001</v>
      </c>
      <c r="W218" s="131">
        <v>1566.3130000000001</v>
      </c>
      <c r="X218" s="163">
        <v>1.7500000000000002E-2</v>
      </c>
      <c r="Y218" s="132">
        <v>2.3060000000000001E-2</v>
      </c>
      <c r="Z218" s="132">
        <v>5.6499999999999996E-3</v>
      </c>
    </row>
    <row r="219" spans="1:26">
      <c r="A219" t="s">
        <v>1213</v>
      </c>
      <c r="B219" t="s">
        <v>1251</v>
      </c>
      <c r="C219" t="s">
        <v>5061</v>
      </c>
      <c r="D219" t="s">
        <v>5062</v>
      </c>
      <c r="E219" t="s">
        <v>309</v>
      </c>
      <c r="F219" t="s">
        <v>5063</v>
      </c>
      <c r="G219" s="108">
        <v>74231</v>
      </c>
      <c r="H219" t="s">
        <v>314</v>
      </c>
      <c r="I219" t="s">
        <v>1003</v>
      </c>
      <c r="J219" t="s">
        <v>836</v>
      </c>
      <c r="K219" t="s">
        <v>204</v>
      </c>
      <c r="L219" t="s">
        <v>204</v>
      </c>
      <c r="M219" t="s">
        <v>204</v>
      </c>
      <c r="N219" t="s">
        <v>204</v>
      </c>
      <c r="O219" t="s">
        <v>339</v>
      </c>
      <c r="P219" s="162">
        <v>44591</v>
      </c>
      <c r="Q219" t="s">
        <v>1212</v>
      </c>
      <c r="R219" t="s">
        <v>885</v>
      </c>
      <c r="S219" t="s">
        <v>889</v>
      </c>
      <c r="T219" t="s">
        <v>4876</v>
      </c>
      <c r="U219" s="131">
        <v>1</v>
      </c>
      <c r="V219" s="131">
        <v>1526.299</v>
      </c>
      <c r="W219" s="131">
        <v>1526.299</v>
      </c>
      <c r="X219" s="163">
        <v>5.2600000000000001E-2</v>
      </c>
      <c r="Y219" s="132">
        <v>2.247E-2</v>
      </c>
      <c r="Z219" s="132">
        <v>5.4999999999999997E-3</v>
      </c>
    </row>
    <row r="220" spans="1:26">
      <c r="A220" t="s">
        <v>1213</v>
      </c>
      <c r="B220" t="s">
        <v>1251</v>
      </c>
      <c r="C220" t="s">
        <v>5064</v>
      </c>
      <c r="D220" t="s">
        <v>5065</v>
      </c>
      <c r="E220" t="s">
        <v>309</v>
      </c>
      <c r="F220" t="s">
        <v>5066</v>
      </c>
      <c r="G220" s="108">
        <v>74217</v>
      </c>
      <c r="H220" t="s">
        <v>314</v>
      </c>
      <c r="I220" t="s">
        <v>1003</v>
      </c>
      <c r="J220" t="s">
        <v>836</v>
      </c>
      <c r="K220" t="s">
        <v>204</v>
      </c>
      <c r="L220" t="s">
        <v>204</v>
      </c>
      <c r="M220" t="s">
        <v>204</v>
      </c>
      <c r="N220" t="s">
        <v>204</v>
      </c>
      <c r="O220" t="s">
        <v>339</v>
      </c>
      <c r="P220" s="162">
        <v>44370</v>
      </c>
      <c r="Q220" t="s">
        <v>1212</v>
      </c>
      <c r="R220" t="s">
        <v>885</v>
      </c>
      <c r="S220" t="s">
        <v>889</v>
      </c>
      <c r="T220" t="s">
        <v>4942</v>
      </c>
      <c r="U220" s="131">
        <v>1</v>
      </c>
      <c r="V220" s="131">
        <v>1471.9380000000001</v>
      </c>
      <c r="W220" s="131">
        <v>1471.9380000000001</v>
      </c>
      <c r="X220" s="163">
        <v>0.25196850393700787</v>
      </c>
      <c r="Y220" s="132">
        <v>2.1669999999999998E-2</v>
      </c>
      <c r="Z220" s="132">
        <v>5.3099999999999996E-3</v>
      </c>
    </row>
    <row r="221" spans="1:26">
      <c r="A221" t="s">
        <v>1213</v>
      </c>
      <c r="B221" t="s">
        <v>1251</v>
      </c>
      <c r="C221" t="s">
        <v>5070</v>
      </c>
      <c r="D221" t="s">
        <v>5071</v>
      </c>
      <c r="E221" t="s">
        <v>310</v>
      </c>
      <c r="F221" t="s">
        <v>5072</v>
      </c>
      <c r="G221" s="108">
        <v>74238</v>
      </c>
      <c r="H221" t="s">
        <v>314</v>
      </c>
      <c r="I221" t="s">
        <v>1004</v>
      </c>
      <c r="J221" t="s">
        <v>833</v>
      </c>
      <c r="K221" t="s">
        <v>204</v>
      </c>
      <c r="L221" t="s">
        <v>204</v>
      </c>
      <c r="M221" t="s">
        <v>204</v>
      </c>
      <c r="N221" t="s">
        <v>204</v>
      </c>
      <c r="O221" t="s">
        <v>339</v>
      </c>
      <c r="P221" s="162">
        <v>44721</v>
      </c>
      <c r="Q221" t="s">
        <v>1212</v>
      </c>
      <c r="R221" t="s">
        <v>885</v>
      </c>
      <c r="S221" t="s">
        <v>889</v>
      </c>
      <c r="T221" t="s">
        <v>5003</v>
      </c>
      <c r="U221" s="131">
        <v>1</v>
      </c>
      <c r="V221" s="131">
        <v>1239.104</v>
      </c>
      <c r="W221" s="131">
        <v>1239.104</v>
      </c>
      <c r="X221" s="163">
        <v>1.89E-2</v>
      </c>
      <c r="Y221" s="132">
        <v>1.8239999999999999E-2</v>
      </c>
      <c r="Z221" s="132">
        <v>4.47E-3</v>
      </c>
    </row>
    <row r="222" spans="1:26">
      <c r="A222" t="s">
        <v>1213</v>
      </c>
      <c r="B222" t="s">
        <v>1251</v>
      </c>
      <c r="C222" t="s">
        <v>5076</v>
      </c>
      <c r="D222" t="s">
        <v>5077</v>
      </c>
      <c r="E222" t="s">
        <v>309</v>
      </c>
      <c r="F222" t="s">
        <v>5078</v>
      </c>
      <c r="G222" s="108">
        <v>74228</v>
      </c>
      <c r="H222" t="s">
        <v>314</v>
      </c>
      <c r="I222" t="s">
        <v>1000</v>
      </c>
      <c r="J222" t="s">
        <v>844</v>
      </c>
      <c r="K222" t="s">
        <v>204</v>
      </c>
      <c r="L222" t="s">
        <v>204</v>
      </c>
      <c r="M222" t="s">
        <v>204</v>
      </c>
      <c r="N222" t="s">
        <v>204</v>
      </c>
      <c r="O222" t="s">
        <v>339</v>
      </c>
      <c r="P222" s="162">
        <v>44560</v>
      </c>
      <c r="Q222" t="s">
        <v>1216</v>
      </c>
      <c r="R222" t="s">
        <v>885</v>
      </c>
      <c r="S222" t="s">
        <v>889</v>
      </c>
      <c r="T222" t="s">
        <v>5022</v>
      </c>
      <c r="U222" s="131">
        <v>3.71</v>
      </c>
      <c r="V222" s="131">
        <v>323.64999999999998</v>
      </c>
      <c r="W222" s="131">
        <v>1200.742</v>
      </c>
      <c r="X222" s="163">
        <v>6.7400000000000002E-2</v>
      </c>
      <c r="Y222" s="132">
        <v>1.7680000000000001E-2</v>
      </c>
      <c r="Z222" s="132">
        <v>4.3299999999999996E-3</v>
      </c>
    </row>
    <row r="223" spans="1:26">
      <c r="A223" t="s">
        <v>1213</v>
      </c>
      <c r="B223" t="s">
        <v>1251</v>
      </c>
      <c r="C223" t="s">
        <v>5079</v>
      </c>
      <c r="D223" t="s">
        <v>5080</v>
      </c>
      <c r="E223" t="s">
        <v>309</v>
      </c>
      <c r="F223" t="s">
        <v>5081</v>
      </c>
      <c r="G223" s="108">
        <v>74233</v>
      </c>
      <c r="H223" t="s">
        <v>314</v>
      </c>
      <c r="I223" t="s">
        <v>1002</v>
      </c>
      <c r="J223" t="s">
        <v>569</v>
      </c>
      <c r="K223" t="s">
        <v>204</v>
      </c>
      <c r="L223" t="s">
        <v>204</v>
      </c>
      <c r="M223" t="s">
        <v>204</v>
      </c>
      <c r="N223" t="s">
        <v>224</v>
      </c>
      <c r="O223" t="s">
        <v>339</v>
      </c>
      <c r="P223" s="162">
        <v>44622</v>
      </c>
      <c r="Q223" t="s">
        <v>1212</v>
      </c>
      <c r="R223" t="s">
        <v>885</v>
      </c>
      <c r="S223" t="s">
        <v>889</v>
      </c>
      <c r="T223" t="s">
        <v>5014</v>
      </c>
      <c r="U223" s="131">
        <v>1</v>
      </c>
      <c r="V223" s="131">
        <v>1105.68</v>
      </c>
      <c r="W223" s="131">
        <v>1105.68</v>
      </c>
      <c r="X223" s="163">
        <v>0.104</v>
      </c>
      <c r="Y223" s="132">
        <v>1.6279999999999999E-2</v>
      </c>
      <c r="Z223" s="132">
        <v>3.9899999999999996E-3</v>
      </c>
    </row>
    <row r="224" spans="1:26">
      <c r="A224" t="s">
        <v>1213</v>
      </c>
      <c r="B224" t="s">
        <v>1251</v>
      </c>
      <c r="C224" t="s">
        <v>5082</v>
      </c>
      <c r="D224" t="s">
        <v>5083</v>
      </c>
      <c r="E224" t="s">
        <v>309</v>
      </c>
      <c r="F224" t="s">
        <v>5084</v>
      </c>
      <c r="G224" s="108">
        <v>74241</v>
      </c>
      <c r="H224" t="s">
        <v>314</v>
      </c>
      <c r="I224" t="s">
        <v>1003</v>
      </c>
      <c r="J224" t="s">
        <v>837</v>
      </c>
      <c r="K224" t="s">
        <v>204</v>
      </c>
      <c r="L224" t="s">
        <v>204</v>
      </c>
      <c r="M224" t="s">
        <v>204</v>
      </c>
      <c r="N224" t="s">
        <v>204</v>
      </c>
      <c r="O224" t="s">
        <v>339</v>
      </c>
      <c r="P224" s="162">
        <v>44752</v>
      </c>
      <c r="Q224" t="s">
        <v>1212</v>
      </c>
      <c r="R224" t="s">
        <v>885</v>
      </c>
      <c r="S224" t="s">
        <v>889</v>
      </c>
      <c r="T224" t="s">
        <v>5026</v>
      </c>
      <c r="U224" s="131">
        <v>1</v>
      </c>
      <c r="V224" s="131">
        <v>803.90899999999999</v>
      </c>
      <c r="W224" s="131">
        <v>803.90899999999999</v>
      </c>
      <c r="X224" s="163">
        <v>5.8299999999999998E-2</v>
      </c>
      <c r="Y224" s="132">
        <v>1.183E-2</v>
      </c>
      <c r="Z224" s="132">
        <v>2.8999999999999998E-3</v>
      </c>
    </row>
    <row r="225" spans="1:26">
      <c r="A225" t="s">
        <v>1213</v>
      </c>
      <c r="B225" t="s">
        <v>1251</v>
      </c>
      <c r="C225" t="s">
        <v>5019</v>
      </c>
      <c r="D225" t="s">
        <v>5020</v>
      </c>
      <c r="E225" t="s">
        <v>309</v>
      </c>
      <c r="F225" t="s">
        <v>5021</v>
      </c>
      <c r="G225" s="108">
        <v>74177</v>
      </c>
      <c r="H225" t="s">
        <v>314</v>
      </c>
      <c r="I225" t="s">
        <v>1002</v>
      </c>
      <c r="J225" t="s">
        <v>569</v>
      </c>
      <c r="K225" t="s">
        <v>204</v>
      </c>
      <c r="L225" t="s">
        <v>204</v>
      </c>
      <c r="M225" t="s">
        <v>204</v>
      </c>
      <c r="N225" t="s">
        <v>204</v>
      </c>
      <c r="O225" t="s">
        <v>339</v>
      </c>
      <c r="P225" s="162">
        <v>43312</v>
      </c>
      <c r="Q225" t="s">
        <v>1212</v>
      </c>
      <c r="R225" t="s">
        <v>885</v>
      </c>
      <c r="S225" t="s">
        <v>889</v>
      </c>
      <c r="T225" t="s">
        <v>5022</v>
      </c>
      <c r="U225" s="131">
        <v>1</v>
      </c>
      <c r="V225" s="131">
        <v>723.41899999999998</v>
      </c>
      <c r="W225" s="131">
        <v>723.41899999999998</v>
      </c>
      <c r="X225" s="163">
        <v>2.9600000000000001E-2</v>
      </c>
      <c r="Y225" s="132">
        <v>1.065E-2</v>
      </c>
      <c r="Z225" s="132">
        <v>2.6099999999999999E-3</v>
      </c>
    </row>
    <row r="226" spans="1:26">
      <c r="A226" t="s">
        <v>1213</v>
      </c>
      <c r="B226" t="s">
        <v>1251</v>
      </c>
      <c r="C226" t="s">
        <v>5088</v>
      </c>
      <c r="D226" t="s">
        <v>5089</v>
      </c>
      <c r="E226" t="s">
        <v>309</v>
      </c>
      <c r="F226" t="s">
        <v>5090</v>
      </c>
      <c r="G226" s="108">
        <v>74221</v>
      </c>
      <c r="H226" t="s">
        <v>314</v>
      </c>
      <c r="I226" t="s">
        <v>1000</v>
      </c>
      <c r="J226" t="s">
        <v>844</v>
      </c>
      <c r="K226" t="s">
        <v>204</v>
      </c>
      <c r="L226" t="s">
        <v>204</v>
      </c>
      <c r="M226" t="s">
        <v>204</v>
      </c>
      <c r="N226" t="s">
        <v>296</v>
      </c>
      <c r="O226" t="s">
        <v>339</v>
      </c>
      <c r="P226" s="162">
        <v>44409</v>
      </c>
      <c r="Q226" t="s">
        <v>1216</v>
      </c>
      <c r="R226" t="s">
        <v>885</v>
      </c>
      <c r="S226" t="s">
        <v>889</v>
      </c>
      <c r="T226" t="s">
        <v>4876</v>
      </c>
      <c r="U226" s="131">
        <v>3.71</v>
      </c>
      <c r="V226" s="131">
        <v>188.55799999999999</v>
      </c>
      <c r="W226" s="131">
        <v>699.55</v>
      </c>
      <c r="X226" s="163">
        <v>7.5700000000000003E-2</v>
      </c>
      <c r="Y226" s="132">
        <v>1.03E-2</v>
      </c>
      <c r="Z226" s="132">
        <v>2.5200000000000001E-3</v>
      </c>
    </row>
    <row r="227" spans="1:26">
      <c r="A227" t="s">
        <v>1213</v>
      </c>
      <c r="B227" t="s">
        <v>1251</v>
      </c>
      <c r="C227" t="s">
        <v>5015</v>
      </c>
      <c r="D227" t="s">
        <v>5016</v>
      </c>
      <c r="E227" t="s">
        <v>309</v>
      </c>
      <c r="F227" t="s">
        <v>5017</v>
      </c>
      <c r="G227" s="108">
        <v>74173</v>
      </c>
      <c r="H227" t="s">
        <v>314</v>
      </c>
      <c r="I227" t="s">
        <v>1000</v>
      </c>
      <c r="J227" t="s">
        <v>845</v>
      </c>
      <c r="K227" t="s">
        <v>204</v>
      </c>
      <c r="L227" t="s">
        <v>204</v>
      </c>
      <c r="M227" t="s">
        <v>204</v>
      </c>
      <c r="N227" t="s">
        <v>204</v>
      </c>
      <c r="O227" t="s">
        <v>339</v>
      </c>
      <c r="P227" s="162">
        <v>43157</v>
      </c>
      <c r="Q227" t="s">
        <v>1216</v>
      </c>
      <c r="R227" t="s">
        <v>885</v>
      </c>
      <c r="S227" t="s">
        <v>889</v>
      </c>
      <c r="T227" t="s">
        <v>5018</v>
      </c>
      <c r="U227" s="131">
        <v>3.71</v>
      </c>
      <c r="V227" s="131">
        <v>178.28100000000001</v>
      </c>
      <c r="W227" s="131">
        <v>661.423</v>
      </c>
      <c r="X227" s="163">
        <v>0.10349999999999999</v>
      </c>
      <c r="Y227" s="132">
        <v>9.7400000000000004E-3</v>
      </c>
      <c r="Z227" s="132">
        <v>2.3800000000000002E-3</v>
      </c>
    </row>
    <row r="228" spans="1:26">
      <c r="A228" t="s">
        <v>1213</v>
      </c>
      <c r="B228" t="s">
        <v>1251</v>
      </c>
      <c r="C228" t="s">
        <v>5105</v>
      </c>
      <c r="D228" t="s">
        <v>5106</v>
      </c>
      <c r="E228" t="s">
        <v>311</v>
      </c>
      <c r="F228" t="s">
        <v>5107</v>
      </c>
      <c r="G228" s="108">
        <v>74243</v>
      </c>
      <c r="H228" t="s">
        <v>314</v>
      </c>
      <c r="I228" t="s">
        <v>1000</v>
      </c>
      <c r="J228" t="s">
        <v>844</v>
      </c>
      <c r="K228" t="s">
        <v>204</v>
      </c>
      <c r="L228" t="s">
        <v>204</v>
      </c>
      <c r="M228" t="s">
        <v>204</v>
      </c>
      <c r="N228" t="s">
        <v>204</v>
      </c>
      <c r="O228" t="s">
        <v>339</v>
      </c>
      <c r="P228" s="162">
        <v>44823</v>
      </c>
      <c r="Q228" t="s">
        <v>1216</v>
      </c>
      <c r="R228" t="s">
        <v>885</v>
      </c>
      <c r="S228" t="s">
        <v>889</v>
      </c>
      <c r="T228" t="s">
        <v>5018</v>
      </c>
      <c r="U228" s="131">
        <v>3.71</v>
      </c>
      <c r="V228" s="131">
        <v>162.05000000000001</v>
      </c>
      <c r="W228" s="131">
        <v>601.20500000000004</v>
      </c>
      <c r="X228" s="163">
        <v>0.1371</v>
      </c>
      <c r="Y228" s="132">
        <v>8.8500000000000002E-3</v>
      </c>
      <c r="Z228" s="132">
        <v>2.1700000000000001E-3</v>
      </c>
    </row>
    <row r="229" spans="1:26">
      <c r="A229" t="s">
        <v>1213</v>
      </c>
      <c r="B229" t="s">
        <v>1251</v>
      </c>
      <c r="C229" t="s">
        <v>5085</v>
      </c>
      <c r="D229" t="s">
        <v>5086</v>
      </c>
      <c r="E229" t="s">
        <v>309</v>
      </c>
      <c r="F229" t="s">
        <v>5087</v>
      </c>
      <c r="G229" s="108">
        <v>74239</v>
      </c>
      <c r="H229" t="s">
        <v>314</v>
      </c>
      <c r="I229" t="s">
        <v>1003</v>
      </c>
      <c r="J229" t="s">
        <v>837</v>
      </c>
      <c r="K229" t="s">
        <v>204</v>
      </c>
      <c r="L229" t="s">
        <v>204</v>
      </c>
      <c r="M229" t="s">
        <v>204</v>
      </c>
      <c r="N229" t="s">
        <v>204</v>
      </c>
      <c r="O229" t="s">
        <v>339</v>
      </c>
      <c r="P229" s="162">
        <v>44741</v>
      </c>
      <c r="Q229" t="s">
        <v>1212</v>
      </c>
      <c r="R229" t="s">
        <v>885</v>
      </c>
      <c r="S229" t="s">
        <v>889</v>
      </c>
      <c r="T229" t="s">
        <v>4876</v>
      </c>
      <c r="U229" s="131">
        <v>1</v>
      </c>
      <c r="V229" s="131">
        <v>595.25</v>
      </c>
      <c r="W229" s="131">
        <v>595.25</v>
      </c>
      <c r="X229" s="163">
        <v>3.4099999999999998E-2</v>
      </c>
      <c r="Y229" s="132">
        <v>8.7600000000000004E-3</v>
      </c>
      <c r="Z229" s="132">
        <v>2.15E-3</v>
      </c>
    </row>
    <row r="230" spans="1:26">
      <c r="A230" t="s">
        <v>1213</v>
      </c>
      <c r="B230" t="s">
        <v>1251</v>
      </c>
      <c r="C230" t="s">
        <v>4939</v>
      </c>
      <c r="D230" t="s">
        <v>4940</v>
      </c>
      <c r="E230" t="s">
        <v>309</v>
      </c>
      <c r="F230" t="s">
        <v>4955</v>
      </c>
      <c r="G230" s="108">
        <v>74252</v>
      </c>
      <c r="H230" t="s">
        <v>314</v>
      </c>
      <c r="I230" t="s">
        <v>1003</v>
      </c>
      <c r="J230" t="s">
        <v>839</v>
      </c>
      <c r="K230" t="s">
        <v>204</v>
      </c>
      <c r="L230" t="s">
        <v>204</v>
      </c>
      <c r="M230" t="s">
        <v>204</v>
      </c>
      <c r="N230" t="s">
        <v>204</v>
      </c>
      <c r="O230" t="s">
        <v>339</v>
      </c>
      <c r="P230" s="162">
        <v>45036</v>
      </c>
      <c r="Q230" t="s">
        <v>1212</v>
      </c>
      <c r="R230" t="s">
        <v>885</v>
      </c>
      <c r="S230" t="s">
        <v>889</v>
      </c>
      <c r="T230" t="s">
        <v>4942</v>
      </c>
      <c r="U230" s="131">
        <v>1</v>
      </c>
      <c r="V230" s="131">
        <v>491.73200000000003</v>
      </c>
      <c r="W230" s="131">
        <v>491.73200000000003</v>
      </c>
      <c r="X230" s="163">
        <v>2.07E-2</v>
      </c>
      <c r="Y230" s="132">
        <v>7.2399999999999999E-3</v>
      </c>
      <c r="Z230" s="132">
        <v>1.7700000000000001E-3</v>
      </c>
    </row>
    <row r="231" spans="1:26">
      <c r="A231" t="s">
        <v>1213</v>
      </c>
      <c r="B231" t="s">
        <v>1251</v>
      </c>
      <c r="C231" t="s">
        <v>5094</v>
      </c>
      <c r="D231" t="s">
        <v>5095</v>
      </c>
      <c r="E231" t="s">
        <v>309</v>
      </c>
      <c r="F231" t="s">
        <v>5096</v>
      </c>
      <c r="G231" s="108">
        <v>74179</v>
      </c>
      <c r="H231" t="s">
        <v>314</v>
      </c>
      <c r="I231" t="s">
        <v>1001</v>
      </c>
      <c r="J231" t="s">
        <v>831</v>
      </c>
      <c r="K231" t="s">
        <v>204</v>
      </c>
      <c r="L231" t="s">
        <v>204</v>
      </c>
      <c r="M231" t="s">
        <v>204</v>
      </c>
      <c r="N231" t="s">
        <v>204</v>
      </c>
      <c r="O231" t="s">
        <v>339</v>
      </c>
      <c r="P231" s="162">
        <v>43394</v>
      </c>
      <c r="Q231" t="s">
        <v>1212</v>
      </c>
      <c r="R231" t="s">
        <v>885</v>
      </c>
      <c r="S231" t="s">
        <v>889</v>
      </c>
      <c r="T231" t="s">
        <v>5022</v>
      </c>
      <c r="U231" s="131">
        <v>1</v>
      </c>
      <c r="V231" s="131">
        <v>385.62</v>
      </c>
      <c r="W231" s="131">
        <v>385.62</v>
      </c>
      <c r="X231" s="163">
        <v>0.11990000000000001</v>
      </c>
      <c r="Y231" s="132">
        <v>5.6800000000000002E-3</v>
      </c>
      <c r="Z231" s="132">
        <v>1.39E-3</v>
      </c>
    </row>
    <row r="232" spans="1:26">
      <c r="A232" t="s">
        <v>1213</v>
      </c>
      <c r="B232" t="s">
        <v>1251</v>
      </c>
      <c r="D232" t="s">
        <v>4943</v>
      </c>
      <c r="E232" t="s">
        <v>309</v>
      </c>
      <c r="F232" t="s">
        <v>4944</v>
      </c>
      <c r="G232" s="108">
        <v>74254</v>
      </c>
      <c r="H232" t="s">
        <v>314</v>
      </c>
      <c r="I232" t="s">
        <v>1000</v>
      </c>
      <c r="J232" t="s">
        <v>845</v>
      </c>
      <c r="K232" t="s">
        <v>204</v>
      </c>
      <c r="L232" t="s">
        <v>204</v>
      </c>
      <c r="M232" t="s">
        <v>204</v>
      </c>
      <c r="N232" t="s">
        <v>204</v>
      </c>
      <c r="O232" t="s">
        <v>339</v>
      </c>
      <c r="P232" s="162">
        <v>45124</v>
      </c>
      <c r="Q232" t="s">
        <v>1216</v>
      </c>
      <c r="R232" t="s">
        <v>885</v>
      </c>
      <c r="S232" t="s">
        <v>889</v>
      </c>
      <c r="T232" t="s">
        <v>4945</v>
      </c>
      <c r="U232" s="131">
        <v>3.71</v>
      </c>
      <c r="V232" s="131">
        <v>18.11</v>
      </c>
      <c r="W232" s="131">
        <v>67.19</v>
      </c>
      <c r="X232" s="163">
        <v>7.0800000000000002E-2</v>
      </c>
      <c r="Y232" s="132">
        <v>9.8999999999999999E-4</v>
      </c>
      <c r="Z232" s="132">
        <v>2.4000000000000001E-4</v>
      </c>
    </row>
    <row r="233" spans="1:26">
      <c r="A233" t="s">
        <v>1213</v>
      </c>
      <c r="B233" t="s">
        <v>1251</v>
      </c>
      <c r="C233" t="s">
        <v>5023</v>
      </c>
      <c r="D233" t="s">
        <v>5024</v>
      </c>
      <c r="E233" t="s">
        <v>309</v>
      </c>
      <c r="F233" t="s">
        <v>5025</v>
      </c>
      <c r="G233" s="108">
        <v>74189</v>
      </c>
      <c r="H233" t="s">
        <v>314</v>
      </c>
      <c r="I233" t="s">
        <v>1002</v>
      </c>
      <c r="J233" t="s">
        <v>569</v>
      </c>
      <c r="K233" t="s">
        <v>205</v>
      </c>
      <c r="L233" t="s">
        <v>224</v>
      </c>
      <c r="M233" t="s">
        <v>224</v>
      </c>
      <c r="N233" t="s">
        <v>224</v>
      </c>
      <c r="O233" t="s">
        <v>339</v>
      </c>
      <c r="P233" s="162">
        <v>43586</v>
      </c>
      <c r="Q233" t="s">
        <v>1216</v>
      </c>
      <c r="R233" t="s">
        <v>885</v>
      </c>
      <c r="S233" t="s">
        <v>889</v>
      </c>
      <c r="T233" t="s">
        <v>5026</v>
      </c>
      <c r="U233" s="131">
        <v>3.71</v>
      </c>
      <c r="V233" s="131">
        <v>599.10299999999995</v>
      </c>
      <c r="W233" s="131">
        <v>2222.672</v>
      </c>
      <c r="X233" s="163">
        <v>3.3799999999999997E-2</v>
      </c>
      <c r="Y233" s="132">
        <v>3.2719999999999999E-2</v>
      </c>
      <c r="Z233" s="132">
        <v>8.0099999999999998E-3</v>
      </c>
    </row>
    <row r="234" spans="1:26">
      <c r="A234" t="s">
        <v>1213</v>
      </c>
      <c r="B234" t="s">
        <v>1251</v>
      </c>
      <c r="D234" t="s">
        <v>5027</v>
      </c>
      <c r="E234" t="s">
        <v>311</v>
      </c>
      <c r="F234" t="s">
        <v>5028</v>
      </c>
      <c r="G234" s="108">
        <v>74180</v>
      </c>
      <c r="H234" t="s">
        <v>314</v>
      </c>
      <c r="I234" t="s">
        <v>1000</v>
      </c>
      <c r="J234" t="s">
        <v>844</v>
      </c>
      <c r="K234" t="s">
        <v>205</v>
      </c>
      <c r="L234" t="s">
        <v>224</v>
      </c>
      <c r="M234" t="s">
        <v>224</v>
      </c>
      <c r="N234" t="s">
        <v>224</v>
      </c>
      <c r="O234" t="s">
        <v>339</v>
      </c>
      <c r="P234" s="162">
        <v>43411</v>
      </c>
      <c r="Q234" t="s">
        <v>1216</v>
      </c>
      <c r="R234" t="s">
        <v>885</v>
      </c>
      <c r="S234" t="s">
        <v>889</v>
      </c>
      <c r="T234" t="s">
        <v>4795</v>
      </c>
      <c r="U234" s="131">
        <v>3.71</v>
      </c>
      <c r="V234" s="131">
        <v>525.27</v>
      </c>
      <c r="W234" s="131">
        <v>1948.751</v>
      </c>
      <c r="X234" s="163">
        <v>5.8900000000000001E-2</v>
      </c>
      <c r="Y234" s="132">
        <v>2.869E-2</v>
      </c>
      <c r="Z234" s="132">
        <v>7.0200000000000002E-3</v>
      </c>
    </row>
    <row r="235" spans="1:26">
      <c r="A235" t="s">
        <v>1213</v>
      </c>
      <c r="B235" t="s">
        <v>1251</v>
      </c>
      <c r="C235" t="s">
        <v>5117</v>
      </c>
      <c r="D235" t="s">
        <v>5118</v>
      </c>
      <c r="E235" t="s">
        <v>310</v>
      </c>
      <c r="F235" t="s">
        <v>5119</v>
      </c>
      <c r="G235" s="108">
        <v>74205</v>
      </c>
      <c r="H235" t="s">
        <v>314</v>
      </c>
      <c r="I235" t="s">
        <v>1001</v>
      </c>
      <c r="J235" t="s">
        <v>831</v>
      </c>
      <c r="K235" t="s">
        <v>205</v>
      </c>
      <c r="L235" t="s">
        <v>286</v>
      </c>
      <c r="M235" t="s">
        <v>286</v>
      </c>
      <c r="N235" t="s">
        <v>286</v>
      </c>
      <c r="O235" t="s">
        <v>339</v>
      </c>
      <c r="P235" s="162">
        <v>44159</v>
      </c>
      <c r="Q235" t="s">
        <v>1218</v>
      </c>
      <c r="R235" t="s">
        <v>885</v>
      </c>
      <c r="S235" t="s">
        <v>889</v>
      </c>
      <c r="T235" t="s">
        <v>5120</v>
      </c>
      <c r="U235" s="131">
        <v>4.1520000000000001</v>
      </c>
      <c r="V235" s="131">
        <v>463.26299999999998</v>
      </c>
      <c r="W235" s="131">
        <v>1923.652</v>
      </c>
      <c r="X235" s="163">
        <v>0.19639999999999999</v>
      </c>
      <c r="Y235" s="132">
        <v>2.8320000000000001E-2</v>
      </c>
      <c r="Z235" s="132">
        <v>6.9300000000000004E-3</v>
      </c>
    </row>
    <row r="236" spans="1:26">
      <c r="A236" t="s">
        <v>1213</v>
      </c>
      <c r="B236" t="s">
        <v>1251</v>
      </c>
      <c r="D236" t="s">
        <v>4982</v>
      </c>
      <c r="E236" t="s">
        <v>311</v>
      </c>
      <c r="F236" t="s">
        <v>4983</v>
      </c>
      <c r="G236" s="108">
        <v>74203</v>
      </c>
      <c r="H236" t="s">
        <v>314</v>
      </c>
      <c r="I236" t="s">
        <v>1003</v>
      </c>
      <c r="J236" t="s">
        <v>833</v>
      </c>
      <c r="K236" t="s">
        <v>205</v>
      </c>
      <c r="L236" t="s">
        <v>224</v>
      </c>
      <c r="M236" t="s">
        <v>224</v>
      </c>
      <c r="N236" t="s">
        <v>224</v>
      </c>
      <c r="O236" t="s">
        <v>339</v>
      </c>
      <c r="P236" s="162">
        <v>43770</v>
      </c>
      <c r="Q236" t="s">
        <v>1216</v>
      </c>
      <c r="R236" t="s">
        <v>885</v>
      </c>
      <c r="S236" t="s">
        <v>889</v>
      </c>
      <c r="T236" t="s">
        <v>4882</v>
      </c>
      <c r="U236" s="131">
        <v>3.71</v>
      </c>
      <c r="V236" s="131">
        <v>499.93099999999998</v>
      </c>
      <c r="W236" s="131">
        <v>1854.7439999999999</v>
      </c>
      <c r="X236" s="163">
        <v>6.8529999999999994E-2</v>
      </c>
      <c r="Y236" s="132">
        <v>2.7300000000000001E-2</v>
      </c>
      <c r="Z236" s="132">
        <v>6.6899999999999998E-3</v>
      </c>
    </row>
    <row r="237" spans="1:26">
      <c r="A237" t="s">
        <v>1213</v>
      </c>
      <c r="B237" t="s">
        <v>1251</v>
      </c>
      <c r="D237" t="s">
        <v>5027</v>
      </c>
      <c r="E237" t="s">
        <v>311</v>
      </c>
      <c r="F237" t="s">
        <v>5114</v>
      </c>
      <c r="G237" s="108">
        <v>74200</v>
      </c>
      <c r="H237" t="s">
        <v>314</v>
      </c>
      <c r="I237" t="s">
        <v>1000</v>
      </c>
      <c r="J237" t="s">
        <v>844</v>
      </c>
      <c r="K237" t="s">
        <v>205</v>
      </c>
      <c r="L237" t="s">
        <v>224</v>
      </c>
      <c r="M237" t="s">
        <v>224</v>
      </c>
      <c r="N237" t="s">
        <v>224</v>
      </c>
      <c r="O237" t="s">
        <v>339</v>
      </c>
      <c r="P237" s="162">
        <v>43891</v>
      </c>
      <c r="Q237" t="s">
        <v>1216</v>
      </c>
      <c r="R237" t="s">
        <v>885</v>
      </c>
      <c r="S237" t="s">
        <v>889</v>
      </c>
      <c r="T237" t="s">
        <v>4795</v>
      </c>
      <c r="U237" s="131">
        <v>3.71</v>
      </c>
      <c r="V237" s="131">
        <v>486.09500000000003</v>
      </c>
      <c r="W237" s="131">
        <v>1803.4110000000001</v>
      </c>
      <c r="X237" s="163">
        <v>5.6800000000000003E-2</v>
      </c>
      <c r="Y237" s="132">
        <v>2.6550000000000001E-2</v>
      </c>
      <c r="Z237" s="132">
        <v>6.4999999999999997E-3</v>
      </c>
    </row>
    <row r="238" spans="1:26">
      <c r="A238" t="s">
        <v>1213</v>
      </c>
      <c r="B238" t="s">
        <v>1251</v>
      </c>
      <c r="C238" t="s">
        <v>5029</v>
      </c>
      <c r="D238" t="s">
        <v>5030</v>
      </c>
      <c r="E238" t="s">
        <v>311</v>
      </c>
      <c r="F238" t="s">
        <v>5031</v>
      </c>
      <c r="G238" s="108">
        <v>74178</v>
      </c>
      <c r="H238" t="s">
        <v>314</v>
      </c>
      <c r="I238" t="s">
        <v>1004</v>
      </c>
      <c r="J238" t="s">
        <v>833</v>
      </c>
      <c r="K238" t="s">
        <v>205</v>
      </c>
      <c r="L238" t="s">
        <v>224</v>
      </c>
      <c r="M238" t="s">
        <v>224</v>
      </c>
      <c r="N238" t="s">
        <v>224</v>
      </c>
      <c r="O238" t="s">
        <v>339</v>
      </c>
      <c r="P238" s="162">
        <v>43321</v>
      </c>
      <c r="Q238" t="s">
        <v>1216</v>
      </c>
      <c r="R238" t="s">
        <v>885</v>
      </c>
      <c r="S238" t="s">
        <v>889</v>
      </c>
      <c r="T238" t="s">
        <v>4876</v>
      </c>
      <c r="U238" s="131">
        <v>3.71</v>
      </c>
      <c r="V238" s="131">
        <v>469.43200000000002</v>
      </c>
      <c r="W238" s="131">
        <v>1741.5930000000001</v>
      </c>
      <c r="X238" s="163">
        <v>3.4639999999999997E-2</v>
      </c>
      <c r="Y238" s="132">
        <v>2.564E-2</v>
      </c>
      <c r="Z238" s="132">
        <v>6.28E-3</v>
      </c>
    </row>
    <row r="239" spans="1:26">
      <c r="A239" t="s">
        <v>1213</v>
      </c>
      <c r="B239" t="s">
        <v>1251</v>
      </c>
      <c r="D239" t="s">
        <v>5121</v>
      </c>
      <c r="E239" t="s">
        <v>311</v>
      </c>
      <c r="F239" t="s">
        <v>5122</v>
      </c>
      <c r="G239" s="108">
        <v>74207</v>
      </c>
      <c r="H239" t="s">
        <v>314</v>
      </c>
      <c r="I239" t="s">
        <v>1005</v>
      </c>
      <c r="J239" t="s">
        <v>569</v>
      </c>
      <c r="K239" t="s">
        <v>205</v>
      </c>
      <c r="L239" t="s">
        <v>233</v>
      </c>
      <c r="M239" t="s">
        <v>224</v>
      </c>
      <c r="N239" t="s">
        <v>296</v>
      </c>
      <c r="O239" t="s">
        <v>339</v>
      </c>
      <c r="P239" s="162">
        <v>44166</v>
      </c>
      <c r="Q239" t="s">
        <v>1216</v>
      </c>
      <c r="R239" t="s">
        <v>885</v>
      </c>
      <c r="S239" t="s">
        <v>889</v>
      </c>
      <c r="T239" t="s">
        <v>5123</v>
      </c>
      <c r="U239" s="131">
        <v>3.71</v>
      </c>
      <c r="V239" s="131">
        <v>454.005</v>
      </c>
      <c r="W239" s="131">
        <v>1684.36</v>
      </c>
      <c r="X239" s="163">
        <v>1.1111111111111111E-3</v>
      </c>
      <c r="Y239" s="132">
        <v>2.479E-2</v>
      </c>
      <c r="Z239" s="132">
        <v>6.0699999999999999E-3</v>
      </c>
    </row>
    <row r="240" spans="1:26">
      <c r="A240" t="s">
        <v>1213</v>
      </c>
      <c r="B240" t="s">
        <v>1251</v>
      </c>
      <c r="D240" t="s">
        <v>5115</v>
      </c>
      <c r="E240" t="s">
        <v>309</v>
      </c>
      <c r="F240" t="s">
        <v>5116</v>
      </c>
      <c r="G240" s="108">
        <v>74240</v>
      </c>
      <c r="H240" t="s">
        <v>314</v>
      </c>
      <c r="I240" t="s">
        <v>1005</v>
      </c>
      <c r="J240" t="s">
        <v>832</v>
      </c>
      <c r="K240" t="s">
        <v>205</v>
      </c>
      <c r="L240" t="s">
        <v>204</v>
      </c>
      <c r="M240" t="s">
        <v>204</v>
      </c>
      <c r="N240" t="s">
        <v>303</v>
      </c>
      <c r="O240" t="s">
        <v>339</v>
      </c>
      <c r="P240" s="162">
        <v>44748</v>
      </c>
      <c r="Q240" t="s">
        <v>1218</v>
      </c>
      <c r="R240" t="s">
        <v>885</v>
      </c>
      <c r="S240" t="s">
        <v>889</v>
      </c>
      <c r="T240" t="s">
        <v>4954</v>
      </c>
      <c r="U240" s="131">
        <v>4.1520000000000001</v>
      </c>
      <c r="V240" s="131">
        <v>393.85599999999999</v>
      </c>
      <c r="W240" s="131">
        <v>1635.4469999999999</v>
      </c>
      <c r="X240" s="163">
        <v>2.6239999999999999E-2</v>
      </c>
      <c r="Y240" s="132">
        <v>2.4070000000000001E-2</v>
      </c>
      <c r="Z240" s="132">
        <v>5.8999999999999999E-3</v>
      </c>
    </row>
    <row r="241" spans="1:26">
      <c r="A241" t="s">
        <v>1213</v>
      </c>
      <c r="B241" t="s">
        <v>1251</v>
      </c>
      <c r="C241" t="s">
        <v>5127</v>
      </c>
      <c r="D241" t="s">
        <v>5128</v>
      </c>
      <c r="E241" t="s">
        <v>310</v>
      </c>
      <c r="F241" t="s">
        <v>5129</v>
      </c>
      <c r="G241" s="108">
        <v>74256</v>
      </c>
      <c r="H241" t="s">
        <v>314</v>
      </c>
      <c r="I241" t="s">
        <v>1004</v>
      </c>
      <c r="J241" t="s">
        <v>832</v>
      </c>
      <c r="K241" t="s">
        <v>205</v>
      </c>
      <c r="L241" t="s">
        <v>272</v>
      </c>
      <c r="M241" t="s">
        <v>272</v>
      </c>
      <c r="N241" t="s">
        <v>272</v>
      </c>
      <c r="O241" t="s">
        <v>339</v>
      </c>
      <c r="P241" s="162">
        <v>45166</v>
      </c>
      <c r="Q241" t="s">
        <v>1218</v>
      </c>
      <c r="R241" t="s">
        <v>885</v>
      </c>
      <c r="S241" t="s">
        <v>889</v>
      </c>
      <c r="T241" t="s">
        <v>5026</v>
      </c>
      <c r="U241" s="131">
        <v>4.1520000000000001</v>
      </c>
      <c r="V241" s="131">
        <v>380.37</v>
      </c>
      <c r="W241" s="131">
        <v>1579.45</v>
      </c>
      <c r="X241" s="163">
        <v>0.18</v>
      </c>
      <c r="Y241" s="132">
        <v>2.325E-2</v>
      </c>
      <c r="Z241" s="132">
        <v>5.6899999999999997E-3</v>
      </c>
    </row>
    <row r="242" spans="1:26">
      <c r="A242" t="s">
        <v>1213</v>
      </c>
      <c r="B242" t="s">
        <v>1251</v>
      </c>
      <c r="D242" t="s">
        <v>5032</v>
      </c>
      <c r="E242" t="s">
        <v>309</v>
      </c>
      <c r="F242" t="s">
        <v>5033</v>
      </c>
      <c r="G242" s="108">
        <v>74181</v>
      </c>
      <c r="H242" t="s">
        <v>314</v>
      </c>
      <c r="I242" t="s">
        <v>1004</v>
      </c>
      <c r="J242" t="s">
        <v>833</v>
      </c>
      <c r="K242" t="s">
        <v>205</v>
      </c>
      <c r="L242" t="s">
        <v>204</v>
      </c>
      <c r="M242" t="s">
        <v>204</v>
      </c>
      <c r="N242" t="s">
        <v>224</v>
      </c>
      <c r="O242" t="s">
        <v>339</v>
      </c>
      <c r="P242" s="162">
        <v>43412</v>
      </c>
      <c r="Q242" t="s">
        <v>1216</v>
      </c>
      <c r="R242" t="s">
        <v>885</v>
      </c>
      <c r="S242" t="s">
        <v>889</v>
      </c>
      <c r="T242" t="s">
        <v>4954</v>
      </c>
      <c r="U242" s="131">
        <v>3.71</v>
      </c>
      <c r="V242" s="131">
        <v>379.86399999999998</v>
      </c>
      <c r="W242" s="131">
        <v>1409.2940000000001</v>
      </c>
      <c r="X242" s="163">
        <v>0.19900000000000001</v>
      </c>
      <c r="Y242" s="132">
        <v>2.0750000000000001E-2</v>
      </c>
      <c r="Z242" s="132">
        <v>5.0800000000000003E-3</v>
      </c>
    </row>
    <row r="243" spans="1:26">
      <c r="A243" t="s">
        <v>1213</v>
      </c>
      <c r="B243" t="s">
        <v>1251</v>
      </c>
      <c r="C243" t="s">
        <v>5150</v>
      </c>
      <c r="D243" t="s">
        <v>5151</v>
      </c>
      <c r="E243" t="s">
        <v>311</v>
      </c>
      <c r="F243" t="s">
        <v>5152</v>
      </c>
      <c r="G243" s="108">
        <v>74244</v>
      </c>
      <c r="H243" t="s">
        <v>314</v>
      </c>
      <c r="I243" t="s">
        <v>1004</v>
      </c>
      <c r="J243" t="s">
        <v>833</v>
      </c>
      <c r="K243" t="s">
        <v>205</v>
      </c>
      <c r="L243" t="s">
        <v>224</v>
      </c>
      <c r="M243" t="s">
        <v>224</v>
      </c>
      <c r="N243" t="s">
        <v>224</v>
      </c>
      <c r="O243" t="s">
        <v>339</v>
      </c>
      <c r="P243" s="162">
        <v>44881</v>
      </c>
      <c r="Q243" t="s">
        <v>1216</v>
      </c>
      <c r="R243" t="s">
        <v>885</v>
      </c>
      <c r="S243" t="s">
        <v>889</v>
      </c>
      <c r="T243" t="s">
        <v>4876</v>
      </c>
      <c r="U243" s="131">
        <v>3.71</v>
      </c>
      <c r="V243" s="131">
        <v>369.11</v>
      </c>
      <c r="W243" s="131">
        <v>1369.4</v>
      </c>
      <c r="X243" s="163">
        <v>2.4199999999999999E-2</v>
      </c>
      <c r="Y243" s="132">
        <v>2.0160000000000001E-2</v>
      </c>
      <c r="Z243" s="132">
        <v>4.9399999999999999E-3</v>
      </c>
    </row>
    <row r="244" spans="1:26">
      <c r="A244" t="s">
        <v>1213</v>
      </c>
      <c r="B244" t="s">
        <v>1251</v>
      </c>
      <c r="C244" t="s">
        <v>5124</v>
      </c>
      <c r="D244" t="s">
        <v>5125</v>
      </c>
      <c r="E244" t="s">
        <v>311</v>
      </c>
      <c r="F244" t="s">
        <v>5126</v>
      </c>
      <c r="G244" s="108">
        <v>74199</v>
      </c>
      <c r="H244" t="s">
        <v>314</v>
      </c>
      <c r="I244" t="s">
        <v>1003</v>
      </c>
      <c r="J244" t="s">
        <v>837</v>
      </c>
      <c r="K244" t="s">
        <v>205</v>
      </c>
      <c r="L244" t="s">
        <v>224</v>
      </c>
      <c r="M244" t="s">
        <v>224</v>
      </c>
      <c r="N244" t="s">
        <v>224</v>
      </c>
      <c r="O244" t="s">
        <v>339</v>
      </c>
      <c r="P244" s="162">
        <v>43881</v>
      </c>
      <c r="Q244" t="s">
        <v>1216</v>
      </c>
      <c r="R244" t="s">
        <v>885</v>
      </c>
      <c r="S244" t="s">
        <v>889</v>
      </c>
      <c r="T244" t="s">
        <v>4876</v>
      </c>
      <c r="U244" s="131">
        <v>3.71</v>
      </c>
      <c r="V244" s="131">
        <v>307.67399999999998</v>
      </c>
      <c r="W244" s="131">
        <v>1141.47</v>
      </c>
      <c r="X244" s="163">
        <v>2.6270000000000002E-2</v>
      </c>
      <c r="Y244" s="132">
        <v>1.6799999999999999E-2</v>
      </c>
      <c r="Z244" s="132">
        <v>4.1099999999999999E-3</v>
      </c>
    </row>
    <row r="245" spans="1:26">
      <c r="A245" t="s">
        <v>1213</v>
      </c>
      <c r="B245" t="s">
        <v>1251</v>
      </c>
      <c r="D245" t="s">
        <v>5034</v>
      </c>
      <c r="E245" t="s">
        <v>311</v>
      </c>
      <c r="F245" t="s">
        <v>5035</v>
      </c>
      <c r="G245" s="108">
        <v>74197</v>
      </c>
      <c r="H245" t="s">
        <v>314</v>
      </c>
      <c r="I245" t="s">
        <v>1003</v>
      </c>
      <c r="J245" t="s">
        <v>836</v>
      </c>
      <c r="K245" t="s">
        <v>205</v>
      </c>
      <c r="L245" t="s">
        <v>224</v>
      </c>
      <c r="M245" t="s">
        <v>224</v>
      </c>
      <c r="N245" t="s">
        <v>224</v>
      </c>
      <c r="O245" t="s">
        <v>339</v>
      </c>
      <c r="P245" s="162">
        <v>43857</v>
      </c>
      <c r="Q245" t="s">
        <v>1216</v>
      </c>
      <c r="R245" t="s">
        <v>885</v>
      </c>
      <c r="S245" t="s">
        <v>889</v>
      </c>
      <c r="T245" t="s">
        <v>4876</v>
      </c>
      <c r="U245" s="131">
        <v>3.71</v>
      </c>
      <c r="V245" s="131">
        <v>285.12700000000001</v>
      </c>
      <c r="W245" s="131">
        <v>1057.82</v>
      </c>
      <c r="X245" s="163">
        <v>2.53E-2</v>
      </c>
      <c r="Y245" s="132">
        <v>1.5570000000000001E-2</v>
      </c>
      <c r="Z245" s="132">
        <v>3.81E-3</v>
      </c>
    </row>
    <row r="246" spans="1:26">
      <c r="A246" t="s">
        <v>1213</v>
      </c>
      <c r="B246" t="s">
        <v>1251</v>
      </c>
      <c r="C246" t="s">
        <v>5130</v>
      </c>
      <c r="D246" t="s">
        <v>5131</v>
      </c>
      <c r="E246" t="s">
        <v>311</v>
      </c>
      <c r="F246" t="s">
        <v>5132</v>
      </c>
      <c r="G246" s="108">
        <v>74237</v>
      </c>
      <c r="H246" t="s">
        <v>314</v>
      </c>
      <c r="I246" t="s">
        <v>1004</v>
      </c>
      <c r="J246" t="s">
        <v>833</v>
      </c>
      <c r="K246" t="s">
        <v>205</v>
      </c>
      <c r="L246" t="s">
        <v>233</v>
      </c>
      <c r="M246" t="s">
        <v>233</v>
      </c>
      <c r="N246" t="s">
        <v>233</v>
      </c>
      <c r="O246" t="s">
        <v>339</v>
      </c>
      <c r="P246" s="162">
        <v>44721</v>
      </c>
      <c r="Q246" t="s">
        <v>1227</v>
      </c>
      <c r="R246" t="s">
        <v>885</v>
      </c>
      <c r="S246" t="s">
        <v>889</v>
      </c>
      <c r="T246" t="s">
        <v>5133</v>
      </c>
      <c r="U246" s="131">
        <v>4.9749999999999996</v>
      </c>
      <c r="V246" s="131">
        <v>204.488</v>
      </c>
      <c r="W246" s="131">
        <v>1017.287</v>
      </c>
      <c r="X246" s="163">
        <v>4.5373999999999998E-2</v>
      </c>
      <c r="Y246" s="132">
        <v>1.4970000000000001E-2</v>
      </c>
      <c r="Z246" s="132">
        <v>3.6700000000000001E-3</v>
      </c>
    </row>
    <row r="247" spans="1:26">
      <c r="A247" t="s">
        <v>1213</v>
      </c>
      <c r="B247" t="s">
        <v>1251</v>
      </c>
      <c r="C247" t="s">
        <v>5038</v>
      </c>
      <c r="D247" t="s">
        <v>5039</v>
      </c>
      <c r="E247" t="s">
        <v>311</v>
      </c>
      <c r="F247" t="s">
        <v>5040</v>
      </c>
      <c r="G247" s="108">
        <v>74208</v>
      </c>
      <c r="H247" t="s">
        <v>314</v>
      </c>
      <c r="I247" t="s">
        <v>1004</v>
      </c>
      <c r="J247" t="s">
        <v>833</v>
      </c>
      <c r="K247" t="s">
        <v>205</v>
      </c>
      <c r="L247" t="s">
        <v>224</v>
      </c>
      <c r="M247" t="s">
        <v>224</v>
      </c>
      <c r="N247" t="s">
        <v>224</v>
      </c>
      <c r="O247" t="s">
        <v>339</v>
      </c>
      <c r="P247" s="162">
        <v>44186</v>
      </c>
      <c r="Q247" t="s">
        <v>1216</v>
      </c>
      <c r="R247" t="s">
        <v>885</v>
      </c>
      <c r="S247" t="s">
        <v>889</v>
      </c>
      <c r="T247" t="s">
        <v>4876</v>
      </c>
      <c r="U247" s="131">
        <v>3.71</v>
      </c>
      <c r="V247" s="131">
        <v>249.465</v>
      </c>
      <c r="W247" s="131">
        <v>925.51400000000001</v>
      </c>
      <c r="X247" s="163">
        <v>4.7000000000000002E-3</v>
      </c>
      <c r="Y247" s="132">
        <v>1.362E-2</v>
      </c>
      <c r="Z247" s="132">
        <v>3.3400000000000001E-3</v>
      </c>
    </row>
    <row r="248" spans="1:26">
      <c r="A248" t="s">
        <v>1213</v>
      </c>
      <c r="B248" t="s">
        <v>1251</v>
      </c>
      <c r="D248" t="s">
        <v>5027</v>
      </c>
      <c r="E248" t="s">
        <v>311</v>
      </c>
      <c r="F248" t="s">
        <v>5134</v>
      </c>
      <c r="G248" s="108">
        <v>74215</v>
      </c>
      <c r="H248" t="s">
        <v>314</v>
      </c>
      <c r="I248" t="s">
        <v>1000</v>
      </c>
      <c r="J248" t="s">
        <v>844</v>
      </c>
      <c r="K248" t="s">
        <v>205</v>
      </c>
      <c r="L248" t="s">
        <v>224</v>
      </c>
      <c r="M248" t="s">
        <v>224</v>
      </c>
      <c r="N248" t="s">
        <v>224</v>
      </c>
      <c r="O248" t="s">
        <v>339</v>
      </c>
      <c r="P248" s="162">
        <v>44308</v>
      </c>
      <c r="Q248" t="s">
        <v>1216</v>
      </c>
      <c r="R248" t="s">
        <v>885</v>
      </c>
      <c r="S248" t="s">
        <v>889</v>
      </c>
      <c r="T248" t="s">
        <v>4795</v>
      </c>
      <c r="U248" s="131">
        <v>3.71</v>
      </c>
      <c r="V248" s="131">
        <v>231.215</v>
      </c>
      <c r="W248" s="131">
        <v>857.80600000000004</v>
      </c>
      <c r="X248" s="163">
        <v>3.5400000000000001E-2</v>
      </c>
      <c r="Y248" s="132">
        <v>1.2630000000000001E-2</v>
      </c>
      <c r="Z248" s="132">
        <v>3.0899999999999999E-3</v>
      </c>
    </row>
    <row r="249" spans="1:26">
      <c r="A249" t="s">
        <v>1213</v>
      </c>
      <c r="B249" t="s">
        <v>1251</v>
      </c>
      <c r="D249" t="s">
        <v>5036</v>
      </c>
      <c r="E249" t="s">
        <v>311</v>
      </c>
      <c r="F249" t="s">
        <v>5037</v>
      </c>
      <c r="G249" s="108">
        <v>74183</v>
      </c>
      <c r="H249" t="s">
        <v>314</v>
      </c>
      <c r="I249" t="s">
        <v>1000</v>
      </c>
      <c r="J249" t="s">
        <v>844</v>
      </c>
      <c r="K249" t="s">
        <v>205</v>
      </c>
      <c r="L249" t="s">
        <v>224</v>
      </c>
      <c r="M249" t="s">
        <v>224</v>
      </c>
      <c r="N249" t="s">
        <v>224</v>
      </c>
      <c r="O249" t="s">
        <v>339</v>
      </c>
      <c r="P249" s="162">
        <v>43482</v>
      </c>
      <c r="Q249" t="s">
        <v>1216</v>
      </c>
      <c r="R249" t="s">
        <v>885</v>
      </c>
      <c r="S249" t="s">
        <v>889</v>
      </c>
      <c r="T249" t="s">
        <v>4991</v>
      </c>
      <c r="U249" s="131">
        <v>3.71</v>
      </c>
      <c r="V249" s="131">
        <v>206.25399999999999</v>
      </c>
      <c r="W249" s="131">
        <v>765.20100000000002</v>
      </c>
      <c r="X249" s="163">
        <v>5.2000000000000005E-2</v>
      </c>
      <c r="Y249" s="132">
        <v>1.1259999999999999E-2</v>
      </c>
      <c r="Z249" s="132">
        <v>2.7599999999999999E-3</v>
      </c>
    </row>
    <row r="250" spans="1:26">
      <c r="A250" t="s">
        <v>1213</v>
      </c>
      <c r="B250" t="s">
        <v>1251</v>
      </c>
      <c r="D250" t="s">
        <v>5036</v>
      </c>
      <c r="E250" t="s">
        <v>311</v>
      </c>
      <c r="F250" t="s">
        <v>5136</v>
      </c>
      <c r="G250" s="108">
        <v>74216</v>
      </c>
      <c r="H250" t="s">
        <v>314</v>
      </c>
      <c r="I250" t="s">
        <v>1000</v>
      </c>
      <c r="J250" t="s">
        <v>844</v>
      </c>
      <c r="K250" t="s">
        <v>205</v>
      </c>
      <c r="L250" t="s">
        <v>224</v>
      </c>
      <c r="M250" t="s">
        <v>224</v>
      </c>
      <c r="N250" t="s">
        <v>224</v>
      </c>
      <c r="O250" t="s">
        <v>339</v>
      </c>
      <c r="P250" s="162">
        <v>44371</v>
      </c>
      <c r="Q250" t="s">
        <v>1216</v>
      </c>
      <c r="R250" t="s">
        <v>885</v>
      </c>
      <c r="S250" t="s">
        <v>889</v>
      </c>
      <c r="T250" t="s">
        <v>4991</v>
      </c>
      <c r="U250" s="131">
        <v>3.71</v>
      </c>
      <c r="V250" s="131">
        <v>167.499</v>
      </c>
      <c r="W250" s="131">
        <v>621.423</v>
      </c>
      <c r="X250" s="163">
        <v>1.6000000000000004E-2</v>
      </c>
      <c r="Y250" s="132">
        <v>9.1500000000000001E-3</v>
      </c>
      <c r="Z250" s="132">
        <v>2.2399999999999998E-3</v>
      </c>
    </row>
    <row r="251" spans="1:26">
      <c r="A251" t="s">
        <v>1213</v>
      </c>
      <c r="B251" t="s">
        <v>1251</v>
      </c>
      <c r="C251" t="s">
        <v>4988</v>
      </c>
      <c r="D251" t="s">
        <v>4989</v>
      </c>
      <c r="E251" t="s">
        <v>309</v>
      </c>
      <c r="F251" t="s">
        <v>4990</v>
      </c>
      <c r="G251" s="108">
        <v>74255</v>
      </c>
      <c r="H251" t="s">
        <v>314</v>
      </c>
      <c r="I251" t="s">
        <v>1005</v>
      </c>
      <c r="J251" t="s">
        <v>831</v>
      </c>
      <c r="K251" t="s">
        <v>205</v>
      </c>
      <c r="L251" t="s">
        <v>233</v>
      </c>
      <c r="M251" t="s">
        <v>233</v>
      </c>
      <c r="N251" t="s">
        <v>233</v>
      </c>
      <c r="O251" t="s">
        <v>339</v>
      </c>
      <c r="P251" s="162">
        <v>45208</v>
      </c>
      <c r="Q251" t="s">
        <v>1227</v>
      </c>
      <c r="R251" t="s">
        <v>885</v>
      </c>
      <c r="S251" t="s">
        <v>889</v>
      </c>
      <c r="T251" t="s">
        <v>4991</v>
      </c>
      <c r="U251" s="131">
        <v>4.9749999999999996</v>
      </c>
      <c r="V251" s="131">
        <v>117.06699999999999</v>
      </c>
      <c r="W251" s="131">
        <v>582.38400000000001</v>
      </c>
      <c r="X251" s="163">
        <v>0.107</v>
      </c>
      <c r="Y251" s="132">
        <v>8.5699999999999995E-3</v>
      </c>
      <c r="Z251" s="132">
        <v>2.0999999999999999E-3</v>
      </c>
    </row>
    <row r="252" spans="1:26">
      <c r="A252" t="s">
        <v>1213</v>
      </c>
      <c r="B252" t="s">
        <v>1251</v>
      </c>
      <c r="D252" t="s">
        <v>3826</v>
      </c>
      <c r="E252" t="s">
        <v>311</v>
      </c>
      <c r="F252" t="s">
        <v>3825</v>
      </c>
      <c r="G252" s="108">
        <v>74242</v>
      </c>
      <c r="H252" t="s">
        <v>314</v>
      </c>
      <c r="I252" t="s">
        <v>1004</v>
      </c>
      <c r="J252" t="s">
        <v>833</v>
      </c>
      <c r="K252" t="s">
        <v>205</v>
      </c>
      <c r="L252" t="s">
        <v>272</v>
      </c>
      <c r="M252" t="s">
        <v>272</v>
      </c>
      <c r="N252" t="s">
        <v>272</v>
      </c>
      <c r="O252" t="s">
        <v>339</v>
      </c>
      <c r="P252" s="162">
        <v>44812</v>
      </c>
      <c r="Q252" t="s">
        <v>1218</v>
      </c>
      <c r="R252" t="s">
        <v>885</v>
      </c>
      <c r="S252" t="s">
        <v>889</v>
      </c>
      <c r="T252" t="s">
        <v>5135</v>
      </c>
      <c r="U252" s="131">
        <v>4.1520000000000001</v>
      </c>
      <c r="V252" s="131">
        <v>98.691000000000003</v>
      </c>
      <c r="W252" s="131">
        <v>409.80500000000001</v>
      </c>
      <c r="X252" s="163">
        <v>0.127</v>
      </c>
      <c r="Y252" s="132">
        <v>6.0299999999999998E-3</v>
      </c>
      <c r="Z252" s="132">
        <v>1.48E-3</v>
      </c>
    </row>
    <row r="253" spans="1:26">
      <c r="A253" t="s">
        <v>1213</v>
      </c>
      <c r="B253" t="s">
        <v>1251</v>
      </c>
      <c r="D253" t="s">
        <v>5027</v>
      </c>
      <c r="E253" t="s">
        <v>311</v>
      </c>
      <c r="F253" t="s">
        <v>5137</v>
      </c>
      <c r="G253" s="108">
        <v>74235</v>
      </c>
      <c r="H253" t="s">
        <v>314</v>
      </c>
      <c r="I253" t="s">
        <v>1000</v>
      </c>
      <c r="J253" t="s">
        <v>844</v>
      </c>
      <c r="K253" t="s">
        <v>205</v>
      </c>
      <c r="L253" t="s">
        <v>224</v>
      </c>
      <c r="M253" t="s">
        <v>224</v>
      </c>
      <c r="N253" t="s">
        <v>224</v>
      </c>
      <c r="O253" t="s">
        <v>339</v>
      </c>
      <c r="P253" s="162">
        <v>44712</v>
      </c>
      <c r="Q253" t="s">
        <v>1216</v>
      </c>
      <c r="R253" t="s">
        <v>885</v>
      </c>
      <c r="S253" t="s">
        <v>889</v>
      </c>
      <c r="T253" t="s">
        <v>4795</v>
      </c>
      <c r="U253" s="131">
        <v>3.71</v>
      </c>
      <c r="V253" s="131">
        <v>106.52200000000001</v>
      </c>
      <c r="W253" s="131">
        <v>395.197</v>
      </c>
      <c r="X253" s="163">
        <v>6.13E-2</v>
      </c>
      <c r="Y253" s="132">
        <v>5.8199999999999997E-3</v>
      </c>
      <c r="Z253" s="132">
        <v>1.42E-3</v>
      </c>
    </row>
    <row r="254" spans="1:26">
      <c r="A254" t="s">
        <v>1213</v>
      </c>
      <c r="B254" t="s">
        <v>1251</v>
      </c>
      <c r="C254" t="s">
        <v>4992</v>
      </c>
      <c r="D254" t="s">
        <v>4993</v>
      </c>
      <c r="E254" t="s">
        <v>311</v>
      </c>
      <c r="F254" t="s">
        <v>4994</v>
      </c>
      <c r="G254" s="108">
        <v>74272</v>
      </c>
      <c r="H254" t="s">
        <v>314</v>
      </c>
      <c r="I254" t="s">
        <v>1004</v>
      </c>
      <c r="J254" t="s">
        <v>832</v>
      </c>
      <c r="K254" t="s">
        <v>205</v>
      </c>
      <c r="L254" t="s">
        <v>224</v>
      </c>
      <c r="M254" t="s">
        <v>224</v>
      </c>
      <c r="N254" t="s">
        <v>224</v>
      </c>
      <c r="O254" t="s">
        <v>339</v>
      </c>
      <c r="P254" s="162">
        <v>45505</v>
      </c>
      <c r="Q254" t="s">
        <v>1216</v>
      </c>
      <c r="R254" t="s">
        <v>885</v>
      </c>
      <c r="S254" t="s">
        <v>889</v>
      </c>
      <c r="T254" t="s">
        <v>4995</v>
      </c>
      <c r="U254" s="131">
        <v>3.71</v>
      </c>
      <c r="V254" s="131">
        <v>52.533000000000001</v>
      </c>
      <c r="W254" s="131">
        <v>194.89699999999999</v>
      </c>
      <c r="X254" s="164">
        <v>0.34670000000000001</v>
      </c>
      <c r="Y254" s="132">
        <v>2.8700000000000002E-3</v>
      </c>
      <c r="Z254" s="132">
        <v>6.9999999999999999E-4</v>
      </c>
    </row>
    <row r="255" spans="1:26">
      <c r="A255" t="s">
        <v>1213</v>
      </c>
      <c r="B255" t="s">
        <v>1251</v>
      </c>
      <c r="C255" t="s">
        <v>4992</v>
      </c>
      <c r="D255" t="s">
        <v>4993</v>
      </c>
      <c r="E255" t="s">
        <v>311</v>
      </c>
      <c r="F255" t="s">
        <v>4996</v>
      </c>
      <c r="G255" s="108">
        <v>74266</v>
      </c>
      <c r="H255" t="s">
        <v>314</v>
      </c>
      <c r="I255" t="s">
        <v>1004</v>
      </c>
      <c r="J255" t="s">
        <v>832</v>
      </c>
      <c r="K255" t="s">
        <v>205</v>
      </c>
      <c r="L255" t="s">
        <v>224</v>
      </c>
      <c r="M255" t="s">
        <v>224</v>
      </c>
      <c r="N255" t="s">
        <v>224</v>
      </c>
      <c r="O255" t="s">
        <v>339</v>
      </c>
      <c r="P255" s="162">
        <v>45400</v>
      </c>
      <c r="Q255" t="s">
        <v>1216</v>
      </c>
      <c r="R255" t="s">
        <v>885</v>
      </c>
      <c r="S255" t="s">
        <v>889</v>
      </c>
      <c r="T255" t="s">
        <v>4870</v>
      </c>
      <c r="U255" s="131">
        <v>3.71</v>
      </c>
      <c r="V255" s="131">
        <v>48.15</v>
      </c>
      <c r="W255" s="131">
        <v>178.637</v>
      </c>
      <c r="X255" s="163">
        <v>0.4</v>
      </c>
      <c r="Y255" s="132">
        <v>2.63E-3</v>
      </c>
      <c r="Z255" s="132">
        <v>6.4000000000000005E-4</v>
      </c>
    </row>
    <row r="256" spans="1:26">
      <c r="A256" t="s">
        <v>1213</v>
      </c>
      <c r="B256" t="s">
        <v>1251</v>
      </c>
      <c r="D256" t="s">
        <v>5138</v>
      </c>
      <c r="E256" t="s">
        <v>311</v>
      </c>
      <c r="F256" t="s">
        <v>5139</v>
      </c>
      <c r="G256" s="108">
        <v>74247</v>
      </c>
      <c r="H256" t="s">
        <v>314</v>
      </c>
      <c r="I256" t="s">
        <v>1004</v>
      </c>
      <c r="J256" t="s">
        <v>833</v>
      </c>
      <c r="K256" t="s">
        <v>205</v>
      </c>
      <c r="L256" t="s">
        <v>233</v>
      </c>
      <c r="M256" t="s">
        <v>233</v>
      </c>
      <c r="N256" t="s">
        <v>233</v>
      </c>
      <c r="O256" t="s">
        <v>339</v>
      </c>
      <c r="P256" s="162">
        <v>44938</v>
      </c>
      <c r="Q256" t="s">
        <v>1227</v>
      </c>
      <c r="R256" t="s">
        <v>885</v>
      </c>
      <c r="S256" t="s">
        <v>889</v>
      </c>
      <c r="T256" t="s">
        <v>5003</v>
      </c>
      <c r="U256" s="131">
        <v>4.9749999999999996</v>
      </c>
      <c r="V256" s="131">
        <v>35.496000000000002</v>
      </c>
      <c r="W256" s="131">
        <v>176.584</v>
      </c>
      <c r="X256" s="163">
        <v>2.8799999999999999E-2</v>
      </c>
      <c r="Y256" s="132">
        <v>2.5999999999999999E-3</v>
      </c>
      <c r="Z256" s="132">
        <v>6.4000000000000005E-4</v>
      </c>
    </row>
    <row r="257" spans="1:26">
      <c r="A257" t="s">
        <v>1213</v>
      </c>
      <c r="B257" t="s">
        <v>1251</v>
      </c>
      <c r="C257" t="s">
        <v>4997</v>
      </c>
      <c r="D257" t="s">
        <v>4998</v>
      </c>
      <c r="E257" t="s">
        <v>311</v>
      </c>
      <c r="F257" t="s">
        <v>4997</v>
      </c>
      <c r="G257" s="108">
        <v>74271</v>
      </c>
      <c r="H257" t="s">
        <v>314</v>
      </c>
      <c r="I257" t="s">
        <v>1004</v>
      </c>
      <c r="J257" t="s">
        <v>832</v>
      </c>
      <c r="K257" t="s">
        <v>205</v>
      </c>
      <c r="L257" t="s">
        <v>217</v>
      </c>
      <c r="M257" t="s">
        <v>233</v>
      </c>
      <c r="N257" t="s">
        <v>233</v>
      </c>
      <c r="O257" t="s">
        <v>339</v>
      </c>
      <c r="P257" s="162">
        <v>45495</v>
      </c>
      <c r="Q257" t="s">
        <v>1227</v>
      </c>
      <c r="R257" t="s">
        <v>885</v>
      </c>
      <c r="S257" t="s">
        <v>889</v>
      </c>
      <c r="T257" t="s">
        <v>4999</v>
      </c>
      <c r="U257" s="131">
        <v>4.9749999999999996</v>
      </c>
      <c r="V257" s="131">
        <v>34</v>
      </c>
      <c r="W257" s="131">
        <v>169.143</v>
      </c>
      <c r="X257" s="164">
        <v>3.73E-2</v>
      </c>
      <c r="Y257" s="132">
        <v>2.49E-3</v>
      </c>
      <c r="Z257" s="132">
        <v>6.0999999999999997E-4</v>
      </c>
    </row>
    <row r="258" spans="1:26">
      <c r="A258" t="s">
        <v>1213</v>
      </c>
      <c r="B258" t="s">
        <v>1251</v>
      </c>
      <c r="C258" t="s">
        <v>5147</v>
      </c>
      <c r="D258" t="s">
        <v>5148</v>
      </c>
      <c r="E258" t="s">
        <v>311</v>
      </c>
      <c r="F258" t="s">
        <v>5149</v>
      </c>
      <c r="G258" s="108">
        <v>74270</v>
      </c>
      <c r="H258" t="s">
        <v>314</v>
      </c>
      <c r="I258" t="s">
        <v>1004</v>
      </c>
      <c r="J258" t="s">
        <v>833</v>
      </c>
      <c r="K258" t="s">
        <v>205</v>
      </c>
      <c r="L258" t="s">
        <v>253</v>
      </c>
      <c r="M258" t="s">
        <v>253</v>
      </c>
      <c r="N258" t="s">
        <v>212</v>
      </c>
      <c r="O258" t="s">
        <v>339</v>
      </c>
      <c r="P258" s="162">
        <v>45484</v>
      </c>
      <c r="Q258" t="s">
        <v>1218</v>
      </c>
      <c r="R258" t="s">
        <v>885</v>
      </c>
      <c r="S258" t="s">
        <v>889</v>
      </c>
      <c r="T258" t="s">
        <v>4737</v>
      </c>
      <c r="U258" s="131">
        <v>4.1520000000000001</v>
      </c>
      <c r="V258" s="131">
        <v>31.87</v>
      </c>
      <c r="W258" s="131">
        <v>132.33699999999999</v>
      </c>
      <c r="X258" s="166">
        <v>0.13500000000000001</v>
      </c>
      <c r="Y258" s="132">
        <v>1.9499999999999999E-3</v>
      </c>
      <c r="Z258" s="132">
        <v>4.8000000000000001E-4</v>
      </c>
    </row>
    <row r="259" spans="1:26">
      <c r="A259" t="s">
        <v>1213</v>
      </c>
      <c r="B259" t="s">
        <v>1251</v>
      </c>
      <c r="D259" t="s">
        <v>5140</v>
      </c>
      <c r="E259" t="s">
        <v>311</v>
      </c>
      <c r="F259" t="s">
        <v>5141</v>
      </c>
      <c r="G259" s="108">
        <v>74193</v>
      </c>
      <c r="H259" t="s">
        <v>314</v>
      </c>
      <c r="I259" t="s">
        <v>1003</v>
      </c>
      <c r="J259" t="s">
        <v>836</v>
      </c>
      <c r="K259" t="s">
        <v>205</v>
      </c>
      <c r="L259" t="s">
        <v>224</v>
      </c>
      <c r="M259" t="s">
        <v>224</v>
      </c>
      <c r="N259" t="s">
        <v>224</v>
      </c>
      <c r="O259" t="s">
        <v>339</v>
      </c>
      <c r="P259" s="162">
        <v>43790</v>
      </c>
      <c r="Q259" t="s">
        <v>1216</v>
      </c>
      <c r="R259" t="s">
        <v>885</v>
      </c>
      <c r="S259" t="s">
        <v>889</v>
      </c>
      <c r="T259" t="s">
        <v>5022</v>
      </c>
      <c r="U259" s="131">
        <v>3.71</v>
      </c>
      <c r="V259" s="131">
        <v>34.421999999999997</v>
      </c>
      <c r="W259" s="131">
        <v>127.70399999999999</v>
      </c>
      <c r="X259" s="163">
        <v>1.0200000000000001E-2</v>
      </c>
      <c r="Y259" s="132">
        <v>1.8799999999999999E-3</v>
      </c>
      <c r="Z259" s="132">
        <v>4.6000000000000001E-4</v>
      </c>
    </row>
    <row r="260" spans="1:26">
      <c r="A260" t="s">
        <v>1213</v>
      </c>
      <c r="B260" t="s">
        <v>1251</v>
      </c>
      <c r="C260" t="s">
        <v>5041</v>
      </c>
      <c r="D260" t="s">
        <v>5042</v>
      </c>
      <c r="E260" t="s">
        <v>310</v>
      </c>
      <c r="F260" t="s">
        <v>5043</v>
      </c>
      <c r="G260" s="108">
        <v>74187</v>
      </c>
      <c r="H260" t="s">
        <v>314</v>
      </c>
      <c r="I260" t="s">
        <v>1003</v>
      </c>
      <c r="J260" t="s">
        <v>836</v>
      </c>
      <c r="K260" t="s">
        <v>205</v>
      </c>
      <c r="L260" t="s">
        <v>204</v>
      </c>
      <c r="M260" t="s">
        <v>204</v>
      </c>
      <c r="N260" t="s">
        <v>303</v>
      </c>
      <c r="O260" t="s">
        <v>339</v>
      </c>
      <c r="P260" s="162">
        <v>43571</v>
      </c>
      <c r="Q260" t="s">
        <v>1216</v>
      </c>
      <c r="R260" t="s">
        <v>885</v>
      </c>
      <c r="S260" t="s">
        <v>889</v>
      </c>
      <c r="T260" t="s">
        <v>5018</v>
      </c>
      <c r="U260" s="131">
        <v>3.71</v>
      </c>
      <c r="V260" s="131">
        <v>31.923999999999999</v>
      </c>
      <c r="W260" s="131">
        <v>118.437</v>
      </c>
      <c r="X260" s="163">
        <v>3.3300000000000003E-2</v>
      </c>
      <c r="Y260" s="132">
        <v>1.74E-3</v>
      </c>
      <c r="Z260" s="132">
        <v>4.2999999999999999E-4</v>
      </c>
    </row>
    <row r="261" spans="1:26">
      <c r="A261" t="s">
        <v>1213</v>
      </c>
      <c r="B261" t="s">
        <v>1251</v>
      </c>
      <c r="D261" t="s">
        <v>5044</v>
      </c>
      <c r="E261" t="s">
        <v>311</v>
      </c>
      <c r="F261" t="s">
        <v>5045</v>
      </c>
      <c r="G261" s="108">
        <v>74188</v>
      </c>
      <c r="H261" t="s">
        <v>314</v>
      </c>
      <c r="I261" t="s">
        <v>1002</v>
      </c>
      <c r="J261" t="s">
        <v>569</v>
      </c>
      <c r="K261" t="s">
        <v>205</v>
      </c>
      <c r="L261" t="s">
        <v>224</v>
      </c>
      <c r="M261" t="s">
        <v>224</v>
      </c>
      <c r="N261" t="s">
        <v>224</v>
      </c>
      <c r="O261" t="s">
        <v>339</v>
      </c>
      <c r="P261" s="162">
        <v>43578</v>
      </c>
      <c r="Q261" t="s">
        <v>1216</v>
      </c>
      <c r="R261" t="s">
        <v>885</v>
      </c>
      <c r="S261" t="s">
        <v>889</v>
      </c>
      <c r="T261" t="s">
        <v>5046</v>
      </c>
      <c r="U261" s="131">
        <v>3.71</v>
      </c>
      <c r="V261" s="131">
        <v>23.545000000000002</v>
      </c>
      <c r="W261" s="131">
        <v>87.350999999999999</v>
      </c>
      <c r="X261" s="163">
        <v>1.7999999999999999E-2</v>
      </c>
      <c r="Y261" s="132">
        <v>1.2899999999999999E-3</v>
      </c>
      <c r="Z261" s="132">
        <v>3.1E-4</v>
      </c>
    </row>
    <row r="262" spans="1:26">
      <c r="A262" t="s">
        <v>1213</v>
      </c>
      <c r="B262" t="s">
        <v>1251</v>
      </c>
      <c r="C262" t="s">
        <v>5144</v>
      </c>
      <c r="D262" t="s">
        <v>5145</v>
      </c>
      <c r="E262" t="s">
        <v>309</v>
      </c>
      <c r="F262" t="s">
        <v>5146</v>
      </c>
      <c r="G262" s="108">
        <v>74192</v>
      </c>
      <c r="H262" t="s">
        <v>314</v>
      </c>
      <c r="I262" t="s">
        <v>1004</v>
      </c>
      <c r="J262" t="s">
        <v>833</v>
      </c>
      <c r="K262" t="s">
        <v>205</v>
      </c>
      <c r="L262" t="s">
        <v>224</v>
      </c>
      <c r="M262" t="s">
        <v>224</v>
      </c>
      <c r="N262" t="s">
        <v>224</v>
      </c>
      <c r="O262" t="s">
        <v>339</v>
      </c>
      <c r="P262" s="162">
        <v>43761</v>
      </c>
      <c r="Q262" t="s">
        <v>1216</v>
      </c>
      <c r="R262" t="s">
        <v>885</v>
      </c>
      <c r="S262" t="s">
        <v>889</v>
      </c>
      <c r="T262" t="s">
        <v>5018</v>
      </c>
      <c r="U262" s="131">
        <v>3.71</v>
      </c>
      <c r="V262" s="131">
        <v>22.413</v>
      </c>
      <c r="W262" s="131">
        <v>83.153000000000006</v>
      </c>
      <c r="X262" s="163">
        <v>3.5400000000000001E-2</v>
      </c>
      <c r="Y262" s="132">
        <v>1.2199999999999999E-3</v>
      </c>
      <c r="Z262" s="132">
        <v>2.9999999999999997E-4</v>
      </c>
    </row>
    <row r="263" spans="1:26">
      <c r="A263" t="s">
        <v>1213</v>
      </c>
      <c r="B263" t="s">
        <v>1252</v>
      </c>
      <c r="C263" t="s">
        <v>5047</v>
      </c>
      <c r="D263" t="s">
        <v>5048</v>
      </c>
      <c r="E263" t="s">
        <v>309</v>
      </c>
      <c r="F263" t="s">
        <v>5049</v>
      </c>
      <c r="G263" s="108" t="s">
        <v>5050</v>
      </c>
      <c r="H263" t="s">
        <v>321</v>
      </c>
      <c r="I263" t="s">
        <v>1002</v>
      </c>
      <c r="J263" t="s">
        <v>569</v>
      </c>
      <c r="K263" t="s">
        <v>204</v>
      </c>
      <c r="L263" t="s">
        <v>217</v>
      </c>
      <c r="M263" t="s">
        <v>204</v>
      </c>
      <c r="N263" t="s">
        <v>204</v>
      </c>
      <c r="O263" t="s">
        <v>339</v>
      </c>
      <c r="P263" s="162">
        <v>45565</v>
      </c>
      <c r="Q263" t="s">
        <v>1212</v>
      </c>
      <c r="R263" t="s">
        <v>885</v>
      </c>
      <c r="S263" t="s">
        <v>889</v>
      </c>
      <c r="T263" t="s">
        <v>4723</v>
      </c>
      <c r="U263" s="131">
        <v>1</v>
      </c>
      <c r="V263" s="131">
        <v>386.89100000000002</v>
      </c>
      <c r="W263" s="131">
        <v>386.89100000000002</v>
      </c>
      <c r="X263" s="165">
        <v>1.6E-2</v>
      </c>
      <c r="Y263" s="132">
        <v>1.44E-2</v>
      </c>
      <c r="Z263" s="132">
        <v>2.2100000000000002E-3</v>
      </c>
    </row>
    <row r="264" spans="1:26">
      <c r="A264" t="s">
        <v>1213</v>
      </c>
      <c r="B264" t="s">
        <v>1252</v>
      </c>
      <c r="C264" t="s">
        <v>5051</v>
      </c>
      <c r="D264" t="s">
        <v>5052</v>
      </c>
      <c r="E264" t="s">
        <v>309</v>
      </c>
      <c r="F264" t="s">
        <v>5053</v>
      </c>
      <c r="G264" s="108">
        <v>74196</v>
      </c>
      <c r="H264" t="s">
        <v>314</v>
      </c>
      <c r="I264" t="s">
        <v>1005</v>
      </c>
      <c r="J264" t="s">
        <v>826</v>
      </c>
      <c r="K264" t="s">
        <v>204</v>
      </c>
      <c r="L264" t="s">
        <v>204</v>
      </c>
      <c r="M264" t="s">
        <v>204</v>
      </c>
      <c r="N264" t="s">
        <v>204</v>
      </c>
      <c r="O264" t="s">
        <v>339</v>
      </c>
      <c r="P264" s="162">
        <v>43831</v>
      </c>
      <c r="Q264" t="s">
        <v>1212</v>
      </c>
      <c r="R264" t="s">
        <v>885</v>
      </c>
      <c r="S264" t="s">
        <v>889</v>
      </c>
      <c r="T264" t="s">
        <v>5054</v>
      </c>
      <c r="U264" s="131">
        <v>1</v>
      </c>
      <c r="V264" s="131">
        <v>2991.74</v>
      </c>
      <c r="W264" s="131">
        <v>2991.74</v>
      </c>
      <c r="X264" s="163">
        <v>0.14119999999999999</v>
      </c>
      <c r="Y264" s="132">
        <v>0.11133999999999999</v>
      </c>
      <c r="Z264" s="132">
        <v>1.7059999999999999E-2</v>
      </c>
    </row>
    <row r="265" spans="1:26">
      <c r="A265" t="s">
        <v>1213</v>
      </c>
      <c r="B265" t="s">
        <v>1252</v>
      </c>
      <c r="C265" t="s">
        <v>5000</v>
      </c>
      <c r="D265" t="s">
        <v>5001</v>
      </c>
      <c r="E265" t="s">
        <v>310</v>
      </c>
      <c r="F265" t="s">
        <v>5002</v>
      </c>
      <c r="G265" s="108">
        <v>74186</v>
      </c>
      <c r="H265" t="s">
        <v>314</v>
      </c>
      <c r="I265" t="s">
        <v>1004</v>
      </c>
      <c r="J265" t="s">
        <v>833</v>
      </c>
      <c r="K265" t="s">
        <v>204</v>
      </c>
      <c r="L265" t="s">
        <v>204</v>
      </c>
      <c r="M265" t="s">
        <v>204</v>
      </c>
      <c r="N265" t="s">
        <v>204</v>
      </c>
      <c r="O265" t="s">
        <v>339</v>
      </c>
      <c r="P265" s="162">
        <v>43542</v>
      </c>
      <c r="Q265" t="s">
        <v>1212</v>
      </c>
      <c r="R265" t="s">
        <v>885</v>
      </c>
      <c r="S265" t="s">
        <v>889</v>
      </c>
      <c r="T265" t="s">
        <v>5003</v>
      </c>
      <c r="U265" s="131">
        <v>1</v>
      </c>
      <c r="V265" s="131">
        <v>1421.434</v>
      </c>
      <c r="W265" s="131">
        <v>1421.434</v>
      </c>
      <c r="X265" s="163">
        <v>7.8700000000000006E-2</v>
      </c>
      <c r="Y265" s="132">
        <v>5.2900000000000003E-2</v>
      </c>
      <c r="Z265" s="132">
        <v>8.1099999999999992E-3</v>
      </c>
    </row>
    <row r="266" spans="1:26">
      <c r="A266" t="s">
        <v>1213</v>
      </c>
      <c r="B266" t="s">
        <v>1252</v>
      </c>
      <c r="C266" t="s">
        <v>5004</v>
      </c>
      <c r="D266" t="s">
        <v>5005</v>
      </c>
      <c r="E266" t="s">
        <v>309</v>
      </c>
      <c r="F266" t="s">
        <v>5006</v>
      </c>
      <c r="G266" s="108">
        <v>74185</v>
      </c>
      <c r="H266" t="s">
        <v>314</v>
      </c>
      <c r="I266" t="s">
        <v>1001</v>
      </c>
      <c r="J266" t="s">
        <v>831</v>
      </c>
      <c r="K266" t="s">
        <v>204</v>
      </c>
      <c r="L266" t="s">
        <v>204</v>
      </c>
      <c r="M266" t="s">
        <v>204</v>
      </c>
      <c r="N266" t="s">
        <v>204</v>
      </c>
      <c r="O266" t="s">
        <v>339</v>
      </c>
      <c r="P266" s="162">
        <v>43524</v>
      </c>
      <c r="Q266" t="s">
        <v>1212</v>
      </c>
      <c r="R266" t="s">
        <v>885</v>
      </c>
      <c r="S266" t="s">
        <v>889</v>
      </c>
      <c r="T266" t="s">
        <v>4877</v>
      </c>
      <c r="U266" s="131">
        <v>1</v>
      </c>
      <c r="V266" s="131">
        <v>1303.136</v>
      </c>
      <c r="W266" s="131">
        <v>1303.136</v>
      </c>
      <c r="X266" s="163">
        <v>0.1298</v>
      </c>
      <c r="Y266" s="132">
        <v>4.8500000000000001E-2</v>
      </c>
      <c r="Z266" s="132">
        <v>7.43E-3</v>
      </c>
    </row>
    <row r="267" spans="1:26">
      <c r="A267" t="s">
        <v>1213</v>
      </c>
      <c r="B267" t="s">
        <v>1252</v>
      </c>
      <c r="D267" t="s">
        <v>5067</v>
      </c>
      <c r="E267" t="s">
        <v>309</v>
      </c>
      <c r="F267" t="s">
        <v>5068</v>
      </c>
      <c r="G267" s="108">
        <v>74249</v>
      </c>
      <c r="H267" t="s">
        <v>314</v>
      </c>
      <c r="I267" t="s">
        <v>1005</v>
      </c>
      <c r="J267" t="s">
        <v>832</v>
      </c>
      <c r="K267" t="s">
        <v>204</v>
      </c>
      <c r="L267" t="s">
        <v>204</v>
      </c>
      <c r="M267" t="s">
        <v>204</v>
      </c>
      <c r="N267" t="s">
        <v>204</v>
      </c>
      <c r="O267" t="s">
        <v>339</v>
      </c>
      <c r="P267" s="162">
        <v>45006</v>
      </c>
      <c r="Q267" t="s">
        <v>1212</v>
      </c>
      <c r="R267" t="s">
        <v>885</v>
      </c>
      <c r="S267" t="s">
        <v>889</v>
      </c>
      <c r="T267" t="s">
        <v>5069</v>
      </c>
      <c r="U267" s="131">
        <v>1</v>
      </c>
      <c r="V267" s="131">
        <v>988.73699999999997</v>
      </c>
      <c r="W267" s="131">
        <v>988.73699999999997</v>
      </c>
      <c r="X267" s="163">
        <v>0.19600000000000001</v>
      </c>
      <c r="Y267" s="132">
        <v>3.6799999999999999E-2</v>
      </c>
      <c r="Z267" s="132">
        <v>5.64E-3</v>
      </c>
    </row>
    <row r="268" spans="1:26">
      <c r="A268" t="s">
        <v>1213</v>
      </c>
      <c r="B268" t="s">
        <v>1252</v>
      </c>
      <c r="C268" t="s">
        <v>5004</v>
      </c>
      <c r="D268" t="s">
        <v>5009</v>
      </c>
      <c r="E268" t="s">
        <v>309</v>
      </c>
      <c r="F268" t="s">
        <v>5010</v>
      </c>
      <c r="G268" s="108">
        <v>74202</v>
      </c>
      <c r="H268" t="s">
        <v>314</v>
      </c>
      <c r="I268" t="s">
        <v>1001</v>
      </c>
      <c r="J268" t="s">
        <v>831</v>
      </c>
      <c r="K268" t="s">
        <v>204</v>
      </c>
      <c r="L268" t="s">
        <v>204</v>
      </c>
      <c r="M268" t="s">
        <v>204</v>
      </c>
      <c r="N268" t="s">
        <v>204</v>
      </c>
      <c r="O268" t="s">
        <v>339</v>
      </c>
      <c r="P268" s="162">
        <v>43913</v>
      </c>
      <c r="Q268" t="s">
        <v>1212</v>
      </c>
      <c r="R268" t="s">
        <v>885</v>
      </c>
      <c r="S268" t="s">
        <v>889</v>
      </c>
      <c r="T268" t="s">
        <v>4877</v>
      </c>
      <c r="U268" s="131">
        <v>1</v>
      </c>
      <c r="V268" s="131">
        <v>745.67600000000004</v>
      </c>
      <c r="W268" s="131">
        <v>745.67600000000004</v>
      </c>
      <c r="X268" s="163">
        <v>0.1036</v>
      </c>
      <c r="Y268" s="132">
        <v>2.775E-2</v>
      </c>
      <c r="Z268" s="132">
        <v>4.2500000000000003E-3</v>
      </c>
    </row>
    <row r="269" spans="1:26">
      <c r="A269" t="s">
        <v>1213</v>
      </c>
      <c r="B269" t="s">
        <v>1252</v>
      </c>
      <c r="C269" t="s">
        <v>5007</v>
      </c>
      <c r="D269" t="s">
        <v>2129</v>
      </c>
      <c r="E269" t="s">
        <v>309</v>
      </c>
      <c r="F269" t="s">
        <v>5008</v>
      </c>
      <c r="G269" s="108">
        <v>74190</v>
      </c>
      <c r="H269" t="s">
        <v>314</v>
      </c>
      <c r="I269" t="s">
        <v>1005</v>
      </c>
      <c r="J269" t="s">
        <v>569</v>
      </c>
      <c r="K269" t="s">
        <v>204</v>
      </c>
      <c r="L269" t="s">
        <v>204</v>
      </c>
      <c r="M269" t="s">
        <v>204</v>
      </c>
      <c r="N269" t="s">
        <v>224</v>
      </c>
      <c r="O269" t="s">
        <v>339</v>
      </c>
      <c r="P269" s="162">
        <v>43691</v>
      </c>
      <c r="Q269" t="s">
        <v>1216</v>
      </c>
      <c r="R269" t="s">
        <v>885</v>
      </c>
      <c r="S269" t="s">
        <v>889</v>
      </c>
      <c r="T269" t="s">
        <v>4876</v>
      </c>
      <c r="U269" s="131">
        <v>3.71</v>
      </c>
      <c r="V269" s="131">
        <v>193.03899999999999</v>
      </c>
      <c r="W269" s="131">
        <v>716.17499999999995</v>
      </c>
      <c r="X269" s="163">
        <v>0.19874</v>
      </c>
      <c r="Y269" s="132">
        <v>2.665E-2</v>
      </c>
      <c r="Z269" s="132">
        <v>4.0800000000000003E-3</v>
      </c>
    </row>
    <row r="270" spans="1:26">
      <c r="A270" t="s">
        <v>1213</v>
      </c>
      <c r="B270" t="s">
        <v>1252</v>
      </c>
      <c r="C270" t="s">
        <v>5000</v>
      </c>
      <c r="D270" t="s">
        <v>5001</v>
      </c>
      <c r="E270" t="s">
        <v>310</v>
      </c>
      <c r="F270" t="s">
        <v>5059</v>
      </c>
      <c r="G270" s="108">
        <v>74204</v>
      </c>
      <c r="H270" t="s">
        <v>314</v>
      </c>
      <c r="I270" t="s">
        <v>1004</v>
      </c>
      <c r="J270" t="s">
        <v>833</v>
      </c>
      <c r="K270" t="s">
        <v>204</v>
      </c>
      <c r="L270" t="s">
        <v>204</v>
      </c>
      <c r="M270" t="s">
        <v>204</v>
      </c>
      <c r="N270" t="s">
        <v>204</v>
      </c>
      <c r="O270" t="s">
        <v>339</v>
      </c>
      <c r="P270" s="162">
        <v>44084</v>
      </c>
      <c r="Q270" t="s">
        <v>1212</v>
      </c>
      <c r="R270" t="s">
        <v>885</v>
      </c>
      <c r="S270" t="s">
        <v>889</v>
      </c>
      <c r="T270" t="s">
        <v>5060</v>
      </c>
      <c r="U270" s="131">
        <v>1</v>
      </c>
      <c r="V270" s="131">
        <v>712.66800000000001</v>
      </c>
      <c r="W270" s="131">
        <v>712.66800000000001</v>
      </c>
      <c r="X270" s="163">
        <v>7.8700000000000006E-2</v>
      </c>
      <c r="Y270" s="132">
        <v>2.6519999999999998E-2</v>
      </c>
      <c r="Z270" s="132">
        <v>4.0600000000000002E-3</v>
      </c>
    </row>
    <row r="271" spans="1:26">
      <c r="A271" t="s">
        <v>1213</v>
      </c>
      <c r="B271" t="s">
        <v>1252</v>
      </c>
      <c r="C271" t="s">
        <v>5082</v>
      </c>
      <c r="D271" t="s">
        <v>5083</v>
      </c>
      <c r="E271" t="s">
        <v>309</v>
      </c>
      <c r="F271" t="s">
        <v>5084</v>
      </c>
      <c r="G271" s="108">
        <v>74241</v>
      </c>
      <c r="H271" t="s">
        <v>314</v>
      </c>
      <c r="I271" t="s">
        <v>1003</v>
      </c>
      <c r="J271" t="s">
        <v>837</v>
      </c>
      <c r="K271" t="s">
        <v>204</v>
      </c>
      <c r="L271" t="s">
        <v>204</v>
      </c>
      <c r="M271" t="s">
        <v>204</v>
      </c>
      <c r="N271" t="s">
        <v>204</v>
      </c>
      <c r="O271" t="s">
        <v>339</v>
      </c>
      <c r="P271" s="162">
        <v>44752</v>
      </c>
      <c r="Q271" t="s">
        <v>1212</v>
      </c>
      <c r="R271" t="s">
        <v>885</v>
      </c>
      <c r="S271" t="s">
        <v>889</v>
      </c>
      <c r="T271" t="s">
        <v>5026</v>
      </c>
      <c r="U271" s="131">
        <v>1</v>
      </c>
      <c r="V271" s="131">
        <v>708.42700000000002</v>
      </c>
      <c r="W271" s="131">
        <v>708.42700000000002</v>
      </c>
      <c r="X271" s="163">
        <v>5.8299999999999998E-2</v>
      </c>
      <c r="Y271" s="132">
        <v>2.6360000000000001E-2</v>
      </c>
      <c r="Z271" s="132">
        <v>4.0400000000000002E-3</v>
      </c>
    </row>
    <row r="272" spans="1:26">
      <c r="A272" t="s">
        <v>1213</v>
      </c>
      <c r="B272" t="s">
        <v>1252</v>
      </c>
      <c r="C272" t="s">
        <v>5061</v>
      </c>
      <c r="D272" t="s">
        <v>5062</v>
      </c>
      <c r="E272" t="s">
        <v>309</v>
      </c>
      <c r="F272" t="s">
        <v>5063</v>
      </c>
      <c r="G272" s="108">
        <v>74231</v>
      </c>
      <c r="H272" t="s">
        <v>314</v>
      </c>
      <c r="I272" t="s">
        <v>1003</v>
      </c>
      <c r="J272" t="s">
        <v>836</v>
      </c>
      <c r="K272" t="s">
        <v>204</v>
      </c>
      <c r="L272" t="s">
        <v>204</v>
      </c>
      <c r="M272" t="s">
        <v>204</v>
      </c>
      <c r="N272" t="s">
        <v>204</v>
      </c>
      <c r="O272" t="s">
        <v>339</v>
      </c>
      <c r="P272" s="162">
        <v>44591</v>
      </c>
      <c r="Q272" t="s">
        <v>1212</v>
      </c>
      <c r="R272" t="s">
        <v>885</v>
      </c>
      <c r="S272" t="s">
        <v>889</v>
      </c>
      <c r="T272" t="s">
        <v>4876</v>
      </c>
      <c r="U272" s="131">
        <v>1</v>
      </c>
      <c r="V272" s="131">
        <v>626.30999999999995</v>
      </c>
      <c r="W272" s="131">
        <v>626.30999999999995</v>
      </c>
      <c r="X272" s="163">
        <v>5.2600000000000001E-2</v>
      </c>
      <c r="Y272" s="132">
        <v>2.3310000000000001E-2</v>
      </c>
      <c r="Z272" s="132">
        <v>3.5699999999999998E-3</v>
      </c>
    </row>
    <row r="273" spans="1:26">
      <c r="A273" t="s">
        <v>1213</v>
      </c>
      <c r="B273" t="s">
        <v>1252</v>
      </c>
      <c r="C273" t="s">
        <v>5064</v>
      </c>
      <c r="D273" t="s">
        <v>5065</v>
      </c>
      <c r="E273" t="s">
        <v>309</v>
      </c>
      <c r="F273" t="s">
        <v>5066</v>
      </c>
      <c r="G273" s="108">
        <v>74217</v>
      </c>
      <c r="H273" t="s">
        <v>314</v>
      </c>
      <c r="I273" t="s">
        <v>1003</v>
      </c>
      <c r="J273" t="s">
        <v>836</v>
      </c>
      <c r="K273" t="s">
        <v>204</v>
      </c>
      <c r="L273" t="s">
        <v>204</v>
      </c>
      <c r="M273" t="s">
        <v>204</v>
      </c>
      <c r="N273" t="s">
        <v>204</v>
      </c>
      <c r="O273" t="s">
        <v>339</v>
      </c>
      <c r="P273" s="162">
        <v>44370</v>
      </c>
      <c r="Q273" t="s">
        <v>1212</v>
      </c>
      <c r="R273" t="s">
        <v>885</v>
      </c>
      <c r="S273" t="s">
        <v>889</v>
      </c>
      <c r="T273" t="s">
        <v>4942</v>
      </c>
      <c r="U273" s="131">
        <v>1</v>
      </c>
      <c r="V273" s="131">
        <v>573.548</v>
      </c>
      <c r="W273" s="131">
        <v>573.548</v>
      </c>
      <c r="X273" s="163">
        <v>0.25196850393700787</v>
      </c>
      <c r="Y273" s="132">
        <v>2.1340000000000001E-2</v>
      </c>
      <c r="Z273" s="132">
        <v>3.2699999999999999E-3</v>
      </c>
    </row>
    <row r="274" spans="1:26">
      <c r="A274" t="s">
        <v>1213</v>
      </c>
      <c r="B274" t="s">
        <v>1252</v>
      </c>
      <c r="C274" t="s">
        <v>5070</v>
      </c>
      <c r="D274" t="s">
        <v>5071</v>
      </c>
      <c r="E274" t="s">
        <v>310</v>
      </c>
      <c r="F274" t="s">
        <v>5072</v>
      </c>
      <c r="G274" s="108">
        <v>74238</v>
      </c>
      <c r="H274" t="s">
        <v>314</v>
      </c>
      <c r="I274" t="s">
        <v>1004</v>
      </c>
      <c r="J274" t="s">
        <v>833</v>
      </c>
      <c r="K274" t="s">
        <v>204</v>
      </c>
      <c r="L274" t="s">
        <v>204</v>
      </c>
      <c r="M274" t="s">
        <v>204</v>
      </c>
      <c r="N274" t="s">
        <v>204</v>
      </c>
      <c r="O274" t="s">
        <v>339</v>
      </c>
      <c r="P274" s="162">
        <v>44721</v>
      </c>
      <c r="Q274" t="s">
        <v>1212</v>
      </c>
      <c r="R274" t="s">
        <v>885</v>
      </c>
      <c r="S274" t="s">
        <v>889</v>
      </c>
      <c r="T274" t="s">
        <v>5003</v>
      </c>
      <c r="U274" s="131">
        <v>1</v>
      </c>
      <c r="V274" s="131">
        <v>538.74099999999999</v>
      </c>
      <c r="W274" s="131">
        <v>538.74099999999999</v>
      </c>
      <c r="X274" s="163">
        <v>1.89E-2</v>
      </c>
      <c r="Y274" s="132">
        <v>2.0049999999999998E-2</v>
      </c>
      <c r="Z274" s="132">
        <v>3.0699999999999998E-3</v>
      </c>
    </row>
    <row r="275" spans="1:26">
      <c r="A275" t="s">
        <v>1213</v>
      </c>
      <c r="B275" t="s">
        <v>1252</v>
      </c>
      <c r="C275" t="s">
        <v>5085</v>
      </c>
      <c r="D275" t="s">
        <v>5086</v>
      </c>
      <c r="E275" t="s">
        <v>309</v>
      </c>
      <c r="F275" t="s">
        <v>5087</v>
      </c>
      <c r="G275" s="108">
        <v>74239</v>
      </c>
      <c r="H275" t="s">
        <v>314</v>
      </c>
      <c r="I275" t="s">
        <v>1003</v>
      </c>
      <c r="J275" t="s">
        <v>837</v>
      </c>
      <c r="K275" t="s">
        <v>204</v>
      </c>
      <c r="L275" t="s">
        <v>204</v>
      </c>
      <c r="M275" t="s">
        <v>204</v>
      </c>
      <c r="N275" t="s">
        <v>204</v>
      </c>
      <c r="O275" t="s">
        <v>339</v>
      </c>
      <c r="P275" s="162">
        <v>44741</v>
      </c>
      <c r="Q275" t="s">
        <v>1212</v>
      </c>
      <c r="R275" t="s">
        <v>885</v>
      </c>
      <c r="S275" t="s">
        <v>889</v>
      </c>
      <c r="T275" t="s">
        <v>4876</v>
      </c>
      <c r="U275" s="131">
        <v>1</v>
      </c>
      <c r="V275" s="131">
        <v>524.54999999999995</v>
      </c>
      <c r="W275" s="131">
        <v>524.54999999999995</v>
      </c>
      <c r="X275" s="163">
        <v>3.4099999999999998E-2</v>
      </c>
      <c r="Y275" s="132">
        <v>1.9519999999999999E-2</v>
      </c>
      <c r="Z275" s="132">
        <v>2.99E-3</v>
      </c>
    </row>
    <row r="276" spans="1:26">
      <c r="A276" t="s">
        <v>1213</v>
      </c>
      <c r="B276" t="s">
        <v>1252</v>
      </c>
      <c r="C276" t="s">
        <v>5011</v>
      </c>
      <c r="D276" t="s">
        <v>5012</v>
      </c>
      <c r="E276" t="s">
        <v>309</v>
      </c>
      <c r="F276" t="s">
        <v>5013</v>
      </c>
      <c r="G276" s="108">
        <v>74176</v>
      </c>
      <c r="H276" t="s">
        <v>314</v>
      </c>
      <c r="I276" t="s">
        <v>1002</v>
      </c>
      <c r="J276" t="s">
        <v>569</v>
      </c>
      <c r="K276" t="s">
        <v>204</v>
      </c>
      <c r="L276" t="s">
        <v>204</v>
      </c>
      <c r="M276" t="s">
        <v>204</v>
      </c>
      <c r="N276" t="s">
        <v>204</v>
      </c>
      <c r="O276" t="s">
        <v>339</v>
      </c>
      <c r="P276" s="162">
        <v>43306</v>
      </c>
      <c r="Q276" t="s">
        <v>1212</v>
      </c>
      <c r="R276" t="s">
        <v>885</v>
      </c>
      <c r="S276" t="s">
        <v>889</v>
      </c>
      <c r="T276" t="s">
        <v>5014</v>
      </c>
      <c r="U276" s="131">
        <v>1</v>
      </c>
      <c r="V276" s="131">
        <v>486.92700000000002</v>
      </c>
      <c r="W276" s="131">
        <v>486.92700000000002</v>
      </c>
      <c r="X276" s="163">
        <v>1.7500000000000002E-2</v>
      </c>
      <c r="Y276" s="132">
        <v>1.8120000000000001E-2</v>
      </c>
      <c r="Z276" s="132">
        <v>2.7799999999999999E-3</v>
      </c>
    </row>
    <row r="277" spans="1:26">
      <c r="A277" t="s">
        <v>1213</v>
      </c>
      <c r="B277" t="s">
        <v>1252</v>
      </c>
      <c r="C277" t="s">
        <v>5076</v>
      </c>
      <c r="D277" t="s">
        <v>5077</v>
      </c>
      <c r="E277" t="s">
        <v>309</v>
      </c>
      <c r="F277" t="s">
        <v>5078</v>
      </c>
      <c r="G277" s="108">
        <v>74228</v>
      </c>
      <c r="H277" t="s">
        <v>314</v>
      </c>
      <c r="I277" t="s">
        <v>1000</v>
      </c>
      <c r="J277" t="s">
        <v>844</v>
      </c>
      <c r="K277" t="s">
        <v>204</v>
      </c>
      <c r="L277" t="s">
        <v>204</v>
      </c>
      <c r="M277" t="s">
        <v>204</v>
      </c>
      <c r="N277" t="s">
        <v>204</v>
      </c>
      <c r="O277" t="s">
        <v>339</v>
      </c>
      <c r="P277" s="162">
        <v>44560</v>
      </c>
      <c r="Q277" t="s">
        <v>1216</v>
      </c>
      <c r="R277" t="s">
        <v>885</v>
      </c>
      <c r="S277" t="s">
        <v>889</v>
      </c>
      <c r="T277" t="s">
        <v>5022</v>
      </c>
      <c r="U277" s="131">
        <v>3.71</v>
      </c>
      <c r="V277" s="131">
        <v>130.83799999999999</v>
      </c>
      <c r="W277" s="131">
        <v>485.40800000000002</v>
      </c>
      <c r="X277" s="163">
        <v>6.7400000000000002E-2</v>
      </c>
      <c r="Y277" s="132">
        <v>1.806E-2</v>
      </c>
      <c r="Z277" s="132">
        <v>2.7699999999999999E-3</v>
      </c>
    </row>
    <row r="278" spans="1:26">
      <c r="A278" t="s">
        <v>1213</v>
      </c>
      <c r="B278" t="s">
        <v>1252</v>
      </c>
      <c r="C278" t="s">
        <v>5079</v>
      </c>
      <c r="D278" t="s">
        <v>5080</v>
      </c>
      <c r="E278" t="s">
        <v>309</v>
      </c>
      <c r="F278" t="s">
        <v>5081</v>
      </c>
      <c r="G278" s="108">
        <v>74233</v>
      </c>
      <c r="H278" t="s">
        <v>314</v>
      </c>
      <c r="I278" t="s">
        <v>1002</v>
      </c>
      <c r="J278" t="s">
        <v>569</v>
      </c>
      <c r="K278" t="s">
        <v>204</v>
      </c>
      <c r="L278" t="s">
        <v>204</v>
      </c>
      <c r="M278" t="s">
        <v>204</v>
      </c>
      <c r="N278" t="s">
        <v>224</v>
      </c>
      <c r="O278" t="s">
        <v>339</v>
      </c>
      <c r="P278" s="162">
        <v>44622</v>
      </c>
      <c r="Q278" t="s">
        <v>1212</v>
      </c>
      <c r="R278" t="s">
        <v>885</v>
      </c>
      <c r="S278" t="s">
        <v>889</v>
      </c>
      <c r="T278" t="s">
        <v>5014</v>
      </c>
      <c r="U278" s="131">
        <v>1</v>
      </c>
      <c r="V278" s="131">
        <v>477.91300000000001</v>
      </c>
      <c r="W278" s="131">
        <v>477.91300000000001</v>
      </c>
      <c r="X278" s="163">
        <v>0.104</v>
      </c>
      <c r="Y278" s="132">
        <v>1.779E-2</v>
      </c>
      <c r="Z278" s="132">
        <v>2.7299999999999998E-3</v>
      </c>
    </row>
    <row r="279" spans="1:26">
      <c r="A279" t="s">
        <v>1213</v>
      </c>
      <c r="B279" t="s">
        <v>1252</v>
      </c>
      <c r="C279" t="s">
        <v>5105</v>
      </c>
      <c r="D279" t="s">
        <v>5106</v>
      </c>
      <c r="E279" t="s">
        <v>311</v>
      </c>
      <c r="F279" t="s">
        <v>5107</v>
      </c>
      <c r="G279" s="108">
        <v>74243</v>
      </c>
      <c r="H279" t="s">
        <v>314</v>
      </c>
      <c r="I279" t="s">
        <v>1000</v>
      </c>
      <c r="J279" t="s">
        <v>844</v>
      </c>
      <c r="K279" t="s">
        <v>204</v>
      </c>
      <c r="L279" t="s">
        <v>204</v>
      </c>
      <c r="M279" t="s">
        <v>204</v>
      </c>
      <c r="N279" t="s">
        <v>204</v>
      </c>
      <c r="O279" t="s">
        <v>339</v>
      </c>
      <c r="P279" s="162">
        <v>44823</v>
      </c>
      <c r="Q279" t="s">
        <v>1216</v>
      </c>
      <c r="R279" t="s">
        <v>885</v>
      </c>
      <c r="S279" t="s">
        <v>889</v>
      </c>
      <c r="T279" t="s">
        <v>5018</v>
      </c>
      <c r="U279" s="131">
        <v>3.71</v>
      </c>
      <c r="V279" s="131">
        <v>75.710999999999999</v>
      </c>
      <c r="W279" s="131">
        <v>280.88799999999998</v>
      </c>
      <c r="X279" s="163">
        <v>0.1371</v>
      </c>
      <c r="Y279" s="132">
        <v>1.0449999999999999E-2</v>
      </c>
      <c r="Z279" s="132">
        <v>1.6000000000000001E-3</v>
      </c>
    </row>
    <row r="280" spans="1:26">
      <c r="A280" t="s">
        <v>1213</v>
      </c>
      <c r="B280" t="s">
        <v>1252</v>
      </c>
      <c r="C280" t="s">
        <v>5088</v>
      </c>
      <c r="D280" t="s">
        <v>5089</v>
      </c>
      <c r="E280" t="s">
        <v>309</v>
      </c>
      <c r="F280" t="s">
        <v>5090</v>
      </c>
      <c r="G280" s="108">
        <v>74221</v>
      </c>
      <c r="H280" t="s">
        <v>314</v>
      </c>
      <c r="I280" t="s">
        <v>1000</v>
      </c>
      <c r="J280" t="s">
        <v>844</v>
      </c>
      <c r="K280" t="s">
        <v>204</v>
      </c>
      <c r="L280" t="s">
        <v>204</v>
      </c>
      <c r="M280" t="s">
        <v>204</v>
      </c>
      <c r="N280" t="s">
        <v>296</v>
      </c>
      <c r="O280" t="s">
        <v>339</v>
      </c>
      <c r="P280" s="162">
        <v>44409</v>
      </c>
      <c r="Q280" t="s">
        <v>1216</v>
      </c>
      <c r="R280" t="s">
        <v>885</v>
      </c>
      <c r="S280" t="s">
        <v>889</v>
      </c>
      <c r="T280" t="s">
        <v>4876</v>
      </c>
      <c r="U280" s="131">
        <v>3.71</v>
      </c>
      <c r="V280" s="131">
        <v>73.614999999999995</v>
      </c>
      <c r="W280" s="131">
        <v>273.113</v>
      </c>
      <c r="X280" s="163">
        <v>7.5700000000000003E-2</v>
      </c>
      <c r="Y280" s="132">
        <v>1.0160000000000001E-2</v>
      </c>
      <c r="Z280" s="132">
        <v>1.56E-3</v>
      </c>
    </row>
    <row r="281" spans="1:26">
      <c r="A281" t="s">
        <v>1213</v>
      </c>
      <c r="B281" t="s">
        <v>1252</v>
      </c>
      <c r="C281" t="s">
        <v>4939</v>
      </c>
      <c r="D281" t="s">
        <v>4940</v>
      </c>
      <c r="E281" t="s">
        <v>309</v>
      </c>
      <c r="F281" t="s">
        <v>4955</v>
      </c>
      <c r="G281" s="108">
        <v>74252</v>
      </c>
      <c r="H281" t="s">
        <v>314</v>
      </c>
      <c r="I281" t="s">
        <v>1003</v>
      </c>
      <c r="J281" t="s">
        <v>839</v>
      </c>
      <c r="K281" t="s">
        <v>204</v>
      </c>
      <c r="L281" t="s">
        <v>204</v>
      </c>
      <c r="M281" t="s">
        <v>204</v>
      </c>
      <c r="N281" t="s">
        <v>204</v>
      </c>
      <c r="O281" t="s">
        <v>339</v>
      </c>
      <c r="P281" s="162">
        <v>45036</v>
      </c>
      <c r="Q281" t="s">
        <v>1212</v>
      </c>
      <c r="R281" t="s">
        <v>885</v>
      </c>
      <c r="S281" t="s">
        <v>889</v>
      </c>
      <c r="T281" t="s">
        <v>4942</v>
      </c>
      <c r="U281" s="131">
        <v>1</v>
      </c>
      <c r="V281" s="131">
        <v>257.39</v>
      </c>
      <c r="W281" s="131">
        <v>257.39</v>
      </c>
      <c r="X281" s="163">
        <v>2.07E-2</v>
      </c>
      <c r="Y281" s="132">
        <v>9.58E-3</v>
      </c>
      <c r="Z281" s="132">
        <v>1.47E-3</v>
      </c>
    </row>
    <row r="282" spans="1:26">
      <c r="A282" t="s">
        <v>1213</v>
      </c>
      <c r="B282" t="s">
        <v>1252</v>
      </c>
      <c r="C282" t="s">
        <v>5019</v>
      </c>
      <c r="D282" t="s">
        <v>5020</v>
      </c>
      <c r="E282" t="s">
        <v>309</v>
      </c>
      <c r="F282" t="s">
        <v>5021</v>
      </c>
      <c r="G282" s="108">
        <v>74177</v>
      </c>
      <c r="H282" t="s">
        <v>314</v>
      </c>
      <c r="I282" t="s">
        <v>1002</v>
      </c>
      <c r="J282" t="s">
        <v>569</v>
      </c>
      <c r="K282" t="s">
        <v>204</v>
      </c>
      <c r="L282" t="s">
        <v>204</v>
      </c>
      <c r="M282" t="s">
        <v>204</v>
      </c>
      <c r="N282" t="s">
        <v>204</v>
      </c>
      <c r="O282" t="s">
        <v>339</v>
      </c>
      <c r="P282" s="162">
        <v>43312</v>
      </c>
      <c r="Q282" t="s">
        <v>1212</v>
      </c>
      <c r="R282" t="s">
        <v>885</v>
      </c>
      <c r="S282" t="s">
        <v>889</v>
      </c>
      <c r="T282" t="s">
        <v>5022</v>
      </c>
      <c r="U282" s="131">
        <v>1</v>
      </c>
      <c r="V282" s="131">
        <v>223.602</v>
      </c>
      <c r="W282" s="131">
        <v>223.602</v>
      </c>
      <c r="X282" s="163">
        <v>2.9600000000000001E-2</v>
      </c>
      <c r="Y282" s="132">
        <v>8.3199999999999993E-3</v>
      </c>
      <c r="Z282" s="132">
        <v>1.2800000000000001E-3</v>
      </c>
    </row>
    <row r="283" spans="1:26">
      <c r="A283" t="s">
        <v>1213</v>
      </c>
      <c r="B283" t="s">
        <v>1252</v>
      </c>
      <c r="C283" t="s">
        <v>5015</v>
      </c>
      <c r="D283" t="s">
        <v>5016</v>
      </c>
      <c r="E283" t="s">
        <v>309</v>
      </c>
      <c r="F283" t="s">
        <v>5017</v>
      </c>
      <c r="G283" s="108">
        <v>74173</v>
      </c>
      <c r="H283" t="s">
        <v>314</v>
      </c>
      <c r="I283" t="s">
        <v>1000</v>
      </c>
      <c r="J283" t="s">
        <v>845</v>
      </c>
      <c r="K283" t="s">
        <v>204</v>
      </c>
      <c r="L283" t="s">
        <v>204</v>
      </c>
      <c r="M283" t="s">
        <v>204</v>
      </c>
      <c r="N283" t="s">
        <v>204</v>
      </c>
      <c r="O283" t="s">
        <v>339</v>
      </c>
      <c r="P283" s="162">
        <v>43157</v>
      </c>
      <c r="Q283" t="s">
        <v>1216</v>
      </c>
      <c r="R283" t="s">
        <v>885</v>
      </c>
      <c r="S283" t="s">
        <v>889</v>
      </c>
      <c r="T283" t="s">
        <v>5018</v>
      </c>
      <c r="U283" s="131">
        <v>3.71</v>
      </c>
      <c r="V283" s="131">
        <v>54.216999999999999</v>
      </c>
      <c r="W283" s="131">
        <v>201.14699999999999</v>
      </c>
      <c r="X283" s="163">
        <v>0.10349999999999999</v>
      </c>
      <c r="Y283" s="132">
        <v>7.4900000000000001E-3</v>
      </c>
      <c r="Z283" s="132">
        <v>1.15E-3</v>
      </c>
    </row>
    <row r="284" spans="1:26">
      <c r="A284" t="s">
        <v>1213</v>
      </c>
      <c r="B284" t="s">
        <v>1252</v>
      </c>
      <c r="C284" t="s">
        <v>5094</v>
      </c>
      <c r="D284" t="s">
        <v>5095</v>
      </c>
      <c r="E284" t="s">
        <v>309</v>
      </c>
      <c r="F284" t="s">
        <v>5096</v>
      </c>
      <c r="G284" s="108">
        <v>74179</v>
      </c>
      <c r="H284" t="s">
        <v>314</v>
      </c>
      <c r="I284" t="s">
        <v>1001</v>
      </c>
      <c r="J284" t="s">
        <v>831</v>
      </c>
      <c r="K284" t="s">
        <v>204</v>
      </c>
      <c r="L284" t="s">
        <v>204</v>
      </c>
      <c r="M284" t="s">
        <v>204</v>
      </c>
      <c r="N284" t="s">
        <v>204</v>
      </c>
      <c r="O284" t="s">
        <v>339</v>
      </c>
      <c r="P284" s="162">
        <v>43394</v>
      </c>
      <c r="Q284" t="s">
        <v>1212</v>
      </c>
      <c r="R284" t="s">
        <v>885</v>
      </c>
      <c r="S284" t="s">
        <v>889</v>
      </c>
      <c r="T284" t="s">
        <v>5022</v>
      </c>
      <c r="U284" s="131">
        <v>1</v>
      </c>
      <c r="V284" s="131">
        <v>110.197</v>
      </c>
      <c r="W284" s="131">
        <v>110.197</v>
      </c>
      <c r="X284" s="163">
        <v>0.11990000000000001</v>
      </c>
      <c r="Y284" s="132">
        <v>4.1000000000000003E-3</v>
      </c>
      <c r="Z284" s="132">
        <v>6.3000000000000003E-4</v>
      </c>
    </row>
    <row r="285" spans="1:26">
      <c r="A285" t="s">
        <v>1213</v>
      </c>
      <c r="B285" t="s">
        <v>1252</v>
      </c>
      <c r="D285" t="s">
        <v>4943</v>
      </c>
      <c r="E285" t="s">
        <v>309</v>
      </c>
      <c r="F285" t="s">
        <v>4944</v>
      </c>
      <c r="G285" s="108">
        <v>74254</v>
      </c>
      <c r="H285" t="s">
        <v>314</v>
      </c>
      <c r="I285" t="s">
        <v>1000</v>
      </c>
      <c r="J285" t="s">
        <v>845</v>
      </c>
      <c r="K285" t="s">
        <v>204</v>
      </c>
      <c r="L285" t="s">
        <v>204</v>
      </c>
      <c r="M285" t="s">
        <v>204</v>
      </c>
      <c r="N285" t="s">
        <v>204</v>
      </c>
      <c r="O285" t="s">
        <v>339</v>
      </c>
      <c r="P285" s="162">
        <v>45124</v>
      </c>
      <c r="Q285" t="s">
        <v>1216</v>
      </c>
      <c r="R285" t="s">
        <v>885</v>
      </c>
      <c r="S285" t="s">
        <v>889</v>
      </c>
      <c r="T285" t="s">
        <v>4945</v>
      </c>
      <c r="U285" s="131">
        <v>3.71</v>
      </c>
      <c r="V285" s="131">
        <v>10.661</v>
      </c>
      <c r="W285" s="131">
        <v>39.552999999999997</v>
      </c>
      <c r="X285" s="163">
        <v>7.0800000000000002E-2</v>
      </c>
      <c r="Y285" s="132">
        <v>1.47E-3</v>
      </c>
      <c r="Z285" s="132">
        <v>2.3000000000000001E-4</v>
      </c>
    </row>
    <row r="286" spans="1:26">
      <c r="A286" t="s">
        <v>1213</v>
      </c>
      <c r="B286" t="s">
        <v>1252</v>
      </c>
      <c r="C286" t="s">
        <v>5127</v>
      </c>
      <c r="D286" t="s">
        <v>5128</v>
      </c>
      <c r="E286" t="s">
        <v>310</v>
      </c>
      <c r="F286" t="s">
        <v>5129</v>
      </c>
      <c r="G286" s="108">
        <v>74256</v>
      </c>
      <c r="H286" t="s">
        <v>314</v>
      </c>
      <c r="I286" t="s">
        <v>1004</v>
      </c>
      <c r="J286" t="s">
        <v>832</v>
      </c>
      <c r="K286" t="s">
        <v>205</v>
      </c>
      <c r="L286" t="s">
        <v>272</v>
      </c>
      <c r="M286" t="s">
        <v>272</v>
      </c>
      <c r="N286" t="s">
        <v>272</v>
      </c>
      <c r="O286" t="s">
        <v>339</v>
      </c>
      <c r="P286" s="162">
        <v>45166</v>
      </c>
      <c r="Q286" t="s">
        <v>1218</v>
      </c>
      <c r="R286" t="s">
        <v>885</v>
      </c>
      <c r="S286" t="s">
        <v>889</v>
      </c>
      <c r="T286" t="s">
        <v>5026</v>
      </c>
      <c r="U286" s="131">
        <v>4.1520000000000001</v>
      </c>
      <c r="V286" s="131">
        <v>204.815</v>
      </c>
      <c r="W286" s="131">
        <v>850.47400000000005</v>
      </c>
      <c r="X286" s="163">
        <v>0.18</v>
      </c>
      <c r="Y286" s="132">
        <v>3.1649999999999998E-2</v>
      </c>
      <c r="Z286" s="132">
        <v>4.8500000000000001E-3</v>
      </c>
    </row>
    <row r="287" spans="1:26">
      <c r="A287" t="s">
        <v>1213</v>
      </c>
      <c r="B287" t="s">
        <v>1252</v>
      </c>
      <c r="D287" t="s">
        <v>4982</v>
      </c>
      <c r="E287" t="s">
        <v>311</v>
      </c>
      <c r="F287" t="s">
        <v>4983</v>
      </c>
      <c r="G287" s="108">
        <v>74203</v>
      </c>
      <c r="H287" t="s">
        <v>314</v>
      </c>
      <c r="I287" t="s">
        <v>1003</v>
      </c>
      <c r="J287" t="s">
        <v>833</v>
      </c>
      <c r="K287" t="s">
        <v>205</v>
      </c>
      <c r="L287" t="s">
        <v>224</v>
      </c>
      <c r="M287" t="s">
        <v>224</v>
      </c>
      <c r="N287" t="s">
        <v>224</v>
      </c>
      <c r="O287" t="s">
        <v>339</v>
      </c>
      <c r="P287" s="162">
        <v>43770</v>
      </c>
      <c r="Q287" t="s">
        <v>1216</v>
      </c>
      <c r="R287" t="s">
        <v>885</v>
      </c>
      <c r="S287" t="s">
        <v>889</v>
      </c>
      <c r="T287" t="s">
        <v>4882</v>
      </c>
      <c r="U287" s="131">
        <v>3.71</v>
      </c>
      <c r="V287" s="131">
        <v>202.489</v>
      </c>
      <c r="W287" s="131">
        <v>751.23400000000004</v>
      </c>
      <c r="X287" s="163">
        <v>6.8529999999999994E-2</v>
      </c>
      <c r="Y287" s="132">
        <v>2.7959999999999999E-2</v>
      </c>
      <c r="Z287" s="132">
        <v>4.28E-3</v>
      </c>
    </row>
    <row r="288" spans="1:26">
      <c r="A288" t="s">
        <v>1213</v>
      </c>
      <c r="B288" t="s">
        <v>1252</v>
      </c>
      <c r="D288" t="s">
        <v>5115</v>
      </c>
      <c r="E288" t="s">
        <v>309</v>
      </c>
      <c r="F288" t="s">
        <v>5116</v>
      </c>
      <c r="G288" s="108">
        <v>74240</v>
      </c>
      <c r="H288" t="s">
        <v>314</v>
      </c>
      <c r="I288" t="s">
        <v>1005</v>
      </c>
      <c r="J288" t="s">
        <v>832</v>
      </c>
      <c r="K288" t="s">
        <v>205</v>
      </c>
      <c r="L288" t="s">
        <v>204</v>
      </c>
      <c r="M288" t="s">
        <v>204</v>
      </c>
      <c r="N288" t="s">
        <v>303</v>
      </c>
      <c r="O288" t="s">
        <v>339</v>
      </c>
      <c r="P288" s="162">
        <v>44748</v>
      </c>
      <c r="Q288" t="s">
        <v>1218</v>
      </c>
      <c r="R288" t="s">
        <v>885</v>
      </c>
      <c r="S288" t="s">
        <v>889</v>
      </c>
      <c r="T288" t="s">
        <v>4954</v>
      </c>
      <c r="U288" s="131">
        <v>4.1520000000000001</v>
      </c>
      <c r="V288" s="131">
        <v>178.17400000000001</v>
      </c>
      <c r="W288" s="131">
        <v>739.85</v>
      </c>
      <c r="X288" s="163">
        <v>2.6239999999999999E-2</v>
      </c>
      <c r="Y288" s="132">
        <v>2.7529999999999999E-2</v>
      </c>
      <c r="Z288" s="132">
        <v>4.2199999999999998E-3</v>
      </c>
    </row>
    <row r="289" spans="1:26">
      <c r="A289" t="s">
        <v>1213</v>
      </c>
      <c r="B289" t="s">
        <v>1252</v>
      </c>
      <c r="C289" t="s">
        <v>5117</v>
      </c>
      <c r="D289" t="s">
        <v>5118</v>
      </c>
      <c r="E289" t="s">
        <v>310</v>
      </c>
      <c r="F289" t="s">
        <v>5119</v>
      </c>
      <c r="G289" s="108">
        <v>74205</v>
      </c>
      <c r="H289" t="s">
        <v>314</v>
      </c>
      <c r="I289" t="s">
        <v>1001</v>
      </c>
      <c r="J289" t="s">
        <v>831</v>
      </c>
      <c r="K289" t="s">
        <v>205</v>
      </c>
      <c r="L289" t="s">
        <v>286</v>
      </c>
      <c r="M289" t="s">
        <v>286</v>
      </c>
      <c r="N289" t="s">
        <v>286</v>
      </c>
      <c r="O289" t="s">
        <v>339</v>
      </c>
      <c r="P289" s="162">
        <v>44159</v>
      </c>
      <c r="Q289" t="s">
        <v>1218</v>
      </c>
      <c r="R289" t="s">
        <v>885</v>
      </c>
      <c r="S289" t="s">
        <v>889</v>
      </c>
      <c r="T289" t="s">
        <v>5120</v>
      </c>
      <c r="U289" s="131">
        <v>4.1520000000000001</v>
      </c>
      <c r="V289" s="131">
        <v>173.29400000000001</v>
      </c>
      <c r="W289" s="131">
        <v>719.58500000000004</v>
      </c>
      <c r="X289" s="163">
        <v>0.19639999999999999</v>
      </c>
      <c r="Y289" s="132">
        <v>2.6780000000000002E-2</v>
      </c>
      <c r="Z289" s="132">
        <v>4.1000000000000003E-3</v>
      </c>
    </row>
    <row r="290" spans="1:26">
      <c r="A290" t="s">
        <v>1213</v>
      </c>
      <c r="B290" t="s">
        <v>1252</v>
      </c>
      <c r="C290" t="s">
        <v>5023</v>
      </c>
      <c r="D290" t="s">
        <v>5024</v>
      </c>
      <c r="E290" t="s">
        <v>309</v>
      </c>
      <c r="F290" t="s">
        <v>5025</v>
      </c>
      <c r="G290" s="108">
        <v>74189</v>
      </c>
      <c r="H290" t="s">
        <v>314</v>
      </c>
      <c r="I290" t="s">
        <v>1002</v>
      </c>
      <c r="J290" t="s">
        <v>569</v>
      </c>
      <c r="K290" t="s">
        <v>205</v>
      </c>
      <c r="L290" t="s">
        <v>224</v>
      </c>
      <c r="M290" t="s">
        <v>224</v>
      </c>
      <c r="N290" t="s">
        <v>224</v>
      </c>
      <c r="O290" t="s">
        <v>339</v>
      </c>
      <c r="P290" s="162">
        <v>43586</v>
      </c>
      <c r="Q290" t="s">
        <v>1216</v>
      </c>
      <c r="R290" t="s">
        <v>885</v>
      </c>
      <c r="S290" t="s">
        <v>889</v>
      </c>
      <c r="T290" t="s">
        <v>5026</v>
      </c>
      <c r="U290" s="131">
        <v>3.71</v>
      </c>
      <c r="V290" s="131">
        <v>189.06100000000001</v>
      </c>
      <c r="W290" s="131">
        <v>701.41499999999996</v>
      </c>
      <c r="X290" s="163">
        <v>3.3799999999999997E-2</v>
      </c>
      <c r="Y290" s="132">
        <v>2.6100000000000002E-2</v>
      </c>
      <c r="Z290" s="132">
        <v>4.0000000000000001E-3</v>
      </c>
    </row>
    <row r="291" spans="1:26">
      <c r="A291" t="s">
        <v>1213</v>
      </c>
      <c r="B291" t="s">
        <v>1252</v>
      </c>
      <c r="C291" t="s">
        <v>5150</v>
      </c>
      <c r="D291" t="s">
        <v>5151</v>
      </c>
      <c r="E291" t="s">
        <v>311</v>
      </c>
      <c r="F291" t="s">
        <v>5152</v>
      </c>
      <c r="G291" s="108">
        <v>74244</v>
      </c>
      <c r="H291" t="s">
        <v>314</v>
      </c>
      <c r="I291" t="s">
        <v>1004</v>
      </c>
      <c r="J291" t="s">
        <v>833</v>
      </c>
      <c r="K291" t="s">
        <v>205</v>
      </c>
      <c r="L291" t="s">
        <v>224</v>
      </c>
      <c r="M291" t="s">
        <v>224</v>
      </c>
      <c r="N291" t="s">
        <v>224</v>
      </c>
      <c r="O291" t="s">
        <v>339</v>
      </c>
      <c r="P291" s="162">
        <v>44881</v>
      </c>
      <c r="Q291" t="s">
        <v>1216</v>
      </c>
      <c r="R291" t="s">
        <v>885</v>
      </c>
      <c r="S291" t="s">
        <v>889</v>
      </c>
      <c r="T291" t="s">
        <v>4876</v>
      </c>
      <c r="U291" s="131">
        <v>3.71</v>
      </c>
      <c r="V291" s="131">
        <v>180.054</v>
      </c>
      <c r="W291" s="131">
        <v>668</v>
      </c>
      <c r="X291" s="163">
        <v>2.4199999999999999E-2</v>
      </c>
      <c r="Y291" s="132">
        <v>2.486E-2</v>
      </c>
      <c r="Z291" s="132">
        <v>3.81E-3</v>
      </c>
    </row>
    <row r="292" spans="1:26">
      <c r="A292" t="s">
        <v>1213</v>
      </c>
      <c r="B292" t="s">
        <v>1252</v>
      </c>
      <c r="C292" t="s">
        <v>5038</v>
      </c>
      <c r="D292" t="s">
        <v>5039</v>
      </c>
      <c r="E292" t="s">
        <v>311</v>
      </c>
      <c r="F292" t="s">
        <v>5040</v>
      </c>
      <c r="G292" s="108">
        <v>74208</v>
      </c>
      <c r="H292" t="s">
        <v>314</v>
      </c>
      <c r="I292" t="s">
        <v>1004</v>
      </c>
      <c r="J292" t="s">
        <v>833</v>
      </c>
      <c r="K292" t="s">
        <v>205</v>
      </c>
      <c r="L292" t="s">
        <v>224</v>
      </c>
      <c r="M292" t="s">
        <v>224</v>
      </c>
      <c r="N292" t="s">
        <v>224</v>
      </c>
      <c r="O292" t="s">
        <v>339</v>
      </c>
      <c r="P292" s="162">
        <v>44186</v>
      </c>
      <c r="Q292" t="s">
        <v>1216</v>
      </c>
      <c r="R292" t="s">
        <v>885</v>
      </c>
      <c r="S292" t="s">
        <v>889</v>
      </c>
      <c r="T292" t="s">
        <v>4876</v>
      </c>
      <c r="U292" s="131">
        <v>3.71</v>
      </c>
      <c r="V292" s="131">
        <v>179.58699999999999</v>
      </c>
      <c r="W292" s="131">
        <v>666.26900000000001</v>
      </c>
      <c r="X292" s="163">
        <v>4.7000000000000002E-3</v>
      </c>
      <c r="Y292" s="132">
        <v>2.479E-2</v>
      </c>
      <c r="Z292" s="132">
        <v>3.8E-3</v>
      </c>
    </row>
    <row r="293" spans="1:26">
      <c r="A293" t="s">
        <v>1213</v>
      </c>
      <c r="B293" t="s">
        <v>1252</v>
      </c>
      <c r="D293" t="s">
        <v>5027</v>
      </c>
      <c r="E293" t="s">
        <v>311</v>
      </c>
      <c r="F293" t="s">
        <v>5114</v>
      </c>
      <c r="G293" s="108">
        <v>74200</v>
      </c>
      <c r="H293" t="s">
        <v>314</v>
      </c>
      <c r="I293" t="s">
        <v>1000</v>
      </c>
      <c r="J293" t="s">
        <v>844</v>
      </c>
      <c r="K293" t="s">
        <v>205</v>
      </c>
      <c r="L293" t="s">
        <v>224</v>
      </c>
      <c r="M293" t="s">
        <v>224</v>
      </c>
      <c r="N293" t="s">
        <v>224</v>
      </c>
      <c r="O293" t="s">
        <v>339</v>
      </c>
      <c r="P293" s="162">
        <v>43891</v>
      </c>
      <c r="Q293" t="s">
        <v>1216</v>
      </c>
      <c r="R293" t="s">
        <v>885</v>
      </c>
      <c r="S293" t="s">
        <v>889</v>
      </c>
      <c r="T293" t="s">
        <v>4795</v>
      </c>
      <c r="U293" s="131">
        <v>3.71</v>
      </c>
      <c r="V293" s="131">
        <v>171.13499999999999</v>
      </c>
      <c r="W293" s="131">
        <v>634.90899999999999</v>
      </c>
      <c r="X293" s="163">
        <v>5.6800000000000003E-2</v>
      </c>
      <c r="Y293" s="132">
        <v>2.3630000000000002E-2</v>
      </c>
      <c r="Z293" s="132">
        <v>3.62E-3</v>
      </c>
    </row>
    <row r="294" spans="1:26">
      <c r="A294" t="s">
        <v>1213</v>
      </c>
      <c r="B294" t="s">
        <v>1252</v>
      </c>
      <c r="D294" t="s">
        <v>5121</v>
      </c>
      <c r="E294" t="s">
        <v>311</v>
      </c>
      <c r="F294" t="s">
        <v>5122</v>
      </c>
      <c r="G294" s="108">
        <v>74207</v>
      </c>
      <c r="H294" t="s">
        <v>314</v>
      </c>
      <c r="I294" t="s">
        <v>1005</v>
      </c>
      <c r="J294" t="s">
        <v>569</v>
      </c>
      <c r="K294" t="s">
        <v>205</v>
      </c>
      <c r="L294" t="s">
        <v>233</v>
      </c>
      <c r="M294" t="s">
        <v>224</v>
      </c>
      <c r="N294" t="s">
        <v>296</v>
      </c>
      <c r="O294" t="s">
        <v>339</v>
      </c>
      <c r="P294" s="162">
        <v>44166</v>
      </c>
      <c r="Q294" t="s">
        <v>1216</v>
      </c>
      <c r="R294" t="s">
        <v>885</v>
      </c>
      <c r="S294" t="s">
        <v>889</v>
      </c>
      <c r="T294" t="s">
        <v>5123</v>
      </c>
      <c r="U294" s="131">
        <v>3.71</v>
      </c>
      <c r="V294" s="131">
        <v>168.209</v>
      </c>
      <c r="W294" s="131">
        <v>624.05600000000004</v>
      </c>
      <c r="X294" s="163">
        <v>1.1111111111111111E-3</v>
      </c>
      <c r="Y294" s="132">
        <v>2.3220000000000001E-2</v>
      </c>
      <c r="Z294" s="132">
        <v>3.5599999999999998E-3</v>
      </c>
    </row>
    <row r="295" spans="1:26">
      <c r="A295" t="s">
        <v>1213</v>
      </c>
      <c r="B295" t="s">
        <v>1252</v>
      </c>
      <c r="D295" t="s">
        <v>5027</v>
      </c>
      <c r="E295" t="s">
        <v>311</v>
      </c>
      <c r="F295" t="s">
        <v>5028</v>
      </c>
      <c r="G295" s="108">
        <v>74180</v>
      </c>
      <c r="H295" t="s">
        <v>314</v>
      </c>
      <c r="I295" t="s">
        <v>1000</v>
      </c>
      <c r="J295" t="s">
        <v>844</v>
      </c>
      <c r="K295" t="s">
        <v>205</v>
      </c>
      <c r="L295" t="s">
        <v>224</v>
      </c>
      <c r="M295" t="s">
        <v>224</v>
      </c>
      <c r="N295" t="s">
        <v>224</v>
      </c>
      <c r="O295" t="s">
        <v>339</v>
      </c>
      <c r="P295" s="162">
        <v>43411</v>
      </c>
      <c r="Q295" t="s">
        <v>1216</v>
      </c>
      <c r="R295" t="s">
        <v>885</v>
      </c>
      <c r="S295" t="s">
        <v>889</v>
      </c>
      <c r="T295" t="s">
        <v>4795</v>
      </c>
      <c r="U295" s="131">
        <v>3.71</v>
      </c>
      <c r="V295" s="131">
        <v>159.864</v>
      </c>
      <c r="W295" s="131">
        <v>593.096</v>
      </c>
      <c r="X295" s="163">
        <v>5.8900000000000001E-2</v>
      </c>
      <c r="Y295" s="132">
        <v>2.2069999999999999E-2</v>
      </c>
      <c r="Z295" s="132">
        <v>3.3800000000000002E-3</v>
      </c>
    </row>
    <row r="296" spans="1:26">
      <c r="A296" t="s">
        <v>1213</v>
      </c>
      <c r="B296" t="s">
        <v>1252</v>
      </c>
      <c r="C296" t="s">
        <v>5029</v>
      </c>
      <c r="D296" t="s">
        <v>5030</v>
      </c>
      <c r="E296" t="s">
        <v>311</v>
      </c>
      <c r="F296" t="s">
        <v>5031</v>
      </c>
      <c r="G296" s="108">
        <v>74178</v>
      </c>
      <c r="H296" t="s">
        <v>314</v>
      </c>
      <c r="I296" t="s">
        <v>1004</v>
      </c>
      <c r="J296" t="s">
        <v>833</v>
      </c>
      <c r="K296" t="s">
        <v>205</v>
      </c>
      <c r="L296" t="s">
        <v>224</v>
      </c>
      <c r="M296" t="s">
        <v>224</v>
      </c>
      <c r="N296" t="s">
        <v>224</v>
      </c>
      <c r="O296" t="s">
        <v>339</v>
      </c>
      <c r="P296" s="162">
        <v>43321</v>
      </c>
      <c r="Q296" t="s">
        <v>1216</v>
      </c>
      <c r="R296" t="s">
        <v>885</v>
      </c>
      <c r="S296" t="s">
        <v>889</v>
      </c>
      <c r="T296" t="s">
        <v>4876</v>
      </c>
      <c r="U296" s="131">
        <v>3.71</v>
      </c>
      <c r="V296" s="131">
        <v>143.858</v>
      </c>
      <c r="W296" s="131">
        <v>533.71400000000006</v>
      </c>
      <c r="X296" s="163">
        <v>3.4639999999999997E-2</v>
      </c>
      <c r="Y296" s="132">
        <v>1.9859999999999999E-2</v>
      </c>
      <c r="Z296" s="132">
        <v>3.0400000000000002E-3</v>
      </c>
    </row>
    <row r="297" spans="1:26">
      <c r="A297" t="s">
        <v>1213</v>
      </c>
      <c r="B297" t="s">
        <v>1252</v>
      </c>
      <c r="D297" t="s">
        <v>5032</v>
      </c>
      <c r="E297" t="s">
        <v>309</v>
      </c>
      <c r="F297" t="s">
        <v>5033</v>
      </c>
      <c r="G297" s="108">
        <v>74181</v>
      </c>
      <c r="H297" t="s">
        <v>314</v>
      </c>
      <c r="I297" t="s">
        <v>1004</v>
      </c>
      <c r="J297" t="s">
        <v>833</v>
      </c>
      <c r="K297" t="s">
        <v>205</v>
      </c>
      <c r="L297" t="s">
        <v>204</v>
      </c>
      <c r="M297" t="s">
        <v>204</v>
      </c>
      <c r="N297" t="s">
        <v>224</v>
      </c>
      <c r="O297" t="s">
        <v>339</v>
      </c>
      <c r="P297" s="162">
        <v>43412</v>
      </c>
      <c r="Q297" t="s">
        <v>1216</v>
      </c>
      <c r="R297" t="s">
        <v>885</v>
      </c>
      <c r="S297" t="s">
        <v>889</v>
      </c>
      <c r="T297" t="s">
        <v>4954</v>
      </c>
      <c r="U297" s="131">
        <v>3.71</v>
      </c>
      <c r="V297" s="131">
        <v>125.018</v>
      </c>
      <c r="W297" s="131">
        <v>463.81599999999997</v>
      </c>
      <c r="X297" s="163">
        <v>0.19900000000000001</v>
      </c>
      <c r="Y297" s="132">
        <v>1.7260000000000001E-2</v>
      </c>
      <c r="Z297" s="132">
        <v>2.65E-3</v>
      </c>
    </row>
    <row r="298" spans="1:26">
      <c r="A298" t="s">
        <v>1213</v>
      </c>
      <c r="B298" t="s">
        <v>1252</v>
      </c>
      <c r="D298" t="s">
        <v>5027</v>
      </c>
      <c r="E298" t="s">
        <v>311</v>
      </c>
      <c r="F298" t="s">
        <v>5134</v>
      </c>
      <c r="G298" s="108">
        <v>74215</v>
      </c>
      <c r="H298" t="s">
        <v>314</v>
      </c>
      <c r="I298" t="s">
        <v>1000</v>
      </c>
      <c r="J298" t="s">
        <v>844</v>
      </c>
      <c r="K298" t="s">
        <v>205</v>
      </c>
      <c r="L298" t="s">
        <v>224</v>
      </c>
      <c r="M298" t="s">
        <v>224</v>
      </c>
      <c r="N298" t="s">
        <v>224</v>
      </c>
      <c r="O298" t="s">
        <v>339</v>
      </c>
      <c r="P298" s="162">
        <v>44308</v>
      </c>
      <c r="Q298" t="s">
        <v>1216</v>
      </c>
      <c r="R298" t="s">
        <v>885</v>
      </c>
      <c r="S298" t="s">
        <v>889</v>
      </c>
      <c r="T298" t="s">
        <v>4795</v>
      </c>
      <c r="U298" s="131">
        <v>3.71</v>
      </c>
      <c r="V298" s="131">
        <v>115.925</v>
      </c>
      <c r="W298" s="131">
        <v>430.08100000000002</v>
      </c>
      <c r="X298" s="163">
        <v>3.5400000000000001E-2</v>
      </c>
      <c r="Y298" s="132">
        <v>1.601E-2</v>
      </c>
      <c r="Z298" s="132">
        <v>2.4499999999999999E-3</v>
      </c>
    </row>
    <row r="299" spans="1:26">
      <c r="A299" t="s">
        <v>1213</v>
      </c>
      <c r="B299" t="s">
        <v>1252</v>
      </c>
      <c r="C299" t="s">
        <v>5130</v>
      </c>
      <c r="D299" t="s">
        <v>5131</v>
      </c>
      <c r="E299" t="s">
        <v>311</v>
      </c>
      <c r="F299" t="s">
        <v>5132</v>
      </c>
      <c r="G299" s="108">
        <v>74237</v>
      </c>
      <c r="H299" t="s">
        <v>314</v>
      </c>
      <c r="I299" t="s">
        <v>1004</v>
      </c>
      <c r="J299" t="s">
        <v>833</v>
      </c>
      <c r="K299" t="s">
        <v>205</v>
      </c>
      <c r="L299" t="s">
        <v>233</v>
      </c>
      <c r="M299" t="s">
        <v>233</v>
      </c>
      <c r="N299" t="s">
        <v>233</v>
      </c>
      <c r="O299" t="s">
        <v>339</v>
      </c>
      <c r="P299" s="162">
        <v>44721</v>
      </c>
      <c r="Q299" t="s">
        <v>1227</v>
      </c>
      <c r="R299" t="s">
        <v>885</v>
      </c>
      <c r="S299" t="s">
        <v>889</v>
      </c>
      <c r="T299" t="s">
        <v>5133</v>
      </c>
      <c r="U299" s="131">
        <v>4.9749999999999996</v>
      </c>
      <c r="V299" s="131">
        <v>83.39</v>
      </c>
      <c r="W299" s="131">
        <v>414.85</v>
      </c>
      <c r="X299" s="163">
        <v>4.5373999999999998E-2</v>
      </c>
      <c r="Y299" s="132">
        <v>1.5440000000000001E-2</v>
      </c>
      <c r="Z299" s="132">
        <v>2.3700000000000001E-3</v>
      </c>
    </row>
    <row r="300" spans="1:26">
      <c r="A300" t="s">
        <v>1213</v>
      </c>
      <c r="B300" t="s">
        <v>1252</v>
      </c>
      <c r="C300" t="s">
        <v>5124</v>
      </c>
      <c r="D300" t="s">
        <v>5125</v>
      </c>
      <c r="E300" t="s">
        <v>311</v>
      </c>
      <c r="F300" t="s">
        <v>5126</v>
      </c>
      <c r="G300" s="108">
        <v>74199</v>
      </c>
      <c r="H300" t="s">
        <v>314</v>
      </c>
      <c r="I300" t="s">
        <v>1003</v>
      </c>
      <c r="J300" t="s">
        <v>837</v>
      </c>
      <c r="K300" t="s">
        <v>205</v>
      </c>
      <c r="L300" t="s">
        <v>224</v>
      </c>
      <c r="M300" t="s">
        <v>224</v>
      </c>
      <c r="N300" t="s">
        <v>224</v>
      </c>
      <c r="O300" t="s">
        <v>339</v>
      </c>
      <c r="P300" s="162">
        <v>43881</v>
      </c>
      <c r="Q300" t="s">
        <v>1216</v>
      </c>
      <c r="R300" t="s">
        <v>885</v>
      </c>
      <c r="S300" t="s">
        <v>889</v>
      </c>
      <c r="T300" t="s">
        <v>4876</v>
      </c>
      <c r="U300" s="131">
        <v>3.71</v>
      </c>
      <c r="V300" s="131">
        <v>108.321</v>
      </c>
      <c r="W300" s="131">
        <v>401.87099999999998</v>
      </c>
      <c r="X300" s="163">
        <v>2.6270000000000002E-2</v>
      </c>
      <c r="Y300" s="132">
        <v>1.4959999999999999E-2</v>
      </c>
      <c r="Z300" s="132">
        <v>2.2899999999999999E-3</v>
      </c>
    </row>
    <row r="301" spans="1:26">
      <c r="A301" t="s">
        <v>1213</v>
      </c>
      <c r="B301" t="s">
        <v>1252</v>
      </c>
      <c r="D301" t="s">
        <v>3826</v>
      </c>
      <c r="E301" t="s">
        <v>311</v>
      </c>
      <c r="F301" t="s">
        <v>3825</v>
      </c>
      <c r="G301" s="108">
        <v>74242</v>
      </c>
      <c r="H301" t="s">
        <v>314</v>
      </c>
      <c r="I301" t="s">
        <v>1004</v>
      </c>
      <c r="J301" t="s">
        <v>833</v>
      </c>
      <c r="K301" t="s">
        <v>205</v>
      </c>
      <c r="L301" t="s">
        <v>272</v>
      </c>
      <c r="M301" t="s">
        <v>272</v>
      </c>
      <c r="N301" t="s">
        <v>272</v>
      </c>
      <c r="O301" t="s">
        <v>339</v>
      </c>
      <c r="P301" s="162">
        <v>44812</v>
      </c>
      <c r="Q301" t="s">
        <v>1218</v>
      </c>
      <c r="R301" t="s">
        <v>885</v>
      </c>
      <c r="S301" t="s">
        <v>889</v>
      </c>
      <c r="T301" t="s">
        <v>5135</v>
      </c>
      <c r="U301" s="131">
        <v>4.1520000000000001</v>
      </c>
      <c r="V301" s="131">
        <v>88.62</v>
      </c>
      <c r="W301" s="131">
        <v>367.98599999999999</v>
      </c>
      <c r="X301" s="163">
        <v>0.127</v>
      </c>
      <c r="Y301" s="132">
        <v>1.3690000000000001E-2</v>
      </c>
      <c r="Z301" s="132">
        <v>2.0999999999999999E-3</v>
      </c>
    </row>
    <row r="302" spans="1:26">
      <c r="A302" t="s">
        <v>1213</v>
      </c>
      <c r="B302" t="s">
        <v>1252</v>
      </c>
      <c r="D302" t="s">
        <v>5027</v>
      </c>
      <c r="E302" t="s">
        <v>311</v>
      </c>
      <c r="F302" t="s">
        <v>5137</v>
      </c>
      <c r="G302" s="108">
        <v>74235</v>
      </c>
      <c r="H302" t="s">
        <v>314</v>
      </c>
      <c r="I302" t="s">
        <v>1000</v>
      </c>
      <c r="J302" t="s">
        <v>844</v>
      </c>
      <c r="K302" t="s">
        <v>205</v>
      </c>
      <c r="L302" t="s">
        <v>224</v>
      </c>
      <c r="M302" t="s">
        <v>224</v>
      </c>
      <c r="N302" t="s">
        <v>224</v>
      </c>
      <c r="O302" t="s">
        <v>339</v>
      </c>
      <c r="P302" s="162">
        <v>44712</v>
      </c>
      <c r="Q302" t="s">
        <v>1216</v>
      </c>
      <c r="R302" t="s">
        <v>885</v>
      </c>
      <c r="S302" t="s">
        <v>889</v>
      </c>
      <c r="T302" t="s">
        <v>4795</v>
      </c>
      <c r="U302" s="131">
        <v>3.71</v>
      </c>
      <c r="V302" s="131">
        <v>95.912000000000006</v>
      </c>
      <c r="W302" s="131">
        <v>355.83199999999999</v>
      </c>
      <c r="X302" s="163">
        <v>6.13E-2</v>
      </c>
      <c r="Y302" s="132">
        <v>1.324E-2</v>
      </c>
      <c r="Z302" s="132">
        <v>2.0300000000000001E-3</v>
      </c>
    </row>
    <row r="303" spans="1:26">
      <c r="A303" t="s">
        <v>1213</v>
      </c>
      <c r="B303" t="s">
        <v>1252</v>
      </c>
      <c r="C303" t="s">
        <v>4988</v>
      </c>
      <c r="D303" t="s">
        <v>4989</v>
      </c>
      <c r="E303" t="s">
        <v>309</v>
      </c>
      <c r="F303" t="s">
        <v>4990</v>
      </c>
      <c r="G303" s="108">
        <v>74255</v>
      </c>
      <c r="H303" t="s">
        <v>314</v>
      </c>
      <c r="I303" t="s">
        <v>1005</v>
      </c>
      <c r="J303" t="s">
        <v>831</v>
      </c>
      <c r="K303" t="s">
        <v>205</v>
      </c>
      <c r="L303" t="s">
        <v>233</v>
      </c>
      <c r="M303" t="s">
        <v>233</v>
      </c>
      <c r="N303" t="s">
        <v>233</v>
      </c>
      <c r="O303" t="s">
        <v>339</v>
      </c>
      <c r="P303" s="162">
        <v>45208</v>
      </c>
      <c r="Q303" t="s">
        <v>1227</v>
      </c>
      <c r="R303" t="s">
        <v>885</v>
      </c>
      <c r="S303" t="s">
        <v>889</v>
      </c>
      <c r="T303" t="s">
        <v>4991</v>
      </c>
      <c r="U303" s="131">
        <v>4.9749999999999996</v>
      </c>
      <c r="V303" s="131">
        <v>69.275999999999996</v>
      </c>
      <c r="W303" s="131">
        <v>344.63400000000001</v>
      </c>
      <c r="X303" s="163">
        <v>0.107</v>
      </c>
      <c r="Y303" s="132">
        <v>1.2829999999999999E-2</v>
      </c>
      <c r="Z303" s="132">
        <v>1.97E-3</v>
      </c>
    </row>
    <row r="304" spans="1:26">
      <c r="A304" t="s">
        <v>1213</v>
      </c>
      <c r="B304" t="s">
        <v>1252</v>
      </c>
      <c r="D304" t="s">
        <v>5034</v>
      </c>
      <c r="E304" t="s">
        <v>311</v>
      </c>
      <c r="F304" t="s">
        <v>5035</v>
      </c>
      <c r="G304" s="108">
        <v>74197</v>
      </c>
      <c r="H304" t="s">
        <v>314</v>
      </c>
      <c r="I304" t="s">
        <v>1003</v>
      </c>
      <c r="J304" t="s">
        <v>836</v>
      </c>
      <c r="K304" t="s">
        <v>205</v>
      </c>
      <c r="L304" t="s">
        <v>224</v>
      </c>
      <c r="M304" t="s">
        <v>224</v>
      </c>
      <c r="N304" t="s">
        <v>224</v>
      </c>
      <c r="O304" t="s">
        <v>339</v>
      </c>
      <c r="P304" s="162">
        <v>43857</v>
      </c>
      <c r="Q304" t="s">
        <v>1216</v>
      </c>
      <c r="R304" t="s">
        <v>885</v>
      </c>
      <c r="S304" t="s">
        <v>889</v>
      </c>
      <c r="T304" t="s">
        <v>4876</v>
      </c>
      <c r="U304" s="131">
        <v>3.71</v>
      </c>
      <c r="V304" s="131">
        <v>90.159000000000006</v>
      </c>
      <c r="W304" s="131">
        <v>334.49099999999999</v>
      </c>
      <c r="X304" s="163">
        <v>2.53E-2</v>
      </c>
      <c r="Y304" s="132">
        <v>1.2449999999999999E-2</v>
      </c>
      <c r="Z304" s="132">
        <v>1.91E-3</v>
      </c>
    </row>
    <row r="305" spans="1:26">
      <c r="A305" t="s">
        <v>1213</v>
      </c>
      <c r="B305" t="s">
        <v>1252</v>
      </c>
      <c r="D305" t="s">
        <v>5036</v>
      </c>
      <c r="E305" t="s">
        <v>311</v>
      </c>
      <c r="F305" t="s">
        <v>5037</v>
      </c>
      <c r="G305" s="108">
        <v>74183</v>
      </c>
      <c r="H305" t="s">
        <v>314</v>
      </c>
      <c r="I305" t="s">
        <v>1000</v>
      </c>
      <c r="J305" t="s">
        <v>844</v>
      </c>
      <c r="K305" t="s">
        <v>205</v>
      </c>
      <c r="L305" t="s">
        <v>224</v>
      </c>
      <c r="M305" t="s">
        <v>224</v>
      </c>
      <c r="N305" t="s">
        <v>224</v>
      </c>
      <c r="O305" t="s">
        <v>339</v>
      </c>
      <c r="P305" s="162">
        <v>43482</v>
      </c>
      <c r="Q305" t="s">
        <v>1216</v>
      </c>
      <c r="R305" t="s">
        <v>885</v>
      </c>
      <c r="S305" t="s">
        <v>889</v>
      </c>
      <c r="T305" t="s">
        <v>4991</v>
      </c>
      <c r="U305" s="131">
        <v>3.71</v>
      </c>
      <c r="V305" s="131">
        <v>66.108999999999995</v>
      </c>
      <c r="W305" s="131">
        <v>245.26499999999999</v>
      </c>
      <c r="X305" s="163">
        <v>5.2000000000000005E-2</v>
      </c>
      <c r="Y305" s="132">
        <v>9.1299999999999992E-3</v>
      </c>
      <c r="Z305" s="132">
        <v>1.4E-3</v>
      </c>
    </row>
    <row r="306" spans="1:26">
      <c r="A306" t="s">
        <v>1213</v>
      </c>
      <c r="B306" t="s">
        <v>1252</v>
      </c>
      <c r="D306" t="s">
        <v>5036</v>
      </c>
      <c r="E306" t="s">
        <v>311</v>
      </c>
      <c r="F306" t="s">
        <v>5136</v>
      </c>
      <c r="G306" s="108">
        <v>74216</v>
      </c>
      <c r="H306" t="s">
        <v>314</v>
      </c>
      <c r="I306" t="s">
        <v>1000</v>
      </c>
      <c r="J306" t="s">
        <v>844</v>
      </c>
      <c r="K306" t="s">
        <v>205</v>
      </c>
      <c r="L306" t="s">
        <v>224</v>
      </c>
      <c r="M306" t="s">
        <v>224</v>
      </c>
      <c r="N306" t="s">
        <v>224</v>
      </c>
      <c r="O306" t="s">
        <v>339</v>
      </c>
      <c r="P306" s="162">
        <v>44371</v>
      </c>
      <c r="Q306" t="s">
        <v>1216</v>
      </c>
      <c r="R306" t="s">
        <v>885</v>
      </c>
      <c r="S306" t="s">
        <v>889</v>
      </c>
      <c r="T306" t="s">
        <v>4991</v>
      </c>
      <c r="U306" s="131">
        <v>3.71</v>
      </c>
      <c r="V306" s="131">
        <v>65.825000000000003</v>
      </c>
      <c r="W306" s="131">
        <v>244.209</v>
      </c>
      <c r="X306" s="163">
        <v>1.6000000000000004E-2</v>
      </c>
      <c r="Y306" s="132">
        <v>9.0900000000000009E-3</v>
      </c>
      <c r="Z306" s="132">
        <v>1.39E-3</v>
      </c>
    </row>
    <row r="307" spans="1:26">
      <c r="A307" t="s">
        <v>1213</v>
      </c>
      <c r="B307" t="s">
        <v>1252</v>
      </c>
      <c r="D307" t="s">
        <v>5138</v>
      </c>
      <c r="E307" t="s">
        <v>311</v>
      </c>
      <c r="F307" t="s">
        <v>5139</v>
      </c>
      <c r="G307" s="108">
        <v>74247</v>
      </c>
      <c r="H307" t="s">
        <v>314</v>
      </c>
      <c r="I307" t="s">
        <v>1004</v>
      </c>
      <c r="J307" t="s">
        <v>833</v>
      </c>
      <c r="K307" t="s">
        <v>205</v>
      </c>
      <c r="L307" t="s">
        <v>233</v>
      </c>
      <c r="M307" t="s">
        <v>233</v>
      </c>
      <c r="N307" t="s">
        <v>233</v>
      </c>
      <c r="O307" t="s">
        <v>339</v>
      </c>
      <c r="P307" s="162">
        <v>44938</v>
      </c>
      <c r="Q307" t="s">
        <v>1227</v>
      </c>
      <c r="R307" t="s">
        <v>885</v>
      </c>
      <c r="S307" t="s">
        <v>889</v>
      </c>
      <c r="T307" t="s">
        <v>5003</v>
      </c>
      <c r="U307" s="131">
        <v>4.9749999999999996</v>
      </c>
      <c r="V307" s="131">
        <v>33.374000000000002</v>
      </c>
      <c r="W307" s="131">
        <v>166.02799999999999</v>
      </c>
      <c r="X307" s="163">
        <v>2.8799999999999999E-2</v>
      </c>
      <c r="Y307" s="132">
        <v>6.1799999999999997E-3</v>
      </c>
      <c r="Z307" s="132">
        <v>9.5E-4</v>
      </c>
    </row>
    <row r="308" spans="1:26">
      <c r="A308" t="s">
        <v>1213</v>
      </c>
      <c r="B308" t="s">
        <v>1252</v>
      </c>
      <c r="C308" t="s">
        <v>4992</v>
      </c>
      <c r="D308" t="s">
        <v>4993</v>
      </c>
      <c r="E308" t="s">
        <v>311</v>
      </c>
      <c r="F308" t="s">
        <v>4994</v>
      </c>
      <c r="G308" s="108">
        <v>74272</v>
      </c>
      <c r="H308" t="s">
        <v>314</v>
      </c>
      <c r="I308" t="s">
        <v>1004</v>
      </c>
      <c r="J308" t="s">
        <v>832</v>
      </c>
      <c r="K308" t="s">
        <v>205</v>
      </c>
      <c r="L308" t="s">
        <v>224</v>
      </c>
      <c r="M308" t="s">
        <v>224</v>
      </c>
      <c r="N308" t="s">
        <v>224</v>
      </c>
      <c r="O308" t="s">
        <v>339</v>
      </c>
      <c r="P308" s="162">
        <v>45505</v>
      </c>
      <c r="Q308" t="s">
        <v>1216</v>
      </c>
      <c r="R308" t="s">
        <v>885</v>
      </c>
      <c r="S308" t="s">
        <v>889</v>
      </c>
      <c r="T308" t="s">
        <v>4995</v>
      </c>
      <c r="U308" s="131">
        <v>3.71</v>
      </c>
      <c r="V308" s="131">
        <v>31.895</v>
      </c>
      <c r="W308" s="131">
        <v>118.33</v>
      </c>
      <c r="X308" s="164">
        <v>0.34670000000000001</v>
      </c>
      <c r="Y308" s="132">
        <v>4.4000000000000003E-3</v>
      </c>
      <c r="Z308" s="132">
        <v>6.7000000000000002E-4</v>
      </c>
    </row>
    <row r="309" spans="1:26">
      <c r="A309" t="s">
        <v>1213</v>
      </c>
      <c r="B309" t="s">
        <v>1252</v>
      </c>
      <c r="C309" t="s">
        <v>4992</v>
      </c>
      <c r="D309" t="s">
        <v>4993</v>
      </c>
      <c r="E309" t="s">
        <v>311</v>
      </c>
      <c r="F309" t="s">
        <v>4996</v>
      </c>
      <c r="G309" s="108">
        <v>74266</v>
      </c>
      <c r="H309" t="s">
        <v>314</v>
      </c>
      <c r="I309" t="s">
        <v>1004</v>
      </c>
      <c r="J309" t="s">
        <v>832</v>
      </c>
      <c r="K309" t="s">
        <v>205</v>
      </c>
      <c r="L309" t="s">
        <v>224</v>
      </c>
      <c r="M309" t="s">
        <v>224</v>
      </c>
      <c r="N309" t="s">
        <v>224</v>
      </c>
      <c r="O309" t="s">
        <v>339</v>
      </c>
      <c r="P309" s="162">
        <v>45400</v>
      </c>
      <c r="Q309" t="s">
        <v>1216</v>
      </c>
      <c r="R309" t="s">
        <v>885</v>
      </c>
      <c r="S309" t="s">
        <v>889</v>
      </c>
      <c r="T309" t="s">
        <v>4870</v>
      </c>
      <c r="U309" s="131">
        <v>3.71</v>
      </c>
      <c r="V309" s="131">
        <v>29.308</v>
      </c>
      <c r="W309" s="131">
        <v>108.733</v>
      </c>
      <c r="X309" s="163">
        <v>0.4</v>
      </c>
      <c r="Y309" s="132">
        <v>4.0499999999999998E-3</v>
      </c>
      <c r="Z309" s="132">
        <v>6.2E-4</v>
      </c>
    </row>
    <row r="310" spans="1:26">
      <c r="A310" t="s">
        <v>1213</v>
      </c>
      <c r="B310" t="s">
        <v>1252</v>
      </c>
      <c r="C310" t="s">
        <v>4997</v>
      </c>
      <c r="D310" t="s">
        <v>4998</v>
      </c>
      <c r="E310" t="s">
        <v>311</v>
      </c>
      <c r="F310" t="s">
        <v>4997</v>
      </c>
      <c r="G310" s="108">
        <v>74271</v>
      </c>
      <c r="H310" t="s">
        <v>314</v>
      </c>
      <c r="I310" t="s">
        <v>1004</v>
      </c>
      <c r="J310" t="s">
        <v>832</v>
      </c>
      <c r="K310" t="s">
        <v>205</v>
      </c>
      <c r="L310" t="s">
        <v>217</v>
      </c>
      <c r="M310" t="s">
        <v>233</v>
      </c>
      <c r="N310" t="s">
        <v>233</v>
      </c>
      <c r="O310" t="s">
        <v>339</v>
      </c>
      <c r="P310" s="162">
        <v>45495</v>
      </c>
      <c r="Q310" t="s">
        <v>1227</v>
      </c>
      <c r="R310" t="s">
        <v>885</v>
      </c>
      <c r="S310" t="s">
        <v>889</v>
      </c>
      <c r="T310" t="s">
        <v>4999</v>
      </c>
      <c r="U310" s="131">
        <v>4.9749999999999996</v>
      </c>
      <c r="V310" s="131">
        <v>20.6</v>
      </c>
      <c r="W310" s="131">
        <v>102.48099999999999</v>
      </c>
      <c r="X310" s="164">
        <v>3.73E-2</v>
      </c>
      <c r="Y310" s="132">
        <v>3.81E-3</v>
      </c>
      <c r="Z310" s="132">
        <v>5.8E-4</v>
      </c>
    </row>
    <row r="311" spans="1:26">
      <c r="A311" t="s">
        <v>1213</v>
      </c>
      <c r="B311" t="s">
        <v>1252</v>
      </c>
      <c r="C311" t="s">
        <v>5147</v>
      </c>
      <c r="D311" t="s">
        <v>5148</v>
      </c>
      <c r="E311" t="s">
        <v>311</v>
      </c>
      <c r="F311" t="s">
        <v>5149</v>
      </c>
      <c r="G311" s="108">
        <v>74270</v>
      </c>
      <c r="H311" t="s">
        <v>314</v>
      </c>
      <c r="I311" t="s">
        <v>1004</v>
      </c>
      <c r="J311" t="s">
        <v>833</v>
      </c>
      <c r="K311" t="s">
        <v>205</v>
      </c>
      <c r="L311" t="s">
        <v>253</v>
      </c>
      <c r="M311" t="s">
        <v>253</v>
      </c>
      <c r="N311" t="s">
        <v>212</v>
      </c>
      <c r="O311" t="s">
        <v>339</v>
      </c>
      <c r="P311" s="162">
        <v>45484</v>
      </c>
      <c r="Q311" t="s">
        <v>1218</v>
      </c>
      <c r="R311" t="s">
        <v>885</v>
      </c>
      <c r="S311" t="s">
        <v>889</v>
      </c>
      <c r="T311" t="s">
        <v>4737</v>
      </c>
      <c r="U311" s="131">
        <v>4.1520000000000001</v>
      </c>
      <c r="V311" s="131">
        <v>19.404</v>
      </c>
      <c r="W311" s="131">
        <v>80.572999999999993</v>
      </c>
      <c r="X311" s="166">
        <v>0.13500000000000001</v>
      </c>
      <c r="Y311" s="132">
        <v>3.0000000000000001E-3</v>
      </c>
      <c r="Z311" s="132">
        <v>4.6000000000000001E-4</v>
      </c>
    </row>
    <row r="312" spans="1:26">
      <c r="A312" t="s">
        <v>1213</v>
      </c>
      <c r="B312" t="s">
        <v>1252</v>
      </c>
      <c r="D312" t="s">
        <v>5140</v>
      </c>
      <c r="E312" t="s">
        <v>311</v>
      </c>
      <c r="F312" t="s">
        <v>5141</v>
      </c>
      <c r="G312" s="108">
        <v>74193</v>
      </c>
      <c r="H312" t="s">
        <v>314</v>
      </c>
      <c r="I312" t="s">
        <v>1003</v>
      </c>
      <c r="J312" t="s">
        <v>836</v>
      </c>
      <c r="K312" t="s">
        <v>205</v>
      </c>
      <c r="L312" t="s">
        <v>224</v>
      </c>
      <c r="M312" t="s">
        <v>224</v>
      </c>
      <c r="N312" t="s">
        <v>224</v>
      </c>
      <c r="O312" t="s">
        <v>339</v>
      </c>
      <c r="P312" s="162">
        <v>43790</v>
      </c>
      <c r="Q312" t="s">
        <v>1216</v>
      </c>
      <c r="R312" t="s">
        <v>885</v>
      </c>
      <c r="S312" t="s">
        <v>889</v>
      </c>
      <c r="T312" t="s">
        <v>5022</v>
      </c>
      <c r="U312" s="131">
        <v>3.71</v>
      </c>
      <c r="V312" s="131">
        <v>11.429</v>
      </c>
      <c r="W312" s="131">
        <v>42.402000000000001</v>
      </c>
      <c r="X312" s="163">
        <v>1.0200000000000001E-2</v>
      </c>
      <c r="Y312" s="132">
        <v>1.58E-3</v>
      </c>
      <c r="Z312" s="132">
        <v>2.4000000000000001E-4</v>
      </c>
    </row>
    <row r="313" spans="1:26">
      <c r="A313" t="s">
        <v>1213</v>
      </c>
      <c r="B313" t="s">
        <v>1252</v>
      </c>
      <c r="C313" t="s">
        <v>5041</v>
      </c>
      <c r="D313" t="s">
        <v>5042</v>
      </c>
      <c r="E313" t="s">
        <v>310</v>
      </c>
      <c r="F313" t="s">
        <v>5043</v>
      </c>
      <c r="G313" s="108">
        <v>74187</v>
      </c>
      <c r="H313" t="s">
        <v>314</v>
      </c>
      <c r="I313" t="s">
        <v>1003</v>
      </c>
      <c r="J313" t="s">
        <v>836</v>
      </c>
      <c r="K313" t="s">
        <v>205</v>
      </c>
      <c r="L313" t="s">
        <v>204</v>
      </c>
      <c r="M313" t="s">
        <v>204</v>
      </c>
      <c r="N313" t="s">
        <v>303</v>
      </c>
      <c r="O313" t="s">
        <v>339</v>
      </c>
      <c r="P313" s="162">
        <v>43571</v>
      </c>
      <c r="Q313" t="s">
        <v>1216</v>
      </c>
      <c r="R313" t="s">
        <v>885</v>
      </c>
      <c r="S313" t="s">
        <v>889</v>
      </c>
      <c r="T313" t="s">
        <v>5018</v>
      </c>
      <c r="U313" s="131">
        <v>3.71</v>
      </c>
      <c r="V313" s="131">
        <v>10.122</v>
      </c>
      <c r="W313" s="131">
        <v>37.552</v>
      </c>
      <c r="X313" s="163">
        <v>3.3300000000000003E-2</v>
      </c>
      <c r="Y313" s="132">
        <v>1.4E-3</v>
      </c>
      <c r="Z313" s="132">
        <v>2.1000000000000001E-4</v>
      </c>
    </row>
    <row r="314" spans="1:26">
      <c r="A314" t="s">
        <v>1213</v>
      </c>
      <c r="B314" t="s">
        <v>1252</v>
      </c>
      <c r="C314" t="s">
        <v>5144</v>
      </c>
      <c r="D314" t="s">
        <v>5145</v>
      </c>
      <c r="E314" t="s">
        <v>309</v>
      </c>
      <c r="F314" t="s">
        <v>5146</v>
      </c>
      <c r="G314" s="108">
        <v>74192</v>
      </c>
      <c r="H314" t="s">
        <v>314</v>
      </c>
      <c r="I314" t="s">
        <v>1004</v>
      </c>
      <c r="J314" t="s">
        <v>833</v>
      </c>
      <c r="K314" t="s">
        <v>205</v>
      </c>
      <c r="L314" t="s">
        <v>224</v>
      </c>
      <c r="M314" t="s">
        <v>224</v>
      </c>
      <c r="N314" t="s">
        <v>224</v>
      </c>
      <c r="O314" t="s">
        <v>339</v>
      </c>
      <c r="P314" s="162">
        <v>43761</v>
      </c>
      <c r="Q314" t="s">
        <v>1216</v>
      </c>
      <c r="R314" t="s">
        <v>885</v>
      </c>
      <c r="S314" t="s">
        <v>889</v>
      </c>
      <c r="T314" t="s">
        <v>5018</v>
      </c>
      <c r="U314" s="131">
        <v>3.71</v>
      </c>
      <c r="V314" s="131">
        <v>7.4710000000000001</v>
      </c>
      <c r="W314" s="131">
        <v>27.716999999999999</v>
      </c>
      <c r="X314" s="163">
        <v>3.5400000000000001E-2</v>
      </c>
      <c r="Y314" s="132">
        <v>1.0300000000000001E-3</v>
      </c>
      <c r="Z314" s="132">
        <v>1.6000000000000001E-4</v>
      </c>
    </row>
    <row r="315" spans="1:26">
      <c r="A315" t="s">
        <v>1213</v>
      </c>
      <c r="B315" t="s">
        <v>1252</v>
      </c>
      <c r="D315" t="s">
        <v>5044</v>
      </c>
      <c r="E315" t="s">
        <v>311</v>
      </c>
      <c r="F315" t="s">
        <v>5045</v>
      </c>
      <c r="G315" s="108">
        <v>74188</v>
      </c>
      <c r="H315" t="s">
        <v>314</v>
      </c>
      <c r="I315" t="s">
        <v>1002</v>
      </c>
      <c r="J315" t="s">
        <v>569</v>
      </c>
      <c r="K315" t="s">
        <v>205</v>
      </c>
      <c r="L315" t="s">
        <v>224</v>
      </c>
      <c r="M315" t="s">
        <v>224</v>
      </c>
      <c r="N315" t="s">
        <v>224</v>
      </c>
      <c r="O315" t="s">
        <v>339</v>
      </c>
      <c r="P315" s="162">
        <v>43578</v>
      </c>
      <c r="Q315" t="s">
        <v>1216</v>
      </c>
      <c r="R315" t="s">
        <v>885</v>
      </c>
      <c r="S315" t="s">
        <v>889</v>
      </c>
      <c r="T315" t="s">
        <v>5046</v>
      </c>
      <c r="U315" s="131">
        <v>3.71</v>
      </c>
      <c r="V315" s="131">
        <v>7.44</v>
      </c>
      <c r="W315" s="131">
        <v>27.600999999999999</v>
      </c>
      <c r="X315" s="163">
        <v>1.7999999999999999E-2</v>
      </c>
      <c r="Y315" s="132">
        <v>1.0300000000000001E-3</v>
      </c>
      <c r="Z315" s="132">
        <v>1.6000000000000001E-4</v>
      </c>
    </row>
    <row r="316" spans="1:26">
      <c r="A316" t="s">
        <v>1213</v>
      </c>
      <c r="B316" t="s">
        <v>1253</v>
      </c>
      <c r="C316" t="s">
        <v>5047</v>
      </c>
      <c r="D316" t="s">
        <v>5048</v>
      </c>
      <c r="E316" t="s">
        <v>309</v>
      </c>
      <c r="F316" t="s">
        <v>5049</v>
      </c>
      <c r="G316" s="108" t="s">
        <v>5050</v>
      </c>
      <c r="H316" t="s">
        <v>321</v>
      </c>
      <c r="I316" t="s">
        <v>1002</v>
      </c>
      <c r="J316" t="s">
        <v>569</v>
      </c>
      <c r="K316" t="s">
        <v>204</v>
      </c>
      <c r="L316" t="s">
        <v>217</v>
      </c>
      <c r="M316" t="s">
        <v>204</v>
      </c>
      <c r="N316" t="s">
        <v>204</v>
      </c>
      <c r="O316" t="s">
        <v>339</v>
      </c>
      <c r="P316" s="162">
        <v>45565</v>
      </c>
      <c r="Q316" t="s">
        <v>1212</v>
      </c>
      <c r="R316" t="s">
        <v>885</v>
      </c>
      <c r="S316" t="s">
        <v>889</v>
      </c>
      <c r="T316" t="s">
        <v>4723</v>
      </c>
      <c r="U316" s="131">
        <v>1</v>
      </c>
      <c r="V316" s="131">
        <v>268.54899999999998</v>
      </c>
      <c r="W316" s="131">
        <v>268.54899999999998</v>
      </c>
      <c r="X316" s="165">
        <v>1.6E-2</v>
      </c>
      <c r="Y316" s="132">
        <v>1.349E-2</v>
      </c>
      <c r="Z316" s="132">
        <v>2.2899999999999999E-3</v>
      </c>
    </row>
    <row r="317" spans="1:26">
      <c r="A317" t="s">
        <v>1213</v>
      </c>
      <c r="B317" t="s">
        <v>1253</v>
      </c>
      <c r="C317" t="s">
        <v>5051</v>
      </c>
      <c r="D317" t="s">
        <v>5052</v>
      </c>
      <c r="E317" t="s">
        <v>309</v>
      </c>
      <c r="F317" t="s">
        <v>5053</v>
      </c>
      <c r="G317" s="108">
        <v>74196</v>
      </c>
      <c r="H317" t="s">
        <v>314</v>
      </c>
      <c r="I317" t="s">
        <v>1005</v>
      </c>
      <c r="J317" t="s">
        <v>826</v>
      </c>
      <c r="K317" t="s">
        <v>204</v>
      </c>
      <c r="L317" t="s">
        <v>204</v>
      </c>
      <c r="M317" t="s">
        <v>204</v>
      </c>
      <c r="N317" t="s">
        <v>204</v>
      </c>
      <c r="O317" t="s">
        <v>339</v>
      </c>
      <c r="P317" s="162">
        <v>43831</v>
      </c>
      <c r="Q317" t="s">
        <v>1212</v>
      </c>
      <c r="R317" t="s">
        <v>885</v>
      </c>
      <c r="S317" t="s">
        <v>889</v>
      </c>
      <c r="T317" t="s">
        <v>5054</v>
      </c>
      <c r="U317" s="131">
        <v>1</v>
      </c>
      <c r="V317" s="131">
        <v>2166.5749999999998</v>
      </c>
      <c r="W317" s="131">
        <v>2166.5749999999998</v>
      </c>
      <c r="X317" s="163">
        <v>0.14119999999999999</v>
      </c>
      <c r="Y317" s="132">
        <v>0.10882</v>
      </c>
      <c r="Z317" s="132">
        <v>1.848E-2</v>
      </c>
    </row>
    <row r="318" spans="1:26">
      <c r="A318" t="s">
        <v>1213</v>
      </c>
      <c r="B318" t="s">
        <v>1253</v>
      </c>
      <c r="C318" t="s">
        <v>5000</v>
      </c>
      <c r="D318" t="s">
        <v>5001</v>
      </c>
      <c r="E318" t="s">
        <v>310</v>
      </c>
      <c r="F318" t="s">
        <v>5002</v>
      </c>
      <c r="G318" s="108">
        <v>74186</v>
      </c>
      <c r="H318" t="s">
        <v>314</v>
      </c>
      <c r="I318" t="s">
        <v>1004</v>
      </c>
      <c r="J318" t="s">
        <v>833</v>
      </c>
      <c r="K318" t="s">
        <v>204</v>
      </c>
      <c r="L318" t="s">
        <v>204</v>
      </c>
      <c r="M318" t="s">
        <v>204</v>
      </c>
      <c r="N318" t="s">
        <v>204</v>
      </c>
      <c r="O318" t="s">
        <v>339</v>
      </c>
      <c r="P318" s="162">
        <v>43542</v>
      </c>
      <c r="Q318" t="s">
        <v>1212</v>
      </c>
      <c r="R318" t="s">
        <v>885</v>
      </c>
      <c r="S318" t="s">
        <v>889</v>
      </c>
      <c r="T318" t="s">
        <v>5003</v>
      </c>
      <c r="U318" s="131">
        <v>1</v>
      </c>
      <c r="V318" s="131">
        <v>1146.0530000000001</v>
      </c>
      <c r="W318" s="131">
        <v>1146.0530000000001</v>
      </c>
      <c r="X318" s="163">
        <v>7.8700000000000006E-2</v>
      </c>
      <c r="Y318" s="132">
        <v>5.756E-2</v>
      </c>
      <c r="Z318" s="132">
        <v>9.7800000000000005E-3</v>
      </c>
    </row>
    <row r="319" spans="1:26">
      <c r="A319" t="s">
        <v>1213</v>
      </c>
      <c r="B319" t="s">
        <v>1253</v>
      </c>
      <c r="C319" t="s">
        <v>5004</v>
      </c>
      <c r="D319" t="s">
        <v>5005</v>
      </c>
      <c r="E319" t="s">
        <v>309</v>
      </c>
      <c r="F319" t="s">
        <v>5006</v>
      </c>
      <c r="G319" s="108">
        <v>74185</v>
      </c>
      <c r="H319" t="s">
        <v>314</v>
      </c>
      <c r="I319" t="s">
        <v>1001</v>
      </c>
      <c r="J319" t="s">
        <v>831</v>
      </c>
      <c r="K319" t="s">
        <v>204</v>
      </c>
      <c r="L319" t="s">
        <v>204</v>
      </c>
      <c r="M319" t="s">
        <v>204</v>
      </c>
      <c r="N319" t="s">
        <v>204</v>
      </c>
      <c r="O319" t="s">
        <v>339</v>
      </c>
      <c r="P319" s="162">
        <v>43524</v>
      </c>
      <c r="Q319" t="s">
        <v>1212</v>
      </c>
      <c r="R319" t="s">
        <v>885</v>
      </c>
      <c r="S319" t="s">
        <v>889</v>
      </c>
      <c r="T319" t="s">
        <v>4877</v>
      </c>
      <c r="U319" s="131">
        <v>1</v>
      </c>
      <c r="V319" s="131">
        <v>1083.126</v>
      </c>
      <c r="W319" s="131">
        <v>1083.126</v>
      </c>
      <c r="X319" s="163">
        <v>0.1298</v>
      </c>
      <c r="Y319" s="132">
        <v>5.4399999999999997E-2</v>
      </c>
      <c r="Z319" s="132">
        <v>9.2399999999999999E-3</v>
      </c>
    </row>
    <row r="320" spans="1:26">
      <c r="A320" t="s">
        <v>1213</v>
      </c>
      <c r="B320" t="s">
        <v>1253</v>
      </c>
      <c r="D320" t="s">
        <v>5067</v>
      </c>
      <c r="E320" t="s">
        <v>309</v>
      </c>
      <c r="F320" t="s">
        <v>5068</v>
      </c>
      <c r="G320" s="108">
        <v>74249</v>
      </c>
      <c r="H320" t="s">
        <v>314</v>
      </c>
      <c r="I320" t="s">
        <v>1005</v>
      </c>
      <c r="J320" t="s">
        <v>832</v>
      </c>
      <c r="K320" t="s">
        <v>204</v>
      </c>
      <c r="L320" t="s">
        <v>204</v>
      </c>
      <c r="M320" t="s">
        <v>204</v>
      </c>
      <c r="N320" t="s">
        <v>204</v>
      </c>
      <c r="O320" t="s">
        <v>339</v>
      </c>
      <c r="P320" s="162">
        <v>45006</v>
      </c>
      <c r="Q320" t="s">
        <v>1212</v>
      </c>
      <c r="R320" t="s">
        <v>885</v>
      </c>
      <c r="S320" t="s">
        <v>889</v>
      </c>
      <c r="T320" t="s">
        <v>5069</v>
      </c>
      <c r="U320" s="131">
        <v>1</v>
      </c>
      <c r="V320" s="131">
        <v>783.08</v>
      </c>
      <c r="W320" s="131">
        <v>783.08</v>
      </c>
      <c r="X320" s="163">
        <v>0.19600000000000001</v>
      </c>
      <c r="Y320" s="132">
        <v>3.9329999999999997E-2</v>
      </c>
      <c r="Z320" s="132">
        <v>6.6800000000000002E-3</v>
      </c>
    </row>
    <row r="321" spans="1:26">
      <c r="A321" t="s">
        <v>1213</v>
      </c>
      <c r="B321" t="s">
        <v>1253</v>
      </c>
      <c r="C321" t="s">
        <v>5007</v>
      </c>
      <c r="D321" t="s">
        <v>2129</v>
      </c>
      <c r="E321" t="s">
        <v>309</v>
      </c>
      <c r="F321" t="s">
        <v>5008</v>
      </c>
      <c r="G321" s="108">
        <v>74190</v>
      </c>
      <c r="H321" t="s">
        <v>314</v>
      </c>
      <c r="I321" t="s">
        <v>1005</v>
      </c>
      <c r="J321" t="s">
        <v>569</v>
      </c>
      <c r="K321" t="s">
        <v>204</v>
      </c>
      <c r="L321" t="s">
        <v>204</v>
      </c>
      <c r="M321" t="s">
        <v>204</v>
      </c>
      <c r="N321" t="s">
        <v>224</v>
      </c>
      <c r="O321" t="s">
        <v>339</v>
      </c>
      <c r="P321" s="162">
        <v>43691</v>
      </c>
      <c r="Q321" t="s">
        <v>1216</v>
      </c>
      <c r="R321" t="s">
        <v>885</v>
      </c>
      <c r="S321" t="s">
        <v>889</v>
      </c>
      <c r="T321" t="s">
        <v>4876</v>
      </c>
      <c r="U321" s="131">
        <v>3.71</v>
      </c>
      <c r="V321" s="131">
        <v>160.40700000000001</v>
      </c>
      <c r="W321" s="131">
        <v>595.10900000000004</v>
      </c>
      <c r="X321" s="163">
        <v>0.19874</v>
      </c>
      <c r="Y321" s="132">
        <v>2.989E-2</v>
      </c>
      <c r="Z321" s="132">
        <v>5.0800000000000003E-3</v>
      </c>
    </row>
    <row r="322" spans="1:26">
      <c r="A322" t="s">
        <v>1213</v>
      </c>
      <c r="B322" t="s">
        <v>1253</v>
      </c>
      <c r="C322" t="s">
        <v>5082</v>
      </c>
      <c r="D322" t="s">
        <v>5083</v>
      </c>
      <c r="E322" t="s">
        <v>309</v>
      </c>
      <c r="F322" t="s">
        <v>5084</v>
      </c>
      <c r="G322" s="108">
        <v>74241</v>
      </c>
      <c r="H322" t="s">
        <v>314</v>
      </c>
      <c r="I322" t="s">
        <v>1003</v>
      </c>
      <c r="J322" t="s">
        <v>837</v>
      </c>
      <c r="K322" t="s">
        <v>204</v>
      </c>
      <c r="L322" t="s">
        <v>204</v>
      </c>
      <c r="M322" t="s">
        <v>204</v>
      </c>
      <c r="N322" t="s">
        <v>204</v>
      </c>
      <c r="O322" t="s">
        <v>339</v>
      </c>
      <c r="P322" s="162">
        <v>44752</v>
      </c>
      <c r="Q322" t="s">
        <v>1212</v>
      </c>
      <c r="R322" t="s">
        <v>885</v>
      </c>
      <c r="S322" t="s">
        <v>889</v>
      </c>
      <c r="T322" t="s">
        <v>5026</v>
      </c>
      <c r="U322" s="131">
        <v>1</v>
      </c>
      <c r="V322" s="131">
        <v>523.61900000000003</v>
      </c>
      <c r="W322" s="131">
        <v>523.61900000000003</v>
      </c>
      <c r="X322" s="163">
        <v>5.8299999999999998E-2</v>
      </c>
      <c r="Y322" s="132">
        <v>2.63E-2</v>
      </c>
      <c r="Z322" s="132">
        <v>4.47E-3</v>
      </c>
    </row>
    <row r="323" spans="1:26">
      <c r="A323" t="s">
        <v>1213</v>
      </c>
      <c r="B323" t="s">
        <v>1253</v>
      </c>
      <c r="C323" t="s">
        <v>5004</v>
      </c>
      <c r="D323" t="s">
        <v>5009</v>
      </c>
      <c r="E323" t="s">
        <v>309</v>
      </c>
      <c r="F323" t="s">
        <v>5010</v>
      </c>
      <c r="G323" s="108">
        <v>74202</v>
      </c>
      <c r="H323" t="s">
        <v>314</v>
      </c>
      <c r="I323" t="s">
        <v>1001</v>
      </c>
      <c r="J323" t="s">
        <v>831</v>
      </c>
      <c r="K323" t="s">
        <v>204</v>
      </c>
      <c r="L323" t="s">
        <v>204</v>
      </c>
      <c r="M323" t="s">
        <v>204</v>
      </c>
      <c r="N323" t="s">
        <v>204</v>
      </c>
      <c r="O323" t="s">
        <v>339</v>
      </c>
      <c r="P323" s="162">
        <v>43913</v>
      </c>
      <c r="Q323" t="s">
        <v>1212</v>
      </c>
      <c r="R323" t="s">
        <v>885</v>
      </c>
      <c r="S323" t="s">
        <v>889</v>
      </c>
      <c r="T323" t="s">
        <v>4877</v>
      </c>
      <c r="U323" s="131">
        <v>1</v>
      </c>
      <c r="V323" s="131">
        <v>518.33600000000001</v>
      </c>
      <c r="W323" s="131">
        <v>518.33600000000001</v>
      </c>
      <c r="X323" s="163">
        <v>0.1036</v>
      </c>
      <c r="Y323" s="132">
        <v>2.6040000000000001E-2</v>
      </c>
      <c r="Z323" s="132">
        <v>4.4200000000000003E-3</v>
      </c>
    </row>
    <row r="324" spans="1:26">
      <c r="A324" t="s">
        <v>1213</v>
      </c>
      <c r="B324" t="s">
        <v>1253</v>
      </c>
      <c r="C324" t="s">
        <v>5000</v>
      </c>
      <c r="D324" t="s">
        <v>5001</v>
      </c>
      <c r="E324" t="s">
        <v>310</v>
      </c>
      <c r="F324" t="s">
        <v>5059</v>
      </c>
      <c r="G324" s="108">
        <v>74204</v>
      </c>
      <c r="H324" t="s">
        <v>314</v>
      </c>
      <c r="I324" t="s">
        <v>1004</v>
      </c>
      <c r="J324" t="s">
        <v>833</v>
      </c>
      <c r="K324" t="s">
        <v>204</v>
      </c>
      <c r="L324" t="s">
        <v>204</v>
      </c>
      <c r="M324" t="s">
        <v>204</v>
      </c>
      <c r="N324" t="s">
        <v>204</v>
      </c>
      <c r="O324" t="s">
        <v>339</v>
      </c>
      <c r="P324" s="162">
        <v>44084</v>
      </c>
      <c r="Q324" t="s">
        <v>1212</v>
      </c>
      <c r="R324" t="s">
        <v>885</v>
      </c>
      <c r="S324" t="s">
        <v>889</v>
      </c>
      <c r="T324" t="s">
        <v>5060</v>
      </c>
      <c r="U324" s="131">
        <v>1</v>
      </c>
      <c r="V324" s="131">
        <v>465.70600000000002</v>
      </c>
      <c r="W324" s="131">
        <v>465.70600000000002</v>
      </c>
      <c r="X324" s="163">
        <v>7.8700000000000006E-2</v>
      </c>
      <c r="Y324" s="132">
        <v>2.3390000000000001E-2</v>
      </c>
      <c r="Z324" s="132">
        <v>3.9699999999999996E-3</v>
      </c>
    </row>
    <row r="325" spans="1:26">
      <c r="A325" t="s">
        <v>1213</v>
      </c>
      <c r="B325" t="s">
        <v>1253</v>
      </c>
      <c r="C325" t="s">
        <v>5061</v>
      </c>
      <c r="D325" t="s">
        <v>5062</v>
      </c>
      <c r="E325" t="s">
        <v>309</v>
      </c>
      <c r="F325" t="s">
        <v>5063</v>
      </c>
      <c r="G325" s="108">
        <v>74231</v>
      </c>
      <c r="H325" t="s">
        <v>314</v>
      </c>
      <c r="I325" t="s">
        <v>1003</v>
      </c>
      <c r="J325" t="s">
        <v>836</v>
      </c>
      <c r="K325" t="s">
        <v>204</v>
      </c>
      <c r="L325" t="s">
        <v>204</v>
      </c>
      <c r="M325" t="s">
        <v>204</v>
      </c>
      <c r="N325" t="s">
        <v>204</v>
      </c>
      <c r="O325" t="s">
        <v>339</v>
      </c>
      <c r="P325" s="162">
        <v>44591</v>
      </c>
      <c r="Q325" t="s">
        <v>1212</v>
      </c>
      <c r="R325" t="s">
        <v>885</v>
      </c>
      <c r="S325" t="s">
        <v>889</v>
      </c>
      <c r="T325" t="s">
        <v>4876</v>
      </c>
      <c r="U325" s="131">
        <v>1</v>
      </c>
      <c r="V325" s="131">
        <v>442.1</v>
      </c>
      <c r="W325" s="131">
        <v>442.1</v>
      </c>
      <c r="X325" s="163">
        <v>5.2600000000000001E-2</v>
      </c>
      <c r="Y325" s="132">
        <v>2.2210000000000001E-2</v>
      </c>
      <c r="Z325" s="132">
        <v>3.7699999999999999E-3</v>
      </c>
    </row>
    <row r="326" spans="1:26">
      <c r="A326" t="s">
        <v>1213</v>
      </c>
      <c r="B326" t="s">
        <v>1253</v>
      </c>
      <c r="C326" t="s">
        <v>5011</v>
      </c>
      <c r="D326" t="s">
        <v>5012</v>
      </c>
      <c r="E326" t="s">
        <v>309</v>
      </c>
      <c r="F326" t="s">
        <v>5013</v>
      </c>
      <c r="G326" s="108">
        <v>74176</v>
      </c>
      <c r="H326" t="s">
        <v>314</v>
      </c>
      <c r="I326" t="s">
        <v>1002</v>
      </c>
      <c r="J326" t="s">
        <v>569</v>
      </c>
      <c r="K326" t="s">
        <v>204</v>
      </c>
      <c r="L326" t="s">
        <v>204</v>
      </c>
      <c r="M326" t="s">
        <v>204</v>
      </c>
      <c r="N326" t="s">
        <v>204</v>
      </c>
      <c r="O326" t="s">
        <v>339</v>
      </c>
      <c r="P326" s="162">
        <v>43306</v>
      </c>
      <c r="Q326" t="s">
        <v>1212</v>
      </c>
      <c r="R326" t="s">
        <v>885</v>
      </c>
      <c r="S326" t="s">
        <v>889</v>
      </c>
      <c r="T326" t="s">
        <v>5014</v>
      </c>
      <c r="U326" s="131">
        <v>1</v>
      </c>
      <c r="V326" s="131">
        <v>420.27600000000001</v>
      </c>
      <c r="W326" s="131">
        <v>420.27600000000001</v>
      </c>
      <c r="X326" s="163">
        <v>1.7500000000000002E-2</v>
      </c>
      <c r="Y326" s="132">
        <v>2.111E-2</v>
      </c>
      <c r="Z326" s="132">
        <v>3.5899999999999999E-3</v>
      </c>
    </row>
    <row r="327" spans="1:26">
      <c r="A327" t="s">
        <v>1213</v>
      </c>
      <c r="B327" t="s">
        <v>1253</v>
      </c>
      <c r="C327" t="s">
        <v>5064</v>
      </c>
      <c r="D327" t="s">
        <v>5065</v>
      </c>
      <c r="E327" t="s">
        <v>309</v>
      </c>
      <c r="F327" t="s">
        <v>5066</v>
      </c>
      <c r="G327" s="108">
        <v>74217</v>
      </c>
      <c r="H327" t="s">
        <v>314</v>
      </c>
      <c r="I327" t="s">
        <v>1003</v>
      </c>
      <c r="J327" t="s">
        <v>836</v>
      </c>
      <c r="K327" t="s">
        <v>204</v>
      </c>
      <c r="L327" t="s">
        <v>204</v>
      </c>
      <c r="M327" t="s">
        <v>204</v>
      </c>
      <c r="N327" t="s">
        <v>204</v>
      </c>
      <c r="O327" t="s">
        <v>339</v>
      </c>
      <c r="P327" s="162">
        <v>44370</v>
      </c>
      <c r="Q327" t="s">
        <v>1212</v>
      </c>
      <c r="R327" t="s">
        <v>885</v>
      </c>
      <c r="S327" t="s">
        <v>889</v>
      </c>
      <c r="T327" t="s">
        <v>4942</v>
      </c>
      <c r="U327" s="131">
        <v>1</v>
      </c>
      <c r="V327" s="131">
        <v>400.97800000000001</v>
      </c>
      <c r="W327" s="131">
        <v>400.97800000000001</v>
      </c>
      <c r="X327" s="163">
        <v>0.25196850393700787</v>
      </c>
      <c r="Y327" s="132">
        <v>2.0140000000000002E-2</v>
      </c>
      <c r="Z327" s="132">
        <v>3.4199999999999999E-3</v>
      </c>
    </row>
    <row r="328" spans="1:26">
      <c r="A328" t="s">
        <v>1213</v>
      </c>
      <c r="B328" t="s">
        <v>1253</v>
      </c>
      <c r="C328" t="s">
        <v>5070</v>
      </c>
      <c r="D328" t="s">
        <v>5071</v>
      </c>
      <c r="E328" t="s">
        <v>310</v>
      </c>
      <c r="F328" t="s">
        <v>5072</v>
      </c>
      <c r="G328" s="108">
        <v>74238</v>
      </c>
      <c r="H328" t="s">
        <v>314</v>
      </c>
      <c r="I328" t="s">
        <v>1004</v>
      </c>
      <c r="J328" t="s">
        <v>833</v>
      </c>
      <c r="K328" t="s">
        <v>204</v>
      </c>
      <c r="L328" t="s">
        <v>204</v>
      </c>
      <c r="M328" t="s">
        <v>204</v>
      </c>
      <c r="N328" t="s">
        <v>204</v>
      </c>
      <c r="O328" t="s">
        <v>339</v>
      </c>
      <c r="P328" s="162">
        <v>44721</v>
      </c>
      <c r="Q328" t="s">
        <v>1212</v>
      </c>
      <c r="R328" t="s">
        <v>885</v>
      </c>
      <c r="S328" t="s">
        <v>889</v>
      </c>
      <c r="T328" t="s">
        <v>5003</v>
      </c>
      <c r="U328" s="131">
        <v>1</v>
      </c>
      <c r="V328" s="131">
        <v>395.07799999999997</v>
      </c>
      <c r="W328" s="131">
        <v>395.07799999999997</v>
      </c>
      <c r="X328" s="163">
        <v>1.89E-2</v>
      </c>
      <c r="Y328" s="132">
        <v>1.984E-2</v>
      </c>
      <c r="Z328" s="132">
        <v>3.3700000000000002E-3</v>
      </c>
    </row>
    <row r="329" spans="1:26">
      <c r="A329" t="s">
        <v>1213</v>
      </c>
      <c r="B329" t="s">
        <v>1253</v>
      </c>
      <c r="C329" t="s">
        <v>5085</v>
      </c>
      <c r="D329" t="s">
        <v>5086</v>
      </c>
      <c r="E329" t="s">
        <v>309</v>
      </c>
      <c r="F329" t="s">
        <v>5087</v>
      </c>
      <c r="G329" s="108">
        <v>74239</v>
      </c>
      <c r="H329" t="s">
        <v>314</v>
      </c>
      <c r="I329" t="s">
        <v>1003</v>
      </c>
      <c r="J329" t="s">
        <v>837</v>
      </c>
      <c r="K329" t="s">
        <v>204</v>
      </c>
      <c r="L329" t="s">
        <v>204</v>
      </c>
      <c r="M329" t="s">
        <v>204</v>
      </c>
      <c r="N329" t="s">
        <v>204</v>
      </c>
      <c r="O329" t="s">
        <v>339</v>
      </c>
      <c r="P329" s="162">
        <v>44741</v>
      </c>
      <c r="Q329" t="s">
        <v>1212</v>
      </c>
      <c r="R329" t="s">
        <v>885</v>
      </c>
      <c r="S329" t="s">
        <v>889</v>
      </c>
      <c r="T329" t="s">
        <v>4876</v>
      </c>
      <c r="U329" s="131">
        <v>1</v>
      </c>
      <c r="V329" s="131">
        <v>387.714</v>
      </c>
      <c r="W329" s="131">
        <v>387.714</v>
      </c>
      <c r="X329" s="163">
        <v>3.4099999999999998E-2</v>
      </c>
      <c r="Y329" s="132">
        <v>1.9470000000000001E-2</v>
      </c>
      <c r="Z329" s="132">
        <v>3.31E-3</v>
      </c>
    </row>
    <row r="330" spans="1:26">
      <c r="A330" t="s">
        <v>1213</v>
      </c>
      <c r="B330" t="s">
        <v>1253</v>
      </c>
      <c r="C330" t="s">
        <v>5076</v>
      </c>
      <c r="D330" t="s">
        <v>5077</v>
      </c>
      <c r="E330" t="s">
        <v>309</v>
      </c>
      <c r="F330" t="s">
        <v>5078</v>
      </c>
      <c r="G330" s="108">
        <v>74228</v>
      </c>
      <c r="H330" t="s">
        <v>314</v>
      </c>
      <c r="I330" t="s">
        <v>1000</v>
      </c>
      <c r="J330" t="s">
        <v>844</v>
      </c>
      <c r="K330" t="s">
        <v>204</v>
      </c>
      <c r="L330" t="s">
        <v>204</v>
      </c>
      <c r="M330" t="s">
        <v>204</v>
      </c>
      <c r="N330" t="s">
        <v>204</v>
      </c>
      <c r="O330" t="s">
        <v>339</v>
      </c>
      <c r="P330" s="162">
        <v>44560</v>
      </c>
      <c r="Q330" t="s">
        <v>1216</v>
      </c>
      <c r="R330" t="s">
        <v>885</v>
      </c>
      <c r="S330" t="s">
        <v>889</v>
      </c>
      <c r="T330" t="s">
        <v>5022</v>
      </c>
      <c r="U330" s="131">
        <v>3.71</v>
      </c>
      <c r="V330" s="131">
        <v>97.554000000000002</v>
      </c>
      <c r="W330" s="131">
        <v>361.92399999999998</v>
      </c>
      <c r="X330" s="163">
        <v>6.7400000000000002E-2</v>
      </c>
      <c r="Y330" s="132">
        <v>1.8180000000000002E-2</v>
      </c>
      <c r="Z330" s="132">
        <v>3.0899999999999999E-3</v>
      </c>
    </row>
    <row r="331" spans="1:26">
      <c r="A331" t="s">
        <v>1213</v>
      </c>
      <c r="B331" t="s">
        <v>1253</v>
      </c>
      <c r="C331" t="s">
        <v>5079</v>
      </c>
      <c r="D331" t="s">
        <v>5080</v>
      </c>
      <c r="E331" t="s">
        <v>309</v>
      </c>
      <c r="F331" t="s">
        <v>5081</v>
      </c>
      <c r="G331" s="108">
        <v>74233</v>
      </c>
      <c r="H331" t="s">
        <v>314</v>
      </c>
      <c r="I331" t="s">
        <v>1002</v>
      </c>
      <c r="J331" t="s">
        <v>569</v>
      </c>
      <c r="K331" t="s">
        <v>204</v>
      </c>
      <c r="L331" t="s">
        <v>204</v>
      </c>
      <c r="M331" t="s">
        <v>204</v>
      </c>
      <c r="N331" t="s">
        <v>224</v>
      </c>
      <c r="O331" t="s">
        <v>339</v>
      </c>
      <c r="P331" s="162">
        <v>44622</v>
      </c>
      <c r="Q331" t="s">
        <v>1212</v>
      </c>
      <c r="R331" t="s">
        <v>885</v>
      </c>
      <c r="S331" t="s">
        <v>889</v>
      </c>
      <c r="T331" t="s">
        <v>5014</v>
      </c>
      <c r="U331" s="131">
        <v>1</v>
      </c>
      <c r="V331" s="131">
        <v>352.35899999999998</v>
      </c>
      <c r="W331" s="131">
        <v>352.35899999999998</v>
      </c>
      <c r="X331" s="163">
        <v>0.104</v>
      </c>
      <c r="Y331" s="132">
        <v>1.77E-2</v>
      </c>
      <c r="Z331" s="132">
        <v>3.0100000000000001E-3</v>
      </c>
    </row>
    <row r="332" spans="1:26">
      <c r="A332" t="s">
        <v>1213</v>
      </c>
      <c r="B332" t="s">
        <v>1253</v>
      </c>
      <c r="C332" t="s">
        <v>5105</v>
      </c>
      <c r="D332" t="s">
        <v>5106</v>
      </c>
      <c r="E332" t="s">
        <v>311</v>
      </c>
      <c r="F332" t="s">
        <v>5107</v>
      </c>
      <c r="G332" s="108">
        <v>74243</v>
      </c>
      <c r="H332" t="s">
        <v>314</v>
      </c>
      <c r="I332" t="s">
        <v>1000</v>
      </c>
      <c r="J332" t="s">
        <v>844</v>
      </c>
      <c r="K332" t="s">
        <v>204</v>
      </c>
      <c r="L332" t="s">
        <v>204</v>
      </c>
      <c r="M332" t="s">
        <v>204</v>
      </c>
      <c r="N332" t="s">
        <v>204</v>
      </c>
      <c r="O332" t="s">
        <v>339</v>
      </c>
      <c r="P332" s="162">
        <v>44823</v>
      </c>
      <c r="Q332" t="s">
        <v>1216</v>
      </c>
      <c r="R332" t="s">
        <v>885</v>
      </c>
      <c r="S332" t="s">
        <v>889</v>
      </c>
      <c r="T332" t="s">
        <v>5018</v>
      </c>
      <c r="U332" s="131">
        <v>3.71</v>
      </c>
      <c r="V332" s="131">
        <v>59.109000000000002</v>
      </c>
      <c r="W332" s="131">
        <v>219.29499999999999</v>
      </c>
      <c r="X332" s="163">
        <v>0.1371</v>
      </c>
      <c r="Y332" s="132">
        <v>1.1010000000000001E-2</v>
      </c>
      <c r="Z332" s="132">
        <v>1.8699999999999999E-3</v>
      </c>
    </row>
    <row r="333" spans="1:26">
      <c r="A333" t="s">
        <v>1213</v>
      </c>
      <c r="B333" t="s">
        <v>1253</v>
      </c>
      <c r="C333" t="s">
        <v>4939</v>
      </c>
      <c r="D333" t="s">
        <v>4940</v>
      </c>
      <c r="E333" t="s">
        <v>309</v>
      </c>
      <c r="F333" t="s">
        <v>4955</v>
      </c>
      <c r="G333" s="108">
        <v>74252</v>
      </c>
      <c r="H333" t="s">
        <v>314</v>
      </c>
      <c r="I333" t="s">
        <v>1003</v>
      </c>
      <c r="J333" t="s">
        <v>839</v>
      </c>
      <c r="K333" t="s">
        <v>204</v>
      </c>
      <c r="L333" t="s">
        <v>204</v>
      </c>
      <c r="M333" t="s">
        <v>204</v>
      </c>
      <c r="N333" t="s">
        <v>204</v>
      </c>
      <c r="O333" t="s">
        <v>339</v>
      </c>
      <c r="P333" s="162">
        <v>45036</v>
      </c>
      <c r="Q333" t="s">
        <v>1212</v>
      </c>
      <c r="R333" t="s">
        <v>885</v>
      </c>
      <c r="S333" t="s">
        <v>889</v>
      </c>
      <c r="T333" t="s">
        <v>4942</v>
      </c>
      <c r="U333" s="131">
        <v>1</v>
      </c>
      <c r="V333" s="131">
        <v>211.29</v>
      </c>
      <c r="W333" s="131">
        <v>211.29</v>
      </c>
      <c r="X333" s="163">
        <v>2.07E-2</v>
      </c>
      <c r="Y333" s="132">
        <v>1.061E-2</v>
      </c>
      <c r="Z333" s="132">
        <v>1.8E-3</v>
      </c>
    </row>
    <row r="334" spans="1:26">
      <c r="A334" t="s">
        <v>1213</v>
      </c>
      <c r="B334" t="s">
        <v>1253</v>
      </c>
      <c r="C334" t="s">
        <v>5088</v>
      </c>
      <c r="D334" t="s">
        <v>5089</v>
      </c>
      <c r="E334" t="s">
        <v>309</v>
      </c>
      <c r="F334" t="s">
        <v>5090</v>
      </c>
      <c r="G334" s="108">
        <v>74221</v>
      </c>
      <c r="H334" t="s">
        <v>314</v>
      </c>
      <c r="I334" t="s">
        <v>1000</v>
      </c>
      <c r="J334" t="s">
        <v>844</v>
      </c>
      <c r="K334" t="s">
        <v>204</v>
      </c>
      <c r="L334" t="s">
        <v>204</v>
      </c>
      <c r="M334" t="s">
        <v>204</v>
      </c>
      <c r="N334" t="s">
        <v>296</v>
      </c>
      <c r="O334" t="s">
        <v>339</v>
      </c>
      <c r="P334" s="162">
        <v>44409</v>
      </c>
      <c r="Q334" t="s">
        <v>1216</v>
      </c>
      <c r="R334" t="s">
        <v>885</v>
      </c>
      <c r="S334" t="s">
        <v>889</v>
      </c>
      <c r="T334" t="s">
        <v>4876</v>
      </c>
      <c r="U334" s="131">
        <v>3.71</v>
      </c>
      <c r="V334" s="131">
        <v>51.66</v>
      </c>
      <c r="W334" s="131">
        <v>191.65899999999999</v>
      </c>
      <c r="X334" s="163">
        <v>7.5700000000000003E-2</v>
      </c>
      <c r="Y334" s="132">
        <v>9.6299999999999997E-3</v>
      </c>
      <c r="Z334" s="132">
        <v>1.64E-3</v>
      </c>
    </row>
    <row r="335" spans="1:26">
      <c r="A335" t="s">
        <v>1213</v>
      </c>
      <c r="B335" t="s">
        <v>1253</v>
      </c>
      <c r="C335" t="s">
        <v>5019</v>
      </c>
      <c r="D335" t="s">
        <v>5020</v>
      </c>
      <c r="E335" t="s">
        <v>309</v>
      </c>
      <c r="F335" t="s">
        <v>5021</v>
      </c>
      <c r="G335" s="108">
        <v>74177</v>
      </c>
      <c r="H335" t="s">
        <v>314</v>
      </c>
      <c r="I335" t="s">
        <v>1002</v>
      </c>
      <c r="J335" t="s">
        <v>569</v>
      </c>
      <c r="K335" t="s">
        <v>204</v>
      </c>
      <c r="L335" t="s">
        <v>204</v>
      </c>
      <c r="M335" t="s">
        <v>204</v>
      </c>
      <c r="N335" t="s">
        <v>204</v>
      </c>
      <c r="O335" t="s">
        <v>339</v>
      </c>
      <c r="P335" s="162">
        <v>43312</v>
      </c>
      <c r="Q335" t="s">
        <v>1212</v>
      </c>
      <c r="R335" t="s">
        <v>885</v>
      </c>
      <c r="S335" t="s">
        <v>889</v>
      </c>
      <c r="T335" t="s">
        <v>5022</v>
      </c>
      <c r="U335" s="131">
        <v>1</v>
      </c>
      <c r="V335" s="131">
        <v>190.72</v>
      </c>
      <c r="W335" s="131">
        <v>190.72</v>
      </c>
      <c r="X335" s="163">
        <v>2.9600000000000001E-2</v>
      </c>
      <c r="Y335" s="132">
        <v>9.58E-3</v>
      </c>
      <c r="Z335" s="132">
        <v>1.6299999999999999E-3</v>
      </c>
    </row>
    <row r="336" spans="1:26">
      <c r="A336" t="s">
        <v>1213</v>
      </c>
      <c r="B336" t="s">
        <v>1253</v>
      </c>
      <c r="C336" t="s">
        <v>5094</v>
      </c>
      <c r="D336" t="s">
        <v>5095</v>
      </c>
      <c r="E336" t="s">
        <v>309</v>
      </c>
      <c r="F336" t="s">
        <v>5096</v>
      </c>
      <c r="G336" s="108">
        <v>74179</v>
      </c>
      <c r="H336" t="s">
        <v>314</v>
      </c>
      <c r="I336" t="s">
        <v>1001</v>
      </c>
      <c r="J336" t="s">
        <v>831</v>
      </c>
      <c r="K336" t="s">
        <v>204</v>
      </c>
      <c r="L336" t="s">
        <v>204</v>
      </c>
      <c r="M336" t="s">
        <v>204</v>
      </c>
      <c r="N336" t="s">
        <v>204</v>
      </c>
      <c r="O336" t="s">
        <v>339</v>
      </c>
      <c r="P336" s="162">
        <v>43394</v>
      </c>
      <c r="Q336" t="s">
        <v>1212</v>
      </c>
      <c r="R336" t="s">
        <v>885</v>
      </c>
      <c r="S336" t="s">
        <v>889</v>
      </c>
      <c r="T336" t="s">
        <v>5022</v>
      </c>
      <c r="U336" s="131">
        <v>1</v>
      </c>
      <c r="V336" s="131">
        <v>110.197</v>
      </c>
      <c r="W336" s="131">
        <v>110.197</v>
      </c>
      <c r="X336" s="163">
        <v>0.11990000000000001</v>
      </c>
      <c r="Y336" s="132">
        <v>5.5300000000000002E-3</v>
      </c>
      <c r="Z336" s="132">
        <v>9.3999999999999997E-4</v>
      </c>
    </row>
    <row r="337" spans="1:26">
      <c r="A337" t="s">
        <v>1213</v>
      </c>
      <c r="B337" t="s">
        <v>1253</v>
      </c>
      <c r="D337" t="s">
        <v>4943</v>
      </c>
      <c r="E337" t="s">
        <v>309</v>
      </c>
      <c r="F337" t="s">
        <v>4944</v>
      </c>
      <c r="G337" s="108">
        <v>74254</v>
      </c>
      <c r="H337" t="s">
        <v>314</v>
      </c>
      <c r="I337" t="s">
        <v>1000</v>
      </c>
      <c r="J337" t="s">
        <v>845</v>
      </c>
      <c r="K337" t="s">
        <v>204</v>
      </c>
      <c r="L337" t="s">
        <v>204</v>
      </c>
      <c r="M337" t="s">
        <v>204</v>
      </c>
      <c r="N337" t="s">
        <v>204</v>
      </c>
      <c r="O337" t="s">
        <v>339</v>
      </c>
      <c r="P337" s="162">
        <v>45124</v>
      </c>
      <c r="Q337" t="s">
        <v>1216</v>
      </c>
      <c r="R337" t="s">
        <v>885</v>
      </c>
      <c r="S337" t="s">
        <v>889</v>
      </c>
      <c r="T337" t="s">
        <v>4945</v>
      </c>
      <c r="U337" s="131">
        <v>3.71</v>
      </c>
      <c r="V337" s="131">
        <v>8.3369999999999997</v>
      </c>
      <c r="W337" s="131">
        <v>30.93</v>
      </c>
      <c r="X337" s="163">
        <v>7.0800000000000002E-2</v>
      </c>
      <c r="Y337" s="132">
        <v>1.5499999999999999E-3</v>
      </c>
      <c r="Z337" s="132">
        <v>2.5999999999999998E-4</v>
      </c>
    </row>
    <row r="338" spans="1:26">
      <c r="A338" t="s">
        <v>1213</v>
      </c>
      <c r="B338" t="s">
        <v>1253</v>
      </c>
      <c r="C338" t="s">
        <v>5127</v>
      </c>
      <c r="D338" t="s">
        <v>5128</v>
      </c>
      <c r="E338" t="s">
        <v>310</v>
      </c>
      <c r="F338" t="s">
        <v>5129</v>
      </c>
      <c r="G338" s="108">
        <v>74256</v>
      </c>
      <c r="H338" t="s">
        <v>314</v>
      </c>
      <c r="I338" t="s">
        <v>1004</v>
      </c>
      <c r="J338" t="s">
        <v>832</v>
      </c>
      <c r="K338" t="s">
        <v>205</v>
      </c>
      <c r="L338" t="s">
        <v>272</v>
      </c>
      <c r="M338" t="s">
        <v>272</v>
      </c>
      <c r="N338" t="s">
        <v>272</v>
      </c>
      <c r="O338" t="s">
        <v>339</v>
      </c>
      <c r="P338" s="162">
        <v>45166</v>
      </c>
      <c r="Q338" t="s">
        <v>1218</v>
      </c>
      <c r="R338" t="s">
        <v>885</v>
      </c>
      <c r="S338" t="s">
        <v>889</v>
      </c>
      <c r="T338" t="s">
        <v>5026</v>
      </c>
      <c r="U338" s="131">
        <v>4.1520000000000001</v>
      </c>
      <c r="V338" s="131">
        <v>168.24100000000001</v>
      </c>
      <c r="W338" s="131">
        <v>698.60299999999995</v>
      </c>
      <c r="X338" s="163">
        <v>0.18</v>
      </c>
      <c r="Y338" s="132">
        <v>3.5090000000000003E-2</v>
      </c>
      <c r="Z338" s="132">
        <v>5.96E-3</v>
      </c>
    </row>
    <row r="339" spans="1:26">
      <c r="A339" t="s">
        <v>1213</v>
      </c>
      <c r="B339" t="s">
        <v>1253</v>
      </c>
      <c r="C339" t="s">
        <v>5023</v>
      </c>
      <c r="D339" t="s">
        <v>5024</v>
      </c>
      <c r="E339" t="s">
        <v>309</v>
      </c>
      <c r="F339" t="s">
        <v>5025</v>
      </c>
      <c r="G339" s="108">
        <v>74189</v>
      </c>
      <c r="H339" t="s">
        <v>314</v>
      </c>
      <c r="I339" t="s">
        <v>1002</v>
      </c>
      <c r="J339" t="s">
        <v>569</v>
      </c>
      <c r="K339" t="s">
        <v>205</v>
      </c>
      <c r="L339" t="s">
        <v>224</v>
      </c>
      <c r="M339" t="s">
        <v>224</v>
      </c>
      <c r="N339" t="s">
        <v>224</v>
      </c>
      <c r="O339" t="s">
        <v>339</v>
      </c>
      <c r="P339" s="162">
        <v>43586</v>
      </c>
      <c r="Q339" t="s">
        <v>1216</v>
      </c>
      <c r="R339" t="s">
        <v>885</v>
      </c>
      <c r="S339" t="s">
        <v>889</v>
      </c>
      <c r="T339" t="s">
        <v>5026</v>
      </c>
      <c r="U339" s="131">
        <v>3.71</v>
      </c>
      <c r="V339" s="131">
        <v>169.37700000000001</v>
      </c>
      <c r="W339" s="131">
        <v>628.39</v>
      </c>
      <c r="X339" s="163">
        <v>3.3799999999999997E-2</v>
      </c>
      <c r="Y339" s="132">
        <v>3.1559999999999998E-2</v>
      </c>
      <c r="Z339" s="132">
        <v>5.3600000000000002E-3</v>
      </c>
    </row>
    <row r="340" spans="1:26">
      <c r="A340" t="s">
        <v>1213</v>
      </c>
      <c r="B340" t="s">
        <v>1253</v>
      </c>
      <c r="C340" t="s">
        <v>5150</v>
      </c>
      <c r="D340" t="s">
        <v>5151</v>
      </c>
      <c r="E340" t="s">
        <v>311</v>
      </c>
      <c r="F340" t="s">
        <v>5152</v>
      </c>
      <c r="G340" s="108">
        <v>74244</v>
      </c>
      <c r="H340" t="s">
        <v>314</v>
      </c>
      <c r="I340" t="s">
        <v>1004</v>
      </c>
      <c r="J340" t="s">
        <v>833</v>
      </c>
      <c r="K340" t="s">
        <v>205</v>
      </c>
      <c r="L340" t="s">
        <v>224</v>
      </c>
      <c r="M340" t="s">
        <v>224</v>
      </c>
      <c r="N340" t="s">
        <v>224</v>
      </c>
      <c r="O340" t="s">
        <v>339</v>
      </c>
      <c r="P340" s="162">
        <v>44881</v>
      </c>
      <c r="Q340" t="s">
        <v>1216</v>
      </c>
      <c r="R340" t="s">
        <v>885</v>
      </c>
      <c r="S340" t="s">
        <v>889</v>
      </c>
      <c r="T340" t="s">
        <v>4876</v>
      </c>
      <c r="U340" s="131">
        <v>3.71</v>
      </c>
      <c r="V340" s="131">
        <v>162.90700000000001</v>
      </c>
      <c r="W340" s="131">
        <v>604.38699999999994</v>
      </c>
      <c r="X340" s="163">
        <v>2.4199999999999999E-2</v>
      </c>
      <c r="Y340" s="132">
        <v>3.0360000000000002E-2</v>
      </c>
      <c r="Z340" s="132">
        <v>5.1599999999999997E-3</v>
      </c>
    </row>
    <row r="341" spans="1:26">
      <c r="A341" t="s">
        <v>1213</v>
      </c>
      <c r="B341" t="s">
        <v>1253</v>
      </c>
      <c r="D341" t="s">
        <v>5115</v>
      </c>
      <c r="E341" t="s">
        <v>309</v>
      </c>
      <c r="F341" t="s">
        <v>5116</v>
      </c>
      <c r="G341" s="108">
        <v>74240</v>
      </c>
      <c r="H341" t="s">
        <v>314</v>
      </c>
      <c r="I341" t="s">
        <v>1005</v>
      </c>
      <c r="J341" t="s">
        <v>832</v>
      </c>
      <c r="K341" t="s">
        <v>205</v>
      </c>
      <c r="L341" t="s">
        <v>204</v>
      </c>
      <c r="M341" t="s">
        <v>204</v>
      </c>
      <c r="N341" t="s">
        <v>303</v>
      </c>
      <c r="O341" t="s">
        <v>339</v>
      </c>
      <c r="P341" s="162">
        <v>44748</v>
      </c>
      <c r="Q341" t="s">
        <v>1218</v>
      </c>
      <c r="R341" t="s">
        <v>885</v>
      </c>
      <c r="S341" t="s">
        <v>889</v>
      </c>
      <c r="T341" t="s">
        <v>4954</v>
      </c>
      <c r="U341" s="131">
        <v>4.1520000000000001</v>
      </c>
      <c r="V341" s="131">
        <v>132.84700000000001</v>
      </c>
      <c r="W341" s="131">
        <v>551.63199999999995</v>
      </c>
      <c r="X341" s="163">
        <v>2.6239999999999999E-2</v>
      </c>
      <c r="Y341" s="132">
        <v>2.7709999999999999E-2</v>
      </c>
      <c r="Z341" s="132">
        <v>4.7099999999999998E-3</v>
      </c>
    </row>
    <row r="342" spans="1:26">
      <c r="A342" t="s">
        <v>1213</v>
      </c>
      <c r="B342" t="s">
        <v>1253</v>
      </c>
      <c r="D342" t="s">
        <v>4982</v>
      </c>
      <c r="E342" t="s">
        <v>311</v>
      </c>
      <c r="F342" t="s">
        <v>4983</v>
      </c>
      <c r="G342" s="108">
        <v>74203</v>
      </c>
      <c r="H342" t="s">
        <v>314</v>
      </c>
      <c r="I342" t="s">
        <v>1003</v>
      </c>
      <c r="J342" t="s">
        <v>833</v>
      </c>
      <c r="K342" t="s">
        <v>205</v>
      </c>
      <c r="L342" t="s">
        <v>224</v>
      </c>
      <c r="M342" t="s">
        <v>224</v>
      </c>
      <c r="N342" t="s">
        <v>224</v>
      </c>
      <c r="O342" t="s">
        <v>339</v>
      </c>
      <c r="P342" s="162">
        <v>43770</v>
      </c>
      <c r="Q342" t="s">
        <v>1216</v>
      </c>
      <c r="R342" t="s">
        <v>885</v>
      </c>
      <c r="S342" t="s">
        <v>889</v>
      </c>
      <c r="T342" t="s">
        <v>4882</v>
      </c>
      <c r="U342" s="131">
        <v>3.71</v>
      </c>
      <c r="V342" s="131">
        <v>146.82900000000001</v>
      </c>
      <c r="W342" s="131">
        <v>544.73599999999999</v>
      </c>
      <c r="X342" s="163">
        <v>6.8529999999999994E-2</v>
      </c>
      <c r="Y342" s="132">
        <v>2.7359999999999999E-2</v>
      </c>
      <c r="Z342" s="132">
        <v>4.6499999999999996E-3</v>
      </c>
    </row>
    <row r="343" spans="1:26">
      <c r="A343" t="s">
        <v>1213</v>
      </c>
      <c r="B343" t="s">
        <v>1253</v>
      </c>
      <c r="D343" t="s">
        <v>5027</v>
      </c>
      <c r="E343" t="s">
        <v>311</v>
      </c>
      <c r="F343" t="s">
        <v>5028</v>
      </c>
      <c r="G343" s="108">
        <v>74180</v>
      </c>
      <c r="H343" t="s">
        <v>314</v>
      </c>
      <c r="I343" t="s">
        <v>1000</v>
      </c>
      <c r="J343" t="s">
        <v>844</v>
      </c>
      <c r="K343" t="s">
        <v>205</v>
      </c>
      <c r="L343" t="s">
        <v>224</v>
      </c>
      <c r="M343" t="s">
        <v>224</v>
      </c>
      <c r="N343" t="s">
        <v>224</v>
      </c>
      <c r="O343" t="s">
        <v>339</v>
      </c>
      <c r="P343" s="162">
        <v>43411</v>
      </c>
      <c r="Q343" t="s">
        <v>1216</v>
      </c>
      <c r="R343" t="s">
        <v>885</v>
      </c>
      <c r="S343" t="s">
        <v>889</v>
      </c>
      <c r="T343" t="s">
        <v>4795</v>
      </c>
      <c r="U343" s="131">
        <v>3.71</v>
      </c>
      <c r="V343" s="131">
        <v>137.02600000000001</v>
      </c>
      <c r="W343" s="131">
        <v>508.36700000000002</v>
      </c>
      <c r="X343" s="163">
        <v>5.8900000000000001E-2</v>
      </c>
      <c r="Y343" s="132">
        <v>2.5530000000000001E-2</v>
      </c>
      <c r="Z343" s="132">
        <v>4.3400000000000001E-3</v>
      </c>
    </row>
    <row r="344" spans="1:26">
      <c r="A344" t="s">
        <v>1213</v>
      </c>
      <c r="B344" t="s">
        <v>1253</v>
      </c>
      <c r="C344" t="s">
        <v>5117</v>
      </c>
      <c r="D344" t="s">
        <v>5118</v>
      </c>
      <c r="E344" t="s">
        <v>310</v>
      </c>
      <c r="F344" t="s">
        <v>5119</v>
      </c>
      <c r="G344" s="108">
        <v>74205</v>
      </c>
      <c r="H344" t="s">
        <v>314</v>
      </c>
      <c r="I344" t="s">
        <v>1001</v>
      </c>
      <c r="J344" t="s">
        <v>831</v>
      </c>
      <c r="K344" t="s">
        <v>205</v>
      </c>
      <c r="L344" t="s">
        <v>286</v>
      </c>
      <c r="M344" t="s">
        <v>286</v>
      </c>
      <c r="N344" t="s">
        <v>286</v>
      </c>
      <c r="O344" t="s">
        <v>339</v>
      </c>
      <c r="P344" s="162">
        <v>44159</v>
      </c>
      <c r="Q344" t="s">
        <v>1218</v>
      </c>
      <c r="R344" t="s">
        <v>885</v>
      </c>
      <c r="S344" t="s">
        <v>889</v>
      </c>
      <c r="T344" t="s">
        <v>5120</v>
      </c>
      <c r="U344" s="131">
        <v>4.1520000000000001</v>
      </c>
      <c r="V344" s="131">
        <v>111.526</v>
      </c>
      <c r="W344" s="131">
        <v>463.10199999999998</v>
      </c>
      <c r="X344" s="163">
        <v>0.19639999999999999</v>
      </c>
      <c r="Y344" s="132">
        <v>2.3259999999999999E-2</v>
      </c>
      <c r="Z344" s="132">
        <v>3.9500000000000004E-3</v>
      </c>
    </row>
    <row r="345" spans="1:26">
      <c r="A345" t="s">
        <v>1213</v>
      </c>
      <c r="B345" t="s">
        <v>1253</v>
      </c>
      <c r="C345" t="s">
        <v>5029</v>
      </c>
      <c r="D345" t="s">
        <v>5030</v>
      </c>
      <c r="E345" t="s">
        <v>311</v>
      </c>
      <c r="F345" t="s">
        <v>5031</v>
      </c>
      <c r="G345" s="108">
        <v>74178</v>
      </c>
      <c r="H345" t="s">
        <v>314</v>
      </c>
      <c r="I345" t="s">
        <v>1004</v>
      </c>
      <c r="J345" t="s">
        <v>833</v>
      </c>
      <c r="K345" t="s">
        <v>205</v>
      </c>
      <c r="L345" t="s">
        <v>224</v>
      </c>
      <c r="M345" t="s">
        <v>224</v>
      </c>
      <c r="N345" t="s">
        <v>224</v>
      </c>
      <c r="O345" t="s">
        <v>339</v>
      </c>
      <c r="P345" s="162">
        <v>43321</v>
      </c>
      <c r="Q345" t="s">
        <v>1216</v>
      </c>
      <c r="R345" t="s">
        <v>885</v>
      </c>
      <c r="S345" t="s">
        <v>889</v>
      </c>
      <c r="T345" t="s">
        <v>4876</v>
      </c>
      <c r="U345" s="131">
        <v>3.71</v>
      </c>
      <c r="V345" s="131">
        <v>121.143</v>
      </c>
      <c r="W345" s="131">
        <v>449.44200000000001</v>
      </c>
      <c r="X345" s="163">
        <v>3.4639999999999997E-2</v>
      </c>
      <c r="Y345" s="132">
        <v>2.257E-2</v>
      </c>
      <c r="Z345" s="132">
        <v>3.8300000000000001E-3</v>
      </c>
    </row>
    <row r="346" spans="1:26">
      <c r="A346" t="s">
        <v>1213</v>
      </c>
      <c r="B346" t="s">
        <v>1253</v>
      </c>
      <c r="D346" t="s">
        <v>5027</v>
      </c>
      <c r="E346" t="s">
        <v>311</v>
      </c>
      <c r="F346" t="s">
        <v>5114</v>
      </c>
      <c r="G346" s="108">
        <v>74200</v>
      </c>
      <c r="H346" t="s">
        <v>314</v>
      </c>
      <c r="I346" t="s">
        <v>1000</v>
      </c>
      <c r="J346" t="s">
        <v>844</v>
      </c>
      <c r="K346" t="s">
        <v>205</v>
      </c>
      <c r="L346" t="s">
        <v>224</v>
      </c>
      <c r="M346" t="s">
        <v>224</v>
      </c>
      <c r="N346" t="s">
        <v>224</v>
      </c>
      <c r="O346" t="s">
        <v>339</v>
      </c>
      <c r="P346" s="162">
        <v>43891</v>
      </c>
      <c r="Q346" t="s">
        <v>1216</v>
      </c>
      <c r="R346" t="s">
        <v>885</v>
      </c>
      <c r="S346" t="s">
        <v>889</v>
      </c>
      <c r="T346" t="s">
        <v>4795</v>
      </c>
      <c r="U346" s="131">
        <v>3.71</v>
      </c>
      <c r="V346" s="131">
        <v>116.514</v>
      </c>
      <c r="W346" s="131">
        <v>432.26600000000002</v>
      </c>
      <c r="X346" s="163">
        <v>5.6800000000000003E-2</v>
      </c>
      <c r="Y346" s="132">
        <v>2.171E-2</v>
      </c>
      <c r="Z346" s="132">
        <v>3.6900000000000001E-3</v>
      </c>
    </row>
    <row r="347" spans="1:26">
      <c r="A347" t="s">
        <v>1213</v>
      </c>
      <c r="B347" t="s">
        <v>1253</v>
      </c>
      <c r="D347" t="s">
        <v>5121</v>
      </c>
      <c r="E347" t="s">
        <v>311</v>
      </c>
      <c r="F347" t="s">
        <v>5122</v>
      </c>
      <c r="G347" s="108">
        <v>74207</v>
      </c>
      <c r="H347" t="s">
        <v>314</v>
      </c>
      <c r="I347" t="s">
        <v>1005</v>
      </c>
      <c r="J347" t="s">
        <v>569</v>
      </c>
      <c r="K347" t="s">
        <v>205</v>
      </c>
      <c r="L347" t="s">
        <v>233</v>
      </c>
      <c r="M347" t="s">
        <v>224</v>
      </c>
      <c r="N347" t="s">
        <v>296</v>
      </c>
      <c r="O347" t="s">
        <v>339</v>
      </c>
      <c r="P347" s="162">
        <v>44166</v>
      </c>
      <c r="Q347" t="s">
        <v>1216</v>
      </c>
      <c r="R347" t="s">
        <v>885</v>
      </c>
      <c r="S347" t="s">
        <v>889</v>
      </c>
      <c r="T347" t="s">
        <v>5123</v>
      </c>
      <c r="U347" s="131">
        <v>3.71</v>
      </c>
      <c r="V347" s="131">
        <v>111.05500000000001</v>
      </c>
      <c r="W347" s="131">
        <v>412.01299999999998</v>
      </c>
      <c r="X347" s="163">
        <v>1.1111111111111111E-3</v>
      </c>
      <c r="Y347" s="132">
        <v>2.069E-2</v>
      </c>
      <c r="Z347" s="132">
        <v>3.5200000000000001E-3</v>
      </c>
    </row>
    <row r="348" spans="1:26">
      <c r="A348" t="s">
        <v>1213</v>
      </c>
      <c r="B348" t="s">
        <v>1253</v>
      </c>
      <c r="D348" t="s">
        <v>5032</v>
      </c>
      <c r="E348" t="s">
        <v>309</v>
      </c>
      <c r="F348" t="s">
        <v>5033</v>
      </c>
      <c r="G348" s="108">
        <v>74181</v>
      </c>
      <c r="H348" t="s">
        <v>314</v>
      </c>
      <c r="I348" t="s">
        <v>1004</v>
      </c>
      <c r="J348" t="s">
        <v>833</v>
      </c>
      <c r="K348" t="s">
        <v>205</v>
      </c>
      <c r="L348" t="s">
        <v>204</v>
      </c>
      <c r="M348" t="s">
        <v>204</v>
      </c>
      <c r="N348" t="s">
        <v>224</v>
      </c>
      <c r="O348" t="s">
        <v>339</v>
      </c>
      <c r="P348" s="162">
        <v>43412</v>
      </c>
      <c r="Q348" t="s">
        <v>1216</v>
      </c>
      <c r="R348" t="s">
        <v>885</v>
      </c>
      <c r="S348" t="s">
        <v>889</v>
      </c>
      <c r="T348" t="s">
        <v>4954</v>
      </c>
      <c r="U348" s="131">
        <v>3.71</v>
      </c>
      <c r="V348" s="131">
        <v>88.155000000000001</v>
      </c>
      <c r="W348" s="131">
        <v>327.053</v>
      </c>
      <c r="X348" s="163">
        <v>0.19900000000000001</v>
      </c>
      <c r="Y348" s="132">
        <v>1.643E-2</v>
      </c>
      <c r="Z348" s="132">
        <v>2.7899999999999999E-3</v>
      </c>
    </row>
    <row r="349" spans="1:26">
      <c r="A349" t="s">
        <v>1213</v>
      </c>
      <c r="B349" t="s">
        <v>1253</v>
      </c>
      <c r="C349" t="s">
        <v>5130</v>
      </c>
      <c r="D349" t="s">
        <v>5131</v>
      </c>
      <c r="E349" t="s">
        <v>311</v>
      </c>
      <c r="F349" t="s">
        <v>5132</v>
      </c>
      <c r="G349" s="108">
        <v>74237</v>
      </c>
      <c r="H349" t="s">
        <v>314</v>
      </c>
      <c r="I349" t="s">
        <v>1004</v>
      </c>
      <c r="J349" t="s">
        <v>833</v>
      </c>
      <c r="K349" t="s">
        <v>205</v>
      </c>
      <c r="L349" t="s">
        <v>233</v>
      </c>
      <c r="M349" t="s">
        <v>233</v>
      </c>
      <c r="N349" t="s">
        <v>233</v>
      </c>
      <c r="O349" t="s">
        <v>339</v>
      </c>
      <c r="P349" s="162">
        <v>44721</v>
      </c>
      <c r="Q349" t="s">
        <v>1227</v>
      </c>
      <c r="R349" t="s">
        <v>885</v>
      </c>
      <c r="S349" t="s">
        <v>889</v>
      </c>
      <c r="T349" t="s">
        <v>5133</v>
      </c>
      <c r="U349" s="131">
        <v>4.9749999999999996</v>
      </c>
      <c r="V349" s="131">
        <v>61.637</v>
      </c>
      <c r="W349" s="131">
        <v>306.63200000000001</v>
      </c>
      <c r="X349" s="163">
        <v>4.5373999999999998E-2</v>
      </c>
      <c r="Y349" s="132">
        <v>1.54E-2</v>
      </c>
      <c r="Z349" s="132">
        <v>2.6199999999999999E-3</v>
      </c>
    </row>
    <row r="350" spans="1:26">
      <c r="A350" t="s">
        <v>1213</v>
      </c>
      <c r="B350" t="s">
        <v>1253</v>
      </c>
      <c r="D350" t="s">
        <v>3826</v>
      </c>
      <c r="E350" t="s">
        <v>311</v>
      </c>
      <c r="F350" t="s">
        <v>3825</v>
      </c>
      <c r="G350" s="108">
        <v>74242</v>
      </c>
      <c r="H350" t="s">
        <v>314</v>
      </c>
      <c r="I350" t="s">
        <v>1004</v>
      </c>
      <c r="J350" t="s">
        <v>833</v>
      </c>
      <c r="K350" t="s">
        <v>205</v>
      </c>
      <c r="L350" t="s">
        <v>272</v>
      </c>
      <c r="M350" t="s">
        <v>272</v>
      </c>
      <c r="N350" t="s">
        <v>272</v>
      </c>
      <c r="O350" t="s">
        <v>339</v>
      </c>
      <c r="P350" s="162">
        <v>44812</v>
      </c>
      <c r="Q350" t="s">
        <v>1218</v>
      </c>
      <c r="R350" t="s">
        <v>885</v>
      </c>
      <c r="S350" t="s">
        <v>889</v>
      </c>
      <c r="T350" t="s">
        <v>5135</v>
      </c>
      <c r="U350" s="131">
        <v>4.1520000000000001</v>
      </c>
      <c r="V350" s="131">
        <v>67.674000000000007</v>
      </c>
      <c r="W350" s="131">
        <v>281.01</v>
      </c>
      <c r="X350" s="163">
        <v>0.127</v>
      </c>
      <c r="Y350" s="132">
        <v>1.4109999999999999E-2</v>
      </c>
      <c r="Z350" s="132">
        <v>2.3999999999999998E-3</v>
      </c>
    </row>
    <row r="351" spans="1:26">
      <c r="A351" t="s">
        <v>1213</v>
      </c>
      <c r="B351" t="s">
        <v>1253</v>
      </c>
      <c r="D351" t="s">
        <v>5027</v>
      </c>
      <c r="E351" t="s">
        <v>311</v>
      </c>
      <c r="F351" t="s">
        <v>5134</v>
      </c>
      <c r="G351" s="108">
        <v>74215</v>
      </c>
      <c r="H351" t="s">
        <v>314</v>
      </c>
      <c r="I351" t="s">
        <v>1000</v>
      </c>
      <c r="J351" t="s">
        <v>844</v>
      </c>
      <c r="K351" t="s">
        <v>205</v>
      </c>
      <c r="L351" t="s">
        <v>224</v>
      </c>
      <c r="M351" t="s">
        <v>224</v>
      </c>
      <c r="N351" t="s">
        <v>224</v>
      </c>
      <c r="O351" t="s">
        <v>339</v>
      </c>
      <c r="P351" s="162">
        <v>44308</v>
      </c>
      <c r="Q351" t="s">
        <v>1216</v>
      </c>
      <c r="R351" t="s">
        <v>885</v>
      </c>
      <c r="S351" t="s">
        <v>889</v>
      </c>
      <c r="T351" t="s">
        <v>4795</v>
      </c>
      <c r="U351" s="131">
        <v>3.71</v>
      </c>
      <c r="V351" s="131">
        <v>75.164000000000001</v>
      </c>
      <c r="W351" s="131">
        <v>278.85700000000003</v>
      </c>
      <c r="X351" s="163">
        <v>3.5400000000000001E-2</v>
      </c>
      <c r="Y351" s="132">
        <v>1.401E-2</v>
      </c>
      <c r="Z351" s="132">
        <v>2.3800000000000002E-3</v>
      </c>
    </row>
    <row r="352" spans="1:26">
      <c r="A352" t="s">
        <v>1213</v>
      </c>
      <c r="B352" t="s">
        <v>1253</v>
      </c>
      <c r="C352" t="s">
        <v>5124</v>
      </c>
      <c r="D352" t="s">
        <v>5125</v>
      </c>
      <c r="E352" t="s">
        <v>311</v>
      </c>
      <c r="F352" t="s">
        <v>5126</v>
      </c>
      <c r="G352" s="108">
        <v>74199</v>
      </c>
      <c r="H352" t="s">
        <v>314</v>
      </c>
      <c r="I352" t="s">
        <v>1003</v>
      </c>
      <c r="J352" t="s">
        <v>837</v>
      </c>
      <c r="K352" t="s">
        <v>205</v>
      </c>
      <c r="L352" t="s">
        <v>224</v>
      </c>
      <c r="M352" t="s">
        <v>224</v>
      </c>
      <c r="N352" t="s">
        <v>224</v>
      </c>
      <c r="O352" t="s">
        <v>339</v>
      </c>
      <c r="P352" s="162">
        <v>43881</v>
      </c>
      <c r="Q352" t="s">
        <v>1216</v>
      </c>
      <c r="R352" t="s">
        <v>885</v>
      </c>
      <c r="S352" t="s">
        <v>889</v>
      </c>
      <c r="T352" t="s">
        <v>4876</v>
      </c>
      <c r="U352" s="131">
        <v>3.71</v>
      </c>
      <c r="V352" s="131">
        <v>73.748999999999995</v>
      </c>
      <c r="W352" s="131">
        <v>273.61</v>
      </c>
      <c r="X352" s="163">
        <v>2.6270000000000002E-2</v>
      </c>
      <c r="Y352" s="132">
        <v>1.374E-2</v>
      </c>
      <c r="Z352" s="132">
        <v>2.33E-3</v>
      </c>
    </row>
    <row r="353" spans="1:26">
      <c r="A353" t="s">
        <v>1213</v>
      </c>
      <c r="B353" t="s">
        <v>1253</v>
      </c>
      <c r="C353" t="s">
        <v>4988</v>
      </c>
      <c r="D353" t="s">
        <v>4989</v>
      </c>
      <c r="E353" t="s">
        <v>309</v>
      </c>
      <c r="F353" t="s">
        <v>4990</v>
      </c>
      <c r="G353" s="108">
        <v>74255</v>
      </c>
      <c r="H353" t="s">
        <v>314</v>
      </c>
      <c r="I353" t="s">
        <v>1005</v>
      </c>
      <c r="J353" t="s">
        <v>831</v>
      </c>
      <c r="K353" t="s">
        <v>205</v>
      </c>
      <c r="L353" t="s">
        <v>233</v>
      </c>
      <c r="M353" t="s">
        <v>233</v>
      </c>
      <c r="N353" t="s">
        <v>233</v>
      </c>
      <c r="O353" t="s">
        <v>339</v>
      </c>
      <c r="P353" s="162">
        <v>45208</v>
      </c>
      <c r="Q353" t="s">
        <v>1227</v>
      </c>
      <c r="R353" t="s">
        <v>885</v>
      </c>
      <c r="S353" t="s">
        <v>889</v>
      </c>
      <c r="T353" t="s">
        <v>4991</v>
      </c>
      <c r="U353" s="131">
        <v>4.9749999999999996</v>
      </c>
      <c r="V353" s="131">
        <v>53.929000000000002</v>
      </c>
      <c r="W353" s="131">
        <v>268.28500000000003</v>
      </c>
      <c r="X353" s="163">
        <v>0.107</v>
      </c>
      <c r="Y353" s="132">
        <v>1.3480000000000001E-2</v>
      </c>
      <c r="Z353" s="132">
        <v>2.2899999999999999E-3</v>
      </c>
    </row>
    <row r="354" spans="1:26">
      <c r="A354" t="s">
        <v>1213</v>
      </c>
      <c r="B354" t="s">
        <v>1253</v>
      </c>
      <c r="D354" t="s">
        <v>5027</v>
      </c>
      <c r="E354" t="s">
        <v>311</v>
      </c>
      <c r="F354" t="s">
        <v>5137</v>
      </c>
      <c r="G354" s="108">
        <v>74235</v>
      </c>
      <c r="H354" t="s">
        <v>314</v>
      </c>
      <c r="I354" t="s">
        <v>1000</v>
      </c>
      <c r="J354" t="s">
        <v>844</v>
      </c>
      <c r="K354" t="s">
        <v>205</v>
      </c>
      <c r="L354" t="s">
        <v>224</v>
      </c>
      <c r="M354" t="s">
        <v>224</v>
      </c>
      <c r="N354" t="s">
        <v>224</v>
      </c>
      <c r="O354" t="s">
        <v>339</v>
      </c>
      <c r="P354" s="162">
        <v>44712</v>
      </c>
      <c r="Q354" t="s">
        <v>1216</v>
      </c>
      <c r="R354" t="s">
        <v>885</v>
      </c>
      <c r="S354" t="s">
        <v>889</v>
      </c>
      <c r="T354" t="s">
        <v>4795</v>
      </c>
      <c r="U354" s="131">
        <v>3.71</v>
      </c>
      <c r="V354" s="131">
        <v>72.144000000000005</v>
      </c>
      <c r="W354" s="131">
        <v>267.65499999999997</v>
      </c>
      <c r="X354" s="163">
        <v>6.13E-2</v>
      </c>
      <c r="Y354" s="132">
        <v>1.3440000000000001E-2</v>
      </c>
      <c r="Z354" s="132">
        <v>2.2799999999999999E-3</v>
      </c>
    </row>
    <row r="355" spans="1:26">
      <c r="A355" t="s">
        <v>1213</v>
      </c>
      <c r="B355" t="s">
        <v>1253</v>
      </c>
      <c r="D355" t="s">
        <v>5034</v>
      </c>
      <c r="E355" t="s">
        <v>311</v>
      </c>
      <c r="F355" t="s">
        <v>5035</v>
      </c>
      <c r="G355" s="108">
        <v>74197</v>
      </c>
      <c r="H355" t="s">
        <v>314</v>
      </c>
      <c r="I355" t="s">
        <v>1003</v>
      </c>
      <c r="J355" t="s">
        <v>836</v>
      </c>
      <c r="K355" t="s">
        <v>205</v>
      </c>
      <c r="L355" t="s">
        <v>224</v>
      </c>
      <c r="M355" t="s">
        <v>224</v>
      </c>
      <c r="N355" t="s">
        <v>224</v>
      </c>
      <c r="O355" t="s">
        <v>339</v>
      </c>
      <c r="P355" s="162">
        <v>43857</v>
      </c>
      <c r="Q355" t="s">
        <v>1216</v>
      </c>
      <c r="R355" t="s">
        <v>885</v>
      </c>
      <c r="S355" t="s">
        <v>889</v>
      </c>
      <c r="T355" t="s">
        <v>4876</v>
      </c>
      <c r="U355" s="131">
        <v>3.71</v>
      </c>
      <c r="V355" s="131">
        <v>67.619</v>
      </c>
      <c r="W355" s="131">
        <v>250.86500000000001</v>
      </c>
      <c r="X355" s="163">
        <v>2.53E-2</v>
      </c>
      <c r="Y355" s="132">
        <v>1.26E-2</v>
      </c>
      <c r="Z355" s="132">
        <v>2.14E-3</v>
      </c>
    </row>
    <row r="356" spans="1:26">
      <c r="A356" t="s">
        <v>1213</v>
      </c>
      <c r="B356" t="s">
        <v>1253</v>
      </c>
      <c r="C356" t="s">
        <v>5038</v>
      </c>
      <c r="D356" t="s">
        <v>5039</v>
      </c>
      <c r="E356" t="s">
        <v>311</v>
      </c>
      <c r="F356" t="s">
        <v>5040</v>
      </c>
      <c r="G356" s="108">
        <v>74208</v>
      </c>
      <c r="H356" t="s">
        <v>314</v>
      </c>
      <c r="I356" t="s">
        <v>1004</v>
      </c>
      <c r="J356" t="s">
        <v>833</v>
      </c>
      <c r="K356" t="s">
        <v>205</v>
      </c>
      <c r="L356" t="s">
        <v>224</v>
      </c>
      <c r="M356" t="s">
        <v>224</v>
      </c>
      <c r="N356" t="s">
        <v>224</v>
      </c>
      <c r="O356" t="s">
        <v>339</v>
      </c>
      <c r="P356" s="162">
        <v>44186</v>
      </c>
      <c r="Q356" t="s">
        <v>1216</v>
      </c>
      <c r="R356" t="s">
        <v>885</v>
      </c>
      <c r="S356" t="s">
        <v>889</v>
      </c>
      <c r="T356" t="s">
        <v>4876</v>
      </c>
      <c r="U356" s="131">
        <v>3.71</v>
      </c>
      <c r="V356" s="131">
        <v>58.207000000000001</v>
      </c>
      <c r="W356" s="131">
        <v>215.94900000000001</v>
      </c>
      <c r="X356" s="163">
        <v>4.7000000000000002E-3</v>
      </c>
      <c r="Y356" s="132">
        <v>1.085E-2</v>
      </c>
      <c r="Z356" s="132">
        <v>1.8400000000000001E-3</v>
      </c>
    </row>
    <row r="357" spans="1:26">
      <c r="A357" t="s">
        <v>1213</v>
      </c>
      <c r="B357" t="s">
        <v>1253</v>
      </c>
      <c r="D357" t="s">
        <v>5036</v>
      </c>
      <c r="E357" t="s">
        <v>311</v>
      </c>
      <c r="F357" t="s">
        <v>5037</v>
      </c>
      <c r="G357" s="108">
        <v>74183</v>
      </c>
      <c r="H357" t="s">
        <v>314</v>
      </c>
      <c r="I357" t="s">
        <v>1000</v>
      </c>
      <c r="J357" t="s">
        <v>844</v>
      </c>
      <c r="K357" t="s">
        <v>205</v>
      </c>
      <c r="L357" t="s">
        <v>224</v>
      </c>
      <c r="M357" t="s">
        <v>224</v>
      </c>
      <c r="N357" t="s">
        <v>224</v>
      </c>
      <c r="O357" t="s">
        <v>339</v>
      </c>
      <c r="P357" s="162">
        <v>43482</v>
      </c>
      <c r="Q357" t="s">
        <v>1216</v>
      </c>
      <c r="R357" t="s">
        <v>885</v>
      </c>
      <c r="S357" t="s">
        <v>889</v>
      </c>
      <c r="T357" t="s">
        <v>4991</v>
      </c>
      <c r="U357" s="131">
        <v>3.71</v>
      </c>
      <c r="V357" s="131">
        <v>49.362000000000002</v>
      </c>
      <c r="W357" s="131">
        <v>183.131</v>
      </c>
      <c r="X357" s="163">
        <v>5.2000000000000005E-2</v>
      </c>
      <c r="Y357" s="132">
        <v>9.1999999999999998E-3</v>
      </c>
      <c r="Z357" s="132">
        <v>1.56E-3</v>
      </c>
    </row>
    <row r="358" spans="1:26">
      <c r="A358" t="s">
        <v>1213</v>
      </c>
      <c r="B358" t="s">
        <v>1253</v>
      </c>
      <c r="D358" t="s">
        <v>5036</v>
      </c>
      <c r="E358" t="s">
        <v>311</v>
      </c>
      <c r="F358" t="s">
        <v>5136</v>
      </c>
      <c r="G358" s="108">
        <v>74216</v>
      </c>
      <c r="H358" t="s">
        <v>314</v>
      </c>
      <c r="I358" t="s">
        <v>1000</v>
      </c>
      <c r="J358" t="s">
        <v>844</v>
      </c>
      <c r="K358" t="s">
        <v>205</v>
      </c>
      <c r="L358" t="s">
        <v>224</v>
      </c>
      <c r="M358" t="s">
        <v>224</v>
      </c>
      <c r="N358" t="s">
        <v>224</v>
      </c>
      <c r="O358" t="s">
        <v>339</v>
      </c>
      <c r="P358" s="162">
        <v>44371</v>
      </c>
      <c r="Q358" t="s">
        <v>1216</v>
      </c>
      <c r="R358" t="s">
        <v>885</v>
      </c>
      <c r="S358" t="s">
        <v>889</v>
      </c>
      <c r="T358" t="s">
        <v>4991</v>
      </c>
      <c r="U358" s="131">
        <v>3.71</v>
      </c>
      <c r="V358" s="131">
        <v>45.255000000000003</v>
      </c>
      <c r="W358" s="131">
        <v>167.898</v>
      </c>
      <c r="X358" s="163">
        <v>1.6000000000000004E-2</v>
      </c>
      <c r="Y358" s="132">
        <v>8.43E-3</v>
      </c>
      <c r="Z358" s="132">
        <v>1.4300000000000001E-3</v>
      </c>
    </row>
    <row r="359" spans="1:26">
      <c r="A359" t="s">
        <v>1213</v>
      </c>
      <c r="B359" t="s">
        <v>1253</v>
      </c>
      <c r="D359" t="s">
        <v>5138</v>
      </c>
      <c r="E359" t="s">
        <v>311</v>
      </c>
      <c r="F359" t="s">
        <v>5139</v>
      </c>
      <c r="G359" s="108">
        <v>74247</v>
      </c>
      <c r="H359" t="s">
        <v>314</v>
      </c>
      <c r="I359" t="s">
        <v>1004</v>
      </c>
      <c r="J359" t="s">
        <v>833</v>
      </c>
      <c r="K359" t="s">
        <v>205</v>
      </c>
      <c r="L359" t="s">
        <v>233</v>
      </c>
      <c r="M359" t="s">
        <v>233</v>
      </c>
      <c r="N359" t="s">
        <v>233</v>
      </c>
      <c r="O359" t="s">
        <v>339</v>
      </c>
      <c r="P359" s="162">
        <v>44938</v>
      </c>
      <c r="Q359" t="s">
        <v>1227</v>
      </c>
      <c r="R359" t="s">
        <v>885</v>
      </c>
      <c r="S359" t="s">
        <v>889</v>
      </c>
      <c r="T359" t="s">
        <v>5003</v>
      </c>
      <c r="U359" s="131">
        <v>4.9749999999999996</v>
      </c>
      <c r="V359" s="131">
        <v>26.303000000000001</v>
      </c>
      <c r="W359" s="131">
        <v>130.852</v>
      </c>
      <c r="X359" s="163">
        <v>2.8799999999999999E-2</v>
      </c>
      <c r="Y359" s="132">
        <v>6.5700000000000003E-3</v>
      </c>
      <c r="Z359" s="132">
        <v>1.1199999999999999E-3</v>
      </c>
    </row>
    <row r="360" spans="1:26">
      <c r="A360" t="s">
        <v>1213</v>
      </c>
      <c r="B360" t="s">
        <v>1253</v>
      </c>
      <c r="C360" t="s">
        <v>4992</v>
      </c>
      <c r="D360" t="s">
        <v>4993</v>
      </c>
      <c r="E360" t="s">
        <v>311</v>
      </c>
      <c r="F360" t="s">
        <v>4994</v>
      </c>
      <c r="G360" s="108">
        <v>74272</v>
      </c>
      <c r="H360" t="s">
        <v>314</v>
      </c>
      <c r="I360" t="s">
        <v>1004</v>
      </c>
      <c r="J360" t="s">
        <v>832</v>
      </c>
      <c r="K360" t="s">
        <v>205</v>
      </c>
      <c r="L360" t="s">
        <v>224</v>
      </c>
      <c r="M360" t="s">
        <v>224</v>
      </c>
      <c r="N360" t="s">
        <v>224</v>
      </c>
      <c r="O360" t="s">
        <v>339</v>
      </c>
      <c r="P360" s="162">
        <v>45505</v>
      </c>
      <c r="Q360" t="s">
        <v>1216</v>
      </c>
      <c r="R360" t="s">
        <v>885</v>
      </c>
      <c r="S360" t="s">
        <v>889</v>
      </c>
      <c r="T360" t="s">
        <v>4995</v>
      </c>
      <c r="U360" s="131">
        <v>3.71</v>
      </c>
      <c r="V360" s="131">
        <v>22.138999999999999</v>
      </c>
      <c r="W360" s="131">
        <v>82.135999999999996</v>
      </c>
      <c r="X360" s="164">
        <v>0.34670000000000001</v>
      </c>
      <c r="Y360" s="132">
        <v>4.13E-3</v>
      </c>
      <c r="Z360" s="132">
        <v>6.9999999999999999E-4</v>
      </c>
    </row>
    <row r="361" spans="1:26">
      <c r="A361" t="s">
        <v>1213</v>
      </c>
      <c r="B361" t="s">
        <v>1253</v>
      </c>
      <c r="C361" t="s">
        <v>4992</v>
      </c>
      <c r="D361" t="s">
        <v>4993</v>
      </c>
      <c r="E361" t="s">
        <v>311</v>
      </c>
      <c r="F361" t="s">
        <v>4996</v>
      </c>
      <c r="G361" s="108">
        <v>74266</v>
      </c>
      <c r="H361" t="s">
        <v>314</v>
      </c>
      <c r="I361" t="s">
        <v>1004</v>
      </c>
      <c r="J361" t="s">
        <v>832</v>
      </c>
      <c r="K361" t="s">
        <v>205</v>
      </c>
      <c r="L361" t="s">
        <v>224</v>
      </c>
      <c r="M361" t="s">
        <v>224</v>
      </c>
      <c r="N361" t="s">
        <v>224</v>
      </c>
      <c r="O361" t="s">
        <v>339</v>
      </c>
      <c r="P361" s="162">
        <v>45400</v>
      </c>
      <c r="Q361" t="s">
        <v>1216</v>
      </c>
      <c r="R361" t="s">
        <v>885</v>
      </c>
      <c r="S361" t="s">
        <v>889</v>
      </c>
      <c r="T361" t="s">
        <v>4870</v>
      </c>
      <c r="U361" s="131">
        <v>3.71</v>
      </c>
      <c r="V361" s="131">
        <v>21.283000000000001</v>
      </c>
      <c r="W361" s="131">
        <v>78.959999999999994</v>
      </c>
      <c r="X361" s="163">
        <v>0.4</v>
      </c>
      <c r="Y361" s="132">
        <v>3.9699999999999996E-3</v>
      </c>
      <c r="Z361" s="132">
        <v>6.7000000000000002E-4</v>
      </c>
    </row>
    <row r="362" spans="1:26">
      <c r="A362" t="s">
        <v>1213</v>
      </c>
      <c r="B362" t="s">
        <v>1253</v>
      </c>
      <c r="C362" t="s">
        <v>4997</v>
      </c>
      <c r="D362" t="s">
        <v>4998</v>
      </c>
      <c r="E362" t="s">
        <v>311</v>
      </c>
      <c r="F362" t="s">
        <v>4997</v>
      </c>
      <c r="G362" s="108">
        <v>74271</v>
      </c>
      <c r="H362" t="s">
        <v>314</v>
      </c>
      <c r="I362" t="s">
        <v>1004</v>
      </c>
      <c r="J362" t="s">
        <v>832</v>
      </c>
      <c r="K362" t="s">
        <v>205</v>
      </c>
      <c r="L362" t="s">
        <v>217</v>
      </c>
      <c r="M362" t="s">
        <v>233</v>
      </c>
      <c r="N362" t="s">
        <v>233</v>
      </c>
      <c r="O362" t="s">
        <v>339</v>
      </c>
      <c r="P362" s="162">
        <v>45495</v>
      </c>
      <c r="Q362" t="s">
        <v>1227</v>
      </c>
      <c r="R362" t="s">
        <v>885</v>
      </c>
      <c r="S362" t="s">
        <v>889</v>
      </c>
      <c r="T362" t="s">
        <v>4999</v>
      </c>
      <c r="U362" s="131">
        <v>4.9749999999999996</v>
      </c>
      <c r="V362" s="131">
        <v>14.6</v>
      </c>
      <c r="W362" s="131">
        <v>72.632000000000005</v>
      </c>
      <c r="X362" s="164">
        <v>3.73E-2</v>
      </c>
      <c r="Y362" s="132">
        <v>3.65E-3</v>
      </c>
      <c r="Z362" s="132">
        <v>6.2E-4</v>
      </c>
    </row>
    <row r="363" spans="1:26">
      <c r="A363" t="s">
        <v>1213</v>
      </c>
      <c r="B363" t="s">
        <v>1253</v>
      </c>
      <c r="C363" t="s">
        <v>5147</v>
      </c>
      <c r="D363" t="s">
        <v>5148</v>
      </c>
      <c r="E363" t="s">
        <v>311</v>
      </c>
      <c r="F363" t="s">
        <v>5149</v>
      </c>
      <c r="G363" s="108">
        <v>74270</v>
      </c>
      <c r="H363" t="s">
        <v>314</v>
      </c>
      <c r="I363" t="s">
        <v>1004</v>
      </c>
      <c r="J363" t="s">
        <v>833</v>
      </c>
      <c r="K363" t="s">
        <v>205</v>
      </c>
      <c r="L363" t="s">
        <v>253</v>
      </c>
      <c r="M363" t="s">
        <v>253</v>
      </c>
      <c r="N363" t="s">
        <v>212</v>
      </c>
      <c r="O363" t="s">
        <v>339</v>
      </c>
      <c r="P363" s="162">
        <v>45484</v>
      </c>
      <c r="Q363" t="s">
        <v>1218</v>
      </c>
      <c r="R363" t="s">
        <v>885</v>
      </c>
      <c r="S363" t="s">
        <v>889</v>
      </c>
      <c r="T363" t="s">
        <v>4737</v>
      </c>
      <c r="U363" s="131">
        <v>4.1520000000000001</v>
      </c>
      <c r="V363" s="131">
        <v>14.465</v>
      </c>
      <c r="W363" s="131">
        <v>60.064</v>
      </c>
      <c r="X363" s="166">
        <v>0.13500000000000001</v>
      </c>
      <c r="Y363" s="132">
        <v>3.0200000000000001E-3</v>
      </c>
      <c r="Z363" s="132">
        <v>5.1000000000000004E-4</v>
      </c>
    </row>
    <row r="364" spans="1:26">
      <c r="A364" t="s">
        <v>1213</v>
      </c>
      <c r="B364" t="s">
        <v>1253</v>
      </c>
      <c r="D364" t="s">
        <v>5140</v>
      </c>
      <c r="E364" t="s">
        <v>311</v>
      </c>
      <c r="F364" t="s">
        <v>5141</v>
      </c>
      <c r="G364" s="108">
        <v>74193</v>
      </c>
      <c r="H364" t="s">
        <v>314</v>
      </c>
      <c r="I364" t="s">
        <v>1003</v>
      </c>
      <c r="J364" t="s">
        <v>836</v>
      </c>
      <c r="K364" t="s">
        <v>205</v>
      </c>
      <c r="L364" t="s">
        <v>224</v>
      </c>
      <c r="M364" t="s">
        <v>224</v>
      </c>
      <c r="N364" t="s">
        <v>224</v>
      </c>
      <c r="O364" t="s">
        <v>339</v>
      </c>
      <c r="P364" s="162">
        <v>43790</v>
      </c>
      <c r="Q364" t="s">
        <v>1216</v>
      </c>
      <c r="R364" t="s">
        <v>885</v>
      </c>
      <c r="S364" t="s">
        <v>889</v>
      </c>
      <c r="T364" t="s">
        <v>5022</v>
      </c>
      <c r="U364" s="131">
        <v>3.71</v>
      </c>
      <c r="V364" s="131">
        <v>8.7070000000000007</v>
      </c>
      <c r="W364" s="131">
        <v>32.304000000000002</v>
      </c>
      <c r="X364" s="163">
        <v>1.0200000000000001E-2</v>
      </c>
      <c r="Y364" s="132">
        <v>1.6199999999999999E-3</v>
      </c>
      <c r="Z364" s="132">
        <v>2.7999999999999998E-4</v>
      </c>
    </row>
    <row r="365" spans="1:26">
      <c r="A365" t="s">
        <v>1213</v>
      </c>
      <c r="B365" t="s">
        <v>1253</v>
      </c>
      <c r="C365" t="s">
        <v>5041</v>
      </c>
      <c r="D365" t="s">
        <v>5042</v>
      </c>
      <c r="E365" t="s">
        <v>310</v>
      </c>
      <c r="F365" t="s">
        <v>5043</v>
      </c>
      <c r="G365" s="108">
        <v>74187</v>
      </c>
      <c r="H365" t="s">
        <v>314</v>
      </c>
      <c r="I365" t="s">
        <v>1003</v>
      </c>
      <c r="J365" t="s">
        <v>836</v>
      </c>
      <c r="K365" t="s">
        <v>205</v>
      </c>
      <c r="L365" t="s">
        <v>204</v>
      </c>
      <c r="M365" t="s">
        <v>204</v>
      </c>
      <c r="N365" t="s">
        <v>303</v>
      </c>
      <c r="O365" t="s">
        <v>339</v>
      </c>
      <c r="P365" s="162">
        <v>43571</v>
      </c>
      <c r="Q365" t="s">
        <v>1216</v>
      </c>
      <c r="R365" t="s">
        <v>885</v>
      </c>
      <c r="S365" t="s">
        <v>889</v>
      </c>
      <c r="T365" t="s">
        <v>5018</v>
      </c>
      <c r="U365" s="131">
        <v>3.71</v>
      </c>
      <c r="V365" s="131">
        <v>8.0459999999999994</v>
      </c>
      <c r="W365" s="131">
        <v>29.852</v>
      </c>
      <c r="X365" s="163">
        <v>3.3300000000000003E-2</v>
      </c>
      <c r="Y365" s="132">
        <v>1.5E-3</v>
      </c>
      <c r="Z365" s="132">
        <v>2.5000000000000001E-4</v>
      </c>
    </row>
    <row r="366" spans="1:26">
      <c r="A366" t="s">
        <v>1213</v>
      </c>
      <c r="B366" t="s">
        <v>1253</v>
      </c>
      <c r="D366" t="s">
        <v>5044</v>
      </c>
      <c r="E366" t="s">
        <v>311</v>
      </c>
      <c r="F366" t="s">
        <v>5045</v>
      </c>
      <c r="G366" s="108">
        <v>74188</v>
      </c>
      <c r="H366" t="s">
        <v>314</v>
      </c>
      <c r="I366" t="s">
        <v>1002</v>
      </c>
      <c r="J366" t="s">
        <v>569</v>
      </c>
      <c r="K366" t="s">
        <v>205</v>
      </c>
      <c r="L366" t="s">
        <v>224</v>
      </c>
      <c r="M366" t="s">
        <v>224</v>
      </c>
      <c r="N366" t="s">
        <v>224</v>
      </c>
      <c r="O366" t="s">
        <v>339</v>
      </c>
      <c r="P366" s="162">
        <v>43578</v>
      </c>
      <c r="Q366" t="s">
        <v>1216</v>
      </c>
      <c r="R366" t="s">
        <v>885</v>
      </c>
      <c r="S366" t="s">
        <v>889</v>
      </c>
      <c r="T366" t="s">
        <v>5046</v>
      </c>
      <c r="U366" s="131">
        <v>3.71</v>
      </c>
      <c r="V366" s="131">
        <v>6.2140000000000004</v>
      </c>
      <c r="W366" s="131">
        <v>23.053999999999998</v>
      </c>
      <c r="X366" s="163">
        <v>1.7999999999999999E-2</v>
      </c>
      <c r="Y366" s="132">
        <v>1.16E-3</v>
      </c>
      <c r="Z366" s="132">
        <v>2.0000000000000001E-4</v>
      </c>
    </row>
    <row r="367" spans="1:26">
      <c r="A367" t="s">
        <v>1213</v>
      </c>
      <c r="B367" t="s">
        <v>1253</v>
      </c>
      <c r="C367" t="s">
        <v>5144</v>
      </c>
      <c r="D367" t="s">
        <v>5145</v>
      </c>
      <c r="E367" t="s">
        <v>309</v>
      </c>
      <c r="F367" t="s">
        <v>5146</v>
      </c>
      <c r="G367" s="108">
        <v>74192</v>
      </c>
      <c r="H367" t="s">
        <v>314</v>
      </c>
      <c r="I367" t="s">
        <v>1004</v>
      </c>
      <c r="J367" t="s">
        <v>833</v>
      </c>
      <c r="K367" t="s">
        <v>205</v>
      </c>
      <c r="L367" t="s">
        <v>224</v>
      </c>
      <c r="M367" t="s">
        <v>224</v>
      </c>
      <c r="N367" t="s">
        <v>224</v>
      </c>
      <c r="O367" t="s">
        <v>339</v>
      </c>
      <c r="P367" s="162">
        <v>43761</v>
      </c>
      <c r="Q367" t="s">
        <v>1216</v>
      </c>
      <c r="R367" t="s">
        <v>885</v>
      </c>
      <c r="S367" t="s">
        <v>889</v>
      </c>
      <c r="T367" t="s">
        <v>5018</v>
      </c>
      <c r="U367" s="131">
        <v>3.71</v>
      </c>
      <c r="V367" s="131">
        <v>5.6029999999999998</v>
      </c>
      <c r="W367" s="131">
        <v>20.788</v>
      </c>
      <c r="X367" s="163">
        <v>3.5400000000000001E-2</v>
      </c>
      <c r="Y367" s="132">
        <v>1.0399999999999999E-3</v>
      </c>
      <c r="Z367" s="132">
        <v>1.8000000000000001E-4</v>
      </c>
    </row>
    <row r="368" spans="1:26">
      <c r="A368" t="s">
        <v>1213</v>
      </c>
      <c r="B368" t="s">
        <v>1257</v>
      </c>
      <c r="C368" t="s">
        <v>5047</v>
      </c>
      <c r="D368" t="s">
        <v>5048</v>
      </c>
      <c r="E368" t="s">
        <v>309</v>
      </c>
      <c r="F368" t="s">
        <v>5049</v>
      </c>
      <c r="G368" s="108" t="s">
        <v>5050</v>
      </c>
      <c r="H368" t="s">
        <v>321</v>
      </c>
      <c r="I368" t="s">
        <v>1002</v>
      </c>
      <c r="J368" t="s">
        <v>569</v>
      </c>
      <c r="K368" t="s">
        <v>204</v>
      </c>
      <c r="L368" t="s">
        <v>217</v>
      </c>
      <c r="M368" t="s">
        <v>204</v>
      </c>
      <c r="N368" t="s">
        <v>204</v>
      </c>
      <c r="O368" t="s">
        <v>339</v>
      </c>
      <c r="P368" s="162">
        <v>45565</v>
      </c>
      <c r="Q368" t="s">
        <v>1212</v>
      </c>
      <c r="R368" t="s">
        <v>885</v>
      </c>
      <c r="S368" t="s">
        <v>889</v>
      </c>
      <c r="T368" t="s">
        <v>4723</v>
      </c>
      <c r="U368" s="131">
        <v>1</v>
      </c>
      <c r="V368" s="131">
        <v>682.74900000000002</v>
      </c>
      <c r="W368" s="131">
        <v>682.74900000000002</v>
      </c>
      <c r="X368" s="165">
        <v>1.6E-2</v>
      </c>
      <c r="Y368" s="132">
        <v>1.874E-2</v>
      </c>
      <c r="Z368" s="132">
        <v>2.5100000000000001E-3</v>
      </c>
    </row>
    <row r="369" spans="1:26">
      <c r="A369" t="s">
        <v>1213</v>
      </c>
      <c r="B369" t="s">
        <v>1257</v>
      </c>
      <c r="D369" t="s">
        <v>5067</v>
      </c>
      <c r="E369" t="s">
        <v>309</v>
      </c>
      <c r="F369" t="s">
        <v>5068</v>
      </c>
      <c r="G369" s="108">
        <v>74249</v>
      </c>
      <c r="H369" t="s">
        <v>314</v>
      </c>
      <c r="I369" t="s">
        <v>1005</v>
      </c>
      <c r="J369" t="s">
        <v>832</v>
      </c>
      <c r="K369" t="s">
        <v>204</v>
      </c>
      <c r="L369" t="s">
        <v>204</v>
      </c>
      <c r="M369" t="s">
        <v>204</v>
      </c>
      <c r="N369" t="s">
        <v>204</v>
      </c>
      <c r="O369" t="s">
        <v>339</v>
      </c>
      <c r="P369" s="162">
        <v>45006</v>
      </c>
      <c r="Q369" t="s">
        <v>1212</v>
      </c>
      <c r="R369" t="s">
        <v>885</v>
      </c>
      <c r="S369" t="s">
        <v>889</v>
      </c>
      <c r="T369" t="s">
        <v>5069</v>
      </c>
      <c r="U369" s="131">
        <v>1</v>
      </c>
      <c r="V369" s="131">
        <v>1977.4739999999999</v>
      </c>
      <c r="W369" s="131">
        <v>1977.4739999999999</v>
      </c>
      <c r="X369" s="163">
        <v>0.19600000000000001</v>
      </c>
      <c r="Y369" s="132">
        <v>5.4280000000000002E-2</v>
      </c>
      <c r="Z369" s="132">
        <v>7.26E-3</v>
      </c>
    </row>
    <row r="370" spans="1:26">
      <c r="A370" t="s">
        <v>1213</v>
      </c>
      <c r="B370" t="s">
        <v>1257</v>
      </c>
      <c r="C370" t="s">
        <v>5082</v>
      </c>
      <c r="D370" t="s">
        <v>5083</v>
      </c>
      <c r="E370" t="s">
        <v>309</v>
      </c>
      <c r="F370" t="s">
        <v>5084</v>
      </c>
      <c r="G370" s="108">
        <v>74241</v>
      </c>
      <c r="H370" t="s">
        <v>314</v>
      </c>
      <c r="I370" t="s">
        <v>1003</v>
      </c>
      <c r="J370" t="s">
        <v>837</v>
      </c>
      <c r="K370" t="s">
        <v>204</v>
      </c>
      <c r="L370" t="s">
        <v>204</v>
      </c>
      <c r="M370" t="s">
        <v>204</v>
      </c>
      <c r="N370" t="s">
        <v>204</v>
      </c>
      <c r="O370" t="s">
        <v>339</v>
      </c>
      <c r="P370" s="162">
        <v>44752</v>
      </c>
      <c r="Q370" t="s">
        <v>1212</v>
      </c>
      <c r="R370" t="s">
        <v>885</v>
      </c>
      <c r="S370" t="s">
        <v>889</v>
      </c>
      <c r="T370" t="s">
        <v>5026</v>
      </c>
      <c r="U370" s="131">
        <v>1</v>
      </c>
      <c r="V370" s="131">
        <v>1540.059</v>
      </c>
      <c r="W370" s="131">
        <v>1540.059</v>
      </c>
      <c r="X370" s="163">
        <v>5.8299999999999998E-2</v>
      </c>
      <c r="Y370" s="132">
        <v>4.2270000000000002E-2</v>
      </c>
      <c r="Z370" s="132">
        <v>5.6499999999999996E-3</v>
      </c>
    </row>
    <row r="371" spans="1:26">
      <c r="A371" t="s">
        <v>1213</v>
      </c>
      <c r="B371" t="s">
        <v>1257</v>
      </c>
      <c r="C371" t="s">
        <v>5061</v>
      </c>
      <c r="D371" t="s">
        <v>5062</v>
      </c>
      <c r="E371" t="s">
        <v>309</v>
      </c>
      <c r="F371" t="s">
        <v>5063</v>
      </c>
      <c r="G371" s="108">
        <v>74231</v>
      </c>
      <c r="H371" t="s">
        <v>314</v>
      </c>
      <c r="I371" t="s">
        <v>1003</v>
      </c>
      <c r="J371" t="s">
        <v>836</v>
      </c>
      <c r="K371" t="s">
        <v>204</v>
      </c>
      <c r="L371" t="s">
        <v>204</v>
      </c>
      <c r="M371" t="s">
        <v>204</v>
      </c>
      <c r="N371" t="s">
        <v>204</v>
      </c>
      <c r="O371" t="s">
        <v>339</v>
      </c>
      <c r="P371" s="162">
        <v>44591</v>
      </c>
      <c r="Q371" t="s">
        <v>1212</v>
      </c>
      <c r="R371" t="s">
        <v>885</v>
      </c>
      <c r="S371" t="s">
        <v>889</v>
      </c>
      <c r="T371" t="s">
        <v>4876</v>
      </c>
      <c r="U371" s="131">
        <v>1</v>
      </c>
      <c r="V371" s="131">
        <v>1315.7760000000001</v>
      </c>
      <c r="W371" s="131">
        <v>1315.7760000000001</v>
      </c>
      <c r="X371" s="163">
        <v>5.2600000000000001E-2</v>
      </c>
      <c r="Y371" s="132">
        <v>3.6119999999999999E-2</v>
      </c>
      <c r="Z371" s="132">
        <v>4.8300000000000001E-3</v>
      </c>
    </row>
    <row r="372" spans="1:26">
      <c r="A372" t="s">
        <v>1213</v>
      </c>
      <c r="B372" t="s">
        <v>1257</v>
      </c>
      <c r="C372" t="s">
        <v>5064</v>
      </c>
      <c r="D372" t="s">
        <v>5065</v>
      </c>
      <c r="E372" t="s">
        <v>309</v>
      </c>
      <c r="F372" t="s">
        <v>5066</v>
      </c>
      <c r="G372" s="108">
        <v>74217</v>
      </c>
      <c r="H372" t="s">
        <v>314</v>
      </c>
      <c r="I372" t="s">
        <v>1003</v>
      </c>
      <c r="J372" t="s">
        <v>836</v>
      </c>
      <c r="K372" t="s">
        <v>204</v>
      </c>
      <c r="L372" t="s">
        <v>204</v>
      </c>
      <c r="M372" t="s">
        <v>204</v>
      </c>
      <c r="N372" t="s">
        <v>204</v>
      </c>
      <c r="O372" t="s">
        <v>339</v>
      </c>
      <c r="P372" s="162">
        <v>44370</v>
      </c>
      <c r="Q372" t="s">
        <v>1212</v>
      </c>
      <c r="R372" t="s">
        <v>885</v>
      </c>
      <c r="S372" t="s">
        <v>889</v>
      </c>
      <c r="T372" t="s">
        <v>4942</v>
      </c>
      <c r="U372" s="131">
        <v>1</v>
      </c>
      <c r="V372" s="131">
        <v>1268.912</v>
      </c>
      <c r="W372" s="131">
        <v>1268.912</v>
      </c>
      <c r="X372" s="163">
        <v>0.25196850393700787</v>
      </c>
      <c r="Y372" s="132">
        <v>3.483E-2</v>
      </c>
      <c r="Z372" s="132">
        <v>4.6600000000000001E-3</v>
      </c>
    </row>
    <row r="373" spans="1:26">
      <c r="A373" t="s">
        <v>1213</v>
      </c>
      <c r="B373" t="s">
        <v>1257</v>
      </c>
      <c r="C373" t="s">
        <v>5051</v>
      </c>
      <c r="D373" t="s">
        <v>5052</v>
      </c>
      <c r="E373" t="s">
        <v>309</v>
      </c>
      <c r="F373" t="s">
        <v>5053</v>
      </c>
      <c r="G373" s="108">
        <v>74196</v>
      </c>
      <c r="H373" t="s">
        <v>314</v>
      </c>
      <c r="I373" t="s">
        <v>1005</v>
      </c>
      <c r="J373" t="s">
        <v>826</v>
      </c>
      <c r="K373" t="s">
        <v>204</v>
      </c>
      <c r="L373" t="s">
        <v>204</v>
      </c>
      <c r="M373" t="s">
        <v>204</v>
      </c>
      <c r="N373" t="s">
        <v>204</v>
      </c>
      <c r="O373" t="s">
        <v>339</v>
      </c>
      <c r="P373" s="162">
        <v>43831</v>
      </c>
      <c r="Q373" t="s">
        <v>1212</v>
      </c>
      <c r="R373" t="s">
        <v>885</v>
      </c>
      <c r="S373" t="s">
        <v>889</v>
      </c>
      <c r="T373" t="s">
        <v>5054</v>
      </c>
      <c r="U373" s="131">
        <v>1</v>
      </c>
      <c r="V373" s="131">
        <v>1169.329</v>
      </c>
      <c r="W373" s="131">
        <v>1169.329</v>
      </c>
      <c r="X373" s="163">
        <v>0.14119999999999999</v>
      </c>
      <c r="Y373" s="132">
        <v>3.2099999999999997E-2</v>
      </c>
      <c r="Z373" s="132">
        <v>4.2900000000000004E-3</v>
      </c>
    </row>
    <row r="374" spans="1:26">
      <c r="A374" t="s">
        <v>1213</v>
      </c>
      <c r="B374" t="s">
        <v>1257</v>
      </c>
      <c r="C374" t="s">
        <v>5085</v>
      </c>
      <c r="D374" t="s">
        <v>5086</v>
      </c>
      <c r="E374" t="s">
        <v>309</v>
      </c>
      <c r="F374" t="s">
        <v>5087</v>
      </c>
      <c r="G374" s="108">
        <v>74239</v>
      </c>
      <c r="H374" t="s">
        <v>314</v>
      </c>
      <c r="I374" t="s">
        <v>1003</v>
      </c>
      <c r="J374" t="s">
        <v>837</v>
      </c>
      <c r="K374" t="s">
        <v>204</v>
      </c>
      <c r="L374" t="s">
        <v>204</v>
      </c>
      <c r="M374" t="s">
        <v>204</v>
      </c>
      <c r="N374" t="s">
        <v>204</v>
      </c>
      <c r="O374" t="s">
        <v>339</v>
      </c>
      <c r="P374" s="162">
        <v>44741</v>
      </c>
      <c r="Q374" t="s">
        <v>1212</v>
      </c>
      <c r="R374" t="s">
        <v>885</v>
      </c>
      <c r="S374" t="s">
        <v>889</v>
      </c>
      <c r="T374" t="s">
        <v>4876</v>
      </c>
      <c r="U374" s="131">
        <v>1</v>
      </c>
      <c r="V374" s="131">
        <v>1140.328</v>
      </c>
      <c r="W374" s="131">
        <v>1140.328</v>
      </c>
      <c r="X374" s="163">
        <v>3.4099999999999998E-2</v>
      </c>
      <c r="Y374" s="132">
        <v>3.1300000000000001E-2</v>
      </c>
      <c r="Z374" s="132">
        <v>4.1900000000000001E-3</v>
      </c>
    </row>
    <row r="375" spans="1:26">
      <c r="A375" t="s">
        <v>1213</v>
      </c>
      <c r="B375" t="s">
        <v>1257</v>
      </c>
      <c r="C375" t="s">
        <v>5070</v>
      </c>
      <c r="D375" t="s">
        <v>5071</v>
      </c>
      <c r="E375" t="s">
        <v>310</v>
      </c>
      <c r="F375" t="s">
        <v>5072</v>
      </c>
      <c r="G375" s="108">
        <v>74238</v>
      </c>
      <c r="H375" t="s">
        <v>314</v>
      </c>
      <c r="I375" t="s">
        <v>1004</v>
      </c>
      <c r="J375" t="s">
        <v>833</v>
      </c>
      <c r="K375" t="s">
        <v>204</v>
      </c>
      <c r="L375" t="s">
        <v>204</v>
      </c>
      <c r="M375" t="s">
        <v>204</v>
      </c>
      <c r="N375" t="s">
        <v>204</v>
      </c>
      <c r="O375" t="s">
        <v>339</v>
      </c>
      <c r="P375" s="162">
        <v>44721</v>
      </c>
      <c r="Q375" t="s">
        <v>1212</v>
      </c>
      <c r="R375" t="s">
        <v>885</v>
      </c>
      <c r="S375" t="s">
        <v>889</v>
      </c>
      <c r="T375" t="s">
        <v>5003</v>
      </c>
      <c r="U375" s="131">
        <v>1</v>
      </c>
      <c r="V375" s="131">
        <v>1122.377</v>
      </c>
      <c r="W375" s="131">
        <v>1122.377</v>
      </c>
      <c r="X375" s="163">
        <v>1.89E-2</v>
      </c>
      <c r="Y375" s="132">
        <v>3.0810000000000001E-2</v>
      </c>
      <c r="Z375" s="132">
        <v>4.1200000000000004E-3</v>
      </c>
    </row>
    <row r="376" spans="1:26">
      <c r="A376" t="s">
        <v>1213</v>
      </c>
      <c r="B376" t="s">
        <v>1257</v>
      </c>
      <c r="C376" t="s">
        <v>5076</v>
      </c>
      <c r="D376" t="s">
        <v>5077</v>
      </c>
      <c r="E376" t="s">
        <v>309</v>
      </c>
      <c r="F376" t="s">
        <v>5078</v>
      </c>
      <c r="G376" s="108">
        <v>74228</v>
      </c>
      <c r="H376" t="s">
        <v>314</v>
      </c>
      <c r="I376" t="s">
        <v>1000</v>
      </c>
      <c r="J376" t="s">
        <v>844</v>
      </c>
      <c r="K376" t="s">
        <v>204</v>
      </c>
      <c r="L376" t="s">
        <v>204</v>
      </c>
      <c r="M376" t="s">
        <v>204</v>
      </c>
      <c r="N376" t="s">
        <v>204</v>
      </c>
      <c r="O376" t="s">
        <v>339</v>
      </c>
      <c r="P376" s="162">
        <v>44560</v>
      </c>
      <c r="Q376" t="s">
        <v>1216</v>
      </c>
      <c r="R376" t="s">
        <v>885</v>
      </c>
      <c r="S376" t="s">
        <v>889</v>
      </c>
      <c r="T376" t="s">
        <v>5022</v>
      </c>
      <c r="U376" s="131">
        <v>3.71</v>
      </c>
      <c r="V376" s="131">
        <v>286.923</v>
      </c>
      <c r="W376" s="131">
        <v>1064.4839999999999</v>
      </c>
      <c r="X376" s="163">
        <v>6.7400000000000002E-2</v>
      </c>
      <c r="Y376" s="132">
        <v>2.9219999999999999E-2</v>
      </c>
      <c r="Z376" s="132">
        <v>3.9100000000000003E-3</v>
      </c>
    </row>
    <row r="377" spans="1:26">
      <c r="A377" t="s">
        <v>1213</v>
      </c>
      <c r="B377" t="s">
        <v>1257</v>
      </c>
      <c r="C377" t="s">
        <v>5079</v>
      </c>
      <c r="D377" t="s">
        <v>5080</v>
      </c>
      <c r="E377" t="s">
        <v>309</v>
      </c>
      <c r="F377" t="s">
        <v>5081</v>
      </c>
      <c r="G377" s="108">
        <v>74233</v>
      </c>
      <c r="H377" t="s">
        <v>314</v>
      </c>
      <c r="I377" t="s">
        <v>1002</v>
      </c>
      <c r="J377" t="s">
        <v>569</v>
      </c>
      <c r="K377" t="s">
        <v>204</v>
      </c>
      <c r="L377" t="s">
        <v>204</v>
      </c>
      <c r="M377" t="s">
        <v>204</v>
      </c>
      <c r="N377" t="s">
        <v>224</v>
      </c>
      <c r="O377" t="s">
        <v>339</v>
      </c>
      <c r="P377" s="162">
        <v>44622</v>
      </c>
      <c r="Q377" t="s">
        <v>1212</v>
      </c>
      <c r="R377" t="s">
        <v>885</v>
      </c>
      <c r="S377" t="s">
        <v>889</v>
      </c>
      <c r="T377" t="s">
        <v>5014</v>
      </c>
      <c r="U377" s="131">
        <v>1</v>
      </c>
      <c r="V377" s="131">
        <v>1012.527</v>
      </c>
      <c r="W377" s="131">
        <v>1012.527</v>
      </c>
      <c r="X377" s="163">
        <v>0.104</v>
      </c>
      <c r="Y377" s="132">
        <v>2.7789999999999999E-2</v>
      </c>
      <c r="Z377" s="132">
        <v>3.7200000000000002E-3</v>
      </c>
    </row>
    <row r="378" spans="1:26">
      <c r="A378" t="s">
        <v>1213</v>
      </c>
      <c r="B378" t="s">
        <v>1257</v>
      </c>
      <c r="C378" t="s">
        <v>5000</v>
      </c>
      <c r="D378" t="s">
        <v>5001</v>
      </c>
      <c r="E378" t="s">
        <v>310</v>
      </c>
      <c r="F378" t="s">
        <v>5059</v>
      </c>
      <c r="G378" s="108">
        <v>74204</v>
      </c>
      <c r="H378" t="s">
        <v>314</v>
      </c>
      <c r="I378" t="s">
        <v>1004</v>
      </c>
      <c r="J378" t="s">
        <v>833</v>
      </c>
      <c r="K378" t="s">
        <v>204</v>
      </c>
      <c r="L378" t="s">
        <v>204</v>
      </c>
      <c r="M378" t="s">
        <v>204</v>
      </c>
      <c r="N378" t="s">
        <v>204</v>
      </c>
      <c r="O378" t="s">
        <v>339</v>
      </c>
      <c r="P378" s="162">
        <v>44084</v>
      </c>
      <c r="Q378" t="s">
        <v>1212</v>
      </c>
      <c r="R378" t="s">
        <v>885</v>
      </c>
      <c r="S378" t="s">
        <v>889</v>
      </c>
      <c r="T378" t="s">
        <v>5060</v>
      </c>
      <c r="U378" s="131">
        <v>1</v>
      </c>
      <c r="V378" s="131">
        <v>726.78200000000004</v>
      </c>
      <c r="W378" s="131">
        <v>726.78200000000004</v>
      </c>
      <c r="X378" s="163">
        <v>7.8700000000000006E-2</v>
      </c>
      <c r="Y378" s="132">
        <v>1.9949999999999999E-2</v>
      </c>
      <c r="Z378" s="132">
        <v>2.6700000000000001E-3</v>
      </c>
    </row>
    <row r="379" spans="1:26">
      <c r="A379" t="s">
        <v>1213</v>
      </c>
      <c r="B379" t="s">
        <v>1257</v>
      </c>
      <c r="C379" t="s">
        <v>5105</v>
      </c>
      <c r="D379" t="s">
        <v>5106</v>
      </c>
      <c r="E379" t="s">
        <v>311</v>
      </c>
      <c r="F379" t="s">
        <v>5107</v>
      </c>
      <c r="G379" s="108">
        <v>74243</v>
      </c>
      <c r="H379" t="s">
        <v>314</v>
      </c>
      <c r="I379" t="s">
        <v>1000</v>
      </c>
      <c r="J379" t="s">
        <v>844</v>
      </c>
      <c r="K379" t="s">
        <v>204</v>
      </c>
      <c r="L379" t="s">
        <v>204</v>
      </c>
      <c r="M379" t="s">
        <v>204</v>
      </c>
      <c r="N379" t="s">
        <v>204</v>
      </c>
      <c r="O379" t="s">
        <v>339</v>
      </c>
      <c r="P379" s="162">
        <v>44823</v>
      </c>
      <c r="Q379" t="s">
        <v>1216</v>
      </c>
      <c r="R379" t="s">
        <v>885</v>
      </c>
      <c r="S379" t="s">
        <v>889</v>
      </c>
      <c r="T379" t="s">
        <v>5018</v>
      </c>
      <c r="U379" s="131">
        <v>3.71</v>
      </c>
      <c r="V379" s="131">
        <v>166.03399999999999</v>
      </c>
      <c r="W379" s="131">
        <v>615.98699999999997</v>
      </c>
      <c r="X379" s="163">
        <v>0.1371</v>
      </c>
      <c r="Y379" s="132">
        <v>1.6910000000000001E-2</v>
      </c>
      <c r="Z379" s="132">
        <v>2.2599999999999999E-3</v>
      </c>
    </row>
    <row r="380" spans="1:26">
      <c r="A380" t="s">
        <v>1213</v>
      </c>
      <c r="B380" t="s">
        <v>1257</v>
      </c>
      <c r="C380" t="s">
        <v>5088</v>
      </c>
      <c r="D380" t="s">
        <v>5089</v>
      </c>
      <c r="E380" t="s">
        <v>309</v>
      </c>
      <c r="F380" t="s">
        <v>5090</v>
      </c>
      <c r="G380" s="108">
        <v>74221</v>
      </c>
      <c r="H380" t="s">
        <v>314</v>
      </c>
      <c r="I380" t="s">
        <v>1000</v>
      </c>
      <c r="J380" t="s">
        <v>844</v>
      </c>
      <c r="K380" t="s">
        <v>204</v>
      </c>
      <c r="L380" t="s">
        <v>204</v>
      </c>
      <c r="M380" t="s">
        <v>204</v>
      </c>
      <c r="N380" t="s">
        <v>296</v>
      </c>
      <c r="O380" t="s">
        <v>339</v>
      </c>
      <c r="P380" s="162">
        <v>44409</v>
      </c>
      <c r="Q380" t="s">
        <v>1216</v>
      </c>
      <c r="R380" t="s">
        <v>885</v>
      </c>
      <c r="S380" t="s">
        <v>889</v>
      </c>
      <c r="T380" t="s">
        <v>4876</v>
      </c>
      <c r="U380" s="131">
        <v>3.71</v>
      </c>
      <c r="V380" s="131">
        <v>161.43700000000001</v>
      </c>
      <c r="W380" s="131">
        <v>598.93100000000004</v>
      </c>
      <c r="X380" s="163">
        <v>7.5700000000000003E-2</v>
      </c>
      <c r="Y380" s="132">
        <v>1.644E-2</v>
      </c>
      <c r="Z380" s="132">
        <v>2.2000000000000001E-3</v>
      </c>
    </row>
    <row r="381" spans="1:26">
      <c r="A381" t="s">
        <v>1213</v>
      </c>
      <c r="B381" t="s">
        <v>1257</v>
      </c>
      <c r="C381" t="s">
        <v>5000</v>
      </c>
      <c r="D381" t="s">
        <v>5001</v>
      </c>
      <c r="E381" t="s">
        <v>310</v>
      </c>
      <c r="F381" t="s">
        <v>5002</v>
      </c>
      <c r="G381" s="108">
        <v>74186</v>
      </c>
      <c r="H381" t="s">
        <v>314</v>
      </c>
      <c r="I381" t="s">
        <v>1004</v>
      </c>
      <c r="J381" t="s">
        <v>833</v>
      </c>
      <c r="K381" t="s">
        <v>204</v>
      </c>
      <c r="L381" t="s">
        <v>204</v>
      </c>
      <c r="M381" t="s">
        <v>204</v>
      </c>
      <c r="N381" t="s">
        <v>204</v>
      </c>
      <c r="O381" t="s">
        <v>339</v>
      </c>
      <c r="P381" s="162">
        <v>43542</v>
      </c>
      <c r="Q381" t="s">
        <v>1212</v>
      </c>
      <c r="R381" t="s">
        <v>885</v>
      </c>
      <c r="S381" t="s">
        <v>889</v>
      </c>
      <c r="T381" t="s">
        <v>5003</v>
      </c>
      <c r="U381" s="131">
        <v>1</v>
      </c>
      <c r="V381" s="131">
        <v>480.95400000000001</v>
      </c>
      <c r="W381" s="131">
        <v>480.95400000000001</v>
      </c>
      <c r="X381" s="163">
        <v>7.8700000000000006E-2</v>
      </c>
      <c r="Y381" s="132">
        <v>1.32E-2</v>
      </c>
      <c r="Z381" s="132">
        <v>1.7700000000000001E-3</v>
      </c>
    </row>
    <row r="382" spans="1:26">
      <c r="A382" t="s">
        <v>1213</v>
      </c>
      <c r="B382" t="s">
        <v>1257</v>
      </c>
      <c r="C382" t="s">
        <v>4939</v>
      </c>
      <c r="D382" t="s">
        <v>4940</v>
      </c>
      <c r="E382" t="s">
        <v>309</v>
      </c>
      <c r="F382" t="s">
        <v>4955</v>
      </c>
      <c r="G382" s="108">
        <v>74252</v>
      </c>
      <c r="H382" t="s">
        <v>314</v>
      </c>
      <c r="I382" t="s">
        <v>1003</v>
      </c>
      <c r="J382" t="s">
        <v>839</v>
      </c>
      <c r="K382" t="s">
        <v>204</v>
      </c>
      <c r="L382" t="s">
        <v>204</v>
      </c>
      <c r="M382" t="s">
        <v>204</v>
      </c>
      <c r="N382" t="s">
        <v>204</v>
      </c>
      <c r="O382" t="s">
        <v>339</v>
      </c>
      <c r="P382" s="162">
        <v>45036</v>
      </c>
      <c r="Q382" t="s">
        <v>1212</v>
      </c>
      <c r="R382" t="s">
        <v>885</v>
      </c>
      <c r="S382" t="s">
        <v>889</v>
      </c>
      <c r="T382" t="s">
        <v>4942</v>
      </c>
      <c r="U382" s="131">
        <v>1</v>
      </c>
      <c r="V382" s="131">
        <v>480.20600000000002</v>
      </c>
      <c r="W382" s="131">
        <v>480.20600000000002</v>
      </c>
      <c r="X382" s="163">
        <v>2.07E-2</v>
      </c>
      <c r="Y382" s="132">
        <v>1.3180000000000001E-2</v>
      </c>
      <c r="Z382" s="132">
        <v>1.7600000000000001E-3</v>
      </c>
    </row>
    <row r="383" spans="1:26">
      <c r="A383" t="s">
        <v>1213</v>
      </c>
      <c r="B383" t="s">
        <v>1257</v>
      </c>
      <c r="C383" t="s">
        <v>5004</v>
      </c>
      <c r="D383" t="s">
        <v>5005</v>
      </c>
      <c r="E383" t="s">
        <v>309</v>
      </c>
      <c r="F383" t="s">
        <v>5006</v>
      </c>
      <c r="G383" s="108">
        <v>74185</v>
      </c>
      <c r="H383" t="s">
        <v>314</v>
      </c>
      <c r="I383" t="s">
        <v>1001</v>
      </c>
      <c r="J383" t="s">
        <v>831</v>
      </c>
      <c r="K383" t="s">
        <v>204</v>
      </c>
      <c r="L383" t="s">
        <v>204</v>
      </c>
      <c r="M383" t="s">
        <v>204</v>
      </c>
      <c r="N383" t="s">
        <v>204</v>
      </c>
      <c r="O383" t="s">
        <v>339</v>
      </c>
      <c r="P383" s="162">
        <v>43524</v>
      </c>
      <c r="Q383" t="s">
        <v>1212</v>
      </c>
      <c r="R383" t="s">
        <v>885</v>
      </c>
      <c r="S383" t="s">
        <v>889</v>
      </c>
      <c r="T383" t="s">
        <v>4877</v>
      </c>
      <c r="U383" s="131">
        <v>1</v>
      </c>
      <c r="V383" s="131">
        <v>423.096</v>
      </c>
      <c r="W383" s="131">
        <v>423.096</v>
      </c>
      <c r="X383" s="163">
        <v>0.1298</v>
      </c>
      <c r="Y383" s="132">
        <v>1.1610000000000001E-2</v>
      </c>
      <c r="Z383" s="132">
        <v>1.5499999999999999E-3</v>
      </c>
    </row>
    <row r="384" spans="1:26">
      <c r="A384" t="s">
        <v>1213</v>
      </c>
      <c r="B384" t="s">
        <v>1257</v>
      </c>
      <c r="C384" t="s">
        <v>5004</v>
      </c>
      <c r="D384" t="s">
        <v>5009</v>
      </c>
      <c r="E384" t="s">
        <v>309</v>
      </c>
      <c r="F384" t="s">
        <v>5010</v>
      </c>
      <c r="G384" s="108">
        <v>74202</v>
      </c>
      <c r="H384" t="s">
        <v>314</v>
      </c>
      <c r="I384" t="s">
        <v>1001</v>
      </c>
      <c r="J384" t="s">
        <v>831</v>
      </c>
      <c r="K384" t="s">
        <v>204</v>
      </c>
      <c r="L384" t="s">
        <v>204</v>
      </c>
      <c r="M384" t="s">
        <v>204</v>
      </c>
      <c r="N384" t="s">
        <v>204</v>
      </c>
      <c r="O384" t="s">
        <v>339</v>
      </c>
      <c r="P384" s="162">
        <v>43913</v>
      </c>
      <c r="Q384" t="s">
        <v>1212</v>
      </c>
      <c r="R384" t="s">
        <v>885</v>
      </c>
      <c r="S384" t="s">
        <v>889</v>
      </c>
      <c r="T384" t="s">
        <v>4877</v>
      </c>
      <c r="U384" s="131">
        <v>1</v>
      </c>
      <c r="V384" s="131">
        <v>300.089</v>
      </c>
      <c r="W384" s="131">
        <v>300.089</v>
      </c>
      <c r="X384" s="163">
        <v>0.1036</v>
      </c>
      <c r="Y384" s="132">
        <v>8.2400000000000008E-3</v>
      </c>
      <c r="Z384" s="132">
        <v>1.1000000000000001E-3</v>
      </c>
    </row>
    <row r="385" spans="1:26">
      <c r="A385" t="s">
        <v>1213</v>
      </c>
      <c r="B385" t="s">
        <v>1257</v>
      </c>
      <c r="C385" t="s">
        <v>5007</v>
      </c>
      <c r="D385" t="s">
        <v>2129</v>
      </c>
      <c r="E385" t="s">
        <v>309</v>
      </c>
      <c r="F385" t="s">
        <v>5008</v>
      </c>
      <c r="G385" s="108">
        <v>74190</v>
      </c>
      <c r="H385" t="s">
        <v>314</v>
      </c>
      <c r="I385" t="s">
        <v>1005</v>
      </c>
      <c r="J385" t="s">
        <v>569</v>
      </c>
      <c r="K385" t="s">
        <v>204</v>
      </c>
      <c r="L385" t="s">
        <v>204</v>
      </c>
      <c r="M385" t="s">
        <v>204</v>
      </c>
      <c r="N385" t="s">
        <v>224</v>
      </c>
      <c r="O385" t="s">
        <v>339</v>
      </c>
      <c r="P385" s="162">
        <v>43691</v>
      </c>
      <c r="Q385" t="s">
        <v>1216</v>
      </c>
      <c r="R385" t="s">
        <v>885</v>
      </c>
      <c r="S385" t="s">
        <v>889</v>
      </c>
      <c r="T385" t="s">
        <v>4876</v>
      </c>
      <c r="U385" s="131">
        <v>3.71</v>
      </c>
      <c r="V385" s="131">
        <v>62.686999999999998</v>
      </c>
      <c r="W385" s="131">
        <v>232.56899999999999</v>
      </c>
      <c r="X385" s="163">
        <v>0.19874</v>
      </c>
      <c r="Y385" s="132">
        <v>6.3800000000000003E-3</v>
      </c>
      <c r="Z385" s="132">
        <v>8.4999999999999995E-4</v>
      </c>
    </row>
    <row r="386" spans="1:26">
      <c r="A386" t="s">
        <v>1213</v>
      </c>
      <c r="B386" t="s">
        <v>1257</v>
      </c>
      <c r="C386" t="s">
        <v>5011</v>
      </c>
      <c r="D386" t="s">
        <v>5012</v>
      </c>
      <c r="E386" t="s">
        <v>309</v>
      </c>
      <c r="F386" t="s">
        <v>5013</v>
      </c>
      <c r="G386" s="108">
        <v>74176</v>
      </c>
      <c r="H386" t="s">
        <v>314</v>
      </c>
      <c r="I386" t="s">
        <v>1002</v>
      </c>
      <c r="J386" t="s">
        <v>569</v>
      </c>
      <c r="K386" t="s">
        <v>204</v>
      </c>
      <c r="L386" t="s">
        <v>204</v>
      </c>
      <c r="M386" t="s">
        <v>204</v>
      </c>
      <c r="N386" t="s">
        <v>204</v>
      </c>
      <c r="O386" t="s">
        <v>339</v>
      </c>
      <c r="P386" s="162">
        <v>43306</v>
      </c>
      <c r="Q386" t="s">
        <v>1212</v>
      </c>
      <c r="R386" t="s">
        <v>885</v>
      </c>
      <c r="S386" t="s">
        <v>889</v>
      </c>
      <c r="T386" t="s">
        <v>5014</v>
      </c>
      <c r="U386" s="131">
        <v>1</v>
      </c>
      <c r="V386" s="131">
        <v>124.04600000000001</v>
      </c>
      <c r="W386" s="131">
        <v>124.04600000000001</v>
      </c>
      <c r="X386" s="163">
        <v>1.7500000000000002E-2</v>
      </c>
      <c r="Y386" s="132">
        <v>3.3999999999999998E-3</v>
      </c>
      <c r="Z386" s="132">
        <v>4.6000000000000001E-4</v>
      </c>
    </row>
    <row r="387" spans="1:26">
      <c r="A387" t="s">
        <v>1213</v>
      </c>
      <c r="B387" t="s">
        <v>1257</v>
      </c>
      <c r="D387" t="s">
        <v>4943</v>
      </c>
      <c r="E387" t="s">
        <v>309</v>
      </c>
      <c r="F387" t="s">
        <v>4944</v>
      </c>
      <c r="G387" s="108">
        <v>74254</v>
      </c>
      <c r="H387" t="s">
        <v>314</v>
      </c>
      <c r="I387" t="s">
        <v>1000</v>
      </c>
      <c r="J387" t="s">
        <v>845</v>
      </c>
      <c r="K387" t="s">
        <v>204</v>
      </c>
      <c r="L387" t="s">
        <v>204</v>
      </c>
      <c r="M387" t="s">
        <v>204</v>
      </c>
      <c r="N387" t="s">
        <v>204</v>
      </c>
      <c r="O387" t="s">
        <v>339</v>
      </c>
      <c r="P387" s="162">
        <v>45124</v>
      </c>
      <c r="Q387" t="s">
        <v>1216</v>
      </c>
      <c r="R387" t="s">
        <v>885</v>
      </c>
      <c r="S387" t="s">
        <v>889</v>
      </c>
      <c r="T387" t="s">
        <v>4945</v>
      </c>
      <c r="U387" s="131">
        <v>3.71</v>
      </c>
      <c r="V387" s="131">
        <v>17.085000000000001</v>
      </c>
      <c r="W387" s="131">
        <v>63.384</v>
      </c>
      <c r="X387" s="163">
        <v>7.0800000000000002E-2</v>
      </c>
      <c r="Y387" s="132">
        <v>1.74E-3</v>
      </c>
      <c r="Z387" s="132">
        <v>2.3000000000000001E-4</v>
      </c>
    </row>
    <row r="388" spans="1:26">
      <c r="A388" t="s">
        <v>1213</v>
      </c>
      <c r="B388" t="s">
        <v>1257</v>
      </c>
      <c r="C388" t="s">
        <v>5015</v>
      </c>
      <c r="D388" t="s">
        <v>5016</v>
      </c>
      <c r="E388" t="s">
        <v>309</v>
      </c>
      <c r="F388" t="s">
        <v>5017</v>
      </c>
      <c r="G388" s="108">
        <v>74173</v>
      </c>
      <c r="H388" t="s">
        <v>314</v>
      </c>
      <c r="I388" t="s">
        <v>1000</v>
      </c>
      <c r="J388" t="s">
        <v>845</v>
      </c>
      <c r="K388" t="s">
        <v>204</v>
      </c>
      <c r="L388" t="s">
        <v>204</v>
      </c>
      <c r="M388" t="s">
        <v>204</v>
      </c>
      <c r="N388" t="s">
        <v>204</v>
      </c>
      <c r="O388" t="s">
        <v>339</v>
      </c>
      <c r="P388" s="162">
        <v>43157</v>
      </c>
      <c r="Q388" t="s">
        <v>1216</v>
      </c>
      <c r="R388" t="s">
        <v>885</v>
      </c>
      <c r="S388" t="s">
        <v>889</v>
      </c>
      <c r="T388" t="s">
        <v>5018</v>
      </c>
      <c r="U388" s="131">
        <v>3.71</v>
      </c>
      <c r="V388" s="131">
        <v>15.641</v>
      </c>
      <c r="W388" s="131">
        <v>58.027000000000001</v>
      </c>
      <c r="X388" s="163">
        <v>0.10349999999999999</v>
      </c>
      <c r="Y388" s="132">
        <v>1.5900000000000001E-3</v>
      </c>
      <c r="Z388" s="132">
        <v>2.1000000000000001E-4</v>
      </c>
    </row>
    <row r="389" spans="1:26">
      <c r="A389" t="s">
        <v>1213</v>
      </c>
      <c r="B389" t="s">
        <v>1257</v>
      </c>
      <c r="C389" t="s">
        <v>5019</v>
      </c>
      <c r="D389" t="s">
        <v>5020</v>
      </c>
      <c r="E389" t="s">
        <v>309</v>
      </c>
      <c r="F389" t="s">
        <v>5021</v>
      </c>
      <c r="G389" s="108">
        <v>74177</v>
      </c>
      <c r="H389" t="s">
        <v>314</v>
      </c>
      <c r="I389" t="s">
        <v>1002</v>
      </c>
      <c r="J389" t="s">
        <v>569</v>
      </c>
      <c r="K389" t="s">
        <v>204</v>
      </c>
      <c r="L389" t="s">
        <v>204</v>
      </c>
      <c r="M389" t="s">
        <v>204</v>
      </c>
      <c r="N389" t="s">
        <v>204</v>
      </c>
      <c r="O389" t="s">
        <v>339</v>
      </c>
      <c r="P389" s="162">
        <v>43312</v>
      </c>
      <c r="Q389" t="s">
        <v>1212</v>
      </c>
      <c r="R389" t="s">
        <v>885</v>
      </c>
      <c r="S389" t="s">
        <v>889</v>
      </c>
      <c r="T389" t="s">
        <v>5022</v>
      </c>
      <c r="U389" s="131">
        <v>1</v>
      </c>
      <c r="V389" s="131">
        <v>52.613</v>
      </c>
      <c r="W389" s="131">
        <v>52.613</v>
      </c>
      <c r="X389" s="163">
        <v>2.9600000000000001E-2</v>
      </c>
      <c r="Y389" s="132">
        <v>1.4400000000000001E-3</v>
      </c>
      <c r="Z389" s="132">
        <v>1.9000000000000001E-4</v>
      </c>
    </row>
    <row r="390" spans="1:26">
      <c r="A390" t="s">
        <v>1213</v>
      </c>
      <c r="B390" t="s">
        <v>1257</v>
      </c>
      <c r="C390" t="s">
        <v>5094</v>
      </c>
      <c r="D390" t="s">
        <v>5095</v>
      </c>
      <c r="E390" t="s">
        <v>309</v>
      </c>
      <c r="F390" t="s">
        <v>5096</v>
      </c>
      <c r="G390" s="108">
        <v>74179</v>
      </c>
      <c r="H390" t="s">
        <v>314</v>
      </c>
      <c r="I390" t="s">
        <v>1001</v>
      </c>
      <c r="J390" t="s">
        <v>831</v>
      </c>
      <c r="K390" t="s">
        <v>204</v>
      </c>
      <c r="L390" t="s">
        <v>204</v>
      </c>
      <c r="M390" t="s">
        <v>204</v>
      </c>
      <c r="N390" t="s">
        <v>204</v>
      </c>
      <c r="O390" t="s">
        <v>339</v>
      </c>
      <c r="P390" s="162">
        <v>43394</v>
      </c>
      <c r="Q390" t="s">
        <v>1212</v>
      </c>
      <c r="R390" t="s">
        <v>885</v>
      </c>
      <c r="S390" t="s">
        <v>889</v>
      </c>
      <c r="T390" t="s">
        <v>5022</v>
      </c>
      <c r="U390" s="131">
        <v>1</v>
      </c>
      <c r="V390" s="131">
        <v>27.446999999999999</v>
      </c>
      <c r="W390" s="131">
        <v>27.446999999999999</v>
      </c>
      <c r="X390" s="163">
        <v>0.11990000000000001</v>
      </c>
      <c r="Y390" s="132">
        <v>7.5000000000000002E-4</v>
      </c>
      <c r="Z390" s="132">
        <v>1E-4</v>
      </c>
    </row>
    <row r="391" spans="1:26">
      <c r="A391" t="s">
        <v>1213</v>
      </c>
      <c r="B391" t="s">
        <v>1257</v>
      </c>
      <c r="C391" t="s">
        <v>5038</v>
      </c>
      <c r="D391" t="s">
        <v>5039</v>
      </c>
      <c r="E391" t="s">
        <v>311</v>
      </c>
      <c r="F391" t="s">
        <v>5040</v>
      </c>
      <c r="G391" s="108">
        <v>74208</v>
      </c>
      <c r="H391" t="s">
        <v>314</v>
      </c>
      <c r="I391" t="s">
        <v>1004</v>
      </c>
      <c r="J391" t="s">
        <v>833</v>
      </c>
      <c r="K391" t="s">
        <v>205</v>
      </c>
      <c r="L391" t="s">
        <v>224</v>
      </c>
      <c r="M391" t="s">
        <v>224</v>
      </c>
      <c r="N391" t="s">
        <v>224</v>
      </c>
      <c r="O391" t="s">
        <v>339</v>
      </c>
      <c r="P391" s="162">
        <v>44186</v>
      </c>
      <c r="Q391" t="s">
        <v>1216</v>
      </c>
      <c r="R391" t="s">
        <v>885</v>
      </c>
      <c r="S391" t="s">
        <v>889</v>
      </c>
      <c r="T391" t="s">
        <v>4876</v>
      </c>
      <c r="U391" s="131">
        <v>3.71</v>
      </c>
      <c r="V391" s="131">
        <v>1266.1389999999999</v>
      </c>
      <c r="W391" s="131">
        <v>4697.3760000000002</v>
      </c>
      <c r="X391" s="163">
        <v>4.7000000000000002E-3</v>
      </c>
      <c r="Y391" s="132">
        <v>0.12894</v>
      </c>
      <c r="Z391" s="132">
        <v>1.7250000000000001E-2</v>
      </c>
    </row>
    <row r="392" spans="1:26">
      <c r="A392" t="s">
        <v>1213</v>
      </c>
      <c r="B392" t="s">
        <v>1257</v>
      </c>
      <c r="D392" t="s">
        <v>5115</v>
      </c>
      <c r="E392" t="s">
        <v>309</v>
      </c>
      <c r="F392" t="s">
        <v>5116</v>
      </c>
      <c r="G392" s="108">
        <v>74240</v>
      </c>
      <c r="H392" t="s">
        <v>314</v>
      </c>
      <c r="I392" t="s">
        <v>1005</v>
      </c>
      <c r="J392" t="s">
        <v>832</v>
      </c>
      <c r="K392" t="s">
        <v>205</v>
      </c>
      <c r="L392" t="s">
        <v>204</v>
      </c>
      <c r="M392" t="s">
        <v>204</v>
      </c>
      <c r="N392" t="s">
        <v>303</v>
      </c>
      <c r="O392" t="s">
        <v>339</v>
      </c>
      <c r="P392" s="162">
        <v>44748</v>
      </c>
      <c r="Q392" t="s">
        <v>1218</v>
      </c>
      <c r="R392" t="s">
        <v>885</v>
      </c>
      <c r="S392" t="s">
        <v>889</v>
      </c>
      <c r="T392" t="s">
        <v>4954</v>
      </c>
      <c r="U392" s="131">
        <v>4.1520000000000001</v>
      </c>
      <c r="V392" s="131">
        <v>390.72699999999998</v>
      </c>
      <c r="W392" s="131">
        <v>1622.4549999999999</v>
      </c>
      <c r="X392" s="163">
        <v>2.6239999999999999E-2</v>
      </c>
      <c r="Y392" s="132">
        <v>4.453E-2</v>
      </c>
      <c r="Z392" s="132">
        <v>5.96E-3</v>
      </c>
    </row>
    <row r="393" spans="1:26">
      <c r="A393" t="s">
        <v>1213</v>
      </c>
      <c r="B393" t="s">
        <v>1257</v>
      </c>
      <c r="C393" t="s">
        <v>5127</v>
      </c>
      <c r="D393" t="s">
        <v>5128</v>
      </c>
      <c r="E393" t="s">
        <v>310</v>
      </c>
      <c r="F393" t="s">
        <v>5129</v>
      </c>
      <c r="G393" s="108">
        <v>74256</v>
      </c>
      <c r="H393" t="s">
        <v>314</v>
      </c>
      <c r="I393" t="s">
        <v>1004</v>
      </c>
      <c r="J393" t="s">
        <v>832</v>
      </c>
      <c r="K393" t="s">
        <v>205</v>
      </c>
      <c r="L393" t="s">
        <v>272</v>
      </c>
      <c r="M393" t="s">
        <v>272</v>
      </c>
      <c r="N393" t="s">
        <v>272</v>
      </c>
      <c r="O393" t="s">
        <v>339</v>
      </c>
      <c r="P393" s="162">
        <v>45166</v>
      </c>
      <c r="Q393" t="s">
        <v>1218</v>
      </c>
      <c r="R393" t="s">
        <v>885</v>
      </c>
      <c r="S393" t="s">
        <v>889</v>
      </c>
      <c r="T393" t="s">
        <v>5026</v>
      </c>
      <c r="U393" s="131">
        <v>4.1520000000000001</v>
      </c>
      <c r="V393" s="131">
        <v>365.74099999999999</v>
      </c>
      <c r="W393" s="131">
        <v>1518.703</v>
      </c>
      <c r="X393" s="163">
        <v>0.18</v>
      </c>
      <c r="Y393" s="132">
        <v>4.1689999999999998E-2</v>
      </c>
      <c r="Z393" s="132">
        <v>5.5799999999999999E-3</v>
      </c>
    </row>
    <row r="394" spans="1:26">
      <c r="A394" t="s">
        <v>1213</v>
      </c>
      <c r="B394" t="s">
        <v>1257</v>
      </c>
      <c r="D394" t="s">
        <v>5121</v>
      </c>
      <c r="E394" t="s">
        <v>311</v>
      </c>
      <c r="F394" t="s">
        <v>5122</v>
      </c>
      <c r="G394" s="108">
        <v>74207</v>
      </c>
      <c r="H394" t="s">
        <v>314</v>
      </c>
      <c r="I394" t="s">
        <v>1005</v>
      </c>
      <c r="J394" t="s">
        <v>569</v>
      </c>
      <c r="K394" t="s">
        <v>205</v>
      </c>
      <c r="L394" t="s">
        <v>233</v>
      </c>
      <c r="M394" t="s">
        <v>224</v>
      </c>
      <c r="N394" t="s">
        <v>296</v>
      </c>
      <c r="O394" t="s">
        <v>339</v>
      </c>
      <c r="P394" s="162">
        <v>44166</v>
      </c>
      <c r="Q394" t="s">
        <v>1216</v>
      </c>
      <c r="R394" t="s">
        <v>885</v>
      </c>
      <c r="S394" t="s">
        <v>889</v>
      </c>
      <c r="T394" t="s">
        <v>5123</v>
      </c>
      <c r="U394" s="131">
        <v>3.71</v>
      </c>
      <c r="V394" s="131">
        <v>408.27600000000001</v>
      </c>
      <c r="W394" s="131">
        <v>1514.703</v>
      </c>
      <c r="X394" s="163">
        <v>1.1111111111111111E-3</v>
      </c>
      <c r="Y394" s="132">
        <v>4.1579999999999999E-2</v>
      </c>
      <c r="Z394" s="132">
        <v>5.5599999999999998E-3</v>
      </c>
    </row>
    <row r="395" spans="1:26">
      <c r="A395" t="s">
        <v>1213</v>
      </c>
      <c r="B395" t="s">
        <v>1257</v>
      </c>
      <c r="C395" t="s">
        <v>5023</v>
      </c>
      <c r="D395" t="s">
        <v>5024</v>
      </c>
      <c r="E395" t="s">
        <v>309</v>
      </c>
      <c r="F395" t="s">
        <v>5025</v>
      </c>
      <c r="G395" s="108">
        <v>74189</v>
      </c>
      <c r="H395" t="s">
        <v>314</v>
      </c>
      <c r="I395" t="s">
        <v>1002</v>
      </c>
      <c r="J395" t="s">
        <v>569</v>
      </c>
      <c r="K395" t="s">
        <v>205</v>
      </c>
      <c r="L395" t="s">
        <v>224</v>
      </c>
      <c r="M395" t="s">
        <v>224</v>
      </c>
      <c r="N395" t="s">
        <v>224</v>
      </c>
      <c r="O395" t="s">
        <v>339</v>
      </c>
      <c r="P395" s="162">
        <v>43586</v>
      </c>
      <c r="Q395" t="s">
        <v>1216</v>
      </c>
      <c r="R395" t="s">
        <v>885</v>
      </c>
      <c r="S395" t="s">
        <v>889</v>
      </c>
      <c r="T395" t="s">
        <v>5026</v>
      </c>
      <c r="U395" s="131">
        <v>3.71</v>
      </c>
      <c r="V395" s="131">
        <v>398.84199999999998</v>
      </c>
      <c r="W395" s="131">
        <v>1479.704</v>
      </c>
      <c r="X395" s="163">
        <v>3.3799999999999997E-2</v>
      </c>
      <c r="Y395" s="132">
        <v>4.0620000000000003E-2</v>
      </c>
      <c r="Z395" s="132">
        <v>5.4299999999999999E-3</v>
      </c>
    </row>
    <row r="396" spans="1:26">
      <c r="A396" t="s">
        <v>1213</v>
      </c>
      <c r="B396" t="s">
        <v>1257</v>
      </c>
      <c r="C396" t="s">
        <v>5117</v>
      </c>
      <c r="D396" t="s">
        <v>5118</v>
      </c>
      <c r="E396" t="s">
        <v>310</v>
      </c>
      <c r="F396" t="s">
        <v>5119</v>
      </c>
      <c r="G396" s="108">
        <v>74205</v>
      </c>
      <c r="H396" t="s">
        <v>314</v>
      </c>
      <c r="I396" t="s">
        <v>1001</v>
      </c>
      <c r="J396" t="s">
        <v>831</v>
      </c>
      <c r="K396" t="s">
        <v>205</v>
      </c>
      <c r="L396" t="s">
        <v>286</v>
      </c>
      <c r="M396" t="s">
        <v>286</v>
      </c>
      <c r="N396" t="s">
        <v>286</v>
      </c>
      <c r="O396" t="s">
        <v>339</v>
      </c>
      <c r="P396" s="162">
        <v>44159</v>
      </c>
      <c r="Q396" t="s">
        <v>1218</v>
      </c>
      <c r="R396" t="s">
        <v>885</v>
      </c>
      <c r="S396" t="s">
        <v>889</v>
      </c>
      <c r="T396" t="s">
        <v>5120</v>
      </c>
      <c r="U396" s="131">
        <v>4.1520000000000001</v>
      </c>
      <c r="V396" s="131">
        <v>257.36700000000002</v>
      </c>
      <c r="W396" s="131">
        <v>1068.693</v>
      </c>
      <c r="X396" s="163">
        <v>0.19639999999999999</v>
      </c>
      <c r="Y396" s="132">
        <v>2.9329999999999998E-2</v>
      </c>
      <c r="Z396" s="132">
        <v>3.9199999999999999E-3</v>
      </c>
    </row>
    <row r="397" spans="1:26">
      <c r="A397" t="s">
        <v>1213</v>
      </c>
      <c r="B397" t="s">
        <v>1257</v>
      </c>
      <c r="D397" t="s">
        <v>5027</v>
      </c>
      <c r="E397" t="s">
        <v>311</v>
      </c>
      <c r="F397" t="s">
        <v>5134</v>
      </c>
      <c r="G397" s="108">
        <v>74215</v>
      </c>
      <c r="H397" t="s">
        <v>314</v>
      </c>
      <c r="I397" t="s">
        <v>1000</v>
      </c>
      <c r="J397" t="s">
        <v>844</v>
      </c>
      <c r="K397" t="s">
        <v>205</v>
      </c>
      <c r="L397" t="s">
        <v>224</v>
      </c>
      <c r="M397" t="s">
        <v>224</v>
      </c>
      <c r="N397" t="s">
        <v>224</v>
      </c>
      <c r="O397" t="s">
        <v>339</v>
      </c>
      <c r="P397" s="162">
        <v>44308</v>
      </c>
      <c r="Q397" t="s">
        <v>1216</v>
      </c>
      <c r="R397" t="s">
        <v>885</v>
      </c>
      <c r="S397" t="s">
        <v>889</v>
      </c>
      <c r="T397" t="s">
        <v>4795</v>
      </c>
      <c r="U397" s="131">
        <v>3.71</v>
      </c>
      <c r="V397" s="131">
        <v>285.40499999999997</v>
      </c>
      <c r="W397" s="131">
        <v>1058.8530000000001</v>
      </c>
      <c r="X397" s="163">
        <v>3.5400000000000001E-2</v>
      </c>
      <c r="Y397" s="132">
        <v>2.9059999999999999E-2</v>
      </c>
      <c r="Z397" s="132">
        <v>3.8899999999999998E-3</v>
      </c>
    </row>
    <row r="398" spans="1:26">
      <c r="A398" t="s">
        <v>1213</v>
      </c>
      <c r="B398" t="s">
        <v>1257</v>
      </c>
      <c r="D398" t="s">
        <v>4982</v>
      </c>
      <c r="E398" t="s">
        <v>311</v>
      </c>
      <c r="F398" t="s">
        <v>4983</v>
      </c>
      <c r="G398" s="108">
        <v>74203</v>
      </c>
      <c r="H398" t="s">
        <v>314</v>
      </c>
      <c r="I398" t="s">
        <v>1003</v>
      </c>
      <c r="J398" t="s">
        <v>833</v>
      </c>
      <c r="K398" t="s">
        <v>205</v>
      </c>
      <c r="L398" t="s">
        <v>224</v>
      </c>
      <c r="M398" t="s">
        <v>224</v>
      </c>
      <c r="N398" t="s">
        <v>224</v>
      </c>
      <c r="O398" t="s">
        <v>339</v>
      </c>
      <c r="P398" s="162">
        <v>43770</v>
      </c>
      <c r="Q398" t="s">
        <v>1216</v>
      </c>
      <c r="R398" t="s">
        <v>885</v>
      </c>
      <c r="S398" t="s">
        <v>889</v>
      </c>
      <c r="T398" t="s">
        <v>4882</v>
      </c>
      <c r="U398" s="131">
        <v>3.71</v>
      </c>
      <c r="V398" s="131">
        <v>259.91199999999998</v>
      </c>
      <c r="W398" s="131">
        <v>964.274</v>
      </c>
      <c r="X398" s="163">
        <v>6.8529999999999994E-2</v>
      </c>
      <c r="Y398" s="132">
        <v>2.647E-2</v>
      </c>
      <c r="Z398" s="132">
        <v>3.5400000000000002E-3</v>
      </c>
    </row>
    <row r="399" spans="1:26">
      <c r="A399" t="s">
        <v>1213</v>
      </c>
      <c r="B399" t="s">
        <v>1257</v>
      </c>
      <c r="C399" t="s">
        <v>5130</v>
      </c>
      <c r="D399" t="s">
        <v>5131</v>
      </c>
      <c r="E399" t="s">
        <v>311</v>
      </c>
      <c r="F399" t="s">
        <v>5132</v>
      </c>
      <c r="G399" s="108">
        <v>74237</v>
      </c>
      <c r="H399" t="s">
        <v>314</v>
      </c>
      <c r="I399" t="s">
        <v>1004</v>
      </c>
      <c r="J399" t="s">
        <v>833</v>
      </c>
      <c r="K399" t="s">
        <v>205</v>
      </c>
      <c r="L399" t="s">
        <v>233</v>
      </c>
      <c r="M399" t="s">
        <v>233</v>
      </c>
      <c r="N399" t="s">
        <v>233</v>
      </c>
      <c r="O399" t="s">
        <v>339</v>
      </c>
      <c r="P399" s="162">
        <v>44721</v>
      </c>
      <c r="Q399" t="s">
        <v>1227</v>
      </c>
      <c r="R399" t="s">
        <v>885</v>
      </c>
      <c r="S399" t="s">
        <v>889</v>
      </c>
      <c r="T399" t="s">
        <v>5133</v>
      </c>
      <c r="U399" s="131">
        <v>4.9749999999999996</v>
      </c>
      <c r="V399" s="131">
        <v>181.28399999999999</v>
      </c>
      <c r="W399" s="131">
        <v>901.85299999999995</v>
      </c>
      <c r="X399" s="163">
        <v>4.5373999999999998E-2</v>
      </c>
      <c r="Y399" s="132">
        <v>2.4750000000000001E-2</v>
      </c>
      <c r="Z399" s="132">
        <v>3.31E-3</v>
      </c>
    </row>
    <row r="400" spans="1:26">
      <c r="A400" t="s">
        <v>1213</v>
      </c>
      <c r="B400" t="s">
        <v>1257</v>
      </c>
      <c r="D400" t="s">
        <v>3826</v>
      </c>
      <c r="E400" t="s">
        <v>311</v>
      </c>
      <c r="F400" t="s">
        <v>3825</v>
      </c>
      <c r="G400" s="108">
        <v>74242</v>
      </c>
      <c r="H400" t="s">
        <v>314</v>
      </c>
      <c r="I400" t="s">
        <v>1004</v>
      </c>
      <c r="J400" t="s">
        <v>833</v>
      </c>
      <c r="K400" t="s">
        <v>205</v>
      </c>
      <c r="L400" t="s">
        <v>272</v>
      </c>
      <c r="M400" t="s">
        <v>272</v>
      </c>
      <c r="N400" t="s">
        <v>272</v>
      </c>
      <c r="O400" t="s">
        <v>339</v>
      </c>
      <c r="P400" s="162">
        <v>44812</v>
      </c>
      <c r="Q400" t="s">
        <v>1218</v>
      </c>
      <c r="R400" t="s">
        <v>885</v>
      </c>
      <c r="S400" t="s">
        <v>889</v>
      </c>
      <c r="T400" t="s">
        <v>5135</v>
      </c>
      <c r="U400" s="131">
        <v>4.1520000000000001</v>
      </c>
      <c r="V400" s="131">
        <v>201.41</v>
      </c>
      <c r="W400" s="131">
        <v>836.33500000000004</v>
      </c>
      <c r="X400" s="163">
        <v>0.127</v>
      </c>
      <c r="Y400" s="132">
        <v>2.2960000000000001E-2</v>
      </c>
      <c r="Z400" s="132">
        <v>3.0699999999999998E-3</v>
      </c>
    </row>
    <row r="401" spans="1:26">
      <c r="A401" t="s">
        <v>1213</v>
      </c>
      <c r="B401" t="s">
        <v>1257</v>
      </c>
      <c r="D401" t="s">
        <v>5027</v>
      </c>
      <c r="E401" t="s">
        <v>311</v>
      </c>
      <c r="F401" t="s">
        <v>5137</v>
      </c>
      <c r="G401" s="108">
        <v>74235</v>
      </c>
      <c r="H401" t="s">
        <v>314</v>
      </c>
      <c r="I401" t="s">
        <v>1000</v>
      </c>
      <c r="J401" t="s">
        <v>844</v>
      </c>
      <c r="K401" t="s">
        <v>205</v>
      </c>
      <c r="L401" t="s">
        <v>224</v>
      </c>
      <c r="M401" t="s">
        <v>224</v>
      </c>
      <c r="N401" t="s">
        <v>224</v>
      </c>
      <c r="O401" t="s">
        <v>339</v>
      </c>
      <c r="P401" s="162">
        <v>44712</v>
      </c>
      <c r="Q401" t="s">
        <v>1216</v>
      </c>
      <c r="R401" t="s">
        <v>885</v>
      </c>
      <c r="S401" t="s">
        <v>889</v>
      </c>
      <c r="T401" t="s">
        <v>4795</v>
      </c>
      <c r="U401" s="131">
        <v>3.71</v>
      </c>
      <c r="V401" s="131">
        <v>212.19300000000001</v>
      </c>
      <c r="W401" s="131">
        <v>787.23599999999999</v>
      </c>
      <c r="X401" s="163">
        <v>6.13E-2</v>
      </c>
      <c r="Y401" s="132">
        <v>2.1610000000000001E-2</v>
      </c>
      <c r="Z401" s="132">
        <v>2.8900000000000002E-3</v>
      </c>
    </row>
    <row r="402" spans="1:26">
      <c r="A402" t="s">
        <v>1213</v>
      </c>
      <c r="B402" t="s">
        <v>1257</v>
      </c>
      <c r="C402" t="s">
        <v>4988</v>
      </c>
      <c r="D402" t="s">
        <v>4989</v>
      </c>
      <c r="E402" t="s">
        <v>309</v>
      </c>
      <c r="F402" t="s">
        <v>4990</v>
      </c>
      <c r="G402" s="108">
        <v>74255</v>
      </c>
      <c r="H402" t="s">
        <v>314</v>
      </c>
      <c r="I402" t="s">
        <v>1005</v>
      </c>
      <c r="J402" t="s">
        <v>831</v>
      </c>
      <c r="K402" t="s">
        <v>205</v>
      </c>
      <c r="L402" t="s">
        <v>233</v>
      </c>
      <c r="M402" t="s">
        <v>233</v>
      </c>
      <c r="N402" t="s">
        <v>233</v>
      </c>
      <c r="O402" t="s">
        <v>339</v>
      </c>
      <c r="P402" s="162">
        <v>45208</v>
      </c>
      <c r="Q402" t="s">
        <v>1227</v>
      </c>
      <c r="R402" t="s">
        <v>885</v>
      </c>
      <c r="S402" t="s">
        <v>889</v>
      </c>
      <c r="T402" t="s">
        <v>4991</v>
      </c>
      <c r="U402" s="131">
        <v>4.9749999999999996</v>
      </c>
      <c r="V402" s="131">
        <v>109.614</v>
      </c>
      <c r="W402" s="131">
        <v>545.30799999999999</v>
      </c>
      <c r="X402" s="163">
        <v>0.107</v>
      </c>
      <c r="Y402" s="132">
        <v>1.4970000000000001E-2</v>
      </c>
      <c r="Z402" s="132">
        <v>2E-3</v>
      </c>
    </row>
    <row r="403" spans="1:26">
      <c r="A403" t="s">
        <v>1213</v>
      </c>
      <c r="B403" t="s">
        <v>1257</v>
      </c>
      <c r="D403" t="s">
        <v>5036</v>
      </c>
      <c r="E403" t="s">
        <v>311</v>
      </c>
      <c r="F403" t="s">
        <v>5136</v>
      </c>
      <c r="G403" s="108">
        <v>74216</v>
      </c>
      <c r="H403" t="s">
        <v>314</v>
      </c>
      <c r="I403" t="s">
        <v>1000</v>
      </c>
      <c r="J403" t="s">
        <v>844</v>
      </c>
      <c r="K403" t="s">
        <v>205</v>
      </c>
      <c r="L403" t="s">
        <v>224</v>
      </c>
      <c r="M403" t="s">
        <v>224</v>
      </c>
      <c r="N403" t="s">
        <v>224</v>
      </c>
      <c r="O403" t="s">
        <v>339</v>
      </c>
      <c r="P403" s="162">
        <v>44371</v>
      </c>
      <c r="Q403" t="s">
        <v>1216</v>
      </c>
      <c r="R403" t="s">
        <v>885</v>
      </c>
      <c r="S403" t="s">
        <v>889</v>
      </c>
      <c r="T403" t="s">
        <v>4991</v>
      </c>
      <c r="U403" s="131">
        <v>3.71</v>
      </c>
      <c r="V403" s="131">
        <v>146.928</v>
      </c>
      <c r="W403" s="131">
        <v>545.10299999999995</v>
      </c>
      <c r="X403" s="163">
        <v>1.6000000000000004E-2</v>
      </c>
      <c r="Y403" s="132">
        <v>1.4959999999999999E-2</v>
      </c>
      <c r="Z403" s="132">
        <v>2E-3</v>
      </c>
    </row>
    <row r="404" spans="1:26">
      <c r="A404" t="s">
        <v>1213</v>
      </c>
      <c r="B404" t="s">
        <v>1257</v>
      </c>
      <c r="D404" t="s">
        <v>5138</v>
      </c>
      <c r="E404" t="s">
        <v>311</v>
      </c>
      <c r="F404" t="s">
        <v>5139</v>
      </c>
      <c r="G404" s="108">
        <v>74247</v>
      </c>
      <c r="H404" t="s">
        <v>314</v>
      </c>
      <c r="I404" t="s">
        <v>1004</v>
      </c>
      <c r="J404" t="s">
        <v>833</v>
      </c>
      <c r="K404" t="s">
        <v>205</v>
      </c>
      <c r="L404" t="s">
        <v>233</v>
      </c>
      <c r="M404" t="s">
        <v>233</v>
      </c>
      <c r="N404" t="s">
        <v>233</v>
      </c>
      <c r="O404" t="s">
        <v>339</v>
      </c>
      <c r="P404" s="162">
        <v>44938</v>
      </c>
      <c r="Q404" t="s">
        <v>1227</v>
      </c>
      <c r="R404" t="s">
        <v>885</v>
      </c>
      <c r="S404" t="s">
        <v>889</v>
      </c>
      <c r="T404" t="s">
        <v>5003</v>
      </c>
      <c r="U404" s="131">
        <v>4.9749999999999996</v>
      </c>
      <c r="V404" s="131">
        <v>70.706999999999994</v>
      </c>
      <c r="W404" s="131">
        <v>351.755</v>
      </c>
      <c r="X404" s="163">
        <v>2.8799999999999999E-2</v>
      </c>
      <c r="Y404" s="132">
        <v>9.6600000000000002E-3</v>
      </c>
      <c r="Z404" s="132">
        <v>1.2899999999999999E-3</v>
      </c>
    </row>
    <row r="405" spans="1:26">
      <c r="A405" t="s">
        <v>1213</v>
      </c>
      <c r="B405" t="s">
        <v>1257</v>
      </c>
      <c r="C405" t="s">
        <v>5150</v>
      </c>
      <c r="D405" t="s">
        <v>5151</v>
      </c>
      <c r="E405" t="s">
        <v>311</v>
      </c>
      <c r="F405" t="s">
        <v>5152</v>
      </c>
      <c r="G405" s="108">
        <v>74244</v>
      </c>
      <c r="H405" t="s">
        <v>314</v>
      </c>
      <c r="I405" t="s">
        <v>1004</v>
      </c>
      <c r="J405" t="s">
        <v>833</v>
      </c>
      <c r="K405" t="s">
        <v>205</v>
      </c>
      <c r="L405" t="s">
        <v>224</v>
      </c>
      <c r="M405" t="s">
        <v>224</v>
      </c>
      <c r="N405" t="s">
        <v>224</v>
      </c>
      <c r="O405" t="s">
        <v>339</v>
      </c>
      <c r="P405" s="162">
        <v>44881</v>
      </c>
      <c r="Q405" t="s">
        <v>1216</v>
      </c>
      <c r="R405" t="s">
        <v>885</v>
      </c>
      <c r="S405" t="s">
        <v>889</v>
      </c>
      <c r="T405" t="s">
        <v>4876</v>
      </c>
      <c r="U405" s="131">
        <v>3.71</v>
      </c>
      <c r="V405" s="131">
        <v>80.381</v>
      </c>
      <c r="W405" s="131">
        <v>298.21300000000002</v>
      </c>
      <c r="X405" s="163">
        <v>2.4199999999999999E-2</v>
      </c>
      <c r="Y405" s="132">
        <v>8.1899999999999994E-3</v>
      </c>
      <c r="Z405" s="132">
        <v>1.09E-3</v>
      </c>
    </row>
    <row r="406" spans="1:26">
      <c r="A406" t="s">
        <v>1213</v>
      </c>
      <c r="B406" t="s">
        <v>1257</v>
      </c>
      <c r="D406" t="s">
        <v>5027</v>
      </c>
      <c r="E406" t="s">
        <v>311</v>
      </c>
      <c r="F406" t="s">
        <v>5114</v>
      </c>
      <c r="G406" s="108">
        <v>74200</v>
      </c>
      <c r="H406" t="s">
        <v>314</v>
      </c>
      <c r="I406" t="s">
        <v>1000</v>
      </c>
      <c r="J406" t="s">
        <v>844</v>
      </c>
      <c r="K406" t="s">
        <v>205</v>
      </c>
      <c r="L406" t="s">
        <v>224</v>
      </c>
      <c r="M406" t="s">
        <v>224</v>
      </c>
      <c r="N406" t="s">
        <v>224</v>
      </c>
      <c r="O406" t="s">
        <v>339</v>
      </c>
      <c r="P406" s="162">
        <v>43891</v>
      </c>
      <c r="Q406" t="s">
        <v>1216</v>
      </c>
      <c r="R406" t="s">
        <v>885</v>
      </c>
      <c r="S406" t="s">
        <v>889</v>
      </c>
      <c r="T406" t="s">
        <v>4795</v>
      </c>
      <c r="U406" s="131">
        <v>3.71</v>
      </c>
      <c r="V406" s="131">
        <v>65.540000000000006</v>
      </c>
      <c r="W406" s="131">
        <v>243.155</v>
      </c>
      <c r="X406" s="163">
        <v>5.6800000000000003E-2</v>
      </c>
      <c r="Y406" s="132">
        <v>6.6699999999999997E-3</v>
      </c>
      <c r="Z406" s="132">
        <v>8.8999999999999995E-4</v>
      </c>
    </row>
    <row r="407" spans="1:26">
      <c r="A407" t="s">
        <v>1213</v>
      </c>
      <c r="B407" t="s">
        <v>1257</v>
      </c>
      <c r="C407" t="s">
        <v>4992</v>
      </c>
      <c r="D407" t="s">
        <v>4993</v>
      </c>
      <c r="E407" t="s">
        <v>311</v>
      </c>
      <c r="F407" t="s">
        <v>4994</v>
      </c>
      <c r="G407" s="108">
        <v>74272</v>
      </c>
      <c r="H407" t="s">
        <v>314</v>
      </c>
      <c r="I407" t="s">
        <v>1004</v>
      </c>
      <c r="J407" t="s">
        <v>832</v>
      </c>
      <c r="K407" t="s">
        <v>205</v>
      </c>
      <c r="L407" t="s">
        <v>224</v>
      </c>
      <c r="M407" t="s">
        <v>224</v>
      </c>
      <c r="N407" t="s">
        <v>224</v>
      </c>
      <c r="O407" t="s">
        <v>339</v>
      </c>
      <c r="P407" s="162">
        <v>45505</v>
      </c>
      <c r="Q407" t="s">
        <v>1216</v>
      </c>
      <c r="R407" t="s">
        <v>885</v>
      </c>
      <c r="S407" t="s">
        <v>889</v>
      </c>
      <c r="T407" t="s">
        <v>4995</v>
      </c>
      <c r="U407" s="131">
        <v>3.71</v>
      </c>
      <c r="V407" s="131">
        <v>56.284999999999997</v>
      </c>
      <c r="W407" s="131">
        <v>208.81700000000001</v>
      </c>
      <c r="X407" s="164">
        <v>0.34670000000000001</v>
      </c>
      <c r="Y407" s="132">
        <v>5.7299999999999999E-3</v>
      </c>
      <c r="Z407" s="132">
        <v>7.6999999999999996E-4</v>
      </c>
    </row>
    <row r="408" spans="1:26">
      <c r="A408" t="s">
        <v>1213</v>
      </c>
      <c r="B408" t="s">
        <v>1257</v>
      </c>
      <c r="C408" t="s">
        <v>4992</v>
      </c>
      <c r="D408" t="s">
        <v>4993</v>
      </c>
      <c r="E408" t="s">
        <v>311</v>
      </c>
      <c r="F408" t="s">
        <v>4996</v>
      </c>
      <c r="G408" s="108">
        <v>74266</v>
      </c>
      <c r="H408" t="s">
        <v>314</v>
      </c>
      <c r="I408" t="s">
        <v>1004</v>
      </c>
      <c r="J408" t="s">
        <v>832</v>
      </c>
      <c r="K408" t="s">
        <v>205</v>
      </c>
      <c r="L408" t="s">
        <v>224</v>
      </c>
      <c r="M408" t="s">
        <v>224</v>
      </c>
      <c r="N408" t="s">
        <v>224</v>
      </c>
      <c r="O408" t="s">
        <v>339</v>
      </c>
      <c r="P408" s="162">
        <v>45400</v>
      </c>
      <c r="Q408" t="s">
        <v>1216</v>
      </c>
      <c r="R408" t="s">
        <v>885</v>
      </c>
      <c r="S408" t="s">
        <v>889</v>
      </c>
      <c r="T408" t="s">
        <v>4870</v>
      </c>
      <c r="U408" s="131">
        <v>3.71</v>
      </c>
      <c r="V408" s="131">
        <v>52.337000000000003</v>
      </c>
      <c r="W408" s="131">
        <v>194.17</v>
      </c>
      <c r="X408" s="163">
        <v>0.4</v>
      </c>
      <c r="Y408" s="132">
        <v>5.3299999999999997E-3</v>
      </c>
      <c r="Z408" s="132">
        <v>7.1000000000000002E-4</v>
      </c>
    </row>
    <row r="409" spans="1:26">
      <c r="A409" t="s">
        <v>1213</v>
      </c>
      <c r="B409" t="s">
        <v>1257</v>
      </c>
      <c r="C409" t="s">
        <v>4997</v>
      </c>
      <c r="D409" t="s">
        <v>4998</v>
      </c>
      <c r="E409" t="s">
        <v>311</v>
      </c>
      <c r="F409" t="s">
        <v>4997</v>
      </c>
      <c r="G409" s="108">
        <v>74271</v>
      </c>
      <c r="H409" t="s">
        <v>314</v>
      </c>
      <c r="I409" t="s">
        <v>1004</v>
      </c>
      <c r="J409" t="s">
        <v>832</v>
      </c>
      <c r="K409" t="s">
        <v>205</v>
      </c>
      <c r="L409" t="s">
        <v>217</v>
      </c>
      <c r="M409" t="s">
        <v>233</v>
      </c>
      <c r="N409" t="s">
        <v>233</v>
      </c>
      <c r="O409" t="s">
        <v>339</v>
      </c>
      <c r="P409" s="162">
        <v>45495</v>
      </c>
      <c r="Q409" t="s">
        <v>1227</v>
      </c>
      <c r="R409" t="s">
        <v>885</v>
      </c>
      <c r="S409" t="s">
        <v>889</v>
      </c>
      <c r="T409" t="s">
        <v>4999</v>
      </c>
      <c r="U409" s="131">
        <v>4.9749999999999996</v>
      </c>
      <c r="V409" s="131">
        <v>36</v>
      </c>
      <c r="W409" s="131">
        <v>179.09299999999999</v>
      </c>
      <c r="X409" s="164">
        <v>3.73E-2</v>
      </c>
      <c r="Y409" s="132">
        <v>4.9199999999999999E-3</v>
      </c>
      <c r="Z409" s="132">
        <v>6.6E-4</v>
      </c>
    </row>
    <row r="410" spans="1:26">
      <c r="A410" t="s">
        <v>1213</v>
      </c>
      <c r="B410" t="s">
        <v>1257</v>
      </c>
      <c r="D410" t="s">
        <v>5027</v>
      </c>
      <c r="E410" t="s">
        <v>311</v>
      </c>
      <c r="F410" t="s">
        <v>5028</v>
      </c>
      <c r="G410" s="108">
        <v>74180</v>
      </c>
      <c r="H410" t="s">
        <v>314</v>
      </c>
      <c r="I410" t="s">
        <v>1000</v>
      </c>
      <c r="J410" t="s">
        <v>844</v>
      </c>
      <c r="K410" t="s">
        <v>205</v>
      </c>
      <c r="L410" t="s">
        <v>224</v>
      </c>
      <c r="M410" t="s">
        <v>224</v>
      </c>
      <c r="N410" t="s">
        <v>224</v>
      </c>
      <c r="O410" t="s">
        <v>339</v>
      </c>
      <c r="P410" s="162">
        <v>43411</v>
      </c>
      <c r="Q410" t="s">
        <v>1216</v>
      </c>
      <c r="R410" t="s">
        <v>885</v>
      </c>
      <c r="S410" t="s">
        <v>889</v>
      </c>
      <c r="T410" t="s">
        <v>4795</v>
      </c>
      <c r="U410" s="131">
        <v>3.71</v>
      </c>
      <c r="V410" s="131">
        <v>45.674999999999997</v>
      </c>
      <c r="W410" s="131">
        <v>169.45599999999999</v>
      </c>
      <c r="X410" s="163">
        <v>5.8900000000000001E-2</v>
      </c>
      <c r="Y410" s="132">
        <v>4.6499999999999996E-3</v>
      </c>
      <c r="Z410" s="132">
        <v>6.2E-4</v>
      </c>
    </row>
    <row r="411" spans="1:26">
      <c r="A411" t="s">
        <v>1213</v>
      </c>
      <c r="B411" t="s">
        <v>1257</v>
      </c>
      <c r="C411" t="s">
        <v>5124</v>
      </c>
      <c r="D411" t="s">
        <v>5125</v>
      </c>
      <c r="E411" t="s">
        <v>311</v>
      </c>
      <c r="F411" t="s">
        <v>5126</v>
      </c>
      <c r="G411" s="108">
        <v>74199</v>
      </c>
      <c r="H411" t="s">
        <v>314</v>
      </c>
      <c r="I411" t="s">
        <v>1003</v>
      </c>
      <c r="J411" t="s">
        <v>837</v>
      </c>
      <c r="K411" t="s">
        <v>205</v>
      </c>
      <c r="L411" t="s">
        <v>224</v>
      </c>
      <c r="M411" t="s">
        <v>224</v>
      </c>
      <c r="N411" t="s">
        <v>224</v>
      </c>
      <c r="O411" t="s">
        <v>339</v>
      </c>
      <c r="P411" s="162">
        <v>43881</v>
      </c>
      <c r="Q411" t="s">
        <v>1216</v>
      </c>
      <c r="R411" t="s">
        <v>885</v>
      </c>
      <c r="S411" t="s">
        <v>889</v>
      </c>
      <c r="T411" t="s">
        <v>4876</v>
      </c>
      <c r="U411" s="131">
        <v>3.71</v>
      </c>
      <c r="V411" s="131">
        <v>40.331000000000003</v>
      </c>
      <c r="W411" s="131">
        <v>149.63</v>
      </c>
      <c r="X411" s="163">
        <v>2.6270000000000002E-2</v>
      </c>
      <c r="Y411" s="132">
        <v>4.1099999999999999E-3</v>
      </c>
      <c r="Z411" s="132">
        <v>5.5000000000000003E-4</v>
      </c>
    </row>
    <row r="412" spans="1:26">
      <c r="A412" t="s">
        <v>1213</v>
      </c>
      <c r="B412" t="s">
        <v>1257</v>
      </c>
      <c r="C412" t="s">
        <v>5029</v>
      </c>
      <c r="D412" t="s">
        <v>5030</v>
      </c>
      <c r="E412" t="s">
        <v>311</v>
      </c>
      <c r="F412" t="s">
        <v>5031</v>
      </c>
      <c r="G412" s="108">
        <v>74178</v>
      </c>
      <c r="H412" t="s">
        <v>314</v>
      </c>
      <c r="I412" t="s">
        <v>1004</v>
      </c>
      <c r="J412" t="s">
        <v>833</v>
      </c>
      <c r="K412" t="s">
        <v>205</v>
      </c>
      <c r="L412" t="s">
        <v>224</v>
      </c>
      <c r="M412" t="s">
        <v>224</v>
      </c>
      <c r="N412" t="s">
        <v>224</v>
      </c>
      <c r="O412" t="s">
        <v>339</v>
      </c>
      <c r="P412" s="162">
        <v>43321</v>
      </c>
      <c r="Q412" t="s">
        <v>1216</v>
      </c>
      <c r="R412" t="s">
        <v>885</v>
      </c>
      <c r="S412" t="s">
        <v>889</v>
      </c>
      <c r="T412" t="s">
        <v>4876</v>
      </c>
      <c r="U412" s="131">
        <v>3.71</v>
      </c>
      <c r="V412" s="131">
        <v>37.856999999999999</v>
      </c>
      <c r="W412" s="131">
        <v>140.44999999999999</v>
      </c>
      <c r="X412" s="163">
        <v>3.4639999999999997E-2</v>
      </c>
      <c r="Y412" s="132">
        <v>3.8600000000000001E-3</v>
      </c>
      <c r="Z412" s="132">
        <v>5.1999999999999995E-4</v>
      </c>
    </row>
    <row r="413" spans="1:26">
      <c r="A413" t="s">
        <v>1213</v>
      </c>
      <c r="B413" t="s">
        <v>1257</v>
      </c>
      <c r="C413" t="s">
        <v>5147</v>
      </c>
      <c r="D413" t="s">
        <v>5148</v>
      </c>
      <c r="E413" t="s">
        <v>311</v>
      </c>
      <c r="F413" t="s">
        <v>5149</v>
      </c>
      <c r="G413" s="108">
        <v>74270</v>
      </c>
      <c r="H413" t="s">
        <v>314</v>
      </c>
      <c r="I413" t="s">
        <v>1004</v>
      </c>
      <c r="J413" t="s">
        <v>833</v>
      </c>
      <c r="K413" t="s">
        <v>205</v>
      </c>
      <c r="L413" t="s">
        <v>253</v>
      </c>
      <c r="M413" t="s">
        <v>253</v>
      </c>
      <c r="N413" t="s">
        <v>212</v>
      </c>
      <c r="O413" t="s">
        <v>339</v>
      </c>
      <c r="P413" s="162">
        <v>45484</v>
      </c>
      <c r="Q413" t="s">
        <v>1218</v>
      </c>
      <c r="R413" t="s">
        <v>885</v>
      </c>
      <c r="S413" t="s">
        <v>889</v>
      </c>
      <c r="T413" t="s">
        <v>4737</v>
      </c>
      <c r="U413" s="131">
        <v>4.1520000000000001</v>
      </c>
      <c r="V413" s="131">
        <v>29.4</v>
      </c>
      <c r="W413" s="131">
        <v>122.081</v>
      </c>
      <c r="X413" s="166">
        <v>0.13500000000000001</v>
      </c>
      <c r="Y413" s="132">
        <v>3.3500000000000001E-3</v>
      </c>
      <c r="Z413" s="132">
        <v>4.4999999999999999E-4</v>
      </c>
    </row>
    <row r="414" spans="1:26">
      <c r="A414" t="s">
        <v>1213</v>
      </c>
      <c r="B414" t="s">
        <v>1257</v>
      </c>
      <c r="D414" t="s">
        <v>5034</v>
      </c>
      <c r="E414" t="s">
        <v>311</v>
      </c>
      <c r="F414" t="s">
        <v>5035</v>
      </c>
      <c r="G414" s="108">
        <v>74197</v>
      </c>
      <c r="H414" t="s">
        <v>314</v>
      </c>
      <c r="I414" t="s">
        <v>1003</v>
      </c>
      <c r="J414" t="s">
        <v>836</v>
      </c>
      <c r="K414" t="s">
        <v>205</v>
      </c>
      <c r="L414" t="s">
        <v>224</v>
      </c>
      <c r="M414" t="s">
        <v>224</v>
      </c>
      <c r="N414" t="s">
        <v>224</v>
      </c>
      <c r="O414" t="s">
        <v>339</v>
      </c>
      <c r="P414" s="162">
        <v>43857</v>
      </c>
      <c r="Q414" t="s">
        <v>1216</v>
      </c>
      <c r="R414" t="s">
        <v>885</v>
      </c>
      <c r="S414" t="s">
        <v>889</v>
      </c>
      <c r="T414" t="s">
        <v>4876</v>
      </c>
      <c r="U414" s="131">
        <v>3.71</v>
      </c>
      <c r="V414" s="131">
        <v>31.556000000000001</v>
      </c>
      <c r="W414" s="131">
        <v>117.071</v>
      </c>
      <c r="X414" s="163">
        <v>2.53E-2</v>
      </c>
      <c r="Y414" s="132">
        <v>3.2100000000000002E-3</v>
      </c>
      <c r="Z414" s="132">
        <v>4.2999999999999999E-4</v>
      </c>
    </row>
    <row r="415" spans="1:26">
      <c r="A415" t="s">
        <v>1213</v>
      </c>
      <c r="B415" t="s">
        <v>1257</v>
      </c>
      <c r="D415" t="s">
        <v>5032</v>
      </c>
      <c r="E415" t="s">
        <v>309</v>
      </c>
      <c r="F415" t="s">
        <v>5033</v>
      </c>
      <c r="G415" s="108">
        <v>74181</v>
      </c>
      <c r="H415" t="s">
        <v>314</v>
      </c>
      <c r="I415" t="s">
        <v>1004</v>
      </c>
      <c r="J415" t="s">
        <v>833</v>
      </c>
      <c r="K415" t="s">
        <v>205</v>
      </c>
      <c r="L415" t="s">
        <v>204</v>
      </c>
      <c r="M415" t="s">
        <v>204</v>
      </c>
      <c r="N415" t="s">
        <v>224</v>
      </c>
      <c r="O415" t="s">
        <v>339</v>
      </c>
      <c r="P415" s="162">
        <v>43412</v>
      </c>
      <c r="Q415" t="s">
        <v>1216</v>
      </c>
      <c r="R415" t="s">
        <v>885</v>
      </c>
      <c r="S415" t="s">
        <v>889</v>
      </c>
      <c r="T415" t="s">
        <v>4954</v>
      </c>
      <c r="U415" s="131">
        <v>3.71</v>
      </c>
      <c r="V415" s="131">
        <v>30.452999999999999</v>
      </c>
      <c r="W415" s="131">
        <v>112.979</v>
      </c>
      <c r="X415" s="163">
        <v>0.19900000000000001</v>
      </c>
      <c r="Y415" s="132">
        <v>3.0999999999999999E-3</v>
      </c>
      <c r="Z415" s="132">
        <v>4.0999999999999999E-4</v>
      </c>
    </row>
    <row r="416" spans="1:26">
      <c r="A416" t="s">
        <v>1213</v>
      </c>
      <c r="B416" t="s">
        <v>1257</v>
      </c>
      <c r="D416" t="s">
        <v>5036</v>
      </c>
      <c r="E416" t="s">
        <v>311</v>
      </c>
      <c r="F416" t="s">
        <v>5037</v>
      </c>
      <c r="G416" s="108">
        <v>74183</v>
      </c>
      <c r="H416" t="s">
        <v>314</v>
      </c>
      <c r="I416" t="s">
        <v>1000</v>
      </c>
      <c r="J416" t="s">
        <v>844</v>
      </c>
      <c r="K416" t="s">
        <v>205</v>
      </c>
      <c r="L416" t="s">
        <v>224</v>
      </c>
      <c r="M416" t="s">
        <v>224</v>
      </c>
      <c r="N416" t="s">
        <v>224</v>
      </c>
      <c r="O416" t="s">
        <v>339</v>
      </c>
      <c r="P416" s="162">
        <v>43482</v>
      </c>
      <c r="Q416" t="s">
        <v>1216</v>
      </c>
      <c r="R416" t="s">
        <v>885</v>
      </c>
      <c r="S416" t="s">
        <v>889</v>
      </c>
      <c r="T416" t="s">
        <v>4991</v>
      </c>
      <c r="U416" s="131">
        <v>3.71</v>
      </c>
      <c r="V416" s="131">
        <v>21.158000000000001</v>
      </c>
      <c r="W416" s="131">
        <v>78.498000000000005</v>
      </c>
      <c r="X416" s="163">
        <v>5.2000000000000005E-2</v>
      </c>
      <c r="Y416" s="132">
        <v>2.15E-3</v>
      </c>
      <c r="Z416" s="132">
        <v>2.9E-4</v>
      </c>
    </row>
    <row r="417" spans="1:26">
      <c r="A417" t="s">
        <v>1213</v>
      </c>
      <c r="B417" t="s">
        <v>1257</v>
      </c>
      <c r="D417" t="s">
        <v>5140</v>
      </c>
      <c r="E417" t="s">
        <v>311</v>
      </c>
      <c r="F417" t="s">
        <v>5141</v>
      </c>
      <c r="G417" s="108">
        <v>74193</v>
      </c>
      <c r="H417" t="s">
        <v>314</v>
      </c>
      <c r="I417" t="s">
        <v>1003</v>
      </c>
      <c r="J417" t="s">
        <v>836</v>
      </c>
      <c r="K417" t="s">
        <v>205</v>
      </c>
      <c r="L417" t="s">
        <v>224</v>
      </c>
      <c r="M417" t="s">
        <v>224</v>
      </c>
      <c r="N417" t="s">
        <v>224</v>
      </c>
      <c r="O417" t="s">
        <v>339</v>
      </c>
      <c r="P417" s="162">
        <v>43790</v>
      </c>
      <c r="Q417" t="s">
        <v>1216</v>
      </c>
      <c r="R417" t="s">
        <v>885</v>
      </c>
      <c r="S417" t="s">
        <v>889</v>
      </c>
      <c r="T417" t="s">
        <v>5022</v>
      </c>
      <c r="U417" s="131">
        <v>3.71</v>
      </c>
      <c r="V417" s="131">
        <v>4.3520000000000003</v>
      </c>
      <c r="W417" s="131">
        <v>16.146999999999998</v>
      </c>
      <c r="X417" s="163">
        <v>1.0200000000000001E-2</v>
      </c>
      <c r="Y417" s="132">
        <v>4.4000000000000002E-4</v>
      </c>
      <c r="Z417" s="132">
        <v>6.0000000000000002E-5</v>
      </c>
    </row>
    <row r="418" spans="1:26">
      <c r="A418" t="s">
        <v>1213</v>
      </c>
      <c r="B418" t="s">
        <v>1257</v>
      </c>
      <c r="C418" t="s">
        <v>5041</v>
      </c>
      <c r="D418" t="s">
        <v>5042</v>
      </c>
      <c r="E418" t="s">
        <v>310</v>
      </c>
      <c r="F418" t="s">
        <v>5043</v>
      </c>
      <c r="G418" s="108">
        <v>74187</v>
      </c>
      <c r="H418" t="s">
        <v>314</v>
      </c>
      <c r="I418" t="s">
        <v>1003</v>
      </c>
      <c r="J418" t="s">
        <v>836</v>
      </c>
      <c r="K418" t="s">
        <v>205</v>
      </c>
      <c r="L418" t="s">
        <v>204</v>
      </c>
      <c r="M418" t="s">
        <v>204</v>
      </c>
      <c r="N418" t="s">
        <v>303</v>
      </c>
      <c r="O418" t="s">
        <v>339</v>
      </c>
      <c r="P418" s="162">
        <v>43571</v>
      </c>
      <c r="Q418" t="s">
        <v>1216</v>
      </c>
      <c r="R418" t="s">
        <v>885</v>
      </c>
      <c r="S418" t="s">
        <v>889</v>
      </c>
      <c r="T418" t="s">
        <v>5018</v>
      </c>
      <c r="U418" s="131">
        <v>3.71</v>
      </c>
      <c r="V418" s="131">
        <v>3.504</v>
      </c>
      <c r="W418" s="131">
        <v>12.997999999999999</v>
      </c>
      <c r="X418" s="163">
        <v>3.3300000000000003E-2</v>
      </c>
      <c r="Y418" s="132">
        <v>3.6000000000000002E-4</v>
      </c>
      <c r="Z418" s="132">
        <v>5.0000000000000002E-5</v>
      </c>
    </row>
    <row r="419" spans="1:26">
      <c r="A419" t="s">
        <v>1213</v>
      </c>
      <c r="B419" t="s">
        <v>1257</v>
      </c>
      <c r="C419" t="s">
        <v>5144</v>
      </c>
      <c r="D419" t="s">
        <v>5145</v>
      </c>
      <c r="E419" t="s">
        <v>309</v>
      </c>
      <c r="F419" t="s">
        <v>5146</v>
      </c>
      <c r="G419" s="108">
        <v>74192</v>
      </c>
      <c r="H419" t="s">
        <v>314</v>
      </c>
      <c r="I419" t="s">
        <v>1004</v>
      </c>
      <c r="J419" t="s">
        <v>833</v>
      </c>
      <c r="K419" t="s">
        <v>205</v>
      </c>
      <c r="L419" t="s">
        <v>224</v>
      </c>
      <c r="M419" t="s">
        <v>224</v>
      </c>
      <c r="N419" t="s">
        <v>224</v>
      </c>
      <c r="O419" t="s">
        <v>339</v>
      </c>
      <c r="P419" s="162">
        <v>43761</v>
      </c>
      <c r="Q419" t="s">
        <v>1216</v>
      </c>
      <c r="R419" t="s">
        <v>885</v>
      </c>
      <c r="S419" t="s">
        <v>889</v>
      </c>
      <c r="T419" t="s">
        <v>5018</v>
      </c>
      <c r="U419" s="131">
        <v>3.71</v>
      </c>
      <c r="V419" s="131">
        <v>2.5790000000000002</v>
      </c>
      <c r="W419" s="131">
        <v>9.5690000000000008</v>
      </c>
      <c r="X419" s="163">
        <v>3.5400000000000001E-2</v>
      </c>
      <c r="Y419" s="132">
        <v>2.5999999999999998E-4</v>
      </c>
      <c r="Z419" s="132">
        <v>4.0000000000000003E-5</v>
      </c>
    </row>
    <row r="420" spans="1:26">
      <c r="A420" t="s">
        <v>1213</v>
      </c>
      <c r="B420" t="s">
        <v>1257</v>
      </c>
      <c r="D420" t="s">
        <v>5044</v>
      </c>
      <c r="E420" t="s">
        <v>311</v>
      </c>
      <c r="F420" t="s">
        <v>5045</v>
      </c>
      <c r="G420" s="108">
        <v>74188</v>
      </c>
      <c r="H420" t="s">
        <v>314</v>
      </c>
      <c r="I420" t="s">
        <v>1002</v>
      </c>
      <c r="J420" t="s">
        <v>569</v>
      </c>
      <c r="K420" t="s">
        <v>205</v>
      </c>
      <c r="L420" t="s">
        <v>224</v>
      </c>
      <c r="M420" t="s">
        <v>224</v>
      </c>
      <c r="N420" t="s">
        <v>224</v>
      </c>
      <c r="O420" t="s">
        <v>339</v>
      </c>
      <c r="P420" s="162">
        <v>43578</v>
      </c>
      <c r="Q420" t="s">
        <v>1216</v>
      </c>
      <c r="R420" t="s">
        <v>885</v>
      </c>
      <c r="S420" t="s">
        <v>889</v>
      </c>
      <c r="T420" t="s">
        <v>5046</v>
      </c>
      <c r="U420" s="131">
        <v>3.71</v>
      </c>
      <c r="V420" s="131">
        <v>2.4350000000000001</v>
      </c>
      <c r="W420" s="131">
        <v>9.0350000000000001</v>
      </c>
      <c r="X420" s="163">
        <v>1.7999999999999999E-2</v>
      </c>
      <c r="Y420" s="132">
        <v>2.5000000000000001E-4</v>
      </c>
      <c r="Z420" s="132">
        <v>3.0000000000000001E-5</v>
      </c>
    </row>
    <row r="421" spans="1:26">
      <c r="A421" t="s">
        <v>1213</v>
      </c>
      <c r="B421" t="s">
        <v>1221</v>
      </c>
    </row>
    <row r="422" spans="1:26">
      <c r="A422" t="s">
        <v>1213</v>
      </c>
      <c r="B422" t="s">
        <v>1222</v>
      </c>
    </row>
    <row r="423" spans="1:26">
      <c r="A423" t="s">
        <v>1213</v>
      </c>
      <c r="B423" t="s">
        <v>1223</v>
      </c>
    </row>
    <row r="424" spans="1:26">
      <c r="A424" t="s">
        <v>1213</v>
      </c>
      <c r="B424" t="s">
        <v>1224</v>
      </c>
    </row>
    <row r="425" spans="1:26">
      <c r="A425" t="s">
        <v>1213</v>
      </c>
      <c r="B425" t="s">
        <v>1225</v>
      </c>
    </row>
    <row r="426" spans="1:26">
      <c r="A426" t="s">
        <v>1213</v>
      </c>
      <c r="B426" t="s">
        <v>1230</v>
      </c>
    </row>
    <row r="427" spans="1:26">
      <c r="A427" t="s">
        <v>1213</v>
      </c>
      <c r="B427" t="s">
        <v>1231</v>
      </c>
    </row>
    <row r="428" spans="1:26">
      <c r="A428" t="s">
        <v>1213</v>
      </c>
      <c r="B428" t="s">
        <v>1232</v>
      </c>
    </row>
    <row r="429" spans="1:26">
      <c r="A429" t="s">
        <v>1213</v>
      </c>
      <c r="B429" t="s">
        <v>1234</v>
      </c>
    </row>
    <row r="430" spans="1:26">
      <c r="A430" t="s">
        <v>1213</v>
      </c>
      <c r="B430" t="s">
        <v>1244</v>
      </c>
    </row>
    <row r="431" spans="1:26">
      <c r="A431" t="s">
        <v>1213</v>
      </c>
      <c r="B431">
        <v>15108</v>
      </c>
    </row>
    <row r="432" spans="1:26">
      <c r="A432" t="s">
        <v>1213</v>
      </c>
      <c r="B432" t="s">
        <v>1248</v>
      </c>
    </row>
    <row r="433" spans="1:2">
      <c r="A433" t="s">
        <v>1213</v>
      </c>
      <c r="B433" t="s">
        <v>1254</v>
      </c>
    </row>
    <row r="434" spans="1:2">
      <c r="A434" t="s">
        <v>1213</v>
      </c>
      <c r="B434" t="s">
        <v>1255</v>
      </c>
    </row>
    <row r="435" spans="1:2">
      <c r="A435" t="s">
        <v>1213</v>
      </c>
      <c r="B435" t="s">
        <v>1256</v>
      </c>
    </row>
    <row r="1048573" spans="12:12">
      <c r="L1048573" s="109"/>
    </row>
  </sheetData>
  <sheetProtection formatColumns="0"/>
  <autoFilter ref="A1:AA435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73:L1048576">
      <formula1>Country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35"/>
  <sheetViews>
    <sheetView rightToLeft="1" topLeftCell="U1" workbookViewId="0">
      <selection activeCell="AB24" sqref="AB24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55</v>
      </c>
      <c r="J1" s="17" t="s">
        <v>69</v>
      </c>
      <c r="K1" s="17" t="s">
        <v>89</v>
      </c>
      <c r="L1" s="17" t="s">
        <v>92</v>
      </c>
      <c r="M1" s="17" t="s">
        <v>83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63</v>
      </c>
      <c r="AA1" s="17" t="s">
        <v>64</v>
      </c>
      <c r="AB1" s="17" t="s">
        <v>65</v>
      </c>
    </row>
    <row r="2" spans="1:28">
      <c r="A2" t="s">
        <v>1213</v>
      </c>
      <c r="B2" t="s">
        <v>1214</v>
      </c>
      <c r="C2" t="s">
        <v>5155</v>
      </c>
      <c r="D2" t="s">
        <v>5156</v>
      </c>
      <c r="E2" t="s">
        <v>80</v>
      </c>
      <c r="F2" t="s">
        <v>5157</v>
      </c>
      <c r="G2" t="s">
        <v>5158</v>
      </c>
      <c r="H2" t="s">
        <v>312</v>
      </c>
      <c r="I2" t="s">
        <v>205</v>
      </c>
      <c r="J2" t="s">
        <v>224</v>
      </c>
      <c r="K2" s="109" t="s">
        <v>326</v>
      </c>
      <c r="L2" t="s">
        <v>5159</v>
      </c>
      <c r="M2" t="s">
        <v>534</v>
      </c>
      <c r="N2" t="s">
        <v>5160</v>
      </c>
      <c r="O2" t="s">
        <v>339</v>
      </c>
      <c r="P2" t="s">
        <v>5161</v>
      </c>
      <c r="Q2" t="s">
        <v>1216</v>
      </c>
      <c r="R2" t="s">
        <v>314</v>
      </c>
      <c r="S2" t="s">
        <v>889</v>
      </c>
      <c r="T2" t="s">
        <v>3103</v>
      </c>
      <c r="U2" s="131">
        <v>2.36</v>
      </c>
      <c r="V2" s="131">
        <v>1</v>
      </c>
      <c r="W2" s="131">
        <v>21000</v>
      </c>
      <c r="X2" s="131">
        <f t="shared" ref="X2:X15" si="0">Z2*1000/Y2/W2*100</f>
        <v>0</v>
      </c>
      <c r="Y2" s="131">
        <v>3.71</v>
      </c>
      <c r="Z2" s="131">
        <v>0</v>
      </c>
      <c r="AA2" s="132">
        <v>1</v>
      </c>
      <c r="AB2" s="132">
        <v>0</v>
      </c>
    </row>
    <row r="3" spans="1:28">
      <c r="A3" t="s">
        <v>1213</v>
      </c>
      <c r="B3" t="s">
        <v>1217</v>
      </c>
      <c r="C3" t="s">
        <v>1683</v>
      </c>
      <c r="D3" t="s">
        <v>1684</v>
      </c>
      <c r="E3" t="s">
        <v>309</v>
      </c>
      <c r="F3" t="s">
        <v>5162</v>
      </c>
      <c r="G3" t="s">
        <v>5163</v>
      </c>
      <c r="H3" t="s">
        <v>312</v>
      </c>
      <c r="I3" t="s">
        <v>204</v>
      </c>
      <c r="J3" t="s">
        <v>204</v>
      </c>
      <c r="K3" s="109" t="s">
        <v>326</v>
      </c>
      <c r="L3" t="s">
        <v>3436</v>
      </c>
      <c r="M3" t="s">
        <v>441</v>
      </c>
      <c r="N3" t="s">
        <v>2695</v>
      </c>
      <c r="O3" t="s">
        <v>339</v>
      </c>
      <c r="P3" t="s">
        <v>5164</v>
      </c>
      <c r="Q3" t="s">
        <v>1212</v>
      </c>
      <c r="R3" t="s">
        <v>314</v>
      </c>
      <c r="S3" t="s">
        <v>889</v>
      </c>
      <c r="T3" t="s">
        <v>4723</v>
      </c>
      <c r="U3" s="131">
        <v>11200</v>
      </c>
      <c r="V3" s="131">
        <v>1</v>
      </c>
      <c r="W3" s="131">
        <v>3127</v>
      </c>
      <c r="X3" s="131">
        <f t="shared" si="0"/>
        <v>4.1573393028461778</v>
      </c>
      <c r="Y3" s="131">
        <v>1</v>
      </c>
      <c r="Z3" s="131">
        <v>0.13</v>
      </c>
      <c r="AA3" s="132">
        <v>0.99261999999999995</v>
      </c>
      <c r="AB3" s="132">
        <v>0</v>
      </c>
    </row>
    <row r="4" spans="1:28">
      <c r="A4" t="s">
        <v>1213</v>
      </c>
      <c r="B4" t="s">
        <v>1217</v>
      </c>
      <c r="C4" t="s">
        <v>3532</v>
      </c>
      <c r="D4" t="s">
        <v>3533</v>
      </c>
      <c r="E4" t="s">
        <v>309</v>
      </c>
      <c r="F4" t="s">
        <v>5165</v>
      </c>
      <c r="G4" t="s">
        <v>5166</v>
      </c>
      <c r="H4" t="s">
        <v>312</v>
      </c>
      <c r="I4" t="s">
        <v>204</v>
      </c>
      <c r="J4" t="s">
        <v>204</v>
      </c>
      <c r="K4" s="109" t="s">
        <v>326</v>
      </c>
      <c r="L4" t="s">
        <v>3535</v>
      </c>
      <c r="M4" t="s">
        <v>477</v>
      </c>
      <c r="N4" t="s">
        <v>2222</v>
      </c>
      <c r="O4" t="s">
        <v>339</v>
      </c>
      <c r="P4" t="s">
        <v>5167</v>
      </c>
      <c r="Q4" t="s">
        <v>1212</v>
      </c>
      <c r="R4" t="s">
        <v>314</v>
      </c>
      <c r="S4" t="s">
        <v>889</v>
      </c>
      <c r="T4" t="s">
        <v>5143</v>
      </c>
      <c r="U4" s="131">
        <v>2250</v>
      </c>
      <c r="V4" s="131">
        <v>1</v>
      </c>
      <c r="W4" s="131">
        <v>40000</v>
      </c>
      <c r="X4" s="131">
        <f t="shared" si="0"/>
        <v>0</v>
      </c>
      <c r="Y4" s="131">
        <v>1</v>
      </c>
      <c r="Z4" s="131">
        <v>0</v>
      </c>
      <c r="AA4" s="132">
        <v>0</v>
      </c>
      <c r="AB4" s="132">
        <v>0</v>
      </c>
    </row>
    <row r="5" spans="1:28">
      <c r="A5" t="s">
        <v>1213</v>
      </c>
      <c r="B5" t="s">
        <v>1217</v>
      </c>
      <c r="C5" t="s">
        <v>5155</v>
      </c>
      <c r="D5" t="s">
        <v>5156</v>
      </c>
      <c r="E5" t="s">
        <v>80</v>
      </c>
      <c r="F5" t="s">
        <v>5157</v>
      </c>
      <c r="G5" t="s">
        <v>5158</v>
      </c>
      <c r="H5" t="s">
        <v>312</v>
      </c>
      <c r="I5" t="s">
        <v>205</v>
      </c>
      <c r="J5" t="s">
        <v>224</v>
      </c>
      <c r="K5" s="109" t="s">
        <v>326</v>
      </c>
      <c r="L5" t="s">
        <v>5159</v>
      </c>
      <c r="M5" t="s">
        <v>534</v>
      </c>
      <c r="N5" t="s">
        <v>5160</v>
      </c>
      <c r="O5" t="s">
        <v>339</v>
      </c>
      <c r="P5" t="s">
        <v>5161</v>
      </c>
      <c r="Q5" t="s">
        <v>1216</v>
      </c>
      <c r="R5" t="s">
        <v>314</v>
      </c>
      <c r="S5" t="s">
        <v>889</v>
      </c>
      <c r="T5" t="s">
        <v>3103</v>
      </c>
      <c r="U5" s="131">
        <v>2.36</v>
      </c>
      <c r="V5" s="131">
        <v>1</v>
      </c>
      <c r="W5" s="131">
        <v>130000</v>
      </c>
      <c r="X5" s="131">
        <f t="shared" si="0"/>
        <v>2.0733982998133942E-4</v>
      </c>
      <c r="Y5" s="131">
        <v>3.71</v>
      </c>
      <c r="Z5" s="131">
        <v>1E-3</v>
      </c>
      <c r="AA5" s="132">
        <v>7.3800000000000003E-3</v>
      </c>
      <c r="AB5" s="132">
        <v>0</v>
      </c>
    </row>
    <row r="6" spans="1:28">
      <c r="A6" t="s">
        <v>1213</v>
      </c>
      <c r="B6" t="s">
        <v>1220</v>
      </c>
      <c r="C6" t="s">
        <v>1683</v>
      </c>
      <c r="D6" t="s">
        <v>1684</v>
      </c>
      <c r="E6" t="s">
        <v>309</v>
      </c>
      <c r="F6" t="s">
        <v>5162</v>
      </c>
      <c r="G6" t="s">
        <v>5163</v>
      </c>
      <c r="H6" t="s">
        <v>312</v>
      </c>
      <c r="I6" t="s">
        <v>204</v>
      </c>
      <c r="J6" t="s">
        <v>204</v>
      </c>
      <c r="K6" s="109" t="s">
        <v>326</v>
      </c>
      <c r="L6" t="s">
        <v>3436</v>
      </c>
      <c r="M6" t="s">
        <v>441</v>
      </c>
      <c r="N6" t="s">
        <v>2695</v>
      </c>
      <c r="O6" t="s">
        <v>339</v>
      </c>
      <c r="P6" t="s">
        <v>5164</v>
      </c>
      <c r="Q6" t="s">
        <v>1212</v>
      </c>
      <c r="R6" t="s">
        <v>314</v>
      </c>
      <c r="S6" t="s">
        <v>889</v>
      </c>
      <c r="T6" t="s">
        <v>4723</v>
      </c>
      <c r="U6" s="131">
        <v>11200</v>
      </c>
      <c r="V6" s="131">
        <v>1</v>
      </c>
      <c r="W6" s="131">
        <v>3608</v>
      </c>
      <c r="X6" s="131">
        <f t="shared" si="0"/>
        <v>4.1574279379157426</v>
      </c>
      <c r="Y6" s="131">
        <v>1</v>
      </c>
      <c r="Z6" s="131">
        <v>0.15</v>
      </c>
      <c r="AA6" s="132">
        <v>0.99807000000000001</v>
      </c>
      <c r="AB6" s="132">
        <v>0</v>
      </c>
    </row>
    <row r="7" spans="1:28">
      <c r="A7" t="s">
        <v>1213</v>
      </c>
      <c r="B7" t="s">
        <v>1220</v>
      </c>
      <c r="C7" t="s">
        <v>3532</v>
      </c>
      <c r="D7" t="s">
        <v>3533</v>
      </c>
      <c r="E7" t="s">
        <v>309</v>
      </c>
      <c r="F7" t="s">
        <v>5165</v>
      </c>
      <c r="G7" t="s">
        <v>5166</v>
      </c>
      <c r="H7" t="s">
        <v>312</v>
      </c>
      <c r="I7" t="s">
        <v>204</v>
      </c>
      <c r="J7" t="s">
        <v>204</v>
      </c>
      <c r="K7" s="109" t="s">
        <v>326</v>
      </c>
      <c r="L7" t="s">
        <v>3535</v>
      </c>
      <c r="M7" t="s">
        <v>477</v>
      </c>
      <c r="N7" t="s">
        <v>2222</v>
      </c>
      <c r="O7" t="s">
        <v>339</v>
      </c>
      <c r="P7" t="s">
        <v>5167</v>
      </c>
      <c r="Q7" t="s">
        <v>1212</v>
      </c>
      <c r="R7" t="s">
        <v>314</v>
      </c>
      <c r="S7" t="s">
        <v>889</v>
      </c>
      <c r="T7" t="s">
        <v>5143</v>
      </c>
      <c r="U7" s="131">
        <v>2250</v>
      </c>
      <c r="V7" s="131">
        <v>1</v>
      </c>
      <c r="W7" s="131">
        <v>24450</v>
      </c>
      <c r="X7" s="131">
        <f t="shared" si="0"/>
        <v>0</v>
      </c>
      <c r="Y7" s="131">
        <v>1</v>
      </c>
      <c r="Z7" s="131">
        <v>0</v>
      </c>
      <c r="AA7" s="132">
        <v>0</v>
      </c>
      <c r="AB7" s="132">
        <v>0</v>
      </c>
    </row>
    <row r="8" spans="1:28">
      <c r="A8" t="s">
        <v>1213</v>
      </c>
      <c r="B8" t="s">
        <v>1220</v>
      </c>
      <c r="C8" t="s">
        <v>5155</v>
      </c>
      <c r="D8" t="s">
        <v>5156</v>
      </c>
      <c r="E8" t="s">
        <v>80</v>
      </c>
      <c r="F8" t="s">
        <v>5157</v>
      </c>
      <c r="G8" t="s">
        <v>5158</v>
      </c>
      <c r="H8" t="s">
        <v>312</v>
      </c>
      <c r="I8" t="s">
        <v>205</v>
      </c>
      <c r="J8" t="s">
        <v>224</v>
      </c>
      <c r="K8" s="109" t="s">
        <v>326</v>
      </c>
      <c r="L8" t="s">
        <v>5159</v>
      </c>
      <c r="M8" t="s">
        <v>534</v>
      </c>
      <c r="N8" t="s">
        <v>5160</v>
      </c>
      <c r="O8" t="s">
        <v>339</v>
      </c>
      <c r="P8" t="s">
        <v>5161</v>
      </c>
      <c r="Q8" t="s">
        <v>1216</v>
      </c>
      <c r="R8" t="s">
        <v>314</v>
      </c>
      <c r="S8" t="s">
        <v>889</v>
      </c>
      <c r="T8" t="s">
        <v>3103</v>
      </c>
      <c r="U8" s="131">
        <v>2.36</v>
      </c>
      <c r="V8" s="131">
        <v>1</v>
      </c>
      <c r="W8" s="131">
        <v>39000</v>
      </c>
      <c r="X8" s="131">
        <f t="shared" si="0"/>
        <v>0</v>
      </c>
      <c r="Y8" s="131">
        <v>3.71</v>
      </c>
      <c r="Z8" s="131">
        <v>0</v>
      </c>
      <c r="AA8" s="132">
        <v>1.9300000000000001E-3</v>
      </c>
      <c r="AB8" s="132">
        <v>0</v>
      </c>
    </row>
    <row r="9" spans="1:28">
      <c r="A9" t="s">
        <v>1213</v>
      </c>
      <c r="B9" t="s">
        <v>1238</v>
      </c>
      <c r="C9" t="s">
        <v>4915</v>
      </c>
      <c r="D9" t="s">
        <v>4916</v>
      </c>
      <c r="E9" t="s">
        <v>309</v>
      </c>
      <c r="F9" t="s">
        <v>5168</v>
      </c>
      <c r="G9" t="s">
        <v>5169</v>
      </c>
      <c r="H9" t="s">
        <v>312</v>
      </c>
      <c r="I9" t="s">
        <v>204</v>
      </c>
      <c r="J9" t="s">
        <v>204</v>
      </c>
      <c r="K9" s="109" t="s">
        <v>326</v>
      </c>
      <c r="L9" t="s">
        <v>4918</v>
      </c>
      <c r="M9" t="s">
        <v>446</v>
      </c>
      <c r="N9" t="s">
        <v>5170</v>
      </c>
      <c r="O9" t="s">
        <v>339</v>
      </c>
      <c r="P9" t="s">
        <v>5171</v>
      </c>
      <c r="Q9" t="s">
        <v>1216</v>
      </c>
      <c r="R9" t="s">
        <v>314</v>
      </c>
      <c r="S9" t="s">
        <v>889</v>
      </c>
      <c r="T9" t="s">
        <v>4920</v>
      </c>
      <c r="U9" s="131">
        <v>2.806</v>
      </c>
      <c r="V9" s="131">
        <v>1</v>
      </c>
      <c r="W9" s="131">
        <v>214884.48000000001</v>
      </c>
      <c r="X9" s="131">
        <f t="shared" si="0"/>
        <v>185.962639904018</v>
      </c>
      <c r="Y9" s="131">
        <v>3.71</v>
      </c>
      <c r="Z9" s="131">
        <v>1482.5340000000001</v>
      </c>
      <c r="AA9" s="132">
        <v>1</v>
      </c>
      <c r="AB9" s="132">
        <v>8.1999999999999998E-4</v>
      </c>
    </row>
    <row r="10" spans="1:28">
      <c r="A10" t="s">
        <v>1213</v>
      </c>
      <c r="B10" t="s">
        <v>1242</v>
      </c>
      <c r="C10" t="s">
        <v>4915</v>
      </c>
      <c r="D10" t="s">
        <v>4916</v>
      </c>
      <c r="E10" t="s">
        <v>309</v>
      </c>
      <c r="F10" t="s">
        <v>5168</v>
      </c>
      <c r="G10" t="s">
        <v>5169</v>
      </c>
      <c r="H10" t="s">
        <v>312</v>
      </c>
      <c r="I10" t="s">
        <v>204</v>
      </c>
      <c r="J10" t="s">
        <v>204</v>
      </c>
      <c r="K10" s="109" t="s">
        <v>326</v>
      </c>
      <c r="L10" t="s">
        <v>4918</v>
      </c>
      <c r="M10" t="s">
        <v>446</v>
      </c>
      <c r="N10" t="s">
        <v>5170</v>
      </c>
      <c r="O10" t="s">
        <v>339</v>
      </c>
      <c r="P10" t="s">
        <v>5171</v>
      </c>
      <c r="Q10" t="s">
        <v>1216</v>
      </c>
      <c r="R10" t="s">
        <v>314</v>
      </c>
      <c r="S10" t="s">
        <v>889</v>
      </c>
      <c r="T10" t="s">
        <v>4920</v>
      </c>
      <c r="U10" s="131">
        <v>2.806</v>
      </c>
      <c r="V10" s="131">
        <v>1</v>
      </c>
      <c r="W10" s="131">
        <v>22472.52</v>
      </c>
      <c r="X10" s="131">
        <f t="shared" si="0"/>
        <v>185.96297183286899</v>
      </c>
      <c r="Y10" s="131">
        <v>3.71</v>
      </c>
      <c r="Z10" s="131">
        <v>155.04300000000001</v>
      </c>
      <c r="AA10" s="132">
        <v>1</v>
      </c>
      <c r="AB10" s="132">
        <v>4.0999999999999999E-4</v>
      </c>
    </row>
    <row r="11" spans="1:28">
      <c r="A11" t="s">
        <v>1213</v>
      </c>
      <c r="B11" t="s">
        <v>1243</v>
      </c>
      <c r="C11" t="s">
        <v>4915</v>
      </c>
      <c r="D11" t="s">
        <v>4916</v>
      </c>
      <c r="E11" t="s">
        <v>309</v>
      </c>
      <c r="F11" t="s">
        <v>5168</v>
      </c>
      <c r="G11" t="s">
        <v>5169</v>
      </c>
      <c r="H11" t="s">
        <v>312</v>
      </c>
      <c r="I11" t="s">
        <v>204</v>
      </c>
      <c r="J11" t="s">
        <v>204</v>
      </c>
      <c r="K11" s="109" t="s">
        <v>326</v>
      </c>
      <c r="L11" t="s">
        <v>4918</v>
      </c>
      <c r="M11" t="s">
        <v>446</v>
      </c>
      <c r="N11" t="s">
        <v>5170</v>
      </c>
      <c r="O11" t="s">
        <v>339</v>
      </c>
      <c r="P11" t="s">
        <v>5171</v>
      </c>
      <c r="Q11" t="s">
        <v>1216</v>
      </c>
      <c r="R11" t="s">
        <v>314</v>
      </c>
      <c r="S11" t="s">
        <v>889</v>
      </c>
      <c r="T11" t="s">
        <v>4920</v>
      </c>
      <c r="U11" s="131">
        <v>2.806</v>
      </c>
      <c r="V11" s="131">
        <v>1</v>
      </c>
      <c r="W11" s="131">
        <v>472700.9</v>
      </c>
      <c r="X11" s="131">
        <f t="shared" si="0"/>
        <v>185.9627175139924</v>
      </c>
      <c r="Y11" s="131">
        <v>3.71</v>
      </c>
      <c r="Z11" s="131">
        <v>3261.2660000000001</v>
      </c>
      <c r="AA11" s="132">
        <v>1</v>
      </c>
      <c r="AB11" s="132">
        <v>7.2999999999999996E-4</v>
      </c>
    </row>
    <row r="12" spans="1:28">
      <c r="A12" t="s">
        <v>1213</v>
      </c>
      <c r="B12" t="s">
        <v>1251</v>
      </c>
      <c r="C12" t="s">
        <v>4915</v>
      </c>
      <c r="D12" t="s">
        <v>4916</v>
      </c>
      <c r="E12" t="s">
        <v>309</v>
      </c>
      <c r="F12" t="s">
        <v>5168</v>
      </c>
      <c r="G12" t="s">
        <v>5169</v>
      </c>
      <c r="H12" t="s">
        <v>312</v>
      </c>
      <c r="I12" t="s">
        <v>204</v>
      </c>
      <c r="J12" t="s">
        <v>204</v>
      </c>
      <c r="K12" s="109" t="s">
        <v>326</v>
      </c>
      <c r="L12" t="s">
        <v>4918</v>
      </c>
      <c r="M12" t="s">
        <v>446</v>
      </c>
      <c r="N12" t="s">
        <v>5170</v>
      </c>
      <c r="O12" t="s">
        <v>339</v>
      </c>
      <c r="P12" t="s">
        <v>5171</v>
      </c>
      <c r="Q12" t="s">
        <v>1216</v>
      </c>
      <c r="R12" t="s">
        <v>314</v>
      </c>
      <c r="S12" t="s">
        <v>889</v>
      </c>
      <c r="T12" t="s">
        <v>4920</v>
      </c>
      <c r="U12" s="131">
        <v>2.806</v>
      </c>
      <c r="V12" s="131">
        <v>1</v>
      </c>
      <c r="W12" s="131">
        <v>44556.53</v>
      </c>
      <c r="X12" s="131">
        <f t="shared" si="0"/>
        <v>185.96261999315868</v>
      </c>
      <c r="Y12" s="131">
        <v>3.71</v>
      </c>
      <c r="Z12" s="131">
        <v>307.40499999999997</v>
      </c>
      <c r="AA12" s="132">
        <v>1</v>
      </c>
      <c r="AB12" s="132">
        <v>1.1100000000000001E-3</v>
      </c>
    </row>
    <row r="13" spans="1:28">
      <c r="A13" t="s">
        <v>1213</v>
      </c>
      <c r="B13" t="s">
        <v>1252</v>
      </c>
      <c r="C13" t="s">
        <v>4915</v>
      </c>
      <c r="D13" t="s">
        <v>4916</v>
      </c>
      <c r="E13" t="s">
        <v>309</v>
      </c>
      <c r="F13" t="s">
        <v>5168</v>
      </c>
      <c r="G13" t="s">
        <v>5169</v>
      </c>
      <c r="H13" t="s">
        <v>312</v>
      </c>
      <c r="I13" t="s">
        <v>204</v>
      </c>
      <c r="J13" t="s">
        <v>204</v>
      </c>
      <c r="K13" s="109" t="s">
        <v>326</v>
      </c>
      <c r="L13" t="s">
        <v>4918</v>
      </c>
      <c r="M13" t="s">
        <v>446</v>
      </c>
      <c r="N13" t="s">
        <v>5170</v>
      </c>
      <c r="O13" t="s">
        <v>339</v>
      </c>
      <c r="P13" t="s">
        <v>5171</v>
      </c>
      <c r="Q13" t="s">
        <v>1216</v>
      </c>
      <c r="R13" t="s">
        <v>314</v>
      </c>
      <c r="S13" t="s">
        <v>889</v>
      </c>
      <c r="T13" t="s">
        <v>4920</v>
      </c>
      <c r="U13" s="131">
        <v>2.806</v>
      </c>
      <c r="V13" s="131">
        <v>1</v>
      </c>
      <c r="W13" s="131">
        <v>17239.939999999999</v>
      </c>
      <c r="X13" s="131">
        <f t="shared" si="0"/>
        <v>185.96258615130111</v>
      </c>
      <c r="Y13" s="131">
        <v>3.71</v>
      </c>
      <c r="Z13" s="131">
        <v>118.94199999999999</v>
      </c>
      <c r="AA13" s="132">
        <v>1</v>
      </c>
      <c r="AB13" s="132">
        <v>6.8000000000000005E-4</v>
      </c>
    </row>
    <row r="14" spans="1:28">
      <c r="A14" t="s">
        <v>1213</v>
      </c>
      <c r="B14" t="s">
        <v>1253</v>
      </c>
      <c r="C14" t="s">
        <v>4915</v>
      </c>
      <c r="D14" t="s">
        <v>4916</v>
      </c>
      <c r="E14" t="s">
        <v>309</v>
      </c>
      <c r="F14" t="s">
        <v>5168</v>
      </c>
      <c r="G14" t="s">
        <v>5169</v>
      </c>
      <c r="H14" t="s">
        <v>312</v>
      </c>
      <c r="I14" t="s">
        <v>204</v>
      </c>
      <c r="J14" t="s">
        <v>204</v>
      </c>
      <c r="K14" s="109" t="s">
        <v>326</v>
      </c>
      <c r="L14" t="s">
        <v>4918</v>
      </c>
      <c r="M14" t="s">
        <v>446</v>
      </c>
      <c r="N14" t="s">
        <v>5170</v>
      </c>
      <c r="O14" t="s">
        <v>339</v>
      </c>
      <c r="P14" t="s">
        <v>5171</v>
      </c>
      <c r="Q14" t="s">
        <v>1216</v>
      </c>
      <c r="R14" t="s">
        <v>314</v>
      </c>
      <c r="S14" t="s">
        <v>889</v>
      </c>
      <c r="T14" t="s">
        <v>4920</v>
      </c>
      <c r="U14" s="131">
        <v>2.806</v>
      </c>
      <c r="V14" s="131">
        <v>1</v>
      </c>
      <c r="W14" s="131">
        <v>12250.55</v>
      </c>
      <c r="X14" s="131">
        <f t="shared" si="0"/>
        <v>185.96227612026135</v>
      </c>
      <c r="Y14" s="131">
        <v>3.71</v>
      </c>
      <c r="Z14" s="131">
        <v>84.519000000000005</v>
      </c>
      <c r="AA14" s="132">
        <v>1</v>
      </c>
      <c r="AB14" s="132">
        <v>7.2000000000000005E-4</v>
      </c>
    </row>
    <row r="15" spans="1:28">
      <c r="A15" t="s">
        <v>1213</v>
      </c>
      <c r="B15" t="s">
        <v>1257</v>
      </c>
      <c r="C15" t="s">
        <v>4915</v>
      </c>
      <c r="D15" t="s">
        <v>4916</v>
      </c>
      <c r="E15" t="s">
        <v>309</v>
      </c>
      <c r="F15" t="s">
        <v>5168</v>
      </c>
      <c r="G15" t="s">
        <v>5169</v>
      </c>
      <c r="H15" t="s">
        <v>312</v>
      </c>
      <c r="I15" t="s">
        <v>204</v>
      </c>
      <c r="J15" t="s">
        <v>204</v>
      </c>
      <c r="K15" s="109" t="s">
        <v>326</v>
      </c>
      <c r="L15" t="s">
        <v>4918</v>
      </c>
      <c r="M15" t="s">
        <v>446</v>
      </c>
      <c r="N15" t="s">
        <v>5170</v>
      </c>
      <c r="O15" t="s">
        <v>339</v>
      </c>
      <c r="P15" t="s">
        <v>5171</v>
      </c>
      <c r="Q15" t="s">
        <v>1216</v>
      </c>
      <c r="R15" t="s">
        <v>314</v>
      </c>
      <c r="S15" t="s">
        <v>889</v>
      </c>
      <c r="T15" t="s">
        <v>4920</v>
      </c>
      <c r="U15" s="131">
        <v>2.806</v>
      </c>
      <c r="V15" s="131">
        <v>1</v>
      </c>
      <c r="W15" s="131">
        <v>39716.080000000002</v>
      </c>
      <c r="X15" s="131">
        <f t="shared" si="0"/>
        <v>185.96282124807598</v>
      </c>
      <c r="Y15" s="131">
        <v>3.71</v>
      </c>
      <c r="Z15" s="131">
        <v>274.01</v>
      </c>
      <c r="AA15" s="132">
        <v>1</v>
      </c>
      <c r="AB15" s="132">
        <v>1.01E-3</v>
      </c>
    </row>
    <row r="16" spans="1:28">
      <c r="A16" t="s">
        <v>1213</v>
      </c>
      <c r="B16" t="s">
        <v>1221</v>
      </c>
      <c r="C16" s="109"/>
      <c r="D16" s="109"/>
      <c r="E16" s="16"/>
      <c r="F16" s="109"/>
      <c r="G16" s="109"/>
      <c r="H16" s="109"/>
      <c r="I16" s="16"/>
      <c r="J16" s="16"/>
      <c r="K16" s="109"/>
      <c r="L16" s="109"/>
      <c r="M16" s="109"/>
      <c r="N16" s="109"/>
      <c r="O16" s="109"/>
      <c r="P16" s="109"/>
      <c r="Q16" s="16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</row>
    <row r="17" spans="1:28">
      <c r="A17" t="s">
        <v>1213</v>
      </c>
      <c r="B17" t="s">
        <v>1222</v>
      </c>
      <c r="C17" s="109"/>
      <c r="D17" s="109"/>
      <c r="E17" s="16"/>
      <c r="F17" s="109"/>
      <c r="G17" s="109"/>
      <c r="H17" s="109"/>
      <c r="I17" s="16"/>
      <c r="J17" s="16"/>
      <c r="K17" s="109"/>
      <c r="L17" s="109"/>
      <c r="M17" s="109"/>
      <c r="N17" s="109"/>
      <c r="O17" s="109"/>
      <c r="P17" s="109"/>
      <c r="Q17" s="16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</row>
    <row r="18" spans="1:28">
      <c r="A18" t="s">
        <v>1213</v>
      </c>
      <c r="B18" t="s">
        <v>1223</v>
      </c>
      <c r="C18" s="109"/>
      <c r="D18" s="109"/>
      <c r="E18" s="16"/>
      <c r="F18" s="109"/>
      <c r="G18" s="109"/>
      <c r="H18" s="109"/>
      <c r="I18" s="16"/>
      <c r="J18" s="16"/>
      <c r="K18" s="109"/>
      <c r="L18" s="109"/>
      <c r="M18" s="109"/>
      <c r="N18" s="109"/>
      <c r="O18" s="109"/>
      <c r="P18" s="109"/>
      <c r="Q18" s="16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</row>
    <row r="19" spans="1:28">
      <c r="A19" t="s">
        <v>1213</v>
      </c>
      <c r="B19" t="s">
        <v>1224</v>
      </c>
      <c r="C19" s="108"/>
      <c r="D19" s="108"/>
      <c r="E19" s="16"/>
      <c r="F19" s="108"/>
      <c r="G19" s="108"/>
      <c r="H19" s="109"/>
      <c r="I19" s="16"/>
      <c r="J19" s="16"/>
      <c r="K19" s="109"/>
      <c r="L19" s="108"/>
      <c r="M19" s="109"/>
      <c r="N19" s="108"/>
      <c r="O19" s="109"/>
      <c r="P19" s="108"/>
      <c r="Q19" s="108"/>
      <c r="R19" s="108"/>
      <c r="S19" s="109"/>
      <c r="T19" s="108"/>
      <c r="U19" s="108"/>
      <c r="V19" s="108"/>
      <c r="W19" s="108"/>
      <c r="X19" s="108"/>
      <c r="Y19" s="108"/>
      <c r="Z19" s="108"/>
      <c r="AA19" s="108"/>
      <c r="AB19" s="108"/>
    </row>
    <row r="20" spans="1:28">
      <c r="A20" t="s">
        <v>1213</v>
      </c>
      <c r="B20" t="s">
        <v>1225</v>
      </c>
      <c r="C20" s="108"/>
      <c r="D20" s="108"/>
      <c r="E20"/>
      <c r="F20" s="108"/>
      <c r="G20" s="108"/>
      <c r="H20"/>
      <c r="I20" s="108"/>
      <c r="J20" s="108"/>
      <c r="K20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</row>
    <row r="21" spans="1:28">
      <c r="A21" t="s">
        <v>1213</v>
      </c>
      <c r="B21" t="s">
        <v>1230</v>
      </c>
    </row>
    <row r="22" spans="1:28">
      <c r="A22" t="s">
        <v>1213</v>
      </c>
      <c r="B22" t="s">
        <v>1231</v>
      </c>
    </row>
    <row r="23" spans="1:28">
      <c r="A23" t="s">
        <v>1213</v>
      </c>
      <c r="B23" t="s">
        <v>1232</v>
      </c>
      <c r="C23" s="108"/>
      <c r="D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</row>
    <row r="24" spans="1:28">
      <c r="A24" t="s">
        <v>1213</v>
      </c>
      <c r="B24" t="s">
        <v>1233</v>
      </c>
    </row>
    <row r="25" spans="1:28">
      <c r="A25" t="s">
        <v>1213</v>
      </c>
      <c r="B25" t="s">
        <v>1234</v>
      </c>
    </row>
    <row r="26" spans="1:28">
      <c r="A26" t="s">
        <v>1213</v>
      </c>
      <c r="B26" t="s">
        <v>1235</v>
      </c>
    </row>
    <row r="27" spans="1:28">
      <c r="A27" t="s">
        <v>1213</v>
      </c>
      <c r="B27" t="s">
        <v>1241</v>
      </c>
    </row>
    <row r="28" spans="1:28">
      <c r="A28" t="s">
        <v>1213</v>
      </c>
      <c r="B28" t="s">
        <v>1244</v>
      </c>
    </row>
    <row r="29" spans="1:28">
      <c r="A29" t="s">
        <v>1213</v>
      </c>
      <c r="B29">
        <v>15108</v>
      </c>
    </row>
    <row r="30" spans="1:28">
      <c r="A30" t="s">
        <v>1213</v>
      </c>
      <c r="B30" t="s">
        <v>1247</v>
      </c>
    </row>
    <row r="31" spans="1:28">
      <c r="A31" t="s">
        <v>1213</v>
      </c>
      <c r="B31" t="s">
        <v>1248</v>
      </c>
    </row>
    <row r="32" spans="1:28">
      <c r="A32" t="s">
        <v>1213</v>
      </c>
      <c r="B32" t="s">
        <v>1250</v>
      </c>
    </row>
    <row r="33" spans="1:2">
      <c r="A33" t="s">
        <v>1213</v>
      </c>
      <c r="B33" t="s">
        <v>1254</v>
      </c>
    </row>
    <row r="34" spans="1:2">
      <c r="A34" t="s">
        <v>1213</v>
      </c>
      <c r="B34" t="s">
        <v>1255</v>
      </c>
    </row>
    <row r="35" spans="1:2">
      <c r="A35" t="s">
        <v>1213</v>
      </c>
      <c r="B35" t="s">
        <v>1256</v>
      </c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E2">
      <formula1>Issuer_Number_Type_3</formula1>
    </dataValidation>
    <dataValidation type="list" allowBlank="1" showInputMessage="1" showErrorMessage="1" sqref="I2:I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R2:R18">
      <formula1>Valuation</formula1>
    </dataValidation>
    <dataValidation type="list" allowBlank="1" showInputMessage="1" showErrorMessage="1" sqref="S2:S19">
      <formula1>Dependence_Independence</formula1>
    </dataValidation>
    <dataValidation type="list" allowBlank="1" showInputMessage="1" showErrorMessage="1" sqref="J2:J19">
      <formula1>Country_list</formula1>
    </dataValidation>
    <dataValidation type="list" allowBlank="1" showInputMessage="1" showErrorMessage="1" sqref="H2:H19">
      <formula1>Type_of_Security_ID</formula1>
    </dataValidation>
    <dataValidation type="list" allowBlank="1" showInputMessage="1" showErrorMessage="1" sqref="E3:E19">
      <formula1>Issuer_Number_Type_2</formula1>
    </dataValidation>
    <dataValidation type="list" allowBlank="1" showInputMessage="1" showErrorMessage="1" sqref="M2:M19">
      <formula1>Industry_Sector</formula1>
    </dataValidation>
    <dataValidation type="list" allowBlank="1" showInputMessage="1" showErrorMessage="1" sqref="K2:K19">
      <formula1>tradeable_status_warrants_v2</formula1>
    </dataValidation>
  </dataValidation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31"/>
  <sheetViews>
    <sheetView rightToLeft="1" topLeftCell="U1" workbookViewId="0">
      <selection activeCell="AN21" sqref="AN21"/>
    </sheetView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96</v>
      </c>
      <c r="N1" s="17" t="s">
        <v>93</v>
      </c>
      <c r="O1" s="17" t="s">
        <v>56</v>
      </c>
      <c r="P1" s="17" t="s">
        <v>97</v>
      </c>
      <c r="Q1" s="17" t="s">
        <v>59</v>
      </c>
      <c r="R1" s="17" t="s">
        <v>103</v>
      </c>
      <c r="S1" s="17" t="s">
        <v>104</v>
      </c>
      <c r="T1" s="17" t="s">
        <v>106</v>
      </c>
      <c r="U1" s="17" t="s">
        <v>94</v>
      </c>
      <c r="V1" s="17" t="s">
        <v>95</v>
      </c>
      <c r="W1" s="17" t="s">
        <v>76</v>
      </c>
      <c r="X1" s="17" t="s">
        <v>77</v>
      </c>
      <c r="Y1" s="17" t="s">
        <v>61</v>
      </c>
      <c r="Z1" s="17" t="s">
        <v>119</v>
      </c>
      <c r="AA1" s="17" t="s">
        <v>64</v>
      </c>
      <c r="AB1" s="17" t="s">
        <v>65</v>
      </c>
    </row>
    <row r="2" spans="1:28">
      <c r="A2" t="s">
        <v>1213</v>
      </c>
      <c r="B2" t="s">
        <v>1214</v>
      </c>
      <c r="C2" s="109"/>
      <c r="D2" s="109"/>
      <c r="E2" s="16"/>
      <c r="F2" s="109"/>
      <c r="G2" s="109"/>
      <c r="H2" s="109"/>
      <c r="I2" s="109"/>
      <c r="J2" s="16"/>
      <c r="K2" s="16"/>
      <c r="L2" s="109"/>
      <c r="M2" s="109"/>
      <c r="N2" s="109"/>
      <c r="O2" s="109"/>
      <c r="P2" s="109"/>
      <c r="Q2" s="16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 spans="1:28">
      <c r="A3" t="s">
        <v>1213</v>
      </c>
      <c r="B3" t="s">
        <v>1217</v>
      </c>
      <c r="C3" s="109"/>
      <c r="D3" s="109"/>
      <c r="E3" s="16"/>
      <c r="F3" s="109"/>
      <c r="G3" s="109"/>
      <c r="H3" s="109"/>
      <c r="I3" s="109"/>
      <c r="J3" s="16"/>
      <c r="K3" s="16"/>
      <c r="L3" s="109"/>
      <c r="M3" s="109"/>
      <c r="N3" s="109"/>
      <c r="O3" s="109"/>
      <c r="P3" s="109"/>
      <c r="Q3" s="16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</row>
    <row r="4" spans="1:28">
      <c r="A4" t="s">
        <v>1213</v>
      </c>
      <c r="B4" t="s">
        <v>1220</v>
      </c>
      <c r="C4" s="109"/>
      <c r="D4" s="109"/>
      <c r="E4" s="16"/>
      <c r="F4" s="109"/>
      <c r="G4" s="109"/>
      <c r="H4" s="109"/>
      <c r="I4" s="109"/>
      <c r="J4" s="16"/>
      <c r="K4" s="16"/>
      <c r="L4" s="109"/>
      <c r="M4" s="109"/>
      <c r="N4" s="109"/>
      <c r="O4" s="109"/>
      <c r="P4" s="109"/>
      <c r="Q4" s="16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</row>
    <row r="5" spans="1:28">
      <c r="A5" t="s">
        <v>1213</v>
      </c>
      <c r="B5" t="s">
        <v>1221</v>
      </c>
      <c r="C5" s="109"/>
      <c r="D5" s="109"/>
      <c r="E5" s="16"/>
      <c r="F5" s="109"/>
      <c r="G5" s="109"/>
      <c r="H5" s="109"/>
      <c r="I5" s="109"/>
      <c r="J5" s="16"/>
      <c r="K5" s="16"/>
      <c r="L5" s="109"/>
      <c r="M5" s="109"/>
      <c r="N5" s="109"/>
      <c r="O5" s="109"/>
      <c r="P5" s="109"/>
      <c r="Q5" s="16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</row>
    <row r="6" spans="1:28">
      <c r="A6" t="s">
        <v>1213</v>
      </c>
      <c r="B6" t="s">
        <v>1222</v>
      </c>
      <c r="C6" s="109"/>
      <c r="D6" s="109"/>
      <c r="E6" s="16"/>
      <c r="F6" s="109"/>
      <c r="G6" s="109"/>
      <c r="H6" s="109"/>
      <c r="I6" s="109"/>
      <c r="J6" s="16"/>
      <c r="K6" s="16"/>
      <c r="L6" s="109"/>
      <c r="M6" s="109"/>
      <c r="N6" s="109"/>
      <c r="O6" s="109"/>
      <c r="P6" s="109"/>
      <c r="Q6" s="16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</row>
    <row r="7" spans="1:28">
      <c r="A7" t="s">
        <v>1213</v>
      </c>
      <c r="B7" t="s">
        <v>1223</v>
      </c>
      <c r="C7" s="109"/>
      <c r="D7" s="109"/>
      <c r="E7" s="16"/>
      <c r="F7" s="109"/>
      <c r="G7" s="109"/>
      <c r="H7" s="109"/>
      <c r="I7" s="109"/>
      <c r="J7" s="16"/>
      <c r="K7" s="16"/>
      <c r="L7" s="109"/>
      <c r="M7" s="109"/>
      <c r="N7" s="109"/>
      <c r="O7" s="109"/>
      <c r="P7" s="109"/>
      <c r="Q7" s="16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</row>
    <row r="8" spans="1:28">
      <c r="A8" t="s">
        <v>1213</v>
      </c>
      <c r="B8" t="s">
        <v>1224</v>
      </c>
      <c r="C8" s="109"/>
      <c r="D8" s="109"/>
      <c r="E8" s="16"/>
      <c r="F8" s="109"/>
      <c r="G8" s="109"/>
      <c r="H8" s="109"/>
      <c r="I8" s="109"/>
      <c r="J8" s="16"/>
      <c r="K8" s="16"/>
      <c r="L8" s="109"/>
      <c r="M8" s="109"/>
      <c r="N8" s="109"/>
      <c r="O8" s="109"/>
      <c r="P8" s="109"/>
      <c r="Q8" s="16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</row>
    <row r="9" spans="1:28">
      <c r="A9" t="s">
        <v>1213</v>
      </c>
      <c r="B9" t="s">
        <v>1225</v>
      </c>
      <c r="C9" s="109"/>
      <c r="D9" s="109"/>
      <c r="E9" s="16"/>
      <c r="F9" s="109"/>
      <c r="G9" s="109"/>
      <c r="H9" s="109"/>
      <c r="I9" s="109"/>
      <c r="J9" s="16"/>
      <c r="K9" s="16"/>
      <c r="L9" s="109"/>
      <c r="M9" s="109"/>
      <c r="N9" s="109"/>
      <c r="O9" s="109"/>
      <c r="P9" s="109"/>
      <c r="Q9" s="16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</row>
    <row r="10" spans="1:28">
      <c r="A10" t="s">
        <v>1213</v>
      </c>
      <c r="B10" t="s">
        <v>1230</v>
      </c>
      <c r="C10" s="109"/>
      <c r="D10" s="109"/>
      <c r="E10" s="16"/>
      <c r="F10" s="109"/>
      <c r="G10" s="109"/>
      <c r="H10" s="109"/>
      <c r="I10" s="109"/>
      <c r="J10" s="16"/>
      <c r="K10" s="16"/>
      <c r="L10" s="109"/>
      <c r="M10" s="109"/>
      <c r="N10" s="109"/>
      <c r="O10" s="109"/>
      <c r="P10" s="109"/>
      <c r="Q10" s="16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</row>
    <row r="11" spans="1:28">
      <c r="A11" t="s">
        <v>1213</v>
      </c>
      <c r="B11" t="s">
        <v>1231</v>
      </c>
      <c r="C11" s="109"/>
      <c r="D11" s="109"/>
      <c r="E11" s="16"/>
      <c r="F11" s="109"/>
      <c r="G11" s="109"/>
      <c r="H11" s="109"/>
      <c r="I11" s="109"/>
      <c r="J11" s="16"/>
      <c r="K11" s="16"/>
      <c r="L11" s="109"/>
      <c r="M11" s="109"/>
      <c r="N11" s="109"/>
      <c r="O11" s="109"/>
      <c r="P11" s="109"/>
      <c r="Q11" s="16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</row>
    <row r="12" spans="1:28">
      <c r="A12" t="s">
        <v>1213</v>
      </c>
      <c r="B12" t="s">
        <v>1232</v>
      </c>
      <c r="C12" s="109"/>
      <c r="D12" s="109"/>
      <c r="E12" s="16"/>
      <c r="F12" s="109"/>
      <c r="G12" s="109"/>
      <c r="H12" s="109"/>
      <c r="I12" s="109"/>
      <c r="J12" s="16"/>
      <c r="K12" s="16"/>
      <c r="L12" s="109"/>
      <c r="M12" s="109"/>
      <c r="N12" s="109"/>
      <c r="O12" s="109"/>
      <c r="P12" s="109"/>
      <c r="Q12" s="16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</row>
    <row r="13" spans="1:28">
      <c r="A13" t="s">
        <v>1213</v>
      </c>
      <c r="B13" t="s">
        <v>1233</v>
      </c>
      <c r="C13" s="109"/>
      <c r="D13" s="109"/>
      <c r="E13" s="16"/>
      <c r="F13" s="109"/>
      <c r="G13" s="109"/>
      <c r="H13" s="109"/>
      <c r="I13" s="109"/>
      <c r="J13" s="16"/>
      <c r="K13" s="16"/>
      <c r="L13" s="109"/>
      <c r="M13" s="109"/>
      <c r="N13" s="109"/>
      <c r="O13" s="109"/>
      <c r="P13" s="109"/>
      <c r="Q13" s="16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</row>
    <row r="14" spans="1:28">
      <c r="A14" t="s">
        <v>1213</v>
      </c>
      <c r="B14" t="s">
        <v>1234</v>
      </c>
      <c r="C14" s="109"/>
      <c r="D14" s="109"/>
      <c r="E14" s="16"/>
      <c r="F14" s="109"/>
      <c r="G14" s="109"/>
      <c r="H14" s="109"/>
      <c r="I14" s="109"/>
      <c r="J14" s="16"/>
      <c r="K14" s="16"/>
      <c r="L14" s="109"/>
      <c r="M14" s="109"/>
      <c r="N14" s="109"/>
      <c r="O14" s="109"/>
      <c r="P14" s="109"/>
      <c r="Q14" s="16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</row>
    <row r="15" spans="1:28">
      <c r="A15" t="s">
        <v>1213</v>
      </c>
      <c r="B15" t="s">
        <v>1235</v>
      </c>
      <c r="C15" s="109"/>
      <c r="D15" s="109"/>
      <c r="E15" s="16"/>
      <c r="F15" s="109"/>
      <c r="G15" s="109"/>
      <c r="H15" s="109"/>
      <c r="I15" s="109"/>
      <c r="J15" s="16"/>
      <c r="K15" s="16"/>
      <c r="L15" s="109"/>
      <c r="M15" s="109"/>
      <c r="N15" s="109"/>
      <c r="O15" s="109"/>
      <c r="P15" s="109"/>
      <c r="Q15" s="16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</row>
    <row r="16" spans="1:28">
      <c r="A16" t="s">
        <v>1213</v>
      </c>
      <c r="B16" t="s">
        <v>1238</v>
      </c>
      <c r="C16" s="109"/>
      <c r="D16" s="109"/>
      <c r="E16" s="16"/>
      <c r="F16" s="109"/>
      <c r="G16" s="109"/>
      <c r="H16" s="109"/>
      <c r="I16" s="109"/>
      <c r="J16" s="16"/>
      <c r="K16" s="16"/>
      <c r="L16" s="109"/>
      <c r="M16" s="109"/>
      <c r="N16" s="109"/>
      <c r="O16" s="109"/>
      <c r="P16" s="109"/>
      <c r="Q16" s="16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</row>
    <row r="17" spans="1:28">
      <c r="A17" t="s">
        <v>1213</v>
      </c>
      <c r="B17" t="s">
        <v>1241</v>
      </c>
      <c r="C17" s="109"/>
      <c r="D17" s="109"/>
      <c r="E17" s="16"/>
      <c r="F17" s="109"/>
      <c r="G17" s="109"/>
      <c r="H17" s="109"/>
      <c r="I17" s="109"/>
      <c r="J17" s="16"/>
      <c r="K17" s="16"/>
      <c r="L17" s="109"/>
      <c r="M17" s="109"/>
      <c r="N17" s="109"/>
      <c r="O17" s="109"/>
      <c r="P17" s="109"/>
      <c r="Q17" s="16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</row>
    <row r="18" spans="1:28">
      <c r="A18" t="s">
        <v>1213</v>
      </c>
      <c r="B18" t="s">
        <v>1242</v>
      </c>
      <c r="C18" s="109"/>
      <c r="D18" s="109"/>
      <c r="E18" s="16"/>
      <c r="F18" s="109"/>
      <c r="G18" s="109"/>
      <c r="H18" s="109"/>
      <c r="I18" s="109"/>
      <c r="J18" s="16"/>
      <c r="K18" s="16"/>
      <c r="L18" s="109"/>
      <c r="M18" s="109"/>
      <c r="N18" s="109"/>
      <c r="O18" s="109"/>
      <c r="P18" s="109"/>
      <c r="Q18" s="16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</row>
    <row r="19" spans="1:28">
      <c r="A19" t="s">
        <v>1213</v>
      </c>
      <c r="B19" t="s">
        <v>1243</v>
      </c>
      <c r="C19" s="108"/>
      <c r="D19" s="108"/>
      <c r="E19" s="16"/>
      <c r="F19" s="108"/>
      <c r="G19" s="108"/>
      <c r="H19" s="109"/>
      <c r="I19" s="109"/>
      <c r="J19" s="16"/>
      <c r="K19" s="16"/>
      <c r="L19" s="109"/>
      <c r="M19" s="109"/>
      <c r="N19" s="108"/>
      <c r="O19" s="109"/>
      <c r="P19" s="108"/>
      <c r="Q19" s="108"/>
      <c r="R19" s="109"/>
      <c r="S19" s="109"/>
      <c r="T19" s="108"/>
      <c r="U19" s="108"/>
      <c r="V19" s="108"/>
      <c r="W19" s="108"/>
      <c r="X19" s="108"/>
      <c r="Y19" s="108"/>
      <c r="Z19" s="108"/>
      <c r="AA19" s="108"/>
      <c r="AB19" s="108"/>
    </row>
    <row r="20" spans="1:28">
      <c r="A20" t="s">
        <v>1213</v>
      </c>
      <c r="B20" t="s">
        <v>1244</v>
      </c>
      <c r="C20" s="108"/>
      <c r="D20" s="108"/>
      <c r="E20"/>
      <c r="F20" s="108"/>
      <c r="G20" s="108"/>
      <c r="H20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</row>
    <row r="21" spans="1:28">
      <c r="A21" t="s">
        <v>1213</v>
      </c>
      <c r="B21">
        <v>15108</v>
      </c>
    </row>
    <row r="22" spans="1:28">
      <c r="A22" t="s">
        <v>1213</v>
      </c>
      <c r="B22" t="s">
        <v>1247</v>
      </c>
    </row>
    <row r="23" spans="1:28">
      <c r="A23" t="s">
        <v>1213</v>
      </c>
      <c r="B23" t="s">
        <v>1248</v>
      </c>
    </row>
    <row r="24" spans="1:28">
      <c r="A24" t="s">
        <v>1213</v>
      </c>
      <c r="B24" t="s">
        <v>1250</v>
      </c>
    </row>
    <row r="25" spans="1:28">
      <c r="A25" t="s">
        <v>1213</v>
      </c>
      <c r="B25" t="s">
        <v>1251</v>
      </c>
    </row>
    <row r="26" spans="1:28">
      <c r="A26" t="s">
        <v>1213</v>
      </c>
      <c r="B26" t="s">
        <v>1252</v>
      </c>
    </row>
    <row r="27" spans="1:28">
      <c r="A27" t="s">
        <v>1213</v>
      </c>
      <c r="B27" t="s">
        <v>1253</v>
      </c>
    </row>
    <row r="28" spans="1:28">
      <c r="A28" t="s">
        <v>1213</v>
      </c>
      <c r="B28" t="s">
        <v>1254</v>
      </c>
    </row>
    <row r="29" spans="1:28">
      <c r="A29" t="s">
        <v>1213</v>
      </c>
      <c r="B29" t="s">
        <v>1255</v>
      </c>
    </row>
    <row r="30" spans="1:28">
      <c r="A30" t="s">
        <v>1213</v>
      </c>
      <c r="B30" t="s">
        <v>1256</v>
      </c>
    </row>
    <row r="31" spans="1:28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E2:E19">
      <formula1>Issuer_Number_Type_2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M2:M19">
      <formula1>Underlying_Asset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19">
      <formula1>Dependence_Independence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H2:H19">
      <formula1>Type_of_Security_ID</formula1>
    </dataValidation>
    <dataValidation type="list" allowBlank="1" showInputMessage="1" showErrorMessage="1" sqref="L2:L19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I2:I19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27"/>
  <sheetViews>
    <sheetView rightToLeft="1" workbookViewId="0">
      <selection activeCell="F5" sqref="F5"/>
    </sheetView>
  </sheetViews>
  <sheetFormatPr defaultColWidth="9" defaultRowHeight="14.25"/>
  <cols>
    <col min="1" max="6" width="11.625" style="134" customWidth="1"/>
    <col min="7" max="7" width="13.125" style="134" bestFit="1" customWidth="1"/>
    <col min="8" max="13" width="11.625" style="134" customWidth="1"/>
    <col min="14" max="16" width="15.125" style="134" bestFit="1" customWidth="1"/>
    <col min="17" max="33" width="11.625" style="134" customWidth="1"/>
    <col min="34" max="34" width="11.625" customWidth="1"/>
    <col min="35" max="41" width="11.625" style="134" customWidth="1"/>
    <col min="42" max="16384" width="9" style="134"/>
  </cols>
  <sheetData>
    <row r="1" spans="1:41" ht="66.75" customHeight="1">
      <c r="A1" s="17" t="s">
        <v>49</v>
      </c>
      <c r="B1" s="17" t="s">
        <v>50</v>
      </c>
      <c r="C1" s="17" t="s">
        <v>54</v>
      </c>
      <c r="D1" s="17" t="s">
        <v>120</v>
      </c>
      <c r="E1" s="17" t="s">
        <v>121</v>
      </c>
      <c r="F1" s="17" t="s">
        <v>61</v>
      </c>
      <c r="G1" s="17" t="s">
        <v>122</v>
      </c>
      <c r="H1" s="17" t="s">
        <v>123</v>
      </c>
      <c r="I1" s="17" t="s">
        <v>124</v>
      </c>
      <c r="J1" s="17" t="s">
        <v>125</v>
      </c>
      <c r="K1" s="17" t="s">
        <v>126</v>
      </c>
      <c r="L1" s="17" t="s">
        <v>127</v>
      </c>
      <c r="M1" s="17" t="s">
        <v>61</v>
      </c>
      <c r="N1" s="17" t="s">
        <v>128</v>
      </c>
      <c r="O1" s="17" t="s">
        <v>129</v>
      </c>
      <c r="P1" s="17" t="s">
        <v>130</v>
      </c>
      <c r="Q1" s="17" t="s">
        <v>131</v>
      </c>
      <c r="R1" s="17" t="s">
        <v>132</v>
      </c>
      <c r="S1" s="17" t="s">
        <v>55</v>
      </c>
      <c r="T1" s="17" t="s">
        <v>69</v>
      </c>
      <c r="U1" s="17" t="s">
        <v>133</v>
      </c>
      <c r="V1" s="17" t="s">
        <v>134</v>
      </c>
      <c r="W1" s="17" t="s">
        <v>135</v>
      </c>
      <c r="X1" s="17" t="s">
        <v>136</v>
      </c>
      <c r="Y1" s="17" t="s">
        <v>56</v>
      </c>
      <c r="Z1" s="17" t="s">
        <v>137</v>
      </c>
      <c r="AA1" s="17" t="s">
        <v>138</v>
      </c>
      <c r="AB1" s="17" t="s">
        <v>139</v>
      </c>
      <c r="AC1" s="17" t="s">
        <v>140</v>
      </c>
      <c r="AD1" s="17" t="s">
        <v>141</v>
      </c>
      <c r="AE1" s="17" t="s">
        <v>142</v>
      </c>
      <c r="AF1" s="17" t="s">
        <v>85</v>
      </c>
      <c r="AG1" s="17" t="s">
        <v>143</v>
      </c>
      <c r="AH1" s="17" t="s">
        <v>144</v>
      </c>
      <c r="AI1" s="17" t="s">
        <v>145</v>
      </c>
      <c r="AJ1" s="17" t="s">
        <v>146</v>
      </c>
      <c r="AK1" s="17" t="s">
        <v>147</v>
      </c>
      <c r="AL1" s="17" t="s">
        <v>148</v>
      </c>
      <c r="AM1" s="17" t="s">
        <v>149</v>
      </c>
      <c r="AN1" s="17" t="s">
        <v>64</v>
      </c>
      <c r="AO1" s="17" t="s">
        <v>65</v>
      </c>
    </row>
    <row r="2" spans="1:41">
      <c r="A2" s="139" t="s">
        <v>1213</v>
      </c>
      <c r="B2" s="139" t="s">
        <v>1230</v>
      </c>
      <c r="C2" s="139" t="s">
        <v>1017</v>
      </c>
      <c r="D2" s="134">
        <v>153359</v>
      </c>
      <c r="E2" s="139" t="s">
        <v>1227</v>
      </c>
      <c r="F2" s="139" t="s">
        <v>5307</v>
      </c>
      <c r="G2" s="140">
        <v>38384.730000000003</v>
      </c>
      <c r="H2" s="140">
        <v>38.384730000000005</v>
      </c>
      <c r="I2" s="141">
        <v>-0.93835513070124577</v>
      </c>
      <c r="J2" s="141">
        <v>6.7541020844863714E-4</v>
      </c>
      <c r="K2" s="139" t="s">
        <v>5172</v>
      </c>
      <c r="L2" s="139" t="s">
        <v>1212</v>
      </c>
      <c r="M2" s="139" t="s">
        <v>5308</v>
      </c>
      <c r="N2" s="140">
        <v>-12334416.75</v>
      </c>
      <c r="O2" s="140">
        <v>-12334.41675</v>
      </c>
      <c r="P2" s="141">
        <v>61.08129268320274</v>
      </c>
      <c r="Q2" s="141">
        <v>-4.3965154847764081E-2</v>
      </c>
      <c r="R2" s="140">
        <v>-665.65049999999997</v>
      </c>
      <c r="S2" s="139" t="s">
        <v>204</v>
      </c>
      <c r="T2" s="139" t="s">
        <v>204</v>
      </c>
      <c r="U2" s="139" t="s">
        <v>746</v>
      </c>
      <c r="V2" s="139" t="s">
        <v>314</v>
      </c>
      <c r="W2" s="153" t="s">
        <v>928</v>
      </c>
      <c r="X2" s="139" t="s">
        <v>5173</v>
      </c>
      <c r="Y2" s="139" t="s">
        <v>339</v>
      </c>
      <c r="Z2" s="139" t="s">
        <v>5309</v>
      </c>
      <c r="AA2" s="139" t="s">
        <v>1664</v>
      </c>
      <c r="AB2" s="139" t="s">
        <v>896</v>
      </c>
      <c r="AC2" s="139" t="s">
        <v>897</v>
      </c>
      <c r="AD2" s="142" t="s">
        <v>339</v>
      </c>
      <c r="AE2" s="167" t="s">
        <v>912</v>
      </c>
      <c r="AF2" s="139" t="s">
        <v>896</v>
      </c>
      <c r="AG2" s="153" t="s">
        <v>896</v>
      </c>
      <c r="AH2" s="159" t="s">
        <v>896</v>
      </c>
      <c r="AI2" s="144">
        <v>4936.5</v>
      </c>
      <c r="AJ2" s="143">
        <v>4.05</v>
      </c>
      <c r="AK2" s="137" t="s">
        <v>339</v>
      </c>
      <c r="AL2" s="159" t="s">
        <v>5356</v>
      </c>
      <c r="AM2" s="153" t="s">
        <v>5357</v>
      </c>
      <c r="AN2" s="141">
        <v>0.32963691374142029</v>
      </c>
      <c r="AO2" s="141">
        <v>-2.3726639236903413E-4</v>
      </c>
    </row>
    <row r="3" spans="1:41">
      <c r="A3" t="s">
        <v>1213</v>
      </c>
      <c r="B3" t="s">
        <v>1224</v>
      </c>
      <c r="C3" t="s">
        <v>1017</v>
      </c>
      <c r="D3" s="134">
        <v>153359</v>
      </c>
      <c r="E3" t="s">
        <v>1227</v>
      </c>
      <c r="F3" t="s">
        <v>5307</v>
      </c>
      <c r="G3" s="138">
        <v>12385.25</v>
      </c>
      <c r="H3" s="138">
        <v>12.385249999999999</v>
      </c>
      <c r="I3" s="136">
        <v>-2.8466314392363601</v>
      </c>
      <c r="J3" s="136">
        <v>1.6387147707640855E-3</v>
      </c>
      <c r="K3" t="s">
        <v>5172</v>
      </c>
      <c r="L3" t="s">
        <v>1212</v>
      </c>
      <c r="M3" t="s">
        <v>5308</v>
      </c>
      <c r="N3" s="138">
        <v>-3979833.75</v>
      </c>
      <c r="O3" s="138">
        <v>-3979.8337499999998</v>
      </c>
      <c r="P3" s="136">
        <v>185.29864922772683</v>
      </c>
      <c r="Q3" s="136">
        <v>-0.1066705121382229</v>
      </c>
      <c r="R3" s="138">
        <v>-214.77939999999998</v>
      </c>
      <c r="S3" t="s">
        <v>204</v>
      </c>
      <c r="T3" t="s">
        <v>204</v>
      </c>
      <c r="U3" t="s">
        <v>746</v>
      </c>
      <c r="V3" s="139" t="s">
        <v>314</v>
      </c>
      <c r="W3" s="153" t="s">
        <v>928</v>
      </c>
      <c r="X3" t="s">
        <v>5173</v>
      </c>
      <c r="Y3" t="s">
        <v>339</v>
      </c>
      <c r="Z3" t="s">
        <v>5309</v>
      </c>
      <c r="AA3" t="s">
        <v>1664</v>
      </c>
      <c r="AB3" s="139" t="s">
        <v>896</v>
      </c>
      <c r="AC3" t="s">
        <v>897</v>
      </c>
      <c r="AD3" s="142" t="s">
        <v>339</v>
      </c>
      <c r="AE3" s="167" t="s">
        <v>912</v>
      </c>
      <c r="AF3" t="s">
        <v>896</v>
      </c>
      <c r="AG3" s="153" t="s">
        <v>896</v>
      </c>
      <c r="AH3" s="159" t="s">
        <v>896</v>
      </c>
      <c r="AI3" s="135">
        <v>4936.5</v>
      </c>
      <c r="AJ3" s="143">
        <v>4.05</v>
      </c>
      <c r="AK3" s="137" t="s">
        <v>339</v>
      </c>
      <c r="AL3" s="159" t="s">
        <v>5356</v>
      </c>
      <c r="AM3" s="153" t="s">
        <v>5357</v>
      </c>
      <c r="AN3" s="136">
        <v>1</v>
      </c>
      <c r="AO3" s="136">
        <v>-5.7566805037595199E-4</v>
      </c>
    </row>
    <row r="4" spans="1:41">
      <c r="A4" t="s">
        <v>1213</v>
      </c>
      <c r="B4" t="s">
        <v>1257</v>
      </c>
      <c r="C4" t="s">
        <v>1017</v>
      </c>
      <c r="D4" s="134">
        <v>154713</v>
      </c>
      <c r="E4" t="s">
        <v>1227</v>
      </c>
      <c r="F4" t="s">
        <v>5310</v>
      </c>
      <c r="G4" s="138">
        <v>-150881</v>
      </c>
      <c r="H4" s="138">
        <v>-150.881</v>
      </c>
      <c r="I4" s="136">
        <v>14.565214911151392</v>
      </c>
      <c r="J4" s="136">
        <v>-2.605830711885429E-2</v>
      </c>
      <c r="K4" t="s">
        <v>5235</v>
      </c>
      <c r="L4" t="s">
        <v>1216</v>
      </c>
      <c r="M4" t="s">
        <v>5311</v>
      </c>
      <c r="N4" s="138">
        <v>-193095.99</v>
      </c>
      <c r="O4" s="138">
        <v>-193.09599</v>
      </c>
      <c r="P4" s="136">
        <v>14.612475847893165</v>
      </c>
      <c r="Q4" s="136">
        <v>-2.6142860626087401E-2</v>
      </c>
      <c r="R4" s="138">
        <v>-34.0398</v>
      </c>
      <c r="S4" t="s">
        <v>204</v>
      </c>
      <c r="T4" t="s">
        <v>204</v>
      </c>
      <c r="U4" t="s">
        <v>746</v>
      </c>
      <c r="V4" s="139" t="s">
        <v>314</v>
      </c>
      <c r="W4" t="s">
        <v>929</v>
      </c>
      <c r="X4" t="s">
        <v>5236</v>
      </c>
      <c r="Y4" t="s">
        <v>339</v>
      </c>
      <c r="Z4" t="s">
        <v>5226</v>
      </c>
      <c r="AA4" t="s">
        <v>5187</v>
      </c>
      <c r="AB4" s="139" t="s">
        <v>896</v>
      </c>
      <c r="AC4" t="s">
        <v>897</v>
      </c>
      <c r="AD4" s="142" t="s">
        <v>339</v>
      </c>
      <c r="AE4" s="167" t="s">
        <v>912</v>
      </c>
      <c r="AF4" t="s">
        <v>896</v>
      </c>
      <c r="AG4" s="153" t="s">
        <v>896</v>
      </c>
      <c r="AH4" s="159" t="s">
        <v>896</v>
      </c>
      <c r="AI4" s="135">
        <v>4704.6000000000004</v>
      </c>
      <c r="AJ4" s="143">
        <v>1.27979</v>
      </c>
      <c r="AK4" s="137" t="s">
        <v>339</v>
      </c>
      <c r="AL4" s="159" t="s">
        <v>5356</v>
      </c>
      <c r="AM4" s="153" t="s">
        <v>5357</v>
      </c>
      <c r="AN4" s="136">
        <v>6.984681269221904E-2</v>
      </c>
      <c r="AO4" s="136">
        <v>-1.2496140341969412E-4</v>
      </c>
    </row>
    <row r="5" spans="1:41">
      <c r="A5" t="s">
        <v>1213</v>
      </c>
      <c r="B5" t="s">
        <v>1251</v>
      </c>
      <c r="C5" t="s">
        <v>1017</v>
      </c>
      <c r="D5" s="134">
        <v>154713</v>
      </c>
      <c r="E5" t="s">
        <v>1227</v>
      </c>
      <c r="F5" t="s">
        <v>5310</v>
      </c>
      <c r="G5" s="138">
        <v>-141234</v>
      </c>
      <c r="H5" s="138">
        <v>-141.23400000000001</v>
      </c>
      <c r="I5" s="136">
        <v>6.8108425965569701</v>
      </c>
      <c r="J5" s="136">
        <v>-2.3950279334590773E-2</v>
      </c>
      <c r="K5" t="s">
        <v>5235</v>
      </c>
      <c r="L5" t="s">
        <v>1216</v>
      </c>
      <c r="M5" t="s">
        <v>5311</v>
      </c>
      <c r="N5" s="138">
        <v>-180749.86</v>
      </c>
      <c r="O5" s="138">
        <v>-180.74985999999998</v>
      </c>
      <c r="P5" s="136">
        <v>6.8329424352093691</v>
      </c>
      <c r="Q5" s="136">
        <v>-2.4027993259332171E-2</v>
      </c>
      <c r="R5" s="138">
        <v>-31.863400000000002</v>
      </c>
      <c r="S5" t="s">
        <v>204</v>
      </c>
      <c r="T5" t="s">
        <v>204</v>
      </c>
      <c r="U5" t="s">
        <v>746</v>
      </c>
      <c r="V5" s="139" t="s">
        <v>314</v>
      </c>
      <c r="W5" t="s">
        <v>929</v>
      </c>
      <c r="X5" t="s">
        <v>5236</v>
      </c>
      <c r="Y5" t="s">
        <v>339</v>
      </c>
      <c r="Z5" t="s">
        <v>5226</v>
      </c>
      <c r="AA5" t="s">
        <v>5187</v>
      </c>
      <c r="AB5" s="139" t="s">
        <v>896</v>
      </c>
      <c r="AC5" t="s">
        <v>897</v>
      </c>
      <c r="AD5" s="142" t="s">
        <v>339</v>
      </c>
      <c r="AE5" s="167" t="s">
        <v>912</v>
      </c>
      <c r="AF5" t="s">
        <v>896</v>
      </c>
      <c r="AG5" s="153" t="s">
        <v>896</v>
      </c>
      <c r="AH5" s="159" t="s">
        <v>896</v>
      </c>
      <c r="AI5" s="135">
        <v>4704.6000000000004</v>
      </c>
      <c r="AJ5" s="143">
        <v>1.27979</v>
      </c>
      <c r="AK5" s="137" t="s">
        <v>339</v>
      </c>
      <c r="AL5" s="159" t="s">
        <v>5356</v>
      </c>
      <c r="AM5" s="153" t="s">
        <v>5357</v>
      </c>
      <c r="AN5" s="136">
        <v>3.2661079841237742E-2</v>
      </c>
      <c r="AO5" s="136">
        <v>-1.1485245393315299E-4</v>
      </c>
    </row>
    <row r="6" spans="1:41">
      <c r="A6" t="s">
        <v>1213</v>
      </c>
      <c r="B6" t="s">
        <v>1252</v>
      </c>
      <c r="C6" t="s">
        <v>1017</v>
      </c>
      <c r="D6" s="134">
        <v>154713</v>
      </c>
      <c r="E6" t="s">
        <v>1227</v>
      </c>
      <c r="F6" t="s">
        <v>5310</v>
      </c>
      <c r="G6" s="138">
        <v>-67206</v>
      </c>
      <c r="H6" s="138">
        <v>-67.206000000000003</v>
      </c>
      <c r="I6" s="136">
        <v>7.5066543896902225</v>
      </c>
      <c r="J6" s="136">
        <v>-1.8030057799191902E-2</v>
      </c>
      <c r="K6" t="s">
        <v>5235</v>
      </c>
      <c r="L6" t="s">
        <v>1216</v>
      </c>
      <c r="M6" t="s">
        <v>5311</v>
      </c>
      <c r="N6" s="138">
        <v>-86009.57</v>
      </c>
      <c r="O6" s="138">
        <v>-86.009570000000011</v>
      </c>
      <c r="P6" s="136">
        <v>7.5310123214227476</v>
      </c>
      <c r="Q6" s="136">
        <v>-1.8088562546341228E-2</v>
      </c>
      <c r="R6" s="138">
        <v>-15.162100000000001</v>
      </c>
      <c r="S6" t="s">
        <v>204</v>
      </c>
      <c r="T6" t="s">
        <v>204</v>
      </c>
      <c r="U6" t="s">
        <v>746</v>
      </c>
      <c r="V6" s="139" t="s">
        <v>314</v>
      </c>
      <c r="W6" t="s">
        <v>929</v>
      </c>
      <c r="X6" t="s">
        <v>5236</v>
      </c>
      <c r="Y6" t="s">
        <v>339</v>
      </c>
      <c r="Z6" t="s">
        <v>5226</v>
      </c>
      <c r="AA6" t="s">
        <v>5187</v>
      </c>
      <c r="AB6" s="139" t="s">
        <v>896</v>
      </c>
      <c r="AC6" t="s">
        <v>897</v>
      </c>
      <c r="AD6" s="142" t="s">
        <v>339</v>
      </c>
      <c r="AE6" s="167" t="s">
        <v>912</v>
      </c>
      <c r="AF6" t="s">
        <v>896</v>
      </c>
      <c r="AG6" s="153" t="s">
        <v>896</v>
      </c>
      <c r="AH6" s="159" t="s">
        <v>896</v>
      </c>
      <c r="AI6" s="135">
        <v>4704.6000000000004</v>
      </c>
      <c r="AJ6" s="143">
        <v>1.27979</v>
      </c>
      <c r="AK6" s="137" t="s">
        <v>339</v>
      </c>
      <c r="AL6" s="159" t="s">
        <v>5356</v>
      </c>
      <c r="AM6" s="153" t="s">
        <v>5357</v>
      </c>
      <c r="AN6" s="136">
        <v>3.5997813029211866E-2</v>
      </c>
      <c r="AO6" s="136">
        <v>-8.6462306091059752E-5</v>
      </c>
    </row>
    <row r="7" spans="1:41">
      <c r="A7" t="s">
        <v>1213</v>
      </c>
      <c r="B7" t="s">
        <v>1253</v>
      </c>
      <c r="C7" t="s">
        <v>1017</v>
      </c>
      <c r="D7" s="134">
        <v>154713</v>
      </c>
      <c r="E7" t="s">
        <v>1227</v>
      </c>
      <c r="F7" t="s">
        <v>5310</v>
      </c>
      <c r="G7" s="138">
        <v>-47500</v>
      </c>
      <c r="H7" s="138">
        <v>-47.5</v>
      </c>
      <c r="I7" s="136">
        <v>6.2838536247733767</v>
      </c>
      <c r="J7" s="136">
        <v>-1.9063931044568719E-2</v>
      </c>
      <c r="K7" t="s">
        <v>5235</v>
      </c>
      <c r="L7" t="s">
        <v>1216</v>
      </c>
      <c r="M7" t="s">
        <v>5311</v>
      </c>
      <c r="N7" s="138">
        <v>-60790.03</v>
      </c>
      <c r="O7" s="138">
        <v>-60.790030000000002</v>
      </c>
      <c r="P7" s="136">
        <v>6.3042440368475541</v>
      </c>
      <c r="Q7" s="136">
        <v>-1.9125791398575051E-2</v>
      </c>
      <c r="R7" s="138">
        <v>-10.716299999999999</v>
      </c>
      <c r="S7" t="s">
        <v>204</v>
      </c>
      <c r="T7" t="s">
        <v>204</v>
      </c>
      <c r="U7" t="s">
        <v>746</v>
      </c>
      <c r="V7" s="139" t="s">
        <v>314</v>
      </c>
      <c r="W7" t="s">
        <v>929</v>
      </c>
      <c r="X7" t="s">
        <v>5236</v>
      </c>
      <c r="Y7" t="s">
        <v>339</v>
      </c>
      <c r="Z7" t="s">
        <v>5226</v>
      </c>
      <c r="AA7" t="s">
        <v>5187</v>
      </c>
      <c r="AB7" s="139" t="s">
        <v>896</v>
      </c>
      <c r="AC7" t="s">
        <v>897</v>
      </c>
      <c r="AD7" s="142" t="s">
        <v>339</v>
      </c>
      <c r="AE7" s="167" t="s">
        <v>912</v>
      </c>
      <c r="AF7" t="s">
        <v>896</v>
      </c>
      <c r="AG7" s="153" t="s">
        <v>896</v>
      </c>
      <c r="AH7" s="159" t="s">
        <v>896</v>
      </c>
      <c r="AI7" s="135">
        <v>4704.6000000000004</v>
      </c>
      <c r="AJ7" s="143">
        <v>1.27979</v>
      </c>
      <c r="AK7" s="137" t="s">
        <v>339</v>
      </c>
      <c r="AL7" s="159" t="s">
        <v>5356</v>
      </c>
      <c r="AM7" s="153" t="s">
        <v>5357</v>
      </c>
      <c r="AN7" s="136">
        <v>3.0133928664439768E-2</v>
      </c>
      <c r="AO7" s="136">
        <v>-9.1420197296774298E-5</v>
      </c>
    </row>
    <row r="8" spans="1:41">
      <c r="A8" t="s">
        <v>1213</v>
      </c>
      <c r="B8" t="s">
        <v>1243</v>
      </c>
      <c r="C8" t="s">
        <v>1017</v>
      </c>
      <c r="D8" s="134">
        <v>154713</v>
      </c>
      <c r="E8" t="s">
        <v>1227</v>
      </c>
      <c r="F8" t="s">
        <v>5310</v>
      </c>
      <c r="G8" s="138">
        <v>-2019942</v>
      </c>
      <c r="H8" s="138">
        <v>-2019.942</v>
      </c>
      <c r="I8" s="136">
        <v>8.7115160661169728</v>
      </c>
      <c r="J8" s="136">
        <v>-2.1344325261012851E-2</v>
      </c>
      <c r="K8" t="s">
        <v>5235</v>
      </c>
      <c r="L8" t="s">
        <v>1216</v>
      </c>
      <c r="M8" t="s">
        <v>5311</v>
      </c>
      <c r="N8" s="138">
        <v>-2585101.5699999998</v>
      </c>
      <c r="O8" s="138">
        <v>-2585.1015699999998</v>
      </c>
      <c r="P8" s="136">
        <v>8.7397832488878286</v>
      </c>
      <c r="Q8" s="136">
        <v>-2.1413583463453678E-2</v>
      </c>
      <c r="R8" s="138">
        <v>-455.71290000000005</v>
      </c>
      <c r="S8" t="s">
        <v>204</v>
      </c>
      <c r="T8" t="s">
        <v>204</v>
      </c>
      <c r="U8" t="s">
        <v>746</v>
      </c>
      <c r="V8" s="139" t="s">
        <v>314</v>
      </c>
      <c r="W8" t="s">
        <v>929</v>
      </c>
      <c r="X8" t="s">
        <v>5236</v>
      </c>
      <c r="Y8" t="s">
        <v>339</v>
      </c>
      <c r="Z8" t="s">
        <v>5226</v>
      </c>
      <c r="AA8" t="s">
        <v>5187</v>
      </c>
      <c r="AB8" s="139" t="s">
        <v>896</v>
      </c>
      <c r="AC8" t="s">
        <v>897</v>
      </c>
      <c r="AD8" s="142" t="s">
        <v>339</v>
      </c>
      <c r="AE8" s="167" t="s">
        <v>912</v>
      </c>
      <c r="AF8" t="s">
        <v>896</v>
      </c>
      <c r="AG8" s="153" t="s">
        <v>896</v>
      </c>
      <c r="AH8" s="159" t="s">
        <v>896</v>
      </c>
      <c r="AI8" s="135">
        <v>4704.6000000000004</v>
      </c>
      <c r="AJ8" s="143">
        <v>1.27979</v>
      </c>
      <c r="AK8" s="137" t="s">
        <v>339</v>
      </c>
      <c r="AL8" s="159" t="s">
        <v>5356</v>
      </c>
      <c r="AM8" s="153" t="s">
        <v>5357</v>
      </c>
      <c r="AN8" s="136">
        <v>4.1775671326996638E-2</v>
      </c>
      <c r="AO8" s="136">
        <v>-1.0235572201590792E-4</v>
      </c>
    </row>
    <row r="9" spans="1:41">
      <c r="A9" t="s">
        <v>1213</v>
      </c>
      <c r="B9" t="s">
        <v>1242</v>
      </c>
      <c r="C9" t="s">
        <v>1017</v>
      </c>
      <c r="D9" s="134">
        <v>154713</v>
      </c>
      <c r="E9" t="s">
        <v>1227</v>
      </c>
      <c r="F9" t="s">
        <v>5310</v>
      </c>
      <c r="G9" s="138">
        <v>-226822</v>
      </c>
      <c r="H9" s="138">
        <v>-226.822</v>
      </c>
      <c r="I9" s="136">
        <v>25.246804469423655</v>
      </c>
      <c r="J9" s="136">
        <v>-2.7886555852200862E-2</v>
      </c>
      <c r="K9" t="s">
        <v>5235</v>
      </c>
      <c r="L9" t="s">
        <v>1216</v>
      </c>
      <c r="M9" t="s">
        <v>5311</v>
      </c>
      <c r="N9" s="138">
        <v>-290284.53000000003</v>
      </c>
      <c r="O9" s="138">
        <v>-290.28453000000002</v>
      </c>
      <c r="P9" s="136">
        <v>25.328725711202249</v>
      </c>
      <c r="Q9" s="136">
        <v>-2.7977042602201529E-2</v>
      </c>
      <c r="R9" s="138">
        <v>-51.172599999999996</v>
      </c>
      <c r="S9" t="s">
        <v>204</v>
      </c>
      <c r="T9" t="s">
        <v>204</v>
      </c>
      <c r="U9" t="s">
        <v>746</v>
      </c>
      <c r="V9" s="139" t="s">
        <v>314</v>
      </c>
      <c r="W9" t="s">
        <v>929</v>
      </c>
      <c r="X9" t="s">
        <v>5236</v>
      </c>
      <c r="Y9" t="s">
        <v>339</v>
      </c>
      <c r="Z9" t="s">
        <v>5226</v>
      </c>
      <c r="AA9" t="s">
        <v>5187</v>
      </c>
      <c r="AB9" s="139" t="s">
        <v>896</v>
      </c>
      <c r="AC9" t="s">
        <v>897</v>
      </c>
      <c r="AD9" s="142" t="s">
        <v>339</v>
      </c>
      <c r="AE9" s="167" t="s">
        <v>912</v>
      </c>
      <c r="AF9" t="s">
        <v>896</v>
      </c>
      <c r="AG9" s="153" t="s">
        <v>896</v>
      </c>
      <c r="AH9" s="159" t="s">
        <v>896</v>
      </c>
      <c r="AI9" s="135">
        <v>4704.6000000000004</v>
      </c>
      <c r="AJ9" s="143">
        <v>1.27979</v>
      </c>
      <c r="AK9" s="137" t="s">
        <v>339</v>
      </c>
      <c r="AL9" s="159" t="s">
        <v>5356</v>
      </c>
      <c r="AM9" s="153" t="s">
        <v>5357</v>
      </c>
      <c r="AN9" s="136">
        <v>0.12106988009513131</v>
      </c>
      <c r="AO9" s="136">
        <v>-1.337286854414021E-4</v>
      </c>
    </row>
    <row r="10" spans="1:41">
      <c r="A10" t="s">
        <v>1213</v>
      </c>
      <c r="B10" t="s">
        <v>1238</v>
      </c>
      <c r="C10" t="s">
        <v>1017</v>
      </c>
      <c r="D10" s="134">
        <v>154713</v>
      </c>
      <c r="E10" t="s">
        <v>1227</v>
      </c>
      <c r="F10" t="s">
        <v>5310</v>
      </c>
      <c r="G10" s="138">
        <v>-576415</v>
      </c>
      <c r="H10" s="138">
        <v>-576.41499999999996</v>
      </c>
      <c r="I10" s="136">
        <v>4.8844852949806521</v>
      </c>
      <c r="J10" s="136">
        <v>-1.4992108081141242E-2</v>
      </c>
      <c r="K10" t="s">
        <v>5235</v>
      </c>
      <c r="L10" t="s">
        <v>1216</v>
      </c>
      <c r="M10" t="s">
        <v>5311</v>
      </c>
      <c r="N10" s="138">
        <v>-737690.15</v>
      </c>
      <c r="O10" s="138">
        <v>-737.69015000000002</v>
      </c>
      <c r="P10" s="136">
        <v>4.900334489150767</v>
      </c>
      <c r="Q10" s="136">
        <v>-1.5040754523426887E-2</v>
      </c>
      <c r="R10" s="138">
        <v>-130.04319999999998</v>
      </c>
      <c r="S10" t="s">
        <v>204</v>
      </c>
      <c r="T10" t="s">
        <v>204</v>
      </c>
      <c r="U10" t="s">
        <v>746</v>
      </c>
      <c r="V10" s="139" t="s">
        <v>314</v>
      </c>
      <c r="W10" t="s">
        <v>929</v>
      </c>
      <c r="X10" t="s">
        <v>5236</v>
      </c>
      <c r="Y10" t="s">
        <v>339</v>
      </c>
      <c r="Z10" t="s">
        <v>5226</v>
      </c>
      <c r="AA10" t="s">
        <v>5187</v>
      </c>
      <c r="AB10" s="139" t="s">
        <v>896</v>
      </c>
      <c r="AC10" t="s">
        <v>897</v>
      </c>
      <c r="AD10" s="142" t="s">
        <v>339</v>
      </c>
      <c r="AE10" s="167" t="s">
        <v>912</v>
      </c>
      <c r="AF10" t="s">
        <v>896</v>
      </c>
      <c r="AG10" s="153" t="s">
        <v>896</v>
      </c>
      <c r="AH10" s="159" t="s">
        <v>896</v>
      </c>
      <c r="AI10" s="135">
        <v>4704.6000000000004</v>
      </c>
      <c r="AJ10" s="143">
        <v>1.27979</v>
      </c>
      <c r="AK10" s="137" t="s">
        <v>339</v>
      </c>
      <c r="AL10" s="159" t="s">
        <v>5356</v>
      </c>
      <c r="AM10" s="153" t="s">
        <v>5357</v>
      </c>
      <c r="AN10" s="136">
        <v>2.3423322730048365E-2</v>
      </c>
      <c r="AO10" s="136">
        <v>-7.1893959093130691E-5</v>
      </c>
    </row>
    <row r="11" spans="1:41">
      <c r="A11" t="s">
        <v>1213</v>
      </c>
      <c r="B11" t="s">
        <v>1241</v>
      </c>
      <c r="C11" t="s">
        <v>1017</v>
      </c>
      <c r="D11" s="134">
        <v>154713</v>
      </c>
      <c r="E11" t="s">
        <v>1227</v>
      </c>
      <c r="F11" t="s">
        <v>5310</v>
      </c>
      <c r="G11" s="138">
        <v>-70000</v>
      </c>
      <c r="H11" s="138">
        <v>-70</v>
      </c>
      <c r="I11" s="136">
        <v>10.245368809056595</v>
      </c>
      <c r="J11" s="136">
        <v>-8.6825170598167252E-3</v>
      </c>
      <c r="K11" t="s">
        <v>5235</v>
      </c>
      <c r="L11" t="s">
        <v>1216</v>
      </c>
      <c r="M11" t="s">
        <v>5311</v>
      </c>
      <c r="N11" s="138">
        <v>-89585.3</v>
      </c>
      <c r="O11" s="138">
        <v>-89.585300000000004</v>
      </c>
      <c r="P11" s="136">
        <v>10.278613055636971</v>
      </c>
      <c r="Q11" s="136">
        <v>-8.7106901537730604E-3</v>
      </c>
      <c r="R11" s="138">
        <v>-15.7925</v>
      </c>
      <c r="S11" t="s">
        <v>204</v>
      </c>
      <c r="T11" t="s">
        <v>204</v>
      </c>
      <c r="U11" t="s">
        <v>746</v>
      </c>
      <c r="V11" s="139" t="s">
        <v>314</v>
      </c>
      <c r="W11" t="s">
        <v>929</v>
      </c>
      <c r="X11" t="s">
        <v>5236</v>
      </c>
      <c r="Y11" t="s">
        <v>339</v>
      </c>
      <c r="Z11" t="s">
        <v>5226</v>
      </c>
      <c r="AA11" t="s">
        <v>5187</v>
      </c>
      <c r="AB11" s="139" t="s">
        <v>896</v>
      </c>
      <c r="AC11" t="s">
        <v>897</v>
      </c>
      <c r="AD11" s="142" t="s">
        <v>339</v>
      </c>
      <c r="AE11" s="167" t="s">
        <v>912</v>
      </c>
      <c r="AF11" t="s">
        <v>896</v>
      </c>
      <c r="AG11" s="153" t="s">
        <v>896</v>
      </c>
      <c r="AH11" s="159" t="s">
        <v>896</v>
      </c>
      <c r="AI11" s="135">
        <v>4704.6000000000004</v>
      </c>
      <c r="AJ11" s="143">
        <v>1.27979</v>
      </c>
      <c r="AK11" s="137" t="s">
        <v>339</v>
      </c>
      <c r="AL11" s="159" t="s">
        <v>5356</v>
      </c>
      <c r="AM11" s="153" t="s">
        <v>5357</v>
      </c>
      <c r="AN11" s="136">
        <v>4.9131191028359E-2</v>
      </c>
      <c r="AO11" s="136">
        <v>-4.1636607937017899E-5</v>
      </c>
    </row>
    <row r="12" spans="1:41">
      <c r="A12" t="s">
        <v>1213</v>
      </c>
      <c r="B12" t="s">
        <v>1241</v>
      </c>
      <c r="C12" t="s">
        <v>1017</v>
      </c>
      <c r="D12" s="134">
        <v>154714</v>
      </c>
      <c r="E12" t="s">
        <v>1216</v>
      </c>
      <c r="F12" t="s">
        <v>5311</v>
      </c>
      <c r="G12" s="138">
        <v>-1062000</v>
      </c>
      <c r="H12" s="138">
        <v>-1062</v>
      </c>
      <c r="I12" s="136">
        <v>121.84908757448446</v>
      </c>
      <c r="J12" s="136">
        <v>-0.10326195194197028</v>
      </c>
      <c r="K12" t="s">
        <v>5230</v>
      </c>
      <c r="L12" t="s">
        <v>1212</v>
      </c>
      <c r="M12" t="s">
        <v>5308</v>
      </c>
      <c r="N12" s="138">
        <v>-3872052</v>
      </c>
      <c r="O12" s="138">
        <v>-3872.0520000000001</v>
      </c>
      <c r="P12" s="136">
        <v>120.46143527564271</v>
      </c>
      <c r="Q12" s="136">
        <v>-0.10208597526584155</v>
      </c>
      <c r="R12" s="138">
        <v>-64.7697</v>
      </c>
      <c r="S12" t="s">
        <v>204</v>
      </c>
      <c r="T12" t="s">
        <v>204</v>
      </c>
      <c r="U12" t="s">
        <v>746</v>
      </c>
      <c r="V12" s="139" t="s">
        <v>314</v>
      </c>
      <c r="W12" s="153" t="s">
        <v>928</v>
      </c>
      <c r="X12" t="s">
        <v>5176</v>
      </c>
      <c r="Y12" t="s">
        <v>339</v>
      </c>
      <c r="Z12" t="s">
        <v>5226</v>
      </c>
      <c r="AA12" t="s">
        <v>5187</v>
      </c>
      <c r="AB12" s="139" t="s">
        <v>896</v>
      </c>
      <c r="AC12" t="s">
        <v>897</v>
      </c>
      <c r="AD12" s="142" t="s">
        <v>339</v>
      </c>
      <c r="AE12" s="167" t="s">
        <v>912</v>
      </c>
      <c r="AF12" t="s">
        <v>896</v>
      </c>
      <c r="AG12" s="153" t="s">
        <v>896</v>
      </c>
      <c r="AH12" s="159" t="s">
        <v>896</v>
      </c>
      <c r="AI12" s="135">
        <v>3688</v>
      </c>
      <c r="AJ12" s="143">
        <v>3.6459999999999999</v>
      </c>
      <c r="AK12" s="137" t="s">
        <v>339</v>
      </c>
      <c r="AL12" s="159" t="s">
        <v>5356</v>
      </c>
      <c r="AM12" s="153" t="s">
        <v>5357</v>
      </c>
      <c r="AN12" s="136">
        <v>0.20150176645921883</v>
      </c>
      <c r="AO12" s="136">
        <v>-1.7076423089023703E-4</v>
      </c>
    </row>
    <row r="13" spans="1:41">
      <c r="A13" t="s">
        <v>1213</v>
      </c>
      <c r="B13" t="s">
        <v>1238</v>
      </c>
      <c r="C13" t="s">
        <v>1017</v>
      </c>
      <c r="D13" s="134">
        <v>154714</v>
      </c>
      <c r="E13" t="s">
        <v>1216</v>
      </c>
      <c r="F13" t="s">
        <v>5311</v>
      </c>
      <c r="G13" s="138">
        <v>-26000000</v>
      </c>
      <c r="H13" s="138">
        <v>-26000</v>
      </c>
      <c r="I13" s="136">
        <v>172.71302418491007</v>
      </c>
      <c r="J13" s="136">
        <v>-0.53011364948969308</v>
      </c>
      <c r="K13" t="s">
        <v>5230</v>
      </c>
      <c r="L13" t="s">
        <v>1212</v>
      </c>
      <c r="M13" t="s">
        <v>5308</v>
      </c>
      <c r="N13" s="138">
        <v>-94796000</v>
      </c>
      <c r="O13" s="138">
        <v>-94796</v>
      </c>
      <c r="P13" s="136">
        <v>170.74611881187153</v>
      </c>
      <c r="Q13" s="136">
        <v>-0.52407656345971276</v>
      </c>
      <c r="R13" s="138">
        <v>-1585.6993</v>
      </c>
      <c r="S13" t="s">
        <v>204</v>
      </c>
      <c r="T13" t="s">
        <v>204</v>
      </c>
      <c r="U13" t="s">
        <v>746</v>
      </c>
      <c r="V13" s="139" t="s">
        <v>314</v>
      </c>
      <c r="W13" s="153" t="s">
        <v>928</v>
      </c>
      <c r="X13" t="s">
        <v>5176</v>
      </c>
      <c r="Y13" t="s">
        <v>339</v>
      </c>
      <c r="Z13" t="s">
        <v>5226</v>
      </c>
      <c r="AA13" t="s">
        <v>5187</v>
      </c>
      <c r="AB13" s="139" t="s">
        <v>896</v>
      </c>
      <c r="AC13" t="s">
        <v>897</v>
      </c>
      <c r="AD13" s="142" t="s">
        <v>339</v>
      </c>
      <c r="AE13" s="167" t="s">
        <v>912</v>
      </c>
      <c r="AF13" t="s">
        <v>896</v>
      </c>
      <c r="AG13" s="153" t="s">
        <v>896</v>
      </c>
      <c r="AH13" s="159" t="s">
        <v>896</v>
      </c>
      <c r="AI13" s="135">
        <v>3688</v>
      </c>
      <c r="AJ13" s="143">
        <v>3.6459999999999999</v>
      </c>
      <c r="AK13" s="137" t="s">
        <v>339</v>
      </c>
      <c r="AL13" s="159" t="s">
        <v>5356</v>
      </c>
      <c r="AM13" s="153" t="s">
        <v>5357</v>
      </c>
      <c r="AN13" s="136">
        <v>0.28561542935230849</v>
      </c>
      <c r="AO13" s="136">
        <v>-8.7664863908825232E-4</v>
      </c>
    </row>
    <row r="14" spans="1:41">
      <c r="A14" t="s">
        <v>1213</v>
      </c>
      <c r="B14" t="s">
        <v>1242</v>
      </c>
      <c r="C14" t="s">
        <v>1017</v>
      </c>
      <c r="D14" s="134">
        <v>154714</v>
      </c>
      <c r="E14" t="s">
        <v>1216</v>
      </c>
      <c r="F14" t="s">
        <v>5311</v>
      </c>
      <c r="G14" s="138">
        <v>-2655000</v>
      </c>
      <c r="H14" s="138">
        <v>-2655</v>
      </c>
      <c r="I14" s="136">
        <v>231.66155896506774</v>
      </c>
      <c r="J14" s="136">
        <v>-0.25588359155358731</v>
      </c>
      <c r="K14" t="s">
        <v>5230</v>
      </c>
      <c r="L14" t="s">
        <v>1212</v>
      </c>
      <c r="M14" t="s">
        <v>5308</v>
      </c>
      <c r="N14" s="138">
        <v>-9680130</v>
      </c>
      <c r="O14" s="138">
        <v>-9680.1299999999992</v>
      </c>
      <c r="P14" s="136">
        <v>229.02333079897966</v>
      </c>
      <c r="Q14" s="136">
        <v>-0.25296951594478834</v>
      </c>
      <c r="R14" s="138">
        <v>-161.92429999999999</v>
      </c>
      <c r="S14" t="s">
        <v>204</v>
      </c>
      <c r="T14" t="s">
        <v>204</v>
      </c>
      <c r="U14" t="s">
        <v>746</v>
      </c>
      <c r="V14" s="139" t="s">
        <v>314</v>
      </c>
      <c r="W14" s="153" t="s">
        <v>928</v>
      </c>
      <c r="X14" t="s">
        <v>5176</v>
      </c>
      <c r="Y14" t="s">
        <v>339</v>
      </c>
      <c r="Z14" t="s">
        <v>5226</v>
      </c>
      <c r="AA14" t="s">
        <v>5187</v>
      </c>
      <c r="AB14" s="139" t="s">
        <v>896</v>
      </c>
      <c r="AC14" t="s">
        <v>897</v>
      </c>
      <c r="AD14" s="142" t="s">
        <v>339</v>
      </c>
      <c r="AE14" s="167" t="s">
        <v>912</v>
      </c>
      <c r="AF14" t="s">
        <v>896</v>
      </c>
      <c r="AG14" s="153" t="s">
        <v>896</v>
      </c>
      <c r="AH14" s="159" t="s">
        <v>896</v>
      </c>
      <c r="AI14" s="135">
        <v>3688</v>
      </c>
      <c r="AJ14" s="143">
        <v>3.6459999999999999</v>
      </c>
      <c r="AK14" s="137" t="s">
        <v>339</v>
      </c>
      <c r="AL14" s="159" t="s">
        <v>5356</v>
      </c>
      <c r="AM14" s="153" t="s">
        <v>5357</v>
      </c>
      <c r="AN14" s="136">
        <v>0.38309858761661425</v>
      </c>
      <c r="AO14" s="136">
        <v>-4.2315454906019886E-4</v>
      </c>
    </row>
    <row r="15" spans="1:41">
      <c r="A15" t="s">
        <v>1213</v>
      </c>
      <c r="B15" t="s">
        <v>1235</v>
      </c>
      <c r="C15" t="s">
        <v>1017</v>
      </c>
      <c r="D15" s="134">
        <v>154714</v>
      </c>
      <c r="E15" t="s">
        <v>1216</v>
      </c>
      <c r="F15" t="s">
        <v>5311</v>
      </c>
      <c r="G15" s="138">
        <v>-1589000</v>
      </c>
      <c r="H15" s="138">
        <v>-1589</v>
      </c>
      <c r="I15" s="136">
        <v>349.00387707784722</v>
      </c>
      <c r="J15" s="136">
        <v>-0.84903207899914768</v>
      </c>
      <c r="K15">
        <v>154714</v>
      </c>
      <c r="L15" t="s">
        <v>1212</v>
      </c>
      <c r="M15" t="s">
        <v>5308</v>
      </c>
      <c r="N15" s="138">
        <v>-5793494</v>
      </c>
      <c r="O15" s="138">
        <v>-5793.4939999999997</v>
      </c>
      <c r="P15" s="136">
        <v>345.02932099398885</v>
      </c>
      <c r="Q15" s="136">
        <v>-0.83936305857670623</v>
      </c>
      <c r="R15" s="138">
        <v>-96.910600000000002</v>
      </c>
      <c r="S15" t="s">
        <v>204</v>
      </c>
      <c r="T15" t="s">
        <v>204</v>
      </c>
      <c r="U15" t="s">
        <v>746</v>
      </c>
      <c r="V15" s="139" t="s">
        <v>314</v>
      </c>
      <c r="W15" s="153" t="s">
        <v>928</v>
      </c>
      <c r="X15" t="s">
        <v>5176</v>
      </c>
      <c r="Y15" t="s">
        <v>339</v>
      </c>
      <c r="Z15" t="s">
        <v>5226</v>
      </c>
      <c r="AA15" t="s">
        <v>5187</v>
      </c>
      <c r="AB15" s="139" t="s">
        <v>896</v>
      </c>
      <c r="AC15" t="s">
        <v>897</v>
      </c>
      <c r="AD15" s="142" t="s">
        <v>339</v>
      </c>
      <c r="AE15" s="167" t="s">
        <v>912</v>
      </c>
      <c r="AF15" t="s">
        <v>896</v>
      </c>
      <c r="AG15" s="153" t="s">
        <v>896</v>
      </c>
      <c r="AH15" s="159" t="s">
        <v>896</v>
      </c>
      <c r="AI15" s="135">
        <v>3688</v>
      </c>
      <c r="AJ15" s="143">
        <v>3.6459999999999999</v>
      </c>
      <c r="AK15" s="137" t="s">
        <v>339</v>
      </c>
      <c r="AL15" s="159" t="s">
        <v>5356</v>
      </c>
      <c r="AM15" s="153" t="s">
        <v>5357</v>
      </c>
      <c r="AN15" s="136">
        <v>0.57714751199358871</v>
      </c>
      <c r="AO15" s="136">
        <v>-1.4040438636382291E-3</v>
      </c>
    </row>
    <row r="16" spans="1:41">
      <c r="A16" t="s">
        <v>1213</v>
      </c>
      <c r="B16" t="s">
        <v>1243</v>
      </c>
      <c r="C16" t="s">
        <v>1017</v>
      </c>
      <c r="D16" s="134">
        <v>154714</v>
      </c>
      <c r="E16" t="s">
        <v>1216</v>
      </c>
      <c r="F16" t="s">
        <v>5311</v>
      </c>
      <c r="G16" s="138">
        <v>-53821000</v>
      </c>
      <c r="H16" s="138">
        <v>-53821</v>
      </c>
      <c r="I16" s="136">
        <v>181.95953292403587</v>
      </c>
      <c r="J16" s="136">
        <v>-0.44582405927924151</v>
      </c>
      <c r="K16" t="s">
        <v>5230</v>
      </c>
      <c r="L16" t="s">
        <v>1212</v>
      </c>
      <c r="M16" t="s">
        <v>5308</v>
      </c>
      <c r="N16" s="138">
        <v>-196231366</v>
      </c>
      <c r="O16" s="138">
        <v>-196231.36600000001</v>
      </c>
      <c r="P16" s="136">
        <v>179.8873256618858</v>
      </c>
      <c r="Q16" s="136">
        <v>-0.44074688723755817</v>
      </c>
      <c r="R16" s="138">
        <v>-3282.4585999999999</v>
      </c>
      <c r="S16" t="s">
        <v>204</v>
      </c>
      <c r="T16" t="s">
        <v>204</v>
      </c>
      <c r="U16" t="s">
        <v>746</v>
      </c>
      <c r="V16" s="139" t="s">
        <v>314</v>
      </c>
      <c r="W16" s="153" t="s">
        <v>928</v>
      </c>
      <c r="X16" t="s">
        <v>5176</v>
      </c>
      <c r="Y16" t="s">
        <v>339</v>
      </c>
      <c r="Z16" t="s">
        <v>5226</v>
      </c>
      <c r="AA16" t="s">
        <v>5187</v>
      </c>
      <c r="AB16" s="139" t="s">
        <v>896</v>
      </c>
      <c r="AC16" t="s">
        <v>897</v>
      </c>
      <c r="AD16" s="142" t="s">
        <v>339</v>
      </c>
      <c r="AE16" s="167" t="s">
        <v>912</v>
      </c>
      <c r="AF16" t="s">
        <v>896</v>
      </c>
      <c r="AG16" s="153" t="s">
        <v>896</v>
      </c>
      <c r="AH16" s="159" t="s">
        <v>896</v>
      </c>
      <c r="AI16" s="135">
        <v>3688</v>
      </c>
      <c r="AJ16" s="143">
        <v>3.6459999999999999</v>
      </c>
      <c r="AK16" s="137" t="s">
        <v>339</v>
      </c>
      <c r="AL16" s="159" t="s">
        <v>5356</v>
      </c>
      <c r="AM16" s="153" t="s">
        <v>5357</v>
      </c>
      <c r="AN16" s="136">
        <v>0.30090637556785127</v>
      </c>
      <c r="AO16" s="136">
        <v>-7.3725899194668004E-4</v>
      </c>
    </row>
    <row r="17" spans="1:41">
      <c r="A17" t="s">
        <v>1213</v>
      </c>
      <c r="B17" t="s">
        <v>1253</v>
      </c>
      <c r="C17" t="s">
        <v>1017</v>
      </c>
      <c r="D17" s="134">
        <v>154714</v>
      </c>
      <c r="E17" t="s">
        <v>1216</v>
      </c>
      <c r="F17" t="s">
        <v>5311</v>
      </c>
      <c r="G17" s="138">
        <v>-3766000</v>
      </c>
      <c r="H17" s="138">
        <v>-3766</v>
      </c>
      <c r="I17" s="136">
        <v>390.55389580771532</v>
      </c>
      <c r="J17" s="136">
        <v>-1.1848609123409486</v>
      </c>
      <c r="K17" t="s">
        <v>5230</v>
      </c>
      <c r="L17" t="s">
        <v>1212</v>
      </c>
      <c r="M17" t="s">
        <v>5308</v>
      </c>
      <c r="N17" s="138">
        <v>-13730836</v>
      </c>
      <c r="O17" s="138">
        <v>-13730.835999999999</v>
      </c>
      <c r="P17" s="136">
        <v>386.10615621337581</v>
      </c>
      <c r="Q17" s="136">
        <v>-1.1713673770051787</v>
      </c>
      <c r="R17" s="138">
        <v>-229.6824</v>
      </c>
      <c r="S17" t="s">
        <v>204</v>
      </c>
      <c r="T17" t="s">
        <v>204</v>
      </c>
      <c r="U17" t="s">
        <v>746</v>
      </c>
      <c r="V17" s="139" t="s">
        <v>314</v>
      </c>
      <c r="W17" s="153" t="s">
        <v>928</v>
      </c>
      <c r="X17" t="s">
        <v>5176</v>
      </c>
      <c r="Y17" t="s">
        <v>339</v>
      </c>
      <c r="Z17" t="s">
        <v>5226</v>
      </c>
      <c r="AA17" t="s">
        <v>5187</v>
      </c>
      <c r="AB17" s="139" t="s">
        <v>896</v>
      </c>
      <c r="AC17" t="s">
        <v>897</v>
      </c>
      <c r="AD17" s="142" t="s">
        <v>339</v>
      </c>
      <c r="AE17" s="167" t="s">
        <v>912</v>
      </c>
      <c r="AF17" t="s">
        <v>896</v>
      </c>
      <c r="AG17" s="153" t="s">
        <v>896</v>
      </c>
      <c r="AH17" s="159" t="s">
        <v>896</v>
      </c>
      <c r="AI17" s="135">
        <v>3688</v>
      </c>
      <c r="AJ17" s="143">
        <v>3.6459999999999999</v>
      </c>
      <c r="AK17" s="137" t="s">
        <v>339</v>
      </c>
      <c r="AL17" s="159" t="s">
        <v>5356</v>
      </c>
      <c r="AM17" s="153" t="s">
        <v>5357</v>
      </c>
      <c r="AN17" s="136">
        <v>0.64585875421248584</v>
      </c>
      <c r="AO17" s="136">
        <v>-1.9594038133378595E-3</v>
      </c>
    </row>
    <row r="18" spans="1:41">
      <c r="A18" t="s">
        <v>1213</v>
      </c>
      <c r="B18" t="s">
        <v>1252</v>
      </c>
      <c r="C18" t="s">
        <v>1017</v>
      </c>
      <c r="D18" s="134">
        <v>154714</v>
      </c>
      <c r="E18" t="s">
        <v>1216</v>
      </c>
      <c r="F18" t="s">
        <v>5311</v>
      </c>
      <c r="G18" s="138">
        <v>-3312000</v>
      </c>
      <c r="H18" s="138">
        <v>-3312</v>
      </c>
      <c r="I18" s="136">
        <v>289.99927343610881</v>
      </c>
      <c r="J18" s="136">
        <v>-0.69654247955759052</v>
      </c>
      <c r="K18" t="s">
        <v>5230</v>
      </c>
      <c r="L18" t="s">
        <v>1212</v>
      </c>
      <c r="M18" t="s">
        <v>5308</v>
      </c>
      <c r="N18" s="138">
        <v>-12075552</v>
      </c>
      <c r="O18" s="138">
        <v>-12075.552</v>
      </c>
      <c r="P18" s="136">
        <v>286.69667867355008</v>
      </c>
      <c r="Q18" s="136">
        <v>-0.68861005435655498</v>
      </c>
      <c r="R18" s="138">
        <v>-201.99370000000002</v>
      </c>
      <c r="S18" t="s">
        <v>204</v>
      </c>
      <c r="T18" t="s">
        <v>204</v>
      </c>
      <c r="U18" t="s">
        <v>746</v>
      </c>
      <c r="V18" s="139" t="s">
        <v>314</v>
      </c>
      <c r="W18" s="153" t="s">
        <v>928</v>
      </c>
      <c r="X18" t="s">
        <v>5176</v>
      </c>
      <c r="Y18" t="s">
        <v>339</v>
      </c>
      <c r="Z18" t="s">
        <v>5226</v>
      </c>
      <c r="AA18" t="s">
        <v>5187</v>
      </c>
      <c r="AB18" s="139" t="s">
        <v>896</v>
      </c>
      <c r="AC18" t="s">
        <v>897</v>
      </c>
      <c r="AD18" s="142" t="s">
        <v>339</v>
      </c>
      <c r="AE18" s="167" t="s">
        <v>912</v>
      </c>
      <c r="AF18" t="s">
        <v>896</v>
      </c>
      <c r="AG18" s="153" t="s">
        <v>896</v>
      </c>
      <c r="AH18" s="159" t="s">
        <v>896</v>
      </c>
      <c r="AI18" s="135">
        <v>3688</v>
      </c>
      <c r="AJ18" s="143">
        <v>3.6459999999999999</v>
      </c>
      <c r="AK18" s="137" t="s">
        <v>339</v>
      </c>
      <c r="AL18" s="159" t="s">
        <v>5356</v>
      </c>
      <c r="AM18" s="153" t="s">
        <v>5357</v>
      </c>
      <c r="AN18" s="136">
        <v>0.47957163268494624</v>
      </c>
      <c r="AO18" s="136">
        <v>-1.1518719002220153E-3</v>
      </c>
    </row>
    <row r="19" spans="1:41">
      <c r="A19" t="s">
        <v>1213</v>
      </c>
      <c r="B19" t="s">
        <v>1251</v>
      </c>
      <c r="C19" t="s">
        <v>1017</v>
      </c>
      <c r="D19" s="134">
        <v>154714</v>
      </c>
      <c r="E19" t="s">
        <v>1216</v>
      </c>
      <c r="F19" t="s">
        <v>5311</v>
      </c>
      <c r="G19" s="138">
        <v>-7366000</v>
      </c>
      <c r="H19" s="138">
        <v>-7366</v>
      </c>
      <c r="I19" s="136">
        <v>278.45915884942991</v>
      </c>
      <c r="J19" s="136">
        <v>-0.9791996428005022</v>
      </c>
      <c r="K19" t="s">
        <v>5230</v>
      </c>
      <c r="L19" t="s">
        <v>1212</v>
      </c>
      <c r="M19" t="s">
        <v>5308</v>
      </c>
      <c r="N19" s="138">
        <v>-26856436</v>
      </c>
      <c r="O19" s="138">
        <v>-26856.436000000002</v>
      </c>
      <c r="P19" s="136">
        <v>275.28798621611207</v>
      </c>
      <c r="Q19" s="136">
        <v>-0.96804823689008435</v>
      </c>
      <c r="R19" s="138">
        <v>-449.24079999999998</v>
      </c>
      <c r="S19" t="s">
        <v>204</v>
      </c>
      <c r="T19" t="s">
        <v>204</v>
      </c>
      <c r="U19" t="s">
        <v>746</v>
      </c>
      <c r="V19" s="139" t="s">
        <v>314</v>
      </c>
      <c r="W19" s="153" t="s">
        <v>928</v>
      </c>
      <c r="X19" t="s">
        <v>5176</v>
      </c>
      <c r="Y19" t="s">
        <v>339</v>
      </c>
      <c r="Z19" t="s">
        <v>5226</v>
      </c>
      <c r="AA19" t="s">
        <v>5187</v>
      </c>
      <c r="AB19" s="139" t="s">
        <v>896</v>
      </c>
      <c r="AC19" t="s">
        <v>897</v>
      </c>
      <c r="AD19" s="142" t="s">
        <v>339</v>
      </c>
      <c r="AE19" s="167" t="s">
        <v>912</v>
      </c>
      <c r="AF19" t="s">
        <v>896</v>
      </c>
      <c r="AG19" s="153" t="s">
        <v>896</v>
      </c>
      <c r="AH19" s="159" t="s">
        <v>896</v>
      </c>
      <c r="AI19" s="135">
        <v>3688</v>
      </c>
      <c r="AJ19" s="143">
        <v>3.6459999999999999</v>
      </c>
      <c r="AK19" s="137" t="s">
        <v>339</v>
      </c>
      <c r="AL19" s="159" t="s">
        <v>5356</v>
      </c>
      <c r="AM19" s="153" t="s">
        <v>5357</v>
      </c>
      <c r="AN19" s="136">
        <v>0.46048775179058715</v>
      </c>
      <c r="AO19" s="136">
        <v>-1.6193018894780464E-3</v>
      </c>
    </row>
    <row r="20" spans="1:41">
      <c r="A20" t="s">
        <v>1213</v>
      </c>
      <c r="B20" t="s">
        <v>1257</v>
      </c>
      <c r="C20" t="s">
        <v>1017</v>
      </c>
      <c r="D20" s="134">
        <v>154714</v>
      </c>
      <c r="E20" t="s">
        <v>1216</v>
      </c>
      <c r="F20" t="s">
        <v>5311</v>
      </c>
      <c r="G20" s="138">
        <v>-4528000</v>
      </c>
      <c r="H20" s="138">
        <v>-4528</v>
      </c>
      <c r="I20" s="136">
        <v>342.65491810192566</v>
      </c>
      <c r="J20" s="136">
        <v>-0.61303641217471039</v>
      </c>
      <c r="K20" t="s">
        <v>5230</v>
      </c>
      <c r="L20" t="s">
        <v>1212</v>
      </c>
      <c r="M20" t="s">
        <v>5308</v>
      </c>
      <c r="N20" s="138">
        <v>-16509088</v>
      </c>
      <c r="O20" s="138">
        <v>-16509.088</v>
      </c>
      <c r="P20" s="136">
        <v>338.75266578080829</v>
      </c>
      <c r="Q20" s="136">
        <v>-0.60605497797966212</v>
      </c>
      <c r="R20" s="138">
        <v>-276.15559999999999</v>
      </c>
      <c r="S20" t="s">
        <v>204</v>
      </c>
      <c r="T20" t="s">
        <v>204</v>
      </c>
      <c r="U20" t="s">
        <v>746</v>
      </c>
      <c r="V20" s="139" t="s">
        <v>314</v>
      </c>
      <c r="W20" s="153" t="s">
        <v>928</v>
      </c>
      <c r="X20" t="s">
        <v>5176</v>
      </c>
      <c r="Y20" t="s">
        <v>339</v>
      </c>
      <c r="Z20" t="s">
        <v>5226</v>
      </c>
      <c r="AA20" t="s">
        <v>5187</v>
      </c>
      <c r="AB20" s="139" t="s">
        <v>896</v>
      </c>
      <c r="AC20" t="s">
        <v>897</v>
      </c>
      <c r="AD20" s="142" t="s">
        <v>339</v>
      </c>
      <c r="AE20" s="167" t="s">
        <v>912</v>
      </c>
      <c r="AF20" t="s">
        <v>896</v>
      </c>
      <c r="AG20" s="153" t="s">
        <v>896</v>
      </c>
      <c r="AH20" s="159" t="s">
        <v>896</v>
      </c>
      <c r="AI20" s="135">
        <v>3688</v>
      </c>
      <c r="AJ20" s="143">
        <v>3.6459999999999999</v>
      </c>
      <c r="AK20" s="137" t="s">
        <v>339</v>
      </c>
      <c r="AL20" s="159" t="s">
        <v>5356</v>
      </c>
      <c r="AM20" s="153" t="s">
        <v>5357</v>
      </c>
      <c r="AN20" s="136">
        <v>0.56664824216488774</v>
      </c>
      <c r="AO20" s="136">
        <v>-1.0137779643324403E-3</v>
      </c>
    </row>
    <row r="21" spans="1:41" customFormat="1">
      <c r="A21" t="s">
        <v>1213</v>
      </c>
      <c r="B21" t="s">
        <v>1233</v>
      </c>
      <c r="C21" t="s">
        <v>1017</v>
      </c>
      <c r="D21" s="134">
        <v>154714</v>
      </c>
      <c r="E21" t="s">
        <v>1216</v>
      </c>
      <c r="F21" t="s">
        <v>5311</v>
      </c>
      <c r="G21" s="138">
        <v>-34189000</v>
      </c>
      <c r="H21" s="138">
        <v>-34189</v>
      </c>
      <c r="I21" s="136">
        <v>392.70321906834442</v>
      </c>
      <c r="J21" s="136">
        <v>-3.3498622171860863</v>
      </c>
      <c r="K21" t="s">
        <v>5230</v>
      </c>
      <c r="L21" t="s">
        <v>1212</v>
      </c>
      <c r="M21" t="s">
        <v>5308</v>
      </c>
      <c r="N21" s="138">
        <v>-124653094</v>
      </c>
      <c r="O21" s="138">
        <v>-124653.094</v>
      </c>
      <c r="P21" s="136">
        <v>388.23100236528848</v>
      </c>
      <c r="Q21" s="136">
        <v>-3.3117130270771344</v>
      </c>
      <c r="R21" s="138">
        <v>-2085.1336000000001</v>
      </c>
      <c r="S21" t="s">
        <v>204</v>
      </c>
      <c r="T21" t="s">
        <v>204</v>
      </c>
      <c r="U21" t="s">
        <v>746</v>
      </c>
      <c r="V21" s="139" t="s">
        <v>314</v>
      </c>
      <c r="W21" s="153" t="s">
        <v>928</v>
      </c>
      <c r="X21" t="s">
        <v>5176</v>
      </c>
      <c r="Y21" t="s">
        <v>339</v>
      </c>
      <c r="Z21" t="s">
        <v>5226</v>
      </c>
      <c r="AA21" t="s">
        <v>5187</v>
      </c>
      <c r="AB21" s="139" t="s">
        <v>896</v>
      </c>
      <c r="AC21" t="s">
        <v>897</v>
      </c>
      <c r="AD21" s="142" t="s">
        <v>339</v>
      </c>
      <c r="AE21" s="167" t="s">
        <v>912</v>
      </c>
      <c r="AF21" t="s">
        <v>896</v>
      </c>
      <c r="AG21" s="153" t="s">
        <v>896</v>
      </c>
      <c r="AH21" s="159" t="s">
        <v>896</v>
      </c>
      <c r="AI21" s="135">
        <v>3688</v>
      </c>
      <c r="AJ21" s="143">
        <v>3.6459999999999999</v>
      </c>
      <c r="AK21" s="137" t="s">
        <v>339</v>
      </c>
      <c r="AL21" s="159" t="s">
        <v>5356</v>
      </c>
      <c r="AM21" s="153" t="s">
        <v>5357</v>
      </c>
      <c r="AN21" s="136">
        <v>0.64941308885979121</v>
      </c>
      <c r="AO21" s="136">
        <v>-5.5396652334009002E-3</v>
      </c>
    </row>
    <row r="22" spans="1:41">
      <c r="A22" t="s">
        <v>1213</v>
      </c>
      <c r="B22" t="s">
        <v>1233</v>
      </c>
      <c r="C22" t="s">
        <v>1017</v>
      </c>
      <c r="D22" s="134">
        <v>154715</v>
      </c>
      <c r="E22" t="s">
        <v>1218</v>
      </c>
      <c r="F22" t="s">
        <v>5312</v>
      </c>
      <c r="G22" s="138">
        <v>-6325000</v>
      </c>
      <c r="H22" s="138">
        <v>-6325</v>
      </c>
      <c r="I22" s="136">
        <v>78.9404389416801</v>
      </c>
      <c r="J22" s="136">
        <v>-0.67338280151148289</v>
      </c>
      <c r="K22" t="s">
        <v>5229</v>
      </c>
      <c r="L22" t="s">
        <v>1212</v>
      </c>
      <c r="M22" t="s">
        <v>5308</v>
      </c>
      <c r="N22" s="138">
        <v>-25300000</v>
      </c>
      <c r="O22" s="138">
        <v>-25300</v>
      </c>
      <c r="P22" s="136">
        <v>78.796635082654248</v>
      </c>
      <c r="Q22" s="136">
        <v>-0.67215611659869023</v>
      </c>
      <c r="R22" s="138">
        <v>-981.64880000000005</v>
      </c>
      <c r="S22" t="s">
        <v>204</v>
      </c>
      <c r="T22" t="s">
        <v>204</v>
      </c>
      <c r="U22" t="s">
        <v>746</v>
      </c>
      <c r="V22" s="139" t="s">
        <v>314</v>
      </c>
      <c r="W22" s="153" t="s">
        <v>928</v>
      </c>
      <c r="X22" t="s">
        <v>5183</v>
      </c>
      <c r="Y22" t="s">
        <v>339</v>
      </c>
      <c r="Z22" t="s">
        <v>5226</v>
      </c>
      <c r="AA22" t="s">
        <v>5187</v>
      </c>
      <c r="AB22" s="139" t="s">
        <v>896</v>
      </c>
      <c r="AC22" t="s">
        <v>897</v>
      </c>
      <c r="AD22" s="142" t="s">
        <v>339</v>
      </c>
      <c r="AE22" s="167" t="s">
        <v>912</v>
      </c>
      <c r="AF22" t="s">
        <v>896</v>
      </c>
      <c r="AG22" s="153" t="s">
        <v>896</v>
      </c>
      <c r="AH22" s="159" t="s">
        <v>896</v>
      </c>
      <c r="AI22" s="135">
        <v>4007.3</v>
      </c>
      <c r="AJ22" s="143">
        <v>4</v>
      </c>
      <c r="AK22" s="137" t="s">
        <v>339</v>
      </c>
      <c r="AL22" s="159" t="s">
        <v>5356</v>
      </c>
      <c r="AM22" s="153" t="s">
        <v>5357</v>
      </c>
      <c r="AN22" s="136">
        <v>0.30573367253166772</v>
      </c>
      <c r="AO22" s="136">
        <v>-2.607989006469376E-3</v>
      </c>
    </row>
    <row r="23" spans="1:41">
      <c r="A23" t="s">
        <v>1213</v>
      </c>
      <c r="B23" t="s">
        <v>1257</v>
      </c>
      <c r="C23" t="s">
        <v>1017</v>
      </c>
      <c r="D23" s="134">
        <v>154715</v>
      </c>
      <c r="E23" t="s">
        <v>1218</v>
      </c>
      <c r="F23" t="s">
        <v>5312</v>
      </c>
      <c r="G23" s="138">
        <v>-1202341</v>
      </c>
      <c r="H23" s="138">
        <v>-1202.3409999999999</v>
      </c>
      <c r="I23" s="136">
        <v>98.864221821848815</v>
      </c>
      <c r="J23" s="136">
        <v>-0.17687581481052236</v>
      </c>
      <c r="K23" t="s">
        <v>5229</v>
      </c>
      <c r="L23" t="s">
        <v>1212</v>
      </c>
      <c r="M23" t="s">
        <v>5308</v>
      </c>
      <c r="N23" s="138">
        <v>-4809364</v>
      </c>
      <c r="O23" s="138">
        <v>-4809.3639999999996</v>
      </c>
      <c r="P23" s="136">
        <v>98.684123296832098</v>
      </c>
      <c r="Q23" s="136">
        <v>-0.17655360448234209</v>
      </c>
      <c r="R23" s="138">
        <v>-186.60499999999999</v>
      </c>
      <c r="S23" t="s">
        <v>204</v>
      </c>
      <c r="T23" t="s">
        <v>204</v>
      </c>
      <c r="U23" t="s">
        <v>746</v>
      </c>
      <c r="V23" s="139" t="s">
        <v>314</v>
      </c>
      <c r="W23" s="153" t="s">
        <v>928</v>
      </c>
      <c r="X23" t="s">
        <v>5183</v>
      </c>
      <c r="Y23" t="s">
        <v>339</v>
      </c>
      <c r="Z23" t="s">
        <v>5226</v>
      </c>
      <c r="AA23" t="s">
        <v>5187</v>
      </c>
      <c r="AB23" s="139" t="s">
        <v>896</v>
      </c>
      <c r="AC23" t="s">
        <v>897</v>
      </c>
      <c r="AD23" s="142" t="s">
        <v>339</v>
      </c>
      <c r="AE23" s="167" t="s">
        <v>912</v>
      </c>
      <c r="AF23" t="s">
        <v>896</v>
      </c>
      <c r="AG23" s="153" t="s">
        <v>896</v>
      </c>
      <c r="AH23" s="159" t="s">
        <v>896</v>
      </c>
      <c r="AI23" s="135">
        <v>4007.3</v>
      </c>
      <c r="AJ23" s="143">
        <v>4</v>
      </c>
      <c r="AK23" s="137" t="s">
        <v>339</v>
      </c>
      <c r="AL23" s="159" t="s">
        <v>5356</v>
      </c>
      <c r="AM23" s="153" t="s">
        <v>5357</v>
      </c>
      <c r="AN23" s="136">
        <v>0.38289781542651075</v>
      </c>
      <c r="AO23" s="136">
        <v>-6.8503409873364219E-4</v>
      </c>
    </row>
    <row r="24" spans="1:41">
      <c r="A24" t="s">
        <v>1213</v>
      </c>
      <c r="B24" t="s">
        <v>1251</v>
      </c>
      <c r="C24" t="s">
        <v>1017</v>
      </c>
      <c r="D24" s="134">
        <v>154715</v>
      </c>
      <c r="E24" t="s">
        <v>1218</v>
      </c>
      <c r="F24" t="s">
        <v>5312</v>
      </c>
      <c r="G24" s="138">
        <v>-3038489</v>
      </c>
      <c r="H24" s="138">
        <v>-3038.489</v>
      </c>
      <c r="I24" s="136">
        <v>124.80971884282287</v>
      </c>
      <c r="J24" s="136">
        <v>-0.43889248467854258</v>
      </c>
      <c r="K24" t="s">
        <v>5229</v>
      </c>
      <c r="L24" t="s">
        <v>1212</v>
      </c>
      <c r="M24" t="s">
        <v>5308</v>
      </c>
      <c r="N24" s="138">
        <v>-12153956</v>
      </c>
      <c r="O24" s="138">
        <v>-12153.956</v>
      </c>
      <c r="P24" s="136">
        <v>124.58235604304431</v>
      </c>
      <c r="Q24" s="136">
        <v>-0.43809296501738582</v>
      </c>
      <c r="R24" s="138">
        <v>-471.57769999999999</v>
      </c>
      <c r="S24" t="s">
        <v>204</v>
      </c>
      <c r="T24" t="s">
        <v>204</v>
      </c>
      <c r="U24" t="s">
        <v>746</v>
      </c>
      <c r="V24" s="139" t="s">
        <v>314</v>
      </c>
      <c r="W24" s="153" t="s">
        <v>928</v>
      </c>
      <c r="X24" t="s">
        <v>5183</v>
      </c>
      <c r="Y24" t="s">
        <v>339</v>
      </c>
      <c r="Z24" t="s">
        <v>5226</v>
      </c>
      <c r="AA24" t="s">
        <v>5187</v>
      </c>
      <c r="AB24" s="139" t="s">
        <v>896</v>
      </c>
      <c r="AC24" t="s">
        <v>897</v>
      </c>
      <c r="AD24" s="142" t="s">
        <v>339</v>
      </c>
      <c r="AE24" s="167" t="s">
        <v>912</v>
      </c>
      <c r="AF24" t="s">
        <v>896</v>
      </c>
      <c r="AG24" s="153" t="s">
        <v>896</v>
      </c>
      <c r="AH24" s="159" t="s">
        <v>896</v>
      </c>
      <c r="AI24" s="135">
        <v>4007.3</v>
      </c>
      <c r="AJ24" s="143">
        <v>4</v>
      </c>
      <c r="AK24" s="137" t="s">
        <v>339</v>
      </c>
      <c r="AL24" s="159" t="s">
        <v>5356</v>
      </c>
      <c r="AM24" s="153" t="s">
        <v>5357</v>
      </c>
      <c r="AN24" s="136">
        <v>0.48338385523358984</v>
      </c>
      <c r="AO24" s="136">
        <v>-1.6998158736671409E-3</v>
      </c>
    </row>
    <row r="25" spans="1:41">
      <c r="A25" t="s">
        <v>1213</v>
      </c>
      <c r="B25" t="s">
        <v>1252</v>
      </c>
      <c r="C25" t="s">
        <v>1017</v>
      </c>
      <c r="D25" s="134">
        <v>154715</v>
      </c>
      <c r="E25" t="s">
        <v>1218</v>
      </c>
      <c r="F25" t="s">
        <v>5312</v>
      </c>
      <c r="G25" s="138">
        <v>-1193658</v>
      </c>
      <c r="H25" s="138">
        <v>-1193.6579999999999</v>
      </c>
      <c r="I25" s="136">
        <v>113.56576710631333</v>
      </c>
      <c r="J25" s="136">
        <v>-0.27277096275387391</v>
      </c>
      <c r="K25" t="s">
        <v>5229</v>
      </c>
      <c r="L25" t="s">
        <v>1212</v>
      </c>
      <c r="M25" t="s">
        <v>5308</v>
      </c>
      <c r="N25" s="138">
        <v>-4774632</v>
      </c>
      <c r="O25" s="138">
        <v>-4774.6319999999996</v>
      </c>
      <c r="P25" s="136">
        <v>113.35888713728778</v>
      </c>
      <c r="Q25" s="136">
        <v>-0.27227406258964781</v>
      </c>
      <c r="R25" s="138">
        <v>-185.25739999999999</v>
      </c>
      <c r="S25" t="s">
        <v>204</v>
      </c>
      <c r="T25" t="s">
        <v>204</v>
      </c>
      <c r="U25" t="s">
        <v>746</v>
      </c>
      <c r="V25" s="139" t="s">
        <v>314</v>
      </c>
      <c r="W25" s="153" t="s">
        <v>928</v>
      </c>
      <c r="X25" t="s">
        <v>5183</v>
      </c>
      <c r="Y25" t="s">
        <v>339</v>
      </c>
      <c r="Z25" t="s">
        <v>5226</v>
      </c>
      <c r="AA25" t="s">
        <v>5187</v>
      </c>
      <c r="AB25" s="139" t="s">
        <v>896</v>
      </c>
      <c r="AC25" t="s">
        <v>897</v>
      </c>
      <c r="AD25" s="142" t="s">
        <v>339</v>
      </c>
      <c r="AE25" s="167" t="s">
        <v>912</v>
      </c>
      <c r="AF25" t="s">
        <v>896</v>
      </c>
      <c r="AG25" s="153" t="s">
        <v>896</v>
      </c>
      <c r="AH25" s="159" t="s">
        <v>896</v>
      </c>
      <c r="AI25" s="135">
        <v>4007.3</v>
      </c>
      <c r="AJ25" s="143">
        <v>4</v>
      </c>
      <c r="AK25" s="137" t="s">
        <v>339</v>
      </c>
      <c r="AL25" s="159" t="s">
        <v>5356</v>
      </c>
      <c r="AM25" s="153" t="s">
        <v>5357</v>
      </c>
      <c r="AN25" s="136">
        <v>0.43983640725560724</v>
      </c>
      <c r="AO25" s="136">
        <v>-1.0564327906049723E-3</v>
      </c>
    </row>
    <row r="26" spans="1:41">
      <c r="A26" t="s">
        <v>1213</v>
      </c>
      <c r="B26" t="s">
        <v>1253</v>
      </c>
      <c r="C26" t="s">
        <v>1017</v>
      </c>
      <c r="D26" s="134">
        <v>154715</v>
      </c>
      <c r="E26" t="s">
        <v>1218</v>
      </c>
      <c r="F26" t="s">
        <v>5312</v>
      </c>
      <c r="G26" s="138">
        <v>-723219</v>
      </c>
      <c r="H26" s="138">
        <v>-723.21900000000005</v>
      </c>
      <c r="I26" s="136">
        <v>81.495087386646844</v>
      </c>
      <c r="J26" s="136">
        <v>-0.24723948379147156</v>
      </c>
      <c r="K26" t="s">
        <v>5229</v>
      </c>
      <c r="L26" t="s">
        <v>1212</v>
      </c>
      <c r="M26" t="s">
        <v>5308</v>
      </c>
      <c r="N26" s="138">
        <v>-2892876</v>
      </c>
      <c r="O26" s="138">
        <v>-2892.8760000000002</v>
      </c>
      <c r="P26" s="136">
        <v>81.346629787285039</v>
      </c>
      <c r="Q26" s="136">
        <v>-0.24678909369547733</v>
      </c>
      <c r="R26" s="138">
        <v>-112.24460000000001</v>
      </c>
      <c r="S26" t="s">
        <v>204</v>
      </c>
      <c r="T26" t="s">
        <v>204</v>
      </c>
      <c r="U26" t="s">
        <v>746</v>
      </c>
      <c r="V26" s="139" t="s">
        <v>314</v>
      </c>
      <c r="W26" s="153" t="s">
        <v>928</v>
      </c>
      <c r="X26" t="s">
        <v>5183</v>
      </c>
      <c r="Y26" t="s">
        <v>339</v>
      </c>
      <c r="Z26" t="s">
        <v>5226</v>
      </c>
      <c r="AA26" t="s">
        <v>5187</v>
      </c>
      <c r="AB26" s="139" t="s">
        <v>896</v>
      </c>
      <c r="AC26" t="s">
        <v>897</v>
      </c>
      <c r="AD26" s="142" t="s">
        <v>339</v>
      </c>
      <c r="AE26" s="167" t="s">
        <v>912</v>
      </c>
      <c r="AF26" t="s">
        <v>896</v>
      </c>
      <c r="AG26" s="153" t="s">
        <v>896</v>
      </c>
      <c r="AH26" s="159" t="s">
        <v>896</v>
      </c>
      <c r="AI26" s="135">
        <v>4007.3</v>
      </c>
      <c r="AJ26" s="143">
        <v>4</v>
      </c>
      <c r="AK26" s="137" t="s">
        <v>339</v>
      </c>
      <c r="AL26" s="159" t="s">
        <v>5356</v>
      </c>
      <c r="AM26" s="153" t="s">
        <v>5357</v>
      </c>
      <c r="AN26" s="136">
        <v>0.31562774028170865</v>
      </c>
      <c r="AO26" s="136">
        <v>-9.5755022885348341E-4</v>
      </c>
    </row>
    <row r="27" spans="1:41">
      <c r="A27" t="s">
        <v>1213</v>
      </c>
      <c r="B27" t="s">
        <v>1243</v>
      </c>
      <c r="C27" t="s">
        <v>1017</v>
      </c>
      <c r="D27" s="134">
        <v>154715</v>
      </c>
      <c r="E27" t="s">
        <v>1218</v>
      </c>
      <c r="F27" t="s">
        <v>5312</v>
      </c>
      <c r="G27" s="138">
        <v>-41504922</v>
      </c>
      <c r="H27" s="138">
        <v>-41504.921999999999</v>
      </c>
      <c r="I27" s="136">
        <v>152.46971786513214</v>
      </c>
      <c r="J27" s="136">
        <v>-0.37357025182171599</v>
      </c>
      <c r="K27" t="s">
        <v>5229</v>
      </c>
      <c r="L27" t="s">
        <v>1212</v>
      </c>
      <c r="M27" t="s">
        <v>5308</v>
      </c>
      <c r="N27" s="138">
        <v>-166019688</v>
      </c>
      <c r="O27" s="138">
        <v>-166019.68799999999</v>
      </c>
      <c r="P27" s="136">
        <v>152.1919675244001</v>
      </c>
      <c r="Q27" s="136">
        <v>-0.37288972806799192</v>
      </c>
      <c r="R27" s="138">
        <v>-6441.6214</v>
      </c>
      <c r="S27" t="s">
        <v>204</v>
      </c>
      <c r="T27" t="s">
        <v>204</v>
      </c>
      <c r="U27" t="s">
        <v>746</v>
      </c>
      <c r="V27" s="139" t="s">
        <v>314</v>
      </c>
      <c r="W27" s="153" t="s">
        <v>928</v>
      </c>
      <c r="X27" t="s">
        <v>5183</v>
      </c>
      <c r="Y27" t="s">
        <v>339</v>
      </c>
      <c r="Z27" t="s">
        <v>5226</v>
      </c>
      <c r="AA27" t="s">
        <v>5187</v>
      </c>
      <c r="AB27" s="139" t="s">
        <v>896</v>
      </c>
      <c r="AC27" t="s">
        <v>897</v>
      </c>
      <c r="AD27" s="142" t="s">
        <v>339</v>
      </c>
      <c r="AE27" s="167" t="s">
        <v>912</v>
      </c>
      <c r="AF27" t="s">
        <v>896</v>
      </c>
      <c r="AG27" s="153" t="s">
        <v>896</v>
      </c>
      <c r="AH27" s="159" t="s">
        <v>896</v>
      </c>
      <c r="AI27" s="135">
        <v>4007.3</v>
      </c>
      <c r="AJ27" s="143">
        <v>4</v>
      </c>
      <c r="AK27" s="137" t="s">
        <v>339</v>
      </c>
      <c r="AL27" s="159" t="s">
        <v>5356</v>
      </c>
      <c r="AM27" s="153" t="s">
        <v>5357</v>
      </c>
      <c r="AN27" s="136">
        <v>0.59051010379119639</v>
      </c>
      <c r="AO27" s="136">
        <v>-1.4468250565773005E-3</v>
      </c>
    </row>
    <row r="28" spans="1:41">
      <c r="A28" t="s">
        <v>1213</v>
      </c>
      <c r="B28" t="s">
        <v>1235</v>
      </c>
      <c r="C28" t="s">
        <v>1017</v>
      </c>
      <c r="D28" s="134">
        <v>154715</v>
      </c>
      <c r="E28" t="s">
        <v>1218</v>
      </c>
      <c r="F28" t="s">
        <v>5312</v>
      </c>
      <c r="G28" s="138">
        <v>-505000</v>
      </c>
      <c r="H28" s="138">
        <v>-505</v>
      </c>
      <c r="I28" s="136">
        <v>120.51987608854031</v>
      </c>
      <c r="J28" s="136">
        <v>-0.29319227572176471</v>
      </c>
      <c r="K28" t="s">
        <v>5229</v>
      </c>
      <c r="L28" t="s">
        <v>1212</v>
      </c>
      <c r="M28" t="s">
        <v>5308</v>
      </c>
      <c r="N28" s="138">
        <v>-2020000</v>
      </c>
      <c r="O28" s="138">
        <v>-2020</v>
      </c>
      <c r="P28" s="136">
        <v>120.30032798995865</v>
      </c>
      <c r="Q28" s="136">
        <v>-0.29265817455320514</v>
      </c>
      <c r="R28" s="138">
        <v>-78.3767</v>
      </c>
      <c r="S28" t="s">
        <v>204</v>
      </c>
      <c r="T28" t="s">
        <v>204</v>
      </c>
      <c r="U28" t="s">
        <v>746</v>
      </c>
      <c r="V28" s="139" t="s">
        <v>314</v>
      </c>
      <c r="W28" s="153" t="s">
        <v>928</v>
      </c>
      <c r="X28" t="s">
        <v>5183</v>
      </c>
      <c r="Y28" t="s">
        <v>339</v>
      </c>
      <c r="Z28" t="s">
        <v>5226</v>
      </c>
      <c r="AA28" t="s">
        <v>5187</v>
      </c>
      <c r="AB28" s="139" t="s">
        <v>896</v>
      </c>
      <c r="AC28" t="s">
        <v>897</v>
      </c>
      <c r="AD28" s="142" t="s">
        <v>339</v>
      </c>
      <c r="AE28" s="167" t="s">
        <v>912</v>
      </c>
      <c r="AF28" t="s">
        <v>896</v>
      </c>
      <c r="AG28" s="153" t="s">
        <v>896</v>
      </c>
      <c r="AH28" s="159" t="s">
        <v>896</v>
      </c>
      <c r="AI28" s="135">
        <v>4007.3</v>
      </c>
      <c r="AJ28" s="143">
        <v>4</v>
      </c>
      <c r="AK28" s="137" t="s">
        <v>339</v>
      </c>
      <c r="AL28" s="159" t="s">
        <v>5356</v>
      </c>
      <c r="AM28" s="153" t="s">
        <v>5357</v>
      </c>
      <c r="AN28" s="136">
        <v>0.46676943811818594</v>
      </c>
      <c r="AO28" s="136">
        <v>-1.1355238508434968E-3</v>
      </c>
    </row>
    <row r="29" spans="1:41">
      <c r="A29" t="s">
        <v>1213</v>
      </c>
      <c r="B29" t="s">
        <v>1242</v>
      </c>
      <c r="C29" t="s">
        <v>1017</v>
      </c>
      <c r="D29" s="134">
        <v>154715</v>
      </c>
      <c r="E29" t="s">
        <v>1218</v>
      </c>
      <c r="F29" t="s">
        <v>5312</v>
      </c>
      <c r="G29" s="138">
        <v>-2619670</v>
      </c>
      <c r="H29" s="138">
        <v>-2619.67</v>
      </c>
      <c r="I29" s="136">
        <v>248.3687661719739</v>
      </c>
      <c r="J29" s="136">
        <v>-0.27433766828531542</v>
      </c>
      <c r="K29" t="s">
        <v>5229</v>
      </c>
      <c r="L29" t="s">
        <v>1212</v>
      </c>
      <c r="M29" t="s">
        <v>5308</v>
      </c>
      <c r="N29" s="138">
        <v>-10478680</v>
      </c>
      <c r="O29" s="138">
        <v>-10478.68</v>
      </c>
      <c r="P29" s="136">
        <v>247.91631888999964</v>
      </c>
      <c r="Q29" s="136">
        <v>-0.27383791409209735</v>
      </c>
      <c r="R29" s="138">
        <v>-406.57640000000004</v>
      </c>
      <c r="S29" t="s">
        <v>204</v>
      </c>
      <c r="T29" t="s">
        <v>204</v>
      </c>
      <c r="U29" t="s">
        <v>746</v>
      </c>
      <c r="V29" s="139" t="s">
        <v>314</v>
      </c>
      <c r="W29" s="153" t="s">
        <v>928</v>
      </c>
      <c r="X29" t="s">
        <v>5183</v>
      </c>
      <c r="Y29" t="s">
        <v>339</v>
      </c>
      <c r="Z29" t="s">
        <v>5226</v>
      </c>
      <c r="AA29" t="s">
        <v>5187</v>
      </c>
      <c r="AB29" s="139" t="s">
        <v>896</v>
      </c>
      <c r="AC29" t="s">
        <v>897</v>
      </c>
      <c r="AD29" s="142" t="s">
        <v>339</v>
      </c>
      <c r="AE29" s="167" t="s">
        <v>912</v>
      </c>
      <c r="AF29" t="s">
        <v>896</v>
      </c>
      <c r="AG29" s="153" t="s">
        <v>896</v>
      </c>
      <c r="AH29" s="159" t="s">
        <v>896</v>
      </c>
      <c r="AI29" s="135">
        <v>4007.3</v>
      </c>
      <c r="AJ29" s="143">
        <v>4</v>
      </c>
      <c r="AK29" s="137" t="s">
        <v>339</v>
      </c>
      <c r="AL29" s="159" t="s">
        <v>5356</v>
      </c>
      <c r="AM29" s="153" t="s">
        <v>5357</v>
      </c>
      <c r="AN29" s="136">
        <v>0.96192390163951424</v>
      </c>
      <c r="AO29" s="136">
        <v>-1.0625005885843758E-3</v>
      </c>
    </row>
    <row r="30" spans="1:41">
      <c r="A30" t="s">
        <v>1213</v>
      </c>
      <c r="B30" t="s">
        <v>1238</v>
      </c>
      <c r="C30" t="s">
        <v>1017</v>
      </c>
      <c r="D30" s="134">
        <v>154715</v>
      </c>
      <c r="E30" t="s">
        <v>1218</v>
      </c>
      <c r="F30" t="s">
        <v>5312</v>
      </c>
      <c r="G30" s="138">
        <v>-24390713</v>
      </c>
      <c r="H30" s="138">
        <v>-24390.713</v>
      </c>
      <c r="I30" s="136">
        <v>176.05046670903423</v>
      </c>
      <c r="J30" s="136">
        <v>-0.54035736935259915</v>
      </c>
      <c r="K30" t="s">
        <v>5229</v>
      </c>
      <c r="L30" t="s">
        <v>1212</v>
      </c>
      <c r="M30" t="s">
        <v>5308</v>
      </c>
      <c r="N30" s="138">
        <v>-97562852</v>
      </c>
      <c r="O30" s="138">
        <v>-97562.851999999999</v>
      </c>
      <c r="P30" s="136">
        <v>175.72975989722178</v>
      </c>
      <c r="Q30" s="136">
        <v>-0.53937301360277401</v>
      </c>
      <c r="R30" s="138">
        <v>-3785.4724000000001</v>
      </c>
      <c r="S30" t="s">
        <v>204</v>
      </c>
      <c r="T30" t="s">
        <v>204</v>
      </c>
      <c r="U30" t="s">
        <v>746</v>
      </c>
      <c r="V30" s="139" t="s">
        <v>314</v>
      </c>
      <c r="W30" s="153" t="s">
        <v>928</v>
      </c>
      <c r="X30" t="s">
        <v>5183</v>
      </c>
      <c r="Y30" t="s">
        <v>339</v>
      </c>
      <c r="Z30" t="s">
        <v>5226</v>
      </c>
      <c r="AA30" t="s">
        <v>5187</v>
      </c>
      <c r="AB30" s="139" t="s">
        <v>896</v>
      </c>
      <c r="AC30" t="s">
        <v>897</v>
      </c>
      <c r="AD30" s="142" t="s">
        <v>339</v>
      </c>
      <c r="AE30" s="167" t="s">
        <v>912</v>
      </c>
      <c r="AF30" t="s">
        <v>896</v>
      </c>
      <c r="AG30" s="153" t="s">
        <v>896</v>
      </c>
      <c r="AH30" s="159" t="s">
        <v>896</v>
      </c>
      <c r="AI30" s="135">
        <v>4007.3</v>
      </c>
      <c r="AJ30" s="143">
        <v>4</v>
      </c>
      <c r="AK30" s="137" t="s">
        <v>339</v>
      </c>
      <c r="AL30" s="159" t="s">
        <v>5356</v>
      </c>
      <c r="AM30" s="153" t="s">
        <v>5357</v>
      </c>
      <c r="AN30" s="136">
        <v>0.68183755321694839</v>
      </c>
      <c r="AO30" s="136">
        <v>-2.0927859690997135E-3</v>
      </c>
    </row>
    <row r="31" spans="1:41">
      <c r="A31" t="s">
        <v>1213</v>
      </c>
      <c r="B31" t="s">
        <v>1241</v>
      </c>
      <c r="C31" t="s">
        <v>1017</v>
      </c>
      <c r="D31" s="134">
        <v>154715</v>
      </c>
      <c r="E31" t="s">
        <v>1218</v>
      </c>
      <c r="F31" t="s">
        <v>5312</v>
      </c>
      <c r="G31" s="138">
        <v>-1781988</v>
      </c>
      <c r="H31" s="138">
        <v>-1781.9880000000001</v>
      </c>
      <c r="I31" s="136">
        <v>222.15878107277305</v>
      </c>
      <c r="J31" s="136">
        <v>-0.18827017773604734</v>
      </c>
      <c r="K31" t="s">
        <v>5229</v>
      </c>
      <c r="L31" t="s">
        <v>1212</v>
      </c>
      <c r="M31" t="s">
        <v>5308</v>
      </c>
      <c r="N31" s="138">
        <v>-7127952</v>
      </c>
      <c r="O31" s="138">
        <v>-7127.9520000000002</v>
      </c>
      <c r="P31" s="136">
        <v>221.75407987699751</v>
      </c>
      <c r="Q31" s="136">
        <v>-0.1879272105767448</v>
      </c>
      <c r="R31" s="138">
        <v>-276.56700000000001</v>
      </c>
      <c r="S31" t="s">
        <v>204</v>
      </c>
      <c r="T31" t="s">
        <v>204</v>
      </c>
      <c r="U31" t="s">
        <v>746</v>
      </c>
      <c r="V31" s="139" t="s">
        <v>314</v>
      </c>
      <c r="W31" s="153" t="s">
        <v>928</v>
      </c>
      <c r="X31" t="s">
        <v>5183</v>
      </c>
      <c r="Y31" t="s">
        <v>339</v>
      </c>
      <c r="Z31" t="s">
        <v>5226</v>
      </c>
      <c r="AA31" t="s">
        <v>5187</v>
      </c>
      <c r="AB31" s="139" t="s">
        <v>896</v>
      </c>
      <c r="AC31" t="s">
        <v>897</v>
      </c>
      <c r="AD31" s="142" t="s">
        <v>339</v>
      </c>
      <c r="AE31" s="167" t="s">
        <v>912</v>
      </c>
      <c r="AF31" t="s">
        <v>896</v>
      </c>
      <c r="AG31" s="153" t="s">
        <v>896</v>
      </c>
      <c r="AH31" s="159" t="s">
        <v>896</v>
      </c>
      <c r="AI31" s="135">
        <v>4007.3</v>
      </c>
      <c r="AJ31" s="143">
        <v>4</v>
      </c>
      <c r="AK31" s="137" t="s">
        <v>339</v>
      </c>
      <c r="AL31" s="159" t="s">
        <v>5356</v>
      </c>
      <c r="AM31" s="153" t="s">
        <v>5357</v>
      </c>
      <c r="AN31" s="136">
        <v>0.86041350837581332</v>
      </c>
      <c r="AO31" s="136">
        <v>-7.2916408420222183E-4</v>
      </c>
    </row>
    <row r="32" spans="1:41">
      <c r="A32" t="s">
        <v>1213</v>
      </c>
      <c r="B32" t="s">
        <v>1238</v>
      </c>
      <c r="C32" t="s">
        <v>1017</v>
      </c>
      <c r="D32" s="134">
        <v>154716</v>
      </c>
      <c r="E32" t="s">
        <v>1227</v>
      </c>
      <c r="F32" t="s">
        <v>5310</v>
      </c>
      <c r="G32" s="138">
        <v>-461000</v>
      </c>
      <c r="H32" s="138">
        <v>-461</v>
      </c>
      <c r="I32" s="136">
        <v>3.9064696806746535</v>
      </c>
      <c r="J32" s="136">
        <v>-1.199025324706351E-2</v>
      </c>
      <c r="K32" t="s">
        <v>5225</v>
      </c>
      <c r="L32" t="s">
        <v>1212</v>
      </c>
      <c r="M32" t="s">
        <v>5308</v>
      </c>
      <c r="N32" s="138">
        <v>-2151948</v>
      </c>
      <c r="O32" s="138">
        <v>-2151.9479999999999</v>
      </c>
      <c r="P32" s="136">
        <v>3.876078831226732</v>
      </c>
      <c r="Q32" s="136">
        <v>-1.1896973633739842E-2</v>
      </c>
      <c r="R32" s="138">
        <v>-139.12129999999999</v>
      </c>
      <c r="S32" t="s">
        <v>204</v>
      </c>
      <c r="T32" t="s">
        <v>204</v>
      </c>
      <c r="U32" t="s">
        <v>746</v>
      </c>
      <c r="V32" s="139" t="s">
        <v>314</v>
      </c>
      <c r="W32" s="153" t="s">
        <v>928</v>
      </c>
      <c r="X32" t="s">
        <v>5173</v>
      </c>
      <c r="Y32" t="s">
        <v>339</v>
      </c>
      <c r="Z32" t="s">
        <v>5226</v>
      </c>
      <c r="AA32" t="s">
        <v>5187</v>
      </c>
      <c r="AB32" s="139" t="s">
        <v>896</v>
      </c>
      <c r="AC32" t="s">
        <v>897</v>
      </c>
      <c r="AD32" s="142" t="s">
        <v>339</v>
      </c>
      <c r="AE32" s="167" t="s">
        <v>912</v>
      </c>
      <c r="AF32" t="s">
        <v>896</v>
      </c>
      <c r="AG32" s="153" t="s">
        <v>896</v>
      </c>
      <c r="AH32" s="159" t="s">
        <v>896</v>
      </c>
      <c r="AI32" s="135">
        <v>4704.6000000000004</v>
      </c>
      <c r="AJ32" s="143">
        <v>4.6680000000000001</v>
      </c>
      <c r="AK32" s="137" t="s">
        <v>339</v>
      </c>
      <c r="AL32" s="159" t="s">
        <v>5356</v>
      </c>
      <c r="AM32" s="153" t="s">
        <v>5357</v>
      </c>
      <c r="AN32" s="136">
        <v>2.5058458381444829E-2</v>
      </c>
      <c r="AO32" s="136">
        <v>-7.6912733627727833E-5</v>
      </c>
    </row>
    <row r="33" spans="1:41">
      <c r="A33" t="s">
        <v>1213</v>
      </c>
      <c r="B33" t="s">
        <v>1242</v>
      </c>
      <c r="C33" t="s">
        <v>1017</v>
      </c>
      <c r="D33" s="134">
        <v>154716</v>
      </c>
      <c r="E33" t="s">
        <v>1227</v>
      </c>
      <c r="F33" t="s">
        <v>5310</v>
      </c>
      <c r="G33" s="138">
        <v>-364388</v>
      </c>
      <c r="H33" s="138">
        <v>-364.38799999999998</v>
      </c>
      <c r="I33" s="136">
        <v>40.558819633917111</v>
      </c>
      <c r="J33" s="136">
        <v>-4.4799562272935467E-2</v>
      </c>
      <c r="K33" t="s">
        <v>5225</v>
      </c>
      <c r="L33" t="s">
        <v>1212</v>
      </c>
      <c r="M33" t="s">
        <v>5308</v>
      </c>
      <c r="N33" s="138">
        <v>-1700963.18</v>
      </c>
      <c r="O33" s="138">
        <v>-1700.96318</v>
      </c>
      <c r="P33" s="136">
        <v>40.243287337052742</v>
      </c>
      <c r="Q33" s="136">
        <v>-4.4451038600153904E-2</v>
      </c>
      <c r="R33" s="138">
        <v>-109.96560000000001</v>
      </c>
      <c r="S33" t="s">
        <v>204</v>
      </c>
      <c r="T33" t="s">
        <v>204</v>
      </c>
      <c r="U33" t="s">
        <v>746</v>
      </c>
      <c r="V33" s="139" t="s">
        <v>314</v>
      </c>
      <c r="W33" s="153" t="s">
        <v>928</v>
      </c>
      <c r="X33" t="s">
        <v>5173</v>
      </c>
      <c r="Y33" t="s">
        <v>339</v>
      </c>
      <c r="Z33" t="s">
        <v>5226</v>
      </c>
      <c r="AA33" t="s">
        <v>5187</v>
      </c>
      <c r="AB33" s="139" t="s">
        <v>896</v>
      </c>
      <c r="AC33" t="s">
        <v>897</v>
      </c>
      <c r="AD33" s="142" t="s">
        <v>339</v>
      </c>
      <c r="AE33" s="167" t="s">
        <v>912</v>
      </c>
      <c r="AF33" t="s">
        <v>896</v>
      </c>
      <c r="AG33" s="153" t="s">
        <v>896</v>
      </c>
      <c r="AH33" s="159" t="s">
        <v>896</v>
      </c>
      <c r="AI33" s="135">
        <v>4704.6000000000004</v>
      </c>
      <c r="AJ33" s="143">
        <v>4.6680000000000001</v>
      </c>
      <c r="AK33" s="137" t="s">
        <v>339</v>
      </c>
      <c r="AL33" s="159" t="s">
        <v>5356</v>
      </c>
      <c r="AM33" s="153" t="s">
        <v>5357</v>
      </c>
      <c r="AN33" s="136">
        <v>0.26016879097382772</v>
      </c>
      <c r="AO33" s="136">
        <v>-2.8737147821135102E-4</v>
      </c>
    </row>
    <row r="34" spans="1:41">
      <c r="A34" t="s">
        <v>1213</v>
      </c>
      <c r="B34" t="s">
        <v>1243</v>
      </c>
      <c r="C34" t="s">
        <v>1017</v>
      </c>
      <c r="D34" s="134">
        <v>154716</v>
      </c>
      <c r="E34" t="s">
        <v>1227</v>
      </c>
      <c r="F34" t="s">
        <v>5310</v>
      </c>
      <c r="G34" s="138">
        <v>-3569528</v>
      </c>
      <c r="H34" s="138">
        <v>-3569.5279999999998</v>
      </c>
      <c r="I34" s="136">
        <v>15.394501683936662</v>
      </c>
      <c r="J34" s="136">
        <v>-3.7718492243981598E-2</v>
      </c>
      <c r="K34" t="s">
        <v>5225</v>
      </c>
      <c r="L34" t="s">
        <v>1212</v>
      </c>
      <c r="M34" t="s">
        <v>5308</v>
      </c>
      <c r="N34" s="138">
        <v>-16662556.699999999</v>
      </c>
      <c r="O34" s="138">
        <v>-16662.556700000001</v>
      </c>
      <c r="P34" s="136">
        <v>15.274738307904032</v>
      </c>
      <c r="Q34" s="136">
        <v>-3.7425056700386622E-2</v>
      </c>
      <c r="R34" s="138">
        <v>-1077.2175</v>
      </c>
      <c r="S34" t="s">
        <v>204</v>
      </c>
      <c r="T34" t="s">
        <v>204</v>
      </c>
      <c r="U34" t="s">
        <v>746</v>
      </c>
      <c r="V34" s="139" t="s">
        <v>314</v>
      </c>
      <c r="W34" s="153" t="s">
        <v>928</v>
      </c>
      <c r="X34" t="s">
        <v>5173</v>
      </c>
      <c r="Y34" t="s">
        <v>339</v>
      </c>
      <c r="Z34" t="s">
        <v>5226</v>
      </c>
      <c r="AA34" t="s">
        <v>5187</v>
      </c>
      <c r="AB34" s="139" t="s">
        <v>896</v>
      </c>
      <c r="AC34" t="s">
        <v>897</v>
      </c>
      <c r="AD34" s="142" t="s">
        <v>339</v>
      </c>
      <c r="AE34" s="167" t="s">
        <v>912</v>
      </c>
      <c r="AF34" t="s">
        <v>896</v>
      </c>
      <c r="AG34" s="153" t="s">
        <v>896</v>
      </c>
      <c r="AH34" s="159" t="s">
        <v>896</v>
      </c>
      <c r="AI34" s="135">
        <v>4704.6000000000004</v>
      </c>
      <c r="AJ34" s="143">
        <v>4.6680000000000001</v>
      </c>
      <c r="AK34" s="137" t="s">
        <v>339</v>
      </c>
      <c r="AL34" s="159" t="s">
        <v>5356</v>
      </c>
      <c r="AM34" s="153" t="s">
        <v>5357</v>
      </c>
      <c r="AN34" s="136">
        <v>9.8749641308719605E-2</v>
      </c>
      <c r="AO34" s="136">
        <v>-2.4194921383427549E-4</v>
      </c>
    </row>
    <row r="35" spans="1:41">
      <c r="A35" t="s">
        <v>1213</v>
      </c>
      <c r="B35" t="s">
        <v>1253</v>
      </c>
      <c r="C35" t="s">
        <v>1017</v>
      </c>
      <c r="D35" s="134">
        <v>154716</v>
      </c>
      <c r="E35" t="s">
        <v>1227</v>
      </c>
      <c r="F35" t="s">
        <v>5310</v>
      </c>
      <c r="G35" s="138">
        <v>-114260</v>
      </c>
      <c r="H35" s="138">
        <v>-114.26</v>
      </c>
      <c r="I35" s="136">
        <v>15.115644529823285</v>
      </c>
      <c r="J35" s="136">
        <v>-4.5857784445314145E-2</v>
      </c>
      <c r="K35" t="s">
        <v>5225</v>
      </c>
      <c r="L35" t="s">
        <v>1212</v>
      </c>
      <c r="M35" t="s">
        <v>5308</v>
      </c>
      <c r="N35" s="138">
        <v>-533365.68000000005</v>
      </c>
      <c r="O35" s="138">
        <v>-533.36568</v>
      </c>
      <c r="P35" s="136">
        <v>14.998050560135844</v>
      </c>
      <c r="Q35" s="136">
        <v>-4.5501028310744041E-2</v>
      </c>
      <c r="R35" s="138">
        <v>-34.4816</v>
      </c>
      <c r="S35" t="s">
        <v>204</v>
      </c>
      <c r="T35" t="s">
        <v>204</v>
      </c>
      <c r="U35" t="s">
        <v>746</v>
      </c>
      <c r="V35" s="139" t="s">
        <v>314</v>
      </c>
      <c r="W35" s="153" t="s">
        <v>928</v>
      </c>
      <c r="X35" t="s">
        <v>5173</v>
      </c>
      <c r="Y35" t="s">
        <v>339</v>
      </c>
      <c r="Z35" t="s">
        <v>5226</v>
      </c>
      <c r="AA35" t="s">
        <v>5187</v>
      </c>
      <c r="AB35" s="139" t="s">
        <v>896</v>
      </c>
      <c r="AC35" t="s">
        <v>897</v>
      </c>
      <c r="AD35" s="142" t="s">
        <v>339</v>
      </c>
      <c r="AE35" s="167" t="s">
        <v>912</v>
      </c>
      <c r="AF35" t="s">
        <v>896</v>
      </c>
      <c r="AG35" s="153" t="s">
        <v>896</v>
      </c>
      <c r="AH35" s="159" t="s">
        <v>896</v>
      </c>
      <c r="AI35" s="135">
        <v>4704.6000000000004</v>
      </c>
      <c r="AJ35" s="143">
        <v>4.6680000000000001</v>
      </c>
      <c r="AK35" s="137" t="s">
        <v>339</v>
      </c>
      <c r="AL35" s="159" t="s">
        <v>5356</v>
      </c>
      <c r="AM35" s="153" t="s">
        <v>5357</v>
      </c>
      <c r="AN35" s="136">
        <v>9.696088292534151E-2</v>
      </c>
      <c r="AO35" s="136">
        <v>-2.9415955502557942E-4</v>
      </c>
    </row>
    <row r="36" spans="1:41">
      <c r="A36" t="s">
        <v>1213</v>
      </c>
      <c r="B36" t="s">
        <v>1252</v>
      </c>
      <c r="C36" t="s">
        <v>1017</v>
      </c>
      <c r="D36" s="134">
        <v>154716</v>
      </c>
      <c r="E36" t="s">
        <v>1227</v>
      </c>
      <c r="F36" t="s">
        <v>5310</v>
      </c>
      <c r="G36" s="138">
        <v>-117999</v>
      </c>
      <c r="H36" s="138">
        <v>-117.999</v>
      </c>
      <c r="I36" s="136">
        <v>13.180039153186568</v>
      </c>
      <c r="J36" s="136">
        <v>-3.165682811425833E-2</v>
      </c>
      <c r="K36" t="s">
        <v>5225</v>
      </c>
      <c r="L36" t="s">
        <v>1212</v>
      </c>
      <c r="M36" t="s">
        <v>5308</v>
      </c>
      <c r="N36" s="138">
        <v>-550819.32999999996</v>
      </c>
      <c r="O36" s="138">
        <v>-550.81932999999992</v>
      </c>
      <c r="P36" s="136">
        <v>13.077503410211817</v>
      </c>
      <c r="Q36" s="136">
        <v>-3.1410549908769486E-2</v>
      </c>
      <c r="R36" s="138">
        <v>-35.609900000000003</v>
      </c>
      <c r="S36" t="s">
        <v>204</v>
      </c>
      <c r="T36" t="s">
        <v>204</v>
      </c>
      <c r="U36" t="s">
        <v>746</v>
      </c>
      <c r="V36" s="139" t="s">
        <v>314</v>
      </c>
      <c r="W36" s="153" t="s">
        <v>928</v>
      </c>
      <c r="X36" t="s">
        <v>5173</v>
      </c>
      <c r="Y36" t="s">
        <v>339</v>
      </c>
      <c r="Z36" t="s">
        <v>5226</v>
      </c>
      <c r="AA36" t="s">
        <v>5187</v>
      </c>
      <c r="AB36" s="139" t="s">
        <v>896</v>
      </c>
      <c r="AC36" t="s">
        <v>897</v>
      </c>
      <c r="AD36" s="142" t="s">
        <v>339</v>
      </c>
      <c r="AE36" s="167" t="s">
        <v>912</v>
      </c>
      <c r="AF36" t="s">
        <v>896</v>
      </c>
      <c r="AG36" s="153" t="s">
        <v>896</v>
      </c>
      <c r="AH36" s="159" t="s">
        <v>896</v>
      </c>
      <c r="AI36" s="135">
        <v>4704.6000000000004</v>
      </c>
      <c r="AJ36" s="143">
        <v>4.6680000000000001</v>
      </c>
      <c r="AK36" s="137" t="s">
        <v>339</v>
      </c>
      <c r="AL36" s="159" t="s">
        <v>5356</v>
      </c>
      <c r="AM36" s="153" t="s">
        <v>5357</v>
      </c>
      <c r="AN36" s="136">
        <v>8.4544739773559641E-2</v>
      </c>
      <c r="AO36" s="136">
        <v>-2.0306603522715587E-4</v>
      </c>
    </row>
    <row r="37" spans="1:41">
      <c r="A37" t="s">
        <v>1213</v>
      </c>
      <c r="B37" t="s">
        <v>1251</v>
      </c>
      <c r="C37" t="s">
        <v>1017</v>
      </c>
      <c r="D37" s="134">
        <v>154716</v>
      </c>
      <c r="E37" t="s">
        <v>1227</v>
      </c>
      <c r="F37" t="s">
        <v>5310</v>
      </c>
      <c r="G37" s="138">
        <v>-208000</v>
      </c>
      <c r="H37" s="138">
        <v>-208</v>
      </c>
      <c r="I37" s="136">
        <v>10.030553974849186</v>
      </c>
      <c r="J37" s="136">
        <v>-3.5272371394953629E-2</v>
      </c>
      <c r="K37" t="s">
        <v>5225</v>
      </c>
      <c r="L37" t="s">
        <v>1212</v>
      </c>
      <c r="M37" t="s">
        <v>5308</v>
      </c>
      <c r="N37" s="138">
        <v>-970944</v>
      </c>
      <c r="O37" s="138">
        <v>-970.94399999999996</v>
      </c>
      <c r="P37" s="136">
        <v>9.9525200770726521</v>
      </c>
      <c r="Q37" s="136">
        <v>-3.4997965750891369E-2</v>
      </c>
      <c r="R37" s="138">
        <v>-62.770499999999998</v>
      </c>
      <c r="S37" t="s">
        <v>204</v>
      </c>
      <c r="T37" t="s">
        <v>204</v>
      </c>
      <c r="U37" t="s">
        <v>746</v>
      </c>
      <c r="V37" s="139" t="s">
        <v>314</v>
      </c>
      <c r="W37" s="153" t="s">
        <v>928</v>
      </c>
      <c r="X37" t="s">
        <v>5173</v>
      </c>
      <c r="Y37" t="s">
        <v>339</v>
      </c>
      <c r="Z37" t="s">
        <v>5226</v>
      </c>
      <c r="AA37" t="s">
        <v>5187</v>
      </c>
      <c r="AB37" s="139" t="s">
        <v>896</v>
      </c>
      <c r="AC37" t="s">
        <v>897</v>
      </c>
      <c r="AD37" s="142" t="s">
        <v>339</v>
      </c>
      <c r="AE37" s="167" t="s">
        <v>912</v>
      </c>
      <c r="AF37" t="s">
        <v>896</v>
      </c>
      <c r="AG37" s="153" t="s">
        <v>896</v>
      </c>
      <c r="AH37" s="159" t="s">
        <v>896</v>
      </c>
      <c r="AI37" s="135">
        <v>4704.6000000000004</v>
      </c>
      <c r="AJ37" s="143">
        <v>4.6680000000000001</v>
      </c>
      <c r="AK37" s="137" t="s">
        <v>339</v>
      </c>
      <c r="AL37" s="159" t="s">
        <v>5356</v>
      </c>
      <c r="AM37" s="153" t="s">
        <v>5357</v>
      </c>
      <c r="AN37" s="136">
        <v>6.4342037662554044E-2</v>
      </c>
      <c r="AO37" s="136">
        <v>-2.2625831578517808E-4</v>
      </c>
    </row>
    <row r="38" spans="1:41">
      <c r="A38" t="s">
        <v>1213</v>
      </c>
      <c r="B38" t="s">
        <v>1257</v>
      </c>
      <c r="C38" t="s">
        <v>1017</v>
      </c>
      <c r="D38" s="134">
        <v>154716</v>
      </c>
      <c r="E38" t="s">
        <v>1227</v>
      </c>
      <c r="F38" t="s">
        <v>5310</v>
      </c>
      <c r="G38" s="138">
        <v>-254825</v>
      </c>
      <c r="H38" s="138">
        <v>-254.82499999999999</v>
      </c>
      <c r="I38" s="136">
        <v>24.599392168226309</v>
      </c>
      <c r="J38" s="136">
        <v>-4.4010233969565715E-2</v>
      </c>
      <c r="K38" t="s">
        <v>5225</v>
      </c>
      <c r="L38" t="s">
        <v>1212</v>
      </c>
      <c r="M38" t="s">
        <v>5308</v>
      </c>
      <c r="N38" s="138">
        <v>-1189523.1000000001</v>
      </c>
      <c r="O38" s="138">
        <v>-1189.5231000000001</v>
      </c>
      <c r="P38" s="136">
        <v>24.408018246244186</v>
      </c>
      <c r="Q38" s="136">
        <v>-4.3667851075528792E-2</v>
      </c>
      <c r="R38" s="138">
        <v>-76.901499999999999</v>
      </c>
      <c r="S38" t="s">
        <v>204</v>
      </c>
      <c r="T38" t="s">
        <v>204</v>
      </c>
      <c r="U38" t="s">
        <v>746</v>
      </c>
      <c r="V38" s="139" t="s">
        <v>314</v>
      </c>
      <c r="W38" s="153" t="s">
        <v>928</v>
      </c>
      <c r="X38" t="s">
        <v>5173</v>
      </c>
      <c r="Y38" t="s">
        <v>339</v>
      </c>
      <c r="Z38" t="s">
        <v>5226</v>
      </c>
      <c r="AA38" t="s">
        <v>5187</v>
      </c>
      <c r="AB38" s="139" t="s">
        <v>896</v>
      </c>
      <c r="AC38" t="s">
        <v>897</v>
      </c>
      <c r="AD38" s="142" t="s">
        <v>339</v>
      </c>
      <c r="AE38" s="167" t="s">
        <v>912</v>
      </c>
      <c r="AF38" t="s">
        <v>896</v>
      </c>
      <c r="AG38" s="153" t="s">
        <v>896</v>
      </c>
      <c r="AH38" s="159" t="s">
        <v>896</v>
      </c>
      <c r="AI38" s="135">
        <v>4704.6000000000004</v>
      </c>
      <c r="AJ38" s="143">
        <v>4.6680000000000001</v>
      </c>
      <c r="AK38" s="137" t="s">
        <v>339</v>
      </c>
      <c r="AL38" s="159" t="s">
        <v>5356</v>
      </c>
      <c r="AM38" s="153" t="s">
        <v>5357</v>
      </c>
      <c r="AN38" s="136">
        <v>0.15779537414709463</v>
      </c>
      <c r="AO38" s="136">
        <v>-2.8230824924604318E-4</v>
      </c>
    </row>
    <row r="39" spans="1:41">
      <c r="A39" t="s">
        <v>1213</v>
      </c>
      <c r="B39" t="s">
        <v>1233</v>
      </c>
      <c r="C39" t="s">
        <v>1017</v>
      </c>
      <c r="D39" s="134">
        <v>154716</v>
      </c>
      <c r="E39" t="s">
        <v>1227</v>
      </c>
      <c r="F39" t="s">
        <v>5310</v>
      </c>
      <c r="G39" s="138">
        <v>-210000</v>
      </c>
      <c r="H39" s="138">
        <v>-210</v>
      </c>
      <c r="I39" s="136">
        <v>3.0770117144691538</v>
      </c>
      <c r="J39" s="136">
        <v>-2.6247722920614294E-2</v>
      </c>
      <c r="K39" t="s">
        <v>5225</v>
      </c>
      <c r="L39" t="s">
        <v>1212</v>
      </c>
      <c r="M39" t="s">
        <v>5308</v>
      </c>
      <c r="N39" s="138">
        <v>-980280</v>
      </c>
      <c r="O39" s="138">
        <v>-980.28</v>
      </c>
      <c r="P39" s="136">
        <v>3.0530737327598541</v>
      </c>
      <c r="Q39" s="136">
        <v>-2.6043525611832572E-2</v>
      </c>
      <c r="R39" s="138">
        <v>-63.374099999999999</v>
      </c>
      <c r="S39" t="s">
        <v>204</v>
      </c>
      <c r="T39" t="s">
        <v>204</v>
      </c>
      <c r="U39" t="s">
        <v>746</v>
      </c>
      <c r="V39" s="139" t="s">
        <v>314</v>
      </c>
      <c r="W39" s="153" t="s">
        <v>928</v>
      </c>
      <c r="X39" t="s">
        <v>5173</v>
      </c>
      <c r="Y39" t="s">
        <v>339</v>
      </c>
      <c r="Z39" t="s">
        <v>5226</v>
      </c>
      <c r="AA39" t="s">
        <v>5187</v>
      </c>
      <c r="AB39" s="139" t="s">
        <v>896</v>
      </c>
      <c r="AC39" t="s">
        <v>897</v>
      </c>
      <c r="AD39" s="142" t="s">
        <v>339</v>
      </c>
      <c r="AE39" s="167" t="s">
        <v>912</v>
      </c>
      <c r="AF39" t="s">
        <v>896</v>
      </c>
      <c r="AG39" s="153" t="s">
        <v>896</v>
      </c>
      <c r="AH39" s="159" t="s">
        <v>896</v>
      </c>
      <c r="AI39" s="135">
        <v>4704.6000000000004</v>
      </c>
      <c r="AJ39" s="143">
        <v>4.6680000000000001</v>
      </c>
      <c r="AK39" s="137" t="s">
        <v>339</v>
      </c>
      <c r="AL39" s="159" t="s">
        <v>5356</v>
      </c>
      <c r="AM39" s="153" t="s">
        <v>5357</v>
      </c>
      <c r="AN39" s="136">
        <v>1.9737813496334959E-2</v>
      </c>
      <c r="AO39" s="136">
        <v>-1.6836876417285242E-4</v>
      </c>
    </row>
    <row r="40" spans="1:41">
      <c r="A40" t="s">
        <v>1213</v>
      </c>
      <c r="B40" t="s">
        <v>1251</v>
      </c>
      <c r="C40" t="s">
        <v>1017</v>
      </c>
      <c r="D40" s="134">
        <v>154722</v>
      </c>
      <c r="E40" t="s">
        <v>1216</v>
      </c>
      <c r="F40" t="s">
        <v>5313</v>
      </c>
      <c r="G40" s="138">
        <v>-850000</v>
      </c>
      <c r="H40" s="138">
        <v>-850</v>
      </c>
      <c r="I40" s="136">
        <v>32.690430168784296</v>
      </c>
      <c r="J40" s="136">
        <v>-0.11495566415029369</v>
      </c>
      <c r="K40" t="s">
        <v>5240</v>
      </c>
      <c r="L40" t="s">
        <v>1212</v>
      </c>
      <c r="M40" t="s">
        <v>5308</v>
      </c>
      <c r="N40" s="138">
        <v>-3173560</v>
      </c>
      <c r="O40" s="138">
        <v>-3173.56</v>
      </c>
      <c r="P40" s="136">
        <v>32.530114626378747</v>
      </c>
      <c r="Q40" s="136">
        <v>-0.11439191569070803</v>
      </c>
      <c r="R40" s="138">
        <v>22.3123</v>
      </c>
      <c r="S40" t="s">
        <v>204</v>
      </c>
      <c r="T40" t="s">
        <v>204</v>
      </c>
      <c r="U40" t="s">
        <v>746</v>
      </c>
      <c r="V40" s="139" t="s">
        <v>314</v>
      </c>
      <c r="W40" s="153" t="s">
        <v>928</v>
      </c>
      <c r="X40" t="s">
        <v>5176</v>
      </c>
      <c r="Y40" t="s">
        <v>339</v>
      </c>
      <c r="Z40" t="s">
        <v>4696</v>
      </c>
      <c r="AA40" t="s">
        <v>5187</v>
      </c>
      <c r="AB40" s="139" t="s">
        <v>896</v>
      </c>
      <c r="AC40" t="s">
        <v>897</v>
      </c>
      <c r="AD40" s="142" t="s">
        <v>339</v>
      </c>
      <c r="AE40" s="167" t="s">
        <v>912</v>
      </c>
      <c r="AF40" t="s">
        <v>896</v>
      </c>
      <c r="AG40" s="153" t="s">
        <v>896</v>
      </c>
      <c r="AH40" s="159" t="s">
        <v>896</v>
      </c>
      <c r="AI40" s="135">
        <v>3752</v>
      </c>
      <c r="AJ40" s="143">
        <v>3.7336</v>
      </c>
      <c r="AK40" s="137" t="s">
        <v>339</v>
      </c>
      <c r="AL40" s="159" t="s">
        <v>5356</v>
      </c>
      <c r="AM40" s="153" t="s">
        <v>5357</v>
      </c>
      <c r="AN40" s="136">
        <v>-2.2870942438886974E-2</v>
      </c>
      <c r="AO40" s="136">
        <v>8.042550569787022E-5</v>
      </c>
    </row>
    <row r="41" spans="1:41">
      <c r="A41" t="s">
        <v>1213</v>
      </c>
      <c r="B41" t="s">
        <v>1252</v>
      </c>
      <c r="C41" t="s">
        <v>1017</v>
      </c>
      <c r="D41" s="134">
        <v>154722</v>
      </c>
      <c r="E41" t="s">
        <v>1216</v>
      </c>
      <c r="F41" t="s">
        <v>5313</v>
      </c>
      <c r="G41" s="138">
        <v>-440000</v>
      </c>
      <c r="H41" s="138">
        <v>-440</v>
      </c>
      <c r="I41" s="136">
        <v>39.195045732782262</v>
      </c>
      <c r="J41" s="136">
        <v>-9.4141664624205132E-2</v>
      </c>
      <c r="K41" t="s">
        <v>5240</v>
      </c>
      <c r="L41" t="s">
        <v>1212</v>
      </c>
      <c r="M41" t="s">
        <v>5308</v>
      </c>
      <c r="N41" s="138">
        <v>-1642784</v>
      </c>
      <c r="O41" s="138">
        <v>-1642.7840000000001</v>
      </c>
      <c r="P41" s="136">
        <v>39.002831222792075</v>
      </c>
      <c r="Q41" s="136">
        <v>-9.3679989083404122E-2</v>
      </c>
      <c r="R41" s="138">
        <v>11.549899999999999</v>
      </c>
      <c r="S41" t="s">
        <v>204</v>
      </c>
      <c r="T41" t="s">
        <v>204</v>
      </c>
      <c r="U41" t="s">
        <v>746</v>
      </c>
      <c r="V41" s="139" t="s">
        <v>314</v>
      </c>
      <c r="W41" s="153" t="s">
        <v>928</v>
      </c>
      <c r="X41" t="s">
        <v>5176</v>
      </c>
      <c r="Y41" t="s">
        <v>339</v>
      </c>
      <c r="Z41" t="s">
        <v>4696</v>
      </c>
      <c r="AA41" t="s">
        <v>5187</v>
      </c>
      <c r="AB41" s="139" t="s">
        <v>896</v>
      </c>
      <c r="AC41" t="s">
        <v>897</v>
      </c>
      <c r="AD41" s="142" t="s">
        <v>339</v>
      </c>
      <c r="AE41" s="167" t="s">
        <v>912</v>
      </c>
      <c r="AF41" t="s">
        <v>896</v>
      </c>
      <c r="AG41" s="153" t="s">
        <v>896</v>
      </c>
      <c r="AH41" s="159" t="s">
        <v>896</v>
      </c>
      <c r="AI41" s="135">
        <v>3752</v>
      </c>
      <c r="AJ41" s="143">
        <v>3.7336</v>
      </c>
      <c r="AK41" s="137" t="s">
        <v>339</v>
      </c>
      <c r="AL41" s="159" t="s">
        <v>5356</v>
      </c>
      <c r="AM41" s="153" t="s">
        <v>5357</v>
      </c>
      <c r="AN41" s="136">
        <v>-2.7421714251407613E-2</v>
      </c>
      <c r="AO41" s="136">
        <v>6.5863574801690948E-5</v>
      </c>
    </row>
    <row r="42" spans="1:41">
      <c r="A42" t="s">
        <v>1213</v>
      </c>
      <c r="B42" t="s">
        <v>1243</v>
      </c>
      <c r="C42" t="s">
        <v>1017</v>
      </c>
      <c r="D42" s="134">
        <v>154722</v>
      </c>
      <c r="E42" t="s">
        <v>1216</v>
      </c>
      <c r="F42" t="s">
        <v>5313</v>
      </c>
      <c r="G42" s="138">
        <v>-5910000</v>
      </c>
      <c r="H42" s="138">
        <v>-5910</v>
      </c>
      <c r="I42" s="136">
        <v>20.327428812633691</v>
      </c>
      <c r="J42" s="136">
        <v>-4.9804792759836014E-2</v>
      </c>
      <c r="K42" t="s">
        <v>5240</v>
      </c>
      <c r="L42" t="s">
        <v>1212</v>
      </c>
      <c r="M42" t="s">
        <v>5308</v>
      </c>
      <c r="N42" s="138">
        <v>-22065576</v>
      </c>
      <c r="O42" s="138">
        <v>-22065.576000000001</v>
      </c>
      <c r="P42" s="136">
        <v>20.227742061526957</v>
      </c>
      <c r="Q42" s="136">
        <v>-4.9560547507495667E-2</v>
      </c>
      <c r="R42" s="138">
        <v>155.13639999999998</v>
      </c>
      <c r="S42" t="s">
        <v>204</v>
      </c>
      <c r="T42" t="s">
        <v>204</v>
      </c>
      <c r="U42" t="s">
        <v>746</v>
      </c>
      <c r="V42" s="139" t="s">
        <v>314</v>
      </c>
      <c r="W42" s="153" t="s">
        <v>928</v>
      </c>
      <c r="X42" t="s">
        <v>5176</v>
      </c>
      <c r="Y42" t="s">
        <v>339</v>
      </c>
      <c r="Z42" t="s">
        <v>4696</v>
      </c>
      <c r="AA42" t="s">
        <v>5187</v>
      </c>
      <c r="AB42" s="139" t="s">
        <v>896</v>
      </c>
      <c r="AC42" t="s">
        <v>897</v>
      </c>
      <c r="AD42" s="142" t="s">
        <v>339</v>
      </c>
      <c r="AE42" s="167" t="s">
        <v>912</v>
      </c>
      <c r="AF42" t="s">
        <v>896</v>
      </c>
      <c r="AG42" s="153" t="s">
        <v>896</v>
      </c>
      <c r="AH42" s="159" t="s">
        <v>896</v>
      </c>
      <c r="AI42" s="135">
        <v>3752</v>
      </c>
      <c r="AJ42" s="143">
        <v>3.7336</v>
      </c>
      <c r="AK42" s="137" t="s">
        <v>339</v>
      </c>
      <c r="AL42" s="159" t="s">
        <v>5356</v>
      </c>
      <c r="AM42" s="153" t="s">
        <v>5357</v>
      </c>
      <c r="AN42" s="136">
        <v>-1.4221515345743277E-2</v>
      </c>
      <c r="AO42" s="136">
        <v>3.4844526135315085E-5</v>
      </c>
    </row>
    <row r="43" spans="1:41">
      <c r="A43" t="s">
        <v>1213</v>
      </c>
      <c r="B43" t="s">
        <v>1235</v>
      </c>
      <c r="C43" t="s">
        <v>1017</v>
      </c>
      <c r="D43" s="134">
        <v>154737</v>
      </c>
      <c r="E43" t="s">
        <v>1216</v>
      </c>
      <c r="F43" t="s">
        <v>5314</v>
      </c>
      <c r="G43" s="138">
        <v>437000</v>
      </c>
      <c r="H43" s="138">
        <v>437</v>
      </c>
      <c r="I43" s="136">
        <v>-96.918470379664768</v>
      </c>
      <c r="J43" s="136">
        <v>0.23577643632167888</v>
      </c>
      <c r="K43" t="s">
        <v>5231</v>
      </c>
      <c r="L43" t="s">
        <v>1212</v>
      </c>
      <c r="M43" t="s">
        <v>5308</v>
      </c>
      <c r="N43" s="138">
        <v>-1616900</v>
      </c>
      <c r="O43" s="138">
        <v>-1616.9</v>
      </c>
      <c r="P43" s="136">
        <v>96.293861548002042</v>
      </c>
      <c r="Q43" s="136">
        <v>-0.23425693189855315</v>
      </c>
      <c r="R43" s="138">
        <v>3.1514000000000002</v>
      </c>
      <c r="S43" t="s">
        <v>204</v>
      </c>
      <c r="T43" t="s">
        <v>204</v>
      </c>
      <c r="U43" t="s">
        <v>746</v>
      </c>
      <c r="V43" s="139" t="s">
        <v>314</v>
      </c>
      <c r="W43" s="153" t="s">
        <v>928</v>
      </c>
      <c r="X43" t="s">
        <v>5176</v>
      </c>
      <c r="Y43" t="s">
        <v>339</v>
      </c>
      <c r="Z43" t="s">
        <v>5232</v>
      </c>
      <c r="AA43" t="s">
        <v>5187</v>
      </c>
      <c r="AB43" s="139" t="s">
        <v>896</v>
      </c>
      <c r="AC43" t="s">
        <v>897</v>
      </c>
      <c r="AD43" s="142" t="s">
        <v>339</v>
      </c>
      <c r="AE43" s="167" t="s">
        <v>912</v>
      </c>
      <c r="AF43" t="s">
        <v>896</v>
      </c>
      <c r="AG43" s="153" t="s">
        <v>896</v>
      </c>
      <c r="AH43" s="159" t="s">
        <v>896</v>
      </c>
      <c r="AI43" s="135">
        <v>3724</v>
      </c>
      <c r="AJ43" s="143">
        <v>3.7</v>
      </c>
      <c r="AK43" s="137" t="s">
        <v>339</v>
      </c>
      <c r="AL43" s="159" t="s">
        <v>5356</v>
      </c>
      <c r="AM43" s="153" t="s">
        <v>5357</v>
      </c>
      <c r="AN43" s="136">
        <v>-1.8768065258359674E-2</v>
      </c>
      <c r="AO43" s="136">
        <v>4.5657628787723956E-5</v>
      </c>
    </row>
    <row r="44" spans="1:41">
      <c r="A44" t="s">
        <v>1213</v>
      </c>
      <c r="B44" t="s">
        <v>1235</v>
      </c>
      <c r="C44" t="s">
        <v>1017</v>
      </c>
      <c r="D44" s="134">
        <v>154741</v>
      </c>
      <c r="E44" t="s">
        <v>1216</v>
      </c>
      <c r="F44" t="s">
        <v>5315</v>
      </c>
      <c r="G44" s="138">
        <v>-134000</v>
      </c>
      <c r="H44" s="138">
        <v>-134</v>
      </c>
      <c r="I44" s="136">
        <v>29.966097046884897</v>
      </c>
      <c r="J44" s="136">
        <v>-7.2899412717790213E-2</v>
      </c>
      <c r="K44" t="s">
        <v>5233</v>
      </c>
      <c r="L44" t="s">
        <v>1212</v>
      </c>
      <c r="M44" t="s">
        <v>5308</v>
      </c>
      <c r="N44" s="138">
        <v>-499980.79999999999</v>
      </c>
      <c r="O44" s="138">
        <v>-499.98079999999999</v>
      </c>
      <c r="P44" s="136">
        <v>29.776165459743524</v>
      </c>
      <c r="Q44" s="136">
        <v>-7.2437360514678778E-2</v>
      </c>
      <c r="R44" s="138">
        <v>3.1971999999999996</v>
      </c>
      <c r="S44" t="s">
        <v>204</v>
      </c>
      <c r="T44" t="s">
        <v>204</v>
      </c>
      <c r="U44" t="s">
        <v>746</v>
      </c>
      <c r="V44" s="139" t="s">
        <v>314</v>
      </c>
      <c r="W44" s="153" t="s">
        <v>928</v>
      </c>
      <c r="X44" t="s">
        <v>5176</v>
      </c>
      <c r="Y44" t="s">
        <v>339</v>
      </c>
      <c r="Z44" t="s">
        <v>5234</v>
      </c>
      <c r="AA44" t="s">
        <v>5187</v>
      </c>
      <c r="AB44" s="139" t="s">
        <v>896</v>
      </c>
      <c r="AC44" t="s">
        <v>897</v>
      </c>
      <c r="AD44" s="142" t="s">
        <v>339</v>
      </c>
      <c r="AE44" s="167" t="s">
        <v>912</v>
      </c>
      <c r="AF44" t="s">
        <v>896</v>
      </c>
      <c r="AG44" s="153" t="s">
        <v>896</v>
      </c>
      <c r="AH44" s="159" t="s">
        <v>896</v>
      </c>
      <c r="AI44" s="135">
        <v>3755</v>
      </c>
      <c r="AJ44" s="143">
        <v>3.7311999999999999</v>
      </c>
      <c r="AK44" s="137" t="s">
        <v>339</v>
      </c>
      <c r="AL44" s="159" t="s">
        <v>5356</v>
      </c>
      <c r="AM44" s="153" t="s">
        <v>5357</v>
      </c>
      <c r="AN44" s="136">
        <v>-1.9040820551133354E-2</v>
      </c>
      <c r="AO44" s="136">
        <v>4.6321168675075995E-5</v>
      </c>
    </row>
    <row r="45" spans="1:41">
      <c r="A45" t="s">
        <v>1213</v>
      </c>
      <c r="B45" t="s">
        <v>1238</v>
      </c>
      <c r="C45" t="s">
        <v>1017</v>
      </c>
      <c r="D45" s="134">
        <v>154741</v>
      </c>
      <c r="E45" t="s">
        <v>1216</v>
      </c>
      <c r="F45" t="s">
        <v>5315</v>
      </c>
      <c r="G45" s="138">
        <v>-2568000</v>
      </c>
      <c r="H45" s="138">
        <v>-2568</v>
      </c>
      <c r="I45" s="136">
        <v>17.368639017720866</v>
      </c>
      <c r="J45" s="136">
        <v>-5.3310123308914478E-2</v>
      </c>
      <c r="K45" t="s">
        <v>5233</v>
      </c>
      <c r="L45" t="s">
        <v>1212</v>
      </c>
      <c r="M45" t="s">
        <v>5308</v>
      </c>
      <c r="N45" s="138">
        <v>-9581721.5999999996</v>
      </c>
      <c r="O45" s="138">
        <v>-9581.7215999999989</v>
      </c>
      <c r="P45" s="136">
        <v>17.258552836996031</v>
      </c>
      <c r="Q45" s="136">
        <v>-5.2972232247728818E-2</v>
      </c>
      <c r="R45" s="138">
        <v>61.271800000000006</v>
      </c>
      <c r="S45" t="s">
        <v>204</v>
      </c>
      <c r="T45" t="s">
        <v>204</v>
      </c>
      <c r="U45" t="s">
        <v>746</v>
      </c>
      <c r="V45" s="139" t="s">
        <v>314</v>
      </c>
      <c r="W45" s="153" t="s">
        <v>928</v>
      </c>
      <c r="X45" t="s">
        <v>5176</v>
      </c>
      <c r="Y45" t="s">
        <v>339</v>
      </c>
      <c r="Z45" t="s">
        <v>5234</v>
      </c>
      <c r="AA45" t="s">
        <v>5187</v>
      </c>
      <c r="AB45" s="139" t="s">
        <v>896</v>
      </c>
      <c r="AC45" t="s">
        <v>897</v>
      </c>
      <c r="AD45" s="142" t="s">
        <v>339</v>
      </c>
      <c r="AE45" s="167" t="s">
        <v>912</v>
      </c>
      <c r="AF45" t="s">
        <v>896</v>
      </c>
      <c r="AG45" s="153" t="s">
        <v>896</v>
      </c>
      <c r="AH45" s="159" t="s">
        <v>896</v>
      </c>
      <c r="AI45" s="135">
        <v>3755</v>
      </c>
      <c r="AJ45" s="143">
        <v>3.7311999999999999</v>
      </c>
      <c r="AK45" s="137" t="s">
        <v>339</v>
      </c>
      <c r="AL45" s="159" t="s">
        <v>5356</v>
      </c>
      <c r="AM45" s="153" t="s">
        <v>5357</v>
      </c>
      <c r="AN45" s="136">
        <v>-1.1036243333137397E-2</v>
      </c>
      <c r="AO45" s="136">
        <v>3.3873897221104384E-5</v>
      </c>
    </row>
    <row r="46" spans="1:41">
      <c r="A46" t="s">
        <v>1213</v>
      </c>
      <c r="B46" t="s">
        <v>1243</v>
      </c>
      <c r="C46" t="s">
        <v>1017</v>
      </c>
      <c r="D46" s="134">
        <v>154741</v>
      </c>
      <c r="E46" t="s">
        <v>1216</v>
      </c>
      <c r="F46" t="s">
        <v>5315</v>
      </c>
      <c r="G46" s="138">
        <v>-5326000</v>
      </c>
      <c r="H46" s="138">
        <v>-5326</v>
      </c>
      <c r="I46" s="136">
        <v>18.333409610288246</v>
      </c>
      <c r="J46" s="136">
        <v>-4.4919191435273745E-2</v>
      </c>
      <c r="K46" t="s">
        <v>5233</v>
      </c>
      <c r="L46" t="s">
        <v>1212</v>
      </c>
      <c r="M46" t="s">
        <v>5308</v>
      </c>
      <c r="N46" s="138">
        <v>-19872371.199999999</v>
      </c>
      <c r="O46" s="138">
        <v>-19872.371199999998</v>
      </c>
      <c r="P46" s="136">
        <v>18.217208505434755</v>
      </c>
      <c r="Q46" s="136">
        <v>-4.4634483910331126E-2</v>
      </c>
      <c r="R46" s="138">
        <v>127.07689999999999</v>
      </c>
      <c r="S46" t="s">
        <v>204</v>
      </c>
      <c r="T46" t="s">
        <v>204</v>
      </c>
      <c r="U46" t="s">
        <v>746</v>
      </c>
      <c r="V46" s="139" t="s">
        <v>314</v>
      </c>
      <c r="W46" s="153" t="s">
        <v>928</v>
      </c>
      <c r="X46" t="s">
        <v>5176</v>
      </c>
      <c r="Y46" t="s">
        <v>339</v>
      </c>
      <c r="Z46" t="s">
        <v>5234</v>
      </c>
      <c r="AA46" t="s">
        <v>5187</v>
      </c>
      <c r="AB46" s="139" t="s">
        <v>896</v>
      </c>
      <c r="AC46" t="s">
        <v>897</v>
      </c>
      <c r="AD46" s="142" t="s">
        <v>339</v>
      </c>
      <c r="AE46" s="167" t="s">
        <v>912</v>
      </c>
      <c r="AF46" t="s">
        <v>896</v>
      </c>
      <c r="AG46" s="153" t="s">
        <v>896</v>
      </c>
      <c r="AH46" s="159" t="s">
        <v>896</v>
      </c>
      <c r="AI46" s="135">
        <v>3755</v>
      </c>
      <c r="AJ46" s="143">
        <v>3.7311999999999999</v>
      </c>
      <c r="AK46" s="137" t="s">
        <v>339</v>
      </c>
      <c r="AL46" s="159" t="s">
        <v>5356</v>
      </c>
      <c r="AM46" s="153" t="s">
        <v>5357</v>
      </c>
      <c r="AN46" s="136">
        <v>-1.1649270238087754E-2</v>
      </c>
      <c r="AO46" s="136">
        <v>2.8542197606944407E-5</v>
      </c>
    </row>
    <row r="47" spans="1:41">
      <c r="A47" t="s">
        <v>1213</v>
      </c>
      <c r="B47" t="s">
        <v>1252</v>
      </c>
      <c r="C47" t="s">
        <v>1017</v>
      </c>
      <c r="D47" s="134">
        <v>154741</v>
      </c>
      <c r="E47" t="s">
        <v>1216</v>
      </c>
      <c r="F47" t="s">
        <v>5315</v>
      </c>
      <c r="G47" s="138">
        <v>-113000</v>
      </c>
      <c r="H47" s="138">
        <v>-113</v>
      </c>
      <c r="I47" s="136">
        <v>10.074048889141249</v>
      </c>
      <c r="J47" s="136">
        <v>-2.4196622664893634E-2</v>
      </c>
      <c r="K47" t="s">
        <v>5233</v>
      </c>
      <c r="L47" t="s">
        <v>1212</v>
      </c>
      <c r="M47" t="s">
        <v>5308</v>
      </c>
      <c r="N47" s="138">
        <v>-421625.59999999998</v>
      </c>
      <c r="O47" s="138">
        <v>-421.62559999999996</v>
      </c>
      <c r="P47" s="136">
        <v>10.010197394184775</v>
      </c>
      <c r="Q47" s="136">
        <v>-2.404325925093239E-2</v>
      </c>
      <c r="R47" s="138">
        <v>2.6960999999999999</v>
      </c>
      <c r="S47" t="s">
        <v>204</v>
      </c>
      <c r="T47" t="s">
        <v>204</v>
      </c>
      <c r="U47" t="s">
        <v>746</v>
      </c>
      <c r="V47" s="139" t="s">
        <v>314</v>
      </c>
      <c r="W47" s="153" t="s">
        <v>928</v>
      </c>
      <c r="X47" t="s">
        <v>5176</v>
      </c>
      <c r="Y47" t="s">
        <v>339</v>
      </c>
      <c r="Z47" t="s">
        <v>5234</v>
      </c>
      <c r="AA47" t="s">
        <v>5187</v>
      </c>
      <c r="AB47" s="139" t="s">
        <v>896</v>
      </c>
      <c r="AC47" t="s">
        <v>897</v>
      </c>
      <c r="AD47" s="142" t="s">
        <v>339</v>
      </c>
      <c r="AE47" s="167" t="s">
        <v>912</v>
      </c>
      <c r="AF47" t="s">
        <v>896</v>
      </c>
      <c r="AG47" s="153" t="s">
        <v>896</v>
      </c>
      <c r="AH47" s="159" t="s">
        <v>896</v>
      </c>
      <c r="AI47" s="135">
        <v>3755</v>
      </c>
      <c r="AJ47" s="143">
        <v>3.7311999999999999</v>
      </c>
      <c r="AK47" s="137" t="s">
        <v>339</v>
      </c>
      <c r="AL47" s="159" t="s">
        <v>5356</v>
      </c>
      <c r="AM47" s="153" t="s">
        <v>5357</v>
      </c>
      <c r="AN47" s="136">
        <v>-6.4011725257834742E-3</v>
      </c>
      <c r="AO47" s="136">
        <v>1.537482673785892E-5</v>
      </c>
    </row>
    <row r="48" spans="1:41">
      <c r="A48" t="s">
        <v>1213</v>
      </c>
      <c r="B48" t="s">
        <v>1251</v>
      </c>
      <c r="C48" t="s">
        <v>1017</v>
      </c>
      <c r="D48" s="134">
        <v>154741</v>
      </c>
      <c r="E48" t="s">
        <v>1216</v>
      </c>
      <c r="F48" t="s">
        <v>5315</v>
      </c>
      <c r="G48" s="138">
        <v>-559000</v>
      </c>
      <c r="H48" s="138">
        <v>-559</v>
      </c>
      <c r="I48" s="136">
        <v>21.515955096461756</v>
      </c>
      <c r="J48" s="136">
        <v>-7.5660702388170464E-2</v>
      </c>
      <c r="K48" t="s">
        <v>5233</v>
      </c>
      <c r="L48" t="s">
        <v>1212</v>
      </c>
      <c r="M48" t="s">
        <v>5308</v>
      </c>
      <c r="N48" s="138">
        <v>-2085740.8</v>
      </c>
      <c r="O48" s="138">
        <v>-2085.7408</v>
      </c>
      <c r="P48" s="136">
        <v>21.379582331802425</v>
      </c>
      <c r="Q48" s="136">
        <v>-7.5181148535483786E-2</v>
      </c>
      <c r="R48" s="138">
        <v>13.3376</v>
      </c>
      <c r="S48" t="s">
        <v>204</v>
      </c>
      <c r="T48" t="s">
        <v>204</v>
      </c>
      <c r="U48" t="s">
        <v>746</v>
      </c>
      <c r="V48" s="139" t="s">
        <v>314</v>
      </c>
      <c r="W48" s="153" t="s">
        <v>928</v>
      </c>
      <c r="X48" t="s">
        <v>5176</v>
      </c>
      <c r="Y48" t="s">
        <v>339</v>
      </c>
      <c r="Z48" t="s">
        <v>5234</v>
      </c>
      <c r="AA48" t="s">
        <v>5187</v>
      </c>
      <c r="AB48" s="139" t="s">
        <v>896</v>
      </c>
      <c r="AC48" t="s">
        <v>897</v>
      </c>
      <c r="AD48" s="142" t="s">
        <v>339</v>
      </c>
      <c r="AE48" s="167" t="s">
        <v>912</v>
      </c>
      <c r="AF48" t="s">
        <v>896</v>
      </c>
      <c r="AG48" s="153" t="s">
        <v>896</v>
      </c>
      <c r="AH48" s="159" t="s">
        <v>896</v>
      </c>
      <c r="AI48" s="135">
        <v>3755</v>
      </c>
      <c r="AJ48" s="143">
        <v>3.7311999999999999</v>
      </c>
      <c r="AK48" s="137" t="s">
        <v>339</v>
      </c>
      <c r="AL48" s="159" t="s">
        <v>5356</v>
      </c>
      <c r="AM48" s="153" t="s">
        <v>5357</v>
      </c>
      <c r="AN48" s="136">
        <v>-1.3671498137945168E-2</v>
      </c>
      <c r="AO48" s="136">
        <v>4.8075725533820227E-5</v>
      </c>
    </row>
    <row r="49" spans="1:41">
      <c r="A49" t="s">
        <v>1213</v>
      </c>
      <c r="B49">
        <v>15108</v>
      </c>
      <c r="C49" t="s">
        <v>1017</v>
      </c>
      <c r="D49" s="134">
        <v>154743</v>
      </c>
      <c r="E49" t="s">
        <v>1216</v>
      </c>
      <c r="F49" t="s">
        <v>5316</v>
      </c>
      <c r="G49" s="138">
        <v>9700000</v>
      </c>
      <c r="H49" s="138">
        <v>9700</v>
      </c>
      <c r="I49" s="136">
        <v>-252.0876131743839</v>
      </c>
      <c r="J49" s="136">
        <v>0.61688714360797658</v>
      </c>
      <c r="K49" t="s">
        <v>5249</v>
      </c>
      <c r="L49" t="s">
        <v>1212</v>
      </c>
      <c r="M49" t="s">
        <v>5308</v>
      </c>
      <c r="N49" s="138">
        <v>-36287700</v>
      </c>
      <c r="O49" s="138">
        <v>-36287.699999999997</v>
      </c>
      <c r="P49" s="136">
        <v>251.28157764065284</v>
      </c>
      <c r="Q49" s="136">
        <v>-0.61491468271714378</v>
      </c>
      <c r="R49" s="138">
        <v>-300.77759999999995</v>
      </c>
      <c r="S49" t="s">
        <v>204</v>
      </c>
      <c r="T49" t="s">
        <v>204</v>
      </c>
      <c r="U49" t="s">
        <v>746</v>
      </c>
      <c r="V49" s="139" t="s">
        <v>314</v>
      </c>
      <c r="W49" s="153" t="s">
        <v>928</v>
      </c>
      <c r="X49" t="s">
        <v>5176</v>
      </c>
      <c r="Y49" t="s">
        <v>339</v>
      </c>
      <c r="Z49" t="s">
        <v>5250</v>
      </c>
      <c r="AA49" t="s">
        <v>5251</v>
      </c>
      <c r="AB49" s="139" t="s">
        <v>896</v>
      </c>
      <c r="AC49" t="s">
        <v>897</v>
      </c>
      <c r="AD49" s="142" t="s">
        <v>339</v>
      </c>
      <c r="AE49" s="167" t="s">
        <v>912</v>
      </c>
      <c r="AF49" t="s">
        <v>896</v>
      </c>
      <c r="AG49" s="153" t="s">
        <v>896</v>
      </c>
      <c r="AH49" s="159" t="s">
        <v>896</v>
      </c>
      <c r="AI49" s="135">
        <v>3753</v>
      </c>
      <c r="AJ49" s="143">
        <v>3.7410000000000001</v>
      </c>
      <c r="AK49" s="137" t="s">
        <v>339</v>
      </c>
      <c r="AL49" s="159" t="s">
        <v>5356</v>
      </c>
      <c r="AM49" s="153" t="s">
        <v>5357</v>
      </c>
      <c r="AN49" s="136">
        <v>0.20827956387429603</v>
      </c>
      <c r="AO49" s="136">
        <v>-5.0968385004085436E-4</v>
      </c>
    </row>
    <row r="50" spans="1:41">
      <c r="A50" t="s">
        <v>1213</v>
      </c>
      <c r="B50">
        <v>15108</v>
      </c>
      <c r="C50" t="s">
        <v>1017</v>
      </c>
      <c r="D50" s="134">
        <v>154750</v>
      </c>
      <c r="E50" t="s">
        <v>1216</v>
      </c>
      <c r="F50" t="s">
        <v>5317</v>
      </c>
      <c r="G50" s="138">
        <v>17000000</v>
      </c>
      <c r="H50" s="138">
        <v>17000</v>
      </c>
      <c r="I50" s="136">
        <v>-432.38543609707983</v>
      </c>
      <c r="J50" s="136">
        <v>1.0580964818255545</v>
      </c>
      <c r="K50" t="s">
        <v>5241</v>
      </c>
      <c r="L50" t="s">
        <v>1212</v>
      </c>
      <c r="M50" t="s">
        <v>5308</v>
      </c>
      <c r="N50" s="138">
        <v>-62322000</v>
      </c>
      <c r="O50" s="138">
        <v>-62322</v>
      </c>
      <c r="P50" s="136">
        <v>431.56139633321391</v>
      </c>
      <c r="Q50" s="136">
        <v>-1.0560799625299435</v>
      </c>
      <c r="R50" s="138">
        <v>733.80509999999992</v>
      </c>
      <c r="S50" t="s">
        <v>204</v>
      </c>
      <c r="T50" t="s">
        <v>204</v>
      </c>
      <c r="U50" t="s">
        <v>746</v>
      </c>
      <c r="V50" s="139" t="s">
        <v>314</v>
      </c>
      <c r="W50" s="153" t="s">
        <v>928</v>
      </c>
      <c r="X50" t="s">
        <v>5176</v>
      </c>
      <c r="Y50" t="s">
        <v>339</v>
      </c>
      <c r="Z50" t="s">
        <v>5242</v>
      </c>
      <c r="AA50" t="s">
        <v>1506</v>
      </c>
      <c r="AB50" s="139" t="s">
        <v>896</v>
      </c>
      <c r="AC50" t="s">
        <v>897</v>
      </c>
      <c r="AD50" s="142" t="s">
        <v>339</v>
      </c>
      <c r="AE50" s="167" t="s">
        <v>912</v>
      </c>
      <c r="AF50" t="s">
        <v>896</v>
      </c>
      <c r="AG50" s="153" t="s">
        <v>896</v>
      </c>
      <c r="AH50" s="159" t="s">
        <v>896</v>
      </c>
      <c r="AI50" s="135">
        <v>3673</v>
      </c>
      <c r="AJ50" s="143">
        <v>3.6659999999999999</v>
      </c>
      <c r="AK50" s="137" t="s">
        <v>339</v>
      </c>
      <c r="AL50" s="159" t="s">
        <v>5356</v>
      </c>
      <c r="AM50" s="153" t="s">
        <v>5357</v>
      </c>
      <c r="AN50" s="136">
        <v>-0.50813828565395258</v>
      </c>
      <c r="AO50" s="136">
        <v>1.2434723453789035E-3</v>
      </c>
    </row>
    <row r="51" spans="1:41">
      <c r="A51" t="s">
        <v>1213</v>
      </c>
      <c r="B51" t="s">
        <v>1233</v>
      </c>
      <c r="C51" t="s">
        <v>1017</v>
      </c>
      <c r="D51" s="134">
        <v>154752</v>
      </c>
      <c r="E51" t="s">
        <v>1216</v>
      </c>
      <c r="F51" t="s">
        <v>5318</v>
      </c>
      <c r="G51" s="138">
        <v>-1400000</v>
      </c>
      <c r="H51" s="138">
        <v>-1400</v>
      </c>
      <c r="I51" s="136">
        <v>15.97173533718844</v>
      </c>
      <c r="J51" s="136">
        <v>-0.13624312241665626</v>
      </c>
      <c r="K51" t="s">
        <v>5228</v>
      </c>
      <c r="L51" t="s">
        <v>1212</v>
      </c>
      <c r="M51" t="s">
        <v>5308</v>
      </c>
      <c r="N51" s="138">
        <v>-5104400</v>
      </c>
      <c r="O51" s="138">
        <v>-5104.3999999999996</v>
      </c>
      <c r="P51" s="136">
        <v>15.89761043936365</v>
      </c>
      <c r="Q51" s="136">
        <v>-0.1356108174532156</v>
      </c>
      <c r="R51" s="138">
        <v>-85.383800000000008</v>
      </c>
      <c r="S51" t="s">
        <v>204</v>
      </c>
      <c r="T51" t="s">
        <v>204</v>
      </c>
      <c r="U51" t="s">
        <v>746</v>
      </c>
      <c r="V51" s="139" t="s">
        <v>314</v>
      </c>
      <c r="W51" s="153" t="s">
        <v>928</v>
      </c>
      <c r="X51" t="s">
        <v>5176</v>
      </c>
      <c r="Y51" t="s">
        <v>339</v>
      </c>
      <c r="Z51" t="s">
        <v>5174</v>
      </c>
      <c r="AA51" t="s">
        <v>5187</v>
      </c>
      <c r="AB51" s="139" t="s">
        <v>896</v>
      </c>
      <c r="AC51" t="s">
        <v>897</v>
      </c>
      <c r="AD51" s="142" t="s">
        <v>339</v>
      </c>
      <c r="AE51" s="167" t="s">
        <v>912</v>
      </c>
      <c r="AF51" t="s">
        <v>896</v>
      </c>
      <c r="AG51" s="153" t="s">
        <v>896</v>
      </c>
      <c r="AH51" s="159" t="s">
        <v>896</v>
      </c>
      <c r="AI51" s="135">
        <v>3663</v>
      </c>
      <c r="AJ51" s="143">
        <v>3.6459999999999999</v>
      </c>
      <c r="AK51" s="137" t="s">
        <v>339</v>
      </c>
      <c r="AL51" s="159" t="s">
        <v>5356</v>
      </c>
      <c r="AM51" s="153" t="s">
        <v>5357</v>
      </c>
      <c r="AN51" s="136">
        <v>2.6592707485446974E-2</v>
      </c>
      <c r="AO51" s="136">
        <v>-2.2684282107368465E-4</v>
      </c>
    </row>
    <row r="52" spans="1:41">
      <c r="A52" t="s">
        <v>1213</v>
      </c>
      <c r="B52" t="s">
        <v>1230</v>
      </c>
      <c r="C52" t="s">
        <v>1017</v>
      </c>
      <c r="D52" s="134">
        <v>154756</v>
      </c>
      <c r="E52" t="s">
        <v>1218</v>
      </c>
      <c r="F52" t="s">
        <v>5319</v>
      </c>
      <c r="G52" s="138">
        <v>-5600000</v>
      </c>
      <c r="H52" s="138">
        <v>-5600</v>
      </c>
      <c r="I52" s="136">
        <v>109.92319976953937</v>
      </c>
      <c r="J52" s="136">
        <v>-7.9120632307091182E-2</v>
      </c>
      <c r="K52" t="s">
        <v>5213</v>
      </c>
      <c r="L52" t="s">
        <v>1212</v>
      </c>
      <c r="M52" t="s">
        <v>5308</v>
      </c>
      <c r="N52" s="138">
        <v>-22192800</v>
      </c>
      <c r="O52" s="138">
        <v>-22192.799999999999</v>
      </c>
      <c r="P52" s="136">
        <v>109.90101435155267</v>
      </c>
      <c r="Q52" s="136">
        <v>-7.910466366441353E-2</v>
      </c>
      <c r="R52" s="138">
        <v>-1065.663</v>
      </c>
      <c r="S52" t="s">
        <v>204</v>
      </c>
      <c r="T52" t="s">
        <v>204</v>
      </c>
      <c r="U52" t="s">
        <v>746</v>
      </c>
      <c r="V52" s="139" t="s">
        <v>314</v>
      </c>
      <c r="W52" s="153" t="s">
        <v>928</v>
      </c>
      <c r="X52" t="s">
        <v>5183</v>
      </c>
      <c r="Y52" t="s">
        <v>339</v>
      </c>
      <c r="Z52" t="s">
        <v>5174</v>
      </c>
      <c r="AA52" t="s">
        <v>5184</v>
      </c>
      <c r="AB52" s="139" t="s">
        <v>896</v>
      </c>
      <c r="AC52" t="s">
        <v>897</v>
      </c>
      <c r="AD52" s="142" t="s">
        <v>339</v>
      </c>
      <c r="AE52" s="167" t="s">
        <v>912</v>
      </c>
      <c r="AF52" t="s">
        <v>896</v>
      </c>
      <c r="AG52" s="153" t="s">
        <v>896</v>
      </c>
      <c r="AH52" s="159" t="s">
        <v>896</v>
      </c>
      <c r="AI52" s="135">
        <v>3963.8</v>
      </c>
      <c r="AJ52" s="143">
        <v>3.9630000000000001</v>
      </c>
      <c r="AK52" s="137" t="s">
        <v>339</v>
      </c>
      <c r="AL52" s="159" t="s">
        <v>5356</v>
      </c>
      <c r="AM52" s="153" t="s">
        <v>5357</v>
      </c>
      <c r="AN52" s="136">
        <v>0.52772721034027104</v>
      </c>
      <c r="AO52" s="136">
        <v>-3.798480271254801E-4</v>
      </c>
    </row>
    <row r="53" spans="1:41">
      <c r="A53" t="s">
        <v>1213</v>
      </c>
      <c r="B53" t="s">
        <v>1225</v>
      </c>
      <c r="C53" t="s">
        <v>1017</v>
      </c>
      <c r="D53" s="134">
        <v>154756</v>
      </c>
      <c r="E53" t="s">
        <v>1218</v>
      </c>
      <c r="F53" t="s">
        <v>5319</v>
      </c>
      <c r="G53" s="138">
        <v>-1960000</v>
      </c>
      <c r="H53" s="138">
        <v>-1960</v>
      </c>
      <c r="I53" s="136">
        <v>719.04703578339115</v>
      </c>
      <c r="J53" s="136">
        <v>-0.11894652578778771</v>
      </c>
      <c r="K53" t="s">
        <v>5213</v>
      </c>
      <c r="L53" t="s">
        <v>1212</v>
      </c>
      <c r="M53" t="s">
        <v>5308</v>
      </c>
      <c r="N53" s="138">
        <v>-7767480</v>
      </c>
      <c r="O53" s="138">
        <v>-7767.48</v>
      </c>
      <c r="P53" s="136">
        <v>718.90191301518212</v>
      </c>
      <c r="Q53" s="136">
        <v>-0.11892251922322082</v>
      </c>
      <c r="R53" s="138">
        <v>-372.98200000000003</v>
      </c>
      <c r="S53" t="s">
        <v>204</v>
      </c>
      <c r="T53" t="s">
        <v>204</v>
      </c>
      <c r="U53" t="s">
        <v>746</v>
      </c>
      <c r="V53" s="139" t="s">
        <v>314</v>
      </c>
      <c r="W53" s="153" t="s">
        <v>928</v>
      </c>
      <c r="X53" t="s">
        <v>5183</v>
      </c>
      <c r="Y53" t="s">
        <v>339</v>
      </c>
      <c r="Z53" t="s">
        <v>5174</v>
      </c>
      <c r="AA53" t="s">
        <v>5184</v>
      </c>
      <c r="AB53" s="139" t="s">
        <v>896</v>
      </c>
      <c r="AC53" t="s">
        <v>897</v>
      </c>
      <c r="AD53" s="142" t="s">
        <v>339</v>
      </c>
      <c r="AE53" s="167" t="s">
        <v>912</v>
      </c>
      <c r="AF53" t="s">
        <v>896</v>
      </c>
      <c r="AG53" s="153" t="s">
        <v>896</v>
      </c>
      <c r="AH53" s="159" t="s">
        <v>896</v>
      </c>
      <c r="AI53" s="135">
        <v>3963.8</v>
      </c>
      <c r="AJ53" s="143">
        <v>3.9630000000000001</v>
      </c>
      <c r="AK53" s="137" t="s">
        <v>339</v>
      </c>
      <c r="AL53" s="159" t="s">
        <v>5356</v>
      </c>
      <c r="AM53" s="153" t="s">
        <v>5357</v>
      </c>
      <c r="AN53" s="136">
        <v>3.4520527704158157</v>
      </c>
      <c r="AO53" s="136">
        <v>-5.7104704343814683E-4</v>
      </c>
    </row>
    <row r="54" spans="1:41">
      <c r="A54" t="s">
        <v>1213</v>
      </c>
      <c r="B54" t="s">
        <v>1233</v>
      </c>
      <c r="C54" t="s">
        <v>1017</v>
      </c>
      <c r="D54" s="134">
        <v>154757</v>
      </c>
      <c r="E54" t="s">
        <v>1218</v>
      </c>
      <c r="F54" t="s">
        <v>5319</v>
      </c>
      <c r="G54" s="138">
        <v>-440000</v>
      </c>
      <c r="H54" s="138">
        <v>-440</v>
      </c>
      <c r="I54" s="136">
        <v>5.4318974285326069</v>
      </c>
      <c r="J54" s="136">
        <v>-4.6335520260415451E-2</v>
      </c>
      <c r="K54" t="s">
        <v>5227</v>
      </c>
      <c r="L54" t="s">
        <v>1212</v>
      </c>
      <c r="M54" t="s">
        <v>5308</v>
      </c>
      <c r="N54" s="138">
        <v>-1745920</v>
      </c>
      <c r="O54" s="138">
        <v>-1745.92</v>
      </c>
      <c r="P54" s="136">
        <v>5.4376530015108298</v>
      </c>
      <c r="Q54" s="136">
        <v>-4.6384616881106136E-2</v>
      </c>
      <c r="R54" s="138">
        <v>-82.310500000000005</v>
      </c>
      <c r="S54" t="s">
        <v>204</v>
      </c>
      <c r="T54" t="s">
        <v>204</v>
      </c>
      <c r="U54" t="s">
        <v>746</v>
      </c>
      <c r="V54" s="139" t="s">
        <v>314</v>
      </c>
      <c r="W54" s="153" t="s">
        <v>928</v>
      </c>
      <c r="X54" t="s">
        <v>5183</v>
      </c>
      <c r="Y54" t="s">
        <v>339</v>
      </c>
      <c r="Z54" t="s">
        <v>5174</v>
      </c>
      <c r="AA54" t="s">
        <v>5187</v>
      </c>
      <c r="AB54" s="139" t="s">
        <v>896</v>
      </c>
      <c r="AC54" t="s">
        <v>897</v>
      </c>
      <c r="AD54" s="142" t="s">
        <v>339</v>
      </c>
      <c r="AE54" s="167" t="s">
        <v>912</v>
      </c>
      <c r="AF54" t="s">
        <v>896</v>
      </c>
      <c r="AG54" s="153" t="s">
        <v>896</v>
      </c>
      <c r="AH54" s="159" t="s">
        <v>896</v>
      </c>
      <c r="AI54" s="135">
        <v>3963.8</v>
      </c>
      <c r="AJ54" s="143">
        <v>3.968</v>
      </c>
      <c r="AK54" s="137" t="s">
        <v>339</v>
      </c>
      <c r="AL54" s="159" t="s">
        <v>5356</v>
      </c>
      <c r="AM54" s="153" t="s">
        <v>5357</v>
      </c>
      <c r="AN54" s="136">
        <v>2.5635520784417002E-2</v>
      </c>
      <c r="AO54" s="136">
        <v>-2.1867776560971285E-4</v>
      </c>
    </row>
    <row r="55" spans="1:41">
      <c r="A55" t="s">
        <v>1213</v>
      </c>
      <c r="B55" t="s">
        <v>1242</v>
      </c>
      <c r="C55" t="s">
        <v>1017</v>
      </c>
      <c r="D55" s="134">
        <v>154760</v>
      </c>
      <c r="E55" t="s">
        <v>1216</v>
      </c>
      <c r="F55" t="s">
        <v>5320</v>
      </c>
      <c r="G55" s="138">
        <v>1040000</v>
      </c>
      <c r="H55" s="138">
        <v>1040</v>
      </c>
      <c r="I55" s="136">
        <v>-88.875000819178169</v>
      </c>
      <c r="J55" s="136">
        <v>9.8167579077582473E-2</v>
      </c>
      <c r="K55" t="s">
        <v>5239</v>
      </c>
      <c r="L55" t="s">
        <v>1212</v>
      </c>
      <c r="M55" t="s">
        <v>5308</v>
      </c>
      <c r="N55" s="138">
        <v>-3736200</v>
      </c>
      <c r="O55" s="138">
        <v>-3736.2</v>
      </c>
      <c r="P55" s="136">
        <v>88.395193921067985</v>
      </c>
      <c r="Q55" s="136">
        <v>-9.7637604605818121E-2</v>
      </c>
      <c r="R55" s="138">
        <v>118.8382</v>
      </c>
      <c r="S55" t="s">
        <v>204</v>
      </c>
      <c r="T55" t="s">
        <v>204</v>
      </c>
      <c r="U55" t="s">
        <v>746</v>
      </c>
      <c r="V55" s="139" t="s">
        <v>314</v>
      </c>
      <c r="W55" s="153" t="s">
        <v>928</v>
      </c>
      <c r="X55" t="s">
        <v>5176</v>
      </c>
      <c r="Y55" t="s">
        <v>339</v>
      </c>
      <c r="Z55" t="s">
        <v>4732</v>
      </c>
      <c r="AA55" t="s">
        <v>5187</v>
      </c>
      <c r="AB55" s="139" t="s">
        <v>896</v>
      </c>
      <c r="AC55" t="s">
        <v>897</v>
      </c>
      <c r="AD55" s="142" t="s">
        <v>339</v>
      </c>
      <c r="AE55" s="167" t="s">
        <v>912</v>
      </c>
      <c r="AF55" t="s">
        <v>896</v>
      </c>
      <c r="AG55" s="153" t="s">
        <v>896</v>
      </c>
      <c r="AH55" s="159" t="s">
        <v>896</v>
      </c>
      <c r="AI55" s="135">
        <v>3612</v>
      </c>
      <c r="AJ55" s="143">
        <v>3.5924999999999998</v>
      </c>
      <c r="AK55" s="137" t="s">
        <v>339</v>
      </c>
      <c r="AL55" s="159" t="s">
        <v>5356</v>
      </c>
      <c r="AM55" s="153" t="s">
        <v>5357</v>
      </c>
      <c r="AN55" s="136">
        <v>-0.28116074248612283</v>
      </c>
      <c r="AO55" s="136">
        <v>3.1055830286487408E-4</v>
      </c>
    </row>
    <row r="56" spans="1:41">
      <c r="A56" t="s">
        <v>1213</v>
      </c>
      <c r="B56" t="s">
        <v>1257</v>
      </c>
      <c r="C56" t="s">
        <v>1017</v>
      </c>
      <c r="D56" s="134">
        <v>154760</v>
      </c>
      <c r="E56" t="s">
        <v>1216</v>
      </c>
      <c r="F56" t="s">
        <v>5320</v>
      </c>
      <c r="G56" s="138">
        <v>720000</v>
      </c>
      <c r="H56" s="138">
        <v>720</v>
      </c>
      <c r="I56" s="136">
        <v>-53.3629557693436</v>
      </c>
      <c r="J56" s="136">
        <v>9.5470495882814879E-2</v>
      </c>
      <c r="K56" t="s">
        <v>5239</v>
      </c>
      <c r="L56" t="s">
        <v>1212</v>
      </c>
      <c r="M56" t="s">
        <v>5308</v>
      </c>
      <c r="N56" s="138">
        <v>-2586600</v>
      </c>
      <c r="O56" s="138">
        <v>-2586.6</v>
      </c>
      <c r="P56" s="136">
        <v>53.074866722416083</v>
      </c>
      <c r="Q56" s="136">
        <v>-9.495508207613855E-2</v>
      </c>
      <c r="R56" s="138">
        <v>82.272600000000011</v>
      </c>
      <c r="S56" t="s">
        <v>204</v>
      </c>
      <c r="T56" t="s">
        <v>204</v>
      </c>
      <c r="U56" t="s">
        <v>746</v>
      </c>
      <c r="V56" s="139" t="s">
        <v>314</v>
      </c>
      <c r="W56" s="153" t="s">
        <v>928</v>
      </c>
      <c r="X56" t="s">
        <v>5176</v>
      </c>
      <c r="Y56" t="s">
        <v>339</v>
      </c>
      <c r="Z56" t="s">
        <v>4732</v>
      </c>
      <c r="AA56" t="s">
        <v>5187</v>
      </c>
      <c r="AB56" s="139" t="s">
        <v>896</v>
      </c>
      <c r="AC56" t="s">
        <v>897</v>
      </c>
      <c r="AD56" s="142" t="s">
        <v>339</v>
      </c>
      <c r="AE56" s="167" t="s">
        <v>912</v>
      </c>
      <c r="AF56" t="s">
        <v>896</v>
      </c>
      <c r="AG56" s="153" t="s">
        <v>896</v>
      </c>
      <c r="AH56" s="159" t="s">
        <v>896</v>
      </c>
      <c r="AI56" s="135">
        <v>3612</v>
      </c>
      <c r="AJ56" s="143">
        <v>3.5924999999999998</v>
      </c>
      <c r="AK56" s="137" t="s">
        <v>339</v>
      </c>
      <c r="AL56" s="159" t="s">
        <v>5356</v>
      </c>
      <c r="AM56" s="153" t="s">
        <v>5357</v>
      </c>
      <c r="AN56" s="136">
        <v>-0.16881651901065448</v>
      </c>
      <c r="AO56" s="136">
        <v>3.0202593823366988E-4</v>
      </c>
    </row>
    <row r="57" spans="1:41">
      <c r="A57" t="s">
        <v>1213</v>
      </c>
      <c r="B57" t="s">
        <v>1253</v>
      </c>
      <c r="C57" t="s">
        <v>1017</v>
      </c>
      <c r="D57" s="134">
        <v>154760</v>
      </c>
      <c r="E57" t="s">
        <v>1216</v>
      </c>
      <c r="F57" t="s">
        <v>5320</v>
      </c>
      <c r="G57" s="138">
        <v>260000</v>
      </c>
      <c r="H57" s="138">
        <v>260</v>
      </c>
      <c r="I57" s="136">
        <v>-26.407715700857946</v>
      </c>
      <c r="J57" s="136">
        <v>8.0115626688215008E-2</v>
      </c>
      <c r="K57" t="s">
        <v>5239</v>
      </c>
      <c r="L57" t="s">
        <v>1212</v>
      </c>
      <c r="M57" t="s">
        <v>5308</v>
      </c>
      <c r="N57" s="138">
        <v>-934050</v>
      </c>
      <c r="O57" s="138">
        <v>-934.05</v>
      </c>
      <c r="P57" s="136">
        <v>26.265149129383214</v>
      </c>
      <c r="Q57" s="136">
        <v>-7.9683108770047736E-2</v>
      </c>
      <c r="R57" s="138">
        <v>29.709599999999998</v>
      </c>
      <c r="S57" t="s">
        <v>204</v>
      </c>
      <c r="T57" t="s">
        <v>204</v>
      </c>
      <c r="U57" t="s">
        <v>746</v>
      </c>
      <c r="V57" s="139" t="s">
        <v>314</v>
      </c>
      <c r="W57" s="153" t="s">
        <v>928</v>
      </c>
      <c r="X57" t="s">
        <v>5176</v>
      </c>
      <c r="Y57" t="s">
        <v>339</v>
      </c>
      <c r="Z57" t="s">
        <v>4732</v>
      </c>
      <c r="AA57" t="s">
        <v>5187</v>
      </c>
      <c r="AB57" s="139" t="s">
        <v>896</v>
      </c>
      <c r="AC57" t="s">
        <v>897</v>
      </c>
      <c r="AD57" s="142" t="s">
        <v>339</v>
      </c>
      <c r="AE57" s="167" t="s">
        <v>912</v>
      </c>
      <c r="AF57" t="s">
        <v>896</v>
      </c>
      <c r="AG57" s="153" t="s">
        <v>896</v>
      </c>
      <c r="AH57" s="159" t="s">
        <v>896</v>
      </c>
      <c r="AI57" s="135">
        <v>3612</v>
      </c>
      <c r="AJ57" s="143">
        <v>3.5924999999999998</v>
      </c>
      <c r="AK57" s="137" t="s">
        <v>339</v>
      </c>
      <c r="AL57" s="159" t="s">
        <v>5356</v>
      </c>
      <c r="AM57" s="153" t="s">
        <v>5357</v>
      </c>
      <c r="AN57" s="136">
        <v>-8.3542198429026229E-2</v>
      </c>
      <c r="AO57" s="136">
        <v>2.5345000142648464E-4</v>
      </c>
    </row>
    <row r="58" spans="1:41">
      <c r="A58" t="s">
        <v>1213</v>
      </c>
      <c r="B58" t="s">
        <v>1225</v>
      </c>
      <c r="C58" t="s">
        <v>1017</v>
      </c>
      <c r="D58" s="134">
        <v>154764</v>
      </c>
      <c r="E58" t="s">
        <v>1218</v>
      </c>
      <c r="F58" t="s">
        <v>5321</v>
      </c>
      <c r="G58" s="138">
        <v>550000</v>
      </c>
      <c r="H58" s="138">
        <v>550</v>
      </c>
      <c r="I58" s="136">
        <v>-200.5466157219912</v>
      </c>
      <c r="J58" s="136">
        <v>3.3174913477865109E-2</v>
      </c>
      <c r="K58" t="s">
        <v>5182</v>
      </c>
      <c r="L58" t="s">
        <v>1212</v>
      </c>
      <c r="M58" t="s">
        <v>5308</v>
      </c>
      <c r="N58" s="138">
        <v>-2168925</v>
      </c>
      <c r="O58" s="138">
        <v>-2168.9250000000002</v>
      </c>
      <c r="P58" s="136">
        <v>200.74005104441258</v>
      </c>
      <c r="Q58" s="136">
        <v>-3.3206912023748272E-2</v>
      </c>
      <c r="R58" s="138">
        <v>115.377</v>
      </c>
      <c r="S58" t="s">
        <v>204</v>
      </c>
      <c r="T58" t="s">
        <v>204</v>
      </c>
      <c r="U58" t="s">
        <v>746</v>
      </c>
      <c r="V58" s="139" t="s">
        <v>314</v>
      </c>
      <c r="W58" s="153" t="s">
        <v>928</v>
      </c>
      <c r="X58" t="s">
        <v>5183</v>
      </c>
      <c r="Y58" t="s">
        <v>339</v>
      </c>
      <c r="Z58" t="s">
        <v>4732</v>
      </c>
      <c r="AA58" t="s">
        <v>5184</v>
      </c>
      <c r="AB58" s="139" t="s">
        <v>896</v>
      </c>
      <c r="AC58" t="s">
        <v>897</v>
      </c>
      <c r="AD58" s="142" t="s">
        <v>339</v>
      </c>
      <c r="AE58" s="167" t="s">
        <v>912</v>
      </c>
      <c r="AF58" t="s">
        <v>896</v>
      </c>
      <c r="AG58" s="153" t="s">
        <v>896</v>
      </c>
      <c r="AH58" s="159" t="s">
        <v>896</v>
      </c>
      <c r="AI58" s="135">
        <v>3939.7</v>
      </c>
      <c r="AJ58" s="143">
        <v>3.9434999999999998</v>
      </c>
      <c r="AK58" s="137" t="s">
        <v>339</v>
      </c>
      <c r="AL58" s="159" t="s">
        <v>5356</v>
      </c>
      <c r="AM58" s="153" t="s">
        <v>5357</v>
      </c>
      <c r="AN58" s="136">
        <v>-1.0678465766457288</v>
      </c>
      <c r="AO58" s="136">
        <v>1.7664580207608986E-4</v>
      </c>
    </row>
    <row r="59" spans="1:41">
      <c r="A59" t="s">
        <v>1213</v>
      </c>
      <c r="B59" t="s">
        <v>1230</v>
      </c>
      <c r="C59" t="s">
        <v>1017</v>
      </c>
      <c r="D59" s="134">
        <v>154764</v>
      </c>
      <c r="E59" t="s">
        <v>1218</v>
      </c>
      <c r="F59" t="s">
        <v>5321</v>
      </c>
      <c r="G59" s="138">
        <v>2700000</v>
      </c>
      <c r="H59" s="138">
        <v>2700</v>
      </c>
      <c r="I59" s="136">
        <v>-52.676452311118588</v>
      </c>
      <c r="J59" s="136">
        <v>3.7915510313455851E-2</v>
      </c>
      <c r="K59" t="s">
        <v>5182</v>
      </c>
      <c r="L59" t="s">
        <v>1212</v>
      </c>
      <c r="M59" t="s">
        <v>5308</v>
      </c>
      <c r="N59" s="138">
        <v>-10647450</v>
      </c>
      <c r="O59" s="138">
        <v>-10647.45</v>
      </c>
      <c r="P59" s="136">
        <v>52.727260879989885</v>
      </c>
      <c r="Q59" s="136">
        <v>-3.7952081356731004E-2</v>
      </c>
      <c r="R59" s="138">
        <v>566.3963</v>
      </c>
      <c r="S59" t="s">
        <v>204</v>
      </c>
      <c r="T59" t="s">
        <v>204</v>
      </c>
      <c r="U59" t="s">
        <v>746</v>
      </c>
      <c r="V59" s="139" t="s">
        <v>314</v>
      </c>
      <c r="W59" s="153" t="s">
        <v>928</v>
      </c>
      <c r="X59" t="s">
        <v>5183</v>
      </c>
      <c r="Y59" t="s">
        <v>339</v>
      </c>
      <c r="Z59" t="s">
        <v>4732</v>
      </c>
      <c r="AA59" t="s">
        <v>5184</v>
      </c>
      <c r="AB59" s="139" t="s">
        <v>896</v>
      </c>
      <c r="AC59" t="s">
        <v>897</v>
      </c>
      <c r="AD59" s="142" t="s">
        <v>339</v>
      </c>
      <c r="AE59" s="167" t="s">
        <v>912</v>
      </c>
      <c r="AF59" t="s">
        <v>896</v>
      </c>
      <c r="AG59" s="153" t="s">
        <v>896</v>
      </c>
      <c r="AH59" s="159" t="s">
        <v>896</v>
      </c>
      <c r="AI59" s="135">
        <v>3939.7</v>
      </c>
      <c r="AJ59" s="143">
        <v>3.9434999999999998</v>
      </c>
      <c r="AK59" s="137" t="s">
        <v>339</v>
      </c>
      <c r="AL59" s="159" t="s">
        <v>5356</v>
      </c>
      <c r="AM59" s="153" t="s">
        <v>5357</v>
      </c>
      <c r="AN59" s="136">
        <v>-0.28048525809204988</v>
      </c>
      <c r="AO59" s="136">
        <v>2.018879637745979E-4</v>
      </c>
    </row>
    <row r="60" spans="1:41">
      <c r="A60" t="s">
        <v>1213</v>
      </c>
      <c r="B60" t="s">
        <v>1242</v>
      </c>
      <c r="C60" t="s">
        <v>1017</v>
      </c>
      <c r="D60" s="134">
        <v>154766</v>
      </c>
      <c r="E60" t="s">
        <v>1216</v>
      </c>
      <c r="F60" t="s">
        <v>5322</v>
      </c>
      <c r="G60" s="138">
        <v>2100000</v>
      </c>
      <c r="H60" s="138">
        <v>2100</v>
      </c>
      <c r="I60" s="136">
        <v>-180.80060821835272</v>
      </c>
      <c r="J60" s="136">
        <v>0.19970472957475549</v>
      </c>
      <c r="K60" t="s">
        <v>5237</v>
      </c>
      <c r="L60" t="s">
        <v>1212</v>
      </c>
      <c r="M60" t="s">
        <v>5308</v>
      </c>
      <c r="N60" s="138">
        <v>-7602000</v>
      </c>
      <c r="O60" s="138">
        <v>-7602</v>
      </c>
      <c r="P60" s="136">
        <v>179.85660943952647</v>
      </c>
      <c r="Q60" s="136">
        <v>-0.19866202832113627</v>
      </c>
      <c r="R60" s="138">
        <v>182.45020000000002</v>
      </c>
      <c r="S60" t="s">
        <v>204</v>
      </c>
      <c r="T60" t="s">
        <v>204</v>
      </c>
      <c r="U60" t="s">
        <v>746</v>
      </c>
      <c r="V60" s="139" t="s">
        <v>314</v>
      </c>
      <c r="W60" s="153" t="s">
        <v>928</v>
      </c>
      <c r="X60" t="s">
        <v>5176</v>
      </c>
      <c r="Y60" t="s">
        <v>339</v>
      </c>
      <c r="Z60" t="s">
        <v>5238</v>
      </c>
      <c r="AA60" t="s">
        <v>5187</v>
      </c>
      <c r="AB60" s="139" t="s">
        <v>896</v>
      </c>
      <c r="AC60" t="s">
        <v>897</v>
      </c>
      <c r="AD60" s="142" t="s">
        <v>339</v>
      </c>
      <c r="AE60" s="167" t="s">
        <v>912</v>
      </c>
      <c r="AF60" t="s">
        <v>896</v>
      </c>
      <c r="AG60" s="153" t="s">
        <v>896</v>
      </c>
      <c r="AH60" s="159" t="s">
        <v>896</v>
      </c>
      <c r="AI60" s="135">
        <v>3639</v>
      </c>
      <c r="AJ60" s="143">
        <v>3.62</v>
      </c>
      <c r="AK60" s="137" t="s">
        <v>339</v>
      </c>
      <c r="AL60" s="159" t="s">
        <v>5356</v>
      </c>
      <c r="AM60" s="153" t="s">
        <v>5357</v>
      </c>
      <c r="AN60" s="136">
        <v>-0.43166114288124291</v>
      </c>
      <c r="AO60" s="136">
        <v>4.7679470028617985E-4</v>
      </c>
    </row>
    <row r="61" spans="1:41">
      <c r="A61" t="s">
        <v>1213</v>
      </c>
      <c r="B61" t="s">
        <v>1230</v>
      </c>
      <c r="C61" t="s">
        <v>1017</v>
      </c>
      <c r="D61" s="134">
        <v>154768</v>
      </c>
      <c r="E61" t="s">
        <v>1216</v>
      </c>
      <c r="F61" t="s">
        <v>5323</v>
      </c>
      <c r="G61" s="138">
        <v>-3600000</v>
      </c>
      <c r="H61" s="138">
        <v>-3600</v>
      </c>
      <c r="I61" s="136">
        <v>64.642761658710398</v>
      </c>
      <c r="J61" s="136">
        <v>-4.6528632602005536E-2</v>
      </c>
      <c r="K61" t="s">
        <v>5207</v>
      </c>
      <c r="L61" t="s">
        <v>1212</v>
      </c>
      <c r="M61" t="s">
        <v>5308</v>
      </c>
      <c r="N61" s="138">
        <v>-13010400</v>
      </c>
      <c r="O61" s="138">
        <v>-13010.4</v>
      </c>
      <c r="P61" s="136">
        <v>64.428830842410193</v>
      </c>
      <c r="Q61" s="136">
        <v>-4.6374649261899617E-2</v>
      </c>
      <c r="R61" s="138">
        <v>-344.7912</v>
      </c>
      <c r="S61" t="s">
        <v>204</v>
      </c>
      <c r="T61" t="s">
        <v>204</v>
      </c>
      <c r="U61" t="s">
        <v>746</v>
      </c>
      <c r="V61" s="139" t="s">
        <v>314</v>
      </c>
      <c r="W61" s="153" t="s">
        <v>928</v>
      </c>
      <c r="X61" t="s">
        <v>5176</v>
      </c>
      <c r="Y61" t="s">
        <v>339</v>
      </c>
      <c r="Z61" t="s">
        <v>5208</v>
      </c>
      <c r="AA61" t="s">
        <v>5184</v>
      </c>
      <c r="AB61" s="139" t="s">
        <v>896</v>
      </c>
      <c r="AC61" t="s">
        <v>897</v>
      </c>
      <c r="AD61" s="142" t="s">
        <v>339</v>
      </c>
      <c r="AE61" s="167" t="s">
        <v>912</v>
      </c>
      <c r="AF61" t="s">
        <v>896</v>
      </c>
      <c r="AG61" s="153" t="s">
        <v>896</v>
      </c>
      <c r="AH61" s="159" t="s">
        <v>896</v>
      </c>
      <c r="AI61" s="135">
        <v>3626</v>
      </c>
      <c r="AJ61" s="143">
        <v>3.6139999999999999</v>
      </c>
      <c r="AK61" s="137" t="s">
        <v>339</v>
      </c>
      <c r="AL61" s="159" t="s">
        <v>5356</v>
      </c>
      <c r="AM61" s="153" t="s">
        <v>5357</v>
      </c>
      <c r="AN61" s="136">
        <v>0.17074415061525955</v>
      </c>
      <c r="AO61" s="136">
        <v>-1.2289839804281345E-4</v>
      </c>
    </row>
    <row r="62" spans="1:41">
      <c r="A62" t="s">
        <v>1213</v>
      </c>
      <c r="B62" t="s">
        <v>1225</v>
      </c>
      <c r="C62" t="s">
        <v>1017</v>
      </c>
      <c r="D62" s="134">
        <v>154768</v>
      </c>
      <c r="E62" t="s">
        <v>1216</v>
      </c>
      <c r="F62" t="s">
        <v>5323</v>
      </c>
      <c r="G62" s="138">
        <v>-1700000</v>
      </c>
      <c r="H62" s="138">
        <v>-1700</v>
      </c>
      <c r="I62" s="136">
        <v>570.51388252151094</v>
      </c>
      <c r="J62" s="136">
        <v>-9.4375806953577973E-2</v>
      </c>
      <c r="K62" t="s">
        <v>5207</v>
      </c>
      <c r="L62" t="s">
        <v>1212</v>
      </c>
      <c r="M62" t="s">
        <v>5308</v>
      </c>
      <c r="N62" s="138">
        <v>-6143800</v>
      </c>
      <c r="O62" s="138">
        <v>-6143.8</v>
      </c>
      <c r="P62" s="136">
        <v>568.62580569022077</v>
      </c>
      <c r="Q62" s="136">
        <v>-9.4063476649263858E-2</v>
      </c>
      <c r="R62" s="138">
        <v>-162.81810000000002</v>
      </c>
      <c r="S62" t="s">
        <v>204</v>
      </c>
      <c r="T62" t="s">
        <v>204</v>
      </c>
      <c r="U62" t="s">
        <v>746</v>
      </c>
      <c r="V62" s="139" t="s">
        <v>314</v>
      </c>
      <c r="W62" s="153" t="s">
        <v>928</v>
      </c>
      <c r="X62" t="s">
        <v>5176</v>
      </c>
      <c r="Y62" t="s">
        <v>339</v>
      </c>
      <c r="Z62" t="s">
        <v>5208</v>
      </c>
      <c r="AA62" t="s">
        <v>5184</v>
      </c>
      <c r="AB62" s="139" t="s">
        <v>896</v>
      </c>
      <c r="AC62" t="s">
        <v>897</v>
      </c>
      <c r="AD62" s="142" t="s">
        <v>339</v>
      </c>
      <c r="AE62" s="167" t="s">
        <v>912</v>
      </c>
      <c r="AF62" t="s">
        <v>896</v>
      </c>
      <c r="AG62" s="153" t="s">
        <v>896</v>
      </c>
      <c r="AH62" s="159" t="s">
        <v>896</v>
      </c>
      <c r="AI62" s="135">
        <v>3626</v>
      </c>
      <c r="AJ62" s="143">
        <v>3.6139999999999999</v>
      </c>
      <c r="AK62" s="137" t="s">
        <v>339</v>
      </c>
      <c r="AL62" s="159" t="s">
        <v>5356</v>
      </c>
      <c r="AM62" s="153" t="s">
        <v>5357</v>
      </c>
      <c r="AN62" s="136">
        <v>1.5069267739464463</v>
      </c>
      <c r="AO62" s="136">
        <v>-2.4927952617487026E-4</v>
      </c>
    </row>
    <row r="63" spans="1:41">
      <c r="A63" t="s">
        <v>1213</v>
      </c>
      <c r="B63" t="s">
        <v>1225</v>
      </c>
      <c r="C63" t="s">
        <v>1017</v>
      </c>
      <c r="D63" s="134">
        <v>154769</v>
      </c>
      <c r="E63" t="s">
        <v>1216</v>
      </c>
      <c r="F63" t="s">
        <v>5324</v>
      </c>
      <c r="G63" s="138">
        <v>-1700000</v>
      </c>
      <c r="H63" s="138">
        <v>-1700</v>
      </c>
      <c r="I63" s="136">
        <v>570.67122225745175</v>
      </c>
      <c r="J63" s="136">
        <v>-9.4401834478937477E-2</v>
      </c>
      <c r="K63" t="s">
        <v>5209</v>
      </c>
      <c r="L63" t="s">
        <v>1212</v>
      </c>
      <c r="M63" t="s">
        <v>5308</v>
      </c>
      <c r="N63" s="138">
        <v>-6137850</v>
      </c>
      <c r="O63" s="138">
        <v>-6137.85</v>
      </c>
      <c r="P63" s="136">
        <v>568.07511661442777</v>
      </c>
      <c r="Q63" s="136">
        <v>-9.3972380310505588E-2</v>
      </c>
      <c r="R63" s="138">
        <v>-168.76179999999999</v>
      </c>
      <c r="S63" t="s">
        <v>204</v>
      </c>
      <c r="T63" t="s">
        <v>204</v>
      </c>
      <c r="U63" t="s">
        <v>746</v>
      </c>
      <c r="V63" s="139" t="s">
        <v>314</v>
      </c>
      <c r="W63" s="153" t="s">
        <v>928</v>
      </c>
      <c r="X63" t="s">
        <v>5176</v>
      </c>
      <c r="Y63" t="s">
        <v>339</v>
      </c>
      <c r="Z63" t="s">
        <v>5210</v>
      </c>
      <c r="AA63" t="s">
        <v>5184</v>
      </c>
      <c r="AB63" s="139" t="s">
        <v>896</v>
      </c>
      <c r="AC63" t="s">
        <v>897</v>
      </c>
      <c r="AD63" s="142" t="s">
        <v>339</v>
      </c>
      <c r="AE63" s="167" t="s">
        <v>912</v>
      </c>
      <c r="AF63" t="s">
        <v>896</v>
      </c>
      <c r="AG63" s="153" t="s">
        <v>896</v>
      </c>
      <c r="AH63" s="159" t="s">
        <v>896</v>
      </c>
      <c r="AI63" s="135">
        <v>3627</v>
      </c>
      <c r="AJ63" s="143">
        <v>3.6105</v>
      </c>
      <c r="AK63" s="137" t="s">
        <v>339</v>
      </c>
      <c r="AL63" s="159" t="s">
        <v>5356</v>
      </c>
      <c r="AM63" s="153" t="s">
        <v>5357</v>
      </c>
      <c r="AN63" s="136">
        <v>1.5619376995038652</v>
      </c>
      <c r="AO63" s="136">
        <v>-2.5837956852230404E-4</v>
      </c>
    </row>
    <row r="64" spans="1:41">
      <c r="A64" t="s">
        <v>1213</v>
      </c>
      <c r="B64" t="s">
        <v>1230</v>
      </c>
      <c r="C64" t="s">
        <v>1017</v>
      </c>
      <c r="D64" s="134">
        <v>154769</v>
      </c>
      <c r="E64" t="s">
        <v>1216</v>
      </c>
      <c r="F64" t="s">
        <v>5324</v>
      </c>
      <c r="G64" s="138">
        <v>-3600000</v>
      </c>
      <c r="H64" s="138">
        <v>-3600</v>
      </c>
      <c r="I64" s="136">
        <v>64.660589226735411</v>
      </c>
      <c r="J64" s="136">
        <v>-4.6541464547014362E-2</v>
      </c>
      <c r="K64" t="s">
        <v>5209</v>
      </c>
      <c r="L64" t="s">
        <v>1212</v>
      </c>
      <c r="M64" t="s">
        <v>5308</v>
      </c>
      <c r="N64" s="138">
        <v>-12997800</v>
      </c>
      <c r="O64" s="138">
        <v>-12997.8</v>
      </c>
      <c r="P64" s="136">
        <v>64.366434354322635</v>
      </c>
      <c r="Q64" s="136">
        <v>-4.6329737454368726E-2</v>
      </c>
      <c r="R64" s="138">
        <v>-357.37799999999999</v>
      </c>
      <c r="S64" t="s">
        <v>204</v>
      </c>
      <c r="T64" t="s">
        <v>204</v>
      </c>
      <c r="U64" t="s">
        <v>746</v>
      </c>
      <c r="V64" s="139" t="s">
        <v>314</v>
      </c>
      <c r="W64" s="153" t="s">
        <v>928</v>
      </c>
      <c r="X64" t="s">
        <v>5176</v>
      </c>
      <c r="Y64" t="s">
        <v>339</v>
      </c>
      <c r="Z64" t="s">
        <v>5210</v>
      </c>
      <c r="AA64" t="s">
        <v>5184</v>
      </c>
      <c r="AB64" s="139" t="s">
        <v>896</v>
      </c>
      <c r="AC64" t="s">
        <v>897</v>
      </c>
      <c r="AD64" s="142" t="s">
        <v>339</v>
      </c>
      <c r="AE64" s="167" t="s">
        <v>912</v>
      </c>
      <c r="AF64" t="s">
        <v>896</v>
      </c>
      <c r="AG64" s="153" t="s">
        <v>896</v>
      </c>
      <c r="AH64" s="159" t="s">
        <v>896</v>
      </c>
      <c r="AI64" s="135">
        <v>3627</v>
      </c>
      <c r="AJ64" s="143">
        <v>3.6105</v>
      </c>
      <c r="AK64" s="137" t="s">
        <v>339</v>
      </c>
      <c r="AL64" s="159" t="s">
        <v>5356</v>
      </c>
      <c r="AM64" s="153" t="s">
        <v>5357</v>
      </c>
      <c r="AN64" s="136">
        <v>0.17697722970128726</v>
      </c>
      <c r="AO64" s="136">
        <v>-1.2738485003420895E-4</v>
      </c>
    </row>
    <row r="65" spans="1:41">
      <c r="A65" t="s">
        <v>1213</v>
      </c>
      <c r="B65" t="s">
        <v>1230</v>
      </c>
      <c r="C65" t="s">
        <v>1017</v>
      </c>
      <c r="D65" s="134">
        <v>154770</v>
      </c>
      <c r="E65" t="s">
        <v>1216</v>
      </c>
      <c r="F65" t="s">
        <v>5325</v>
      </c>
      <c r="G65" s="138">
        <v>-3600000</v>
      </c>
      <c r="H65" s="138">
        <v>-3600</v>
      </c>
      <c r="I65" s="136">
        <v>65.124105995385847</v>
      </c>
      <c r="J65" s="136">
        <v>-4.6875095117243859E-2</v>
      </c>
      <c r="K65" t="s">
        <v>5217</v>
      </c>
      <c r="L65" t="s">
        <v>1212</v>
      </c>
      <c r="M65" t="s">
        <v>5308</v>
      </c>
      <c r="N65" s="138">
        <v>-13086000</v>
      </c>
      <c r="O65" s="138">
        <v>-13086</v>
      </c>
      <c r="P65" s="136">
        <v>64.803209770935538</v>
      </c>
      <c r="Q65" s="136">
        <v>-4.6644120107084977E-2</v>
      </c>
      <c r="R65" s="138">
        <v>-269.27090000000004</v>
      </c>
      <c r="S65" t="s">
        <v>204</v>
      </c>
      <c r="T65" t="s">
        <v>204</v>
      </c>
      <c r="U65" t="s">
        <v>746</v>
      </c>
      <c r="V65" s="139" t="s">
        <v>314</v>
      </c>
      <c r="W65" s="153" t="s">
        <v>928</v>
      </c>
      <c r="X65" t="s">
        <v>5176</v>
      </c>
      <c r="Y65" t="s">
        <v>339</v>
      </c>
      <c r="Z65" t="s">
        <v>5100</v>
      </c>
      <c r="AA65" t="s">
        <v>5184</v>
      </c>
      <c r="AB65" s="139" t="s">
        <v>896</v>
      </c>
      <c r="AC65" t="s">
        <v>897</v>
      </c>
      <c r="AD65" s="142" t="s">
        <v>339</v>
      </c>
      <c r="AE65" s="167" t="s">
        <v>912</v>
      </c>
      <c r="AF65" t="s">
        <v>896</v>
      </c>
      <c r="AG65" s="153" t="s">
        <v>896</v>
      </c>
      <c r="AH65" s="159" t="s">
        <v>896</v>
      </c>
      <c r="AI65" s="135">
        <v>3653</v>
      </c>
      <c r="AJ65" s="143">
        <v>3.6349999999999998</v>
      </c>
      <c r="AK65" s="137" t="s">
        <v>339</v>
      </c>
      <c r="AL65" s="159" t="s">
        <v>5356</v>
      </c>
      <c r="AM65" s="153" t="s">
        <v>5357</v>
      </c>
      <c r="AN65" s="136">
        <v>0.13334568950376843</v>
      </c>
      <c r="AO65" s="136">
        <v>-9.5979695742870959E-5</v>
      </c>
    </row>
    <row r="66" spans="1:41">
      <c r="A66" t="s">
        <v>1213</v>
      </c>
      <c r="B66" t="s">
        <v>1243</v>
      </c>
      <c r="C66" t="s">
        <v>1017</v>
      </c>
      <c r="D66" s="134">
        <v>154775</v>
      </c>
      <c r="E66" t="s">
        <v>1216</v>
      </c>
      <c r="F66" t="s">
        <v>5326</v>
      </c>
      <c r="G66" s="138">
        <v>-5876000</v>
      </c>
      <c r="H66" s="138">
        <v>-5876</v>
      </c>
      <c r="I66" s="136">
        <v>20.108140694615745</v>
      </c>
      <c r="J66" s="136">
        <v>-4.9267508906907675E-2</v>
      </c>
      <c r="K66" t="s">
        <v>5223</v>
      </c>
      <c r="L66" t="s">
        <v>1212</v>
      </c>
      <c r="M66" t="s">
        <v>5308</v>
      </c>
      <c r="N66" s="138">
        <v>-21737086.800000001</v>
      </c>
      <c r="O66" s="138">
        <v>-21737.086800000001</v>
      </c>
      <c r="P66" s="136">
        <v>19.926612609588005</v>
      </c>
      <c r="Q66" s="136">
        <v>-4.882274194999292E-2</v>
      </c>
      <c r="R66" s="138">
        <v>-46.470599999999997</v>
      </c>
      <c r="S66" t="s">
        <v>204</v>
      </c>
      <c r="T66" t="s">
        <v>204</v>
      </c>
      <c r="U66" t="s">
        <v>746</v>
      </c>
      <c r="V66" s="139" t="s">
        <v>314</v>
      </c>
      <c r="W66" s="153" t="s">
        <v>928</v>
      </c>
      <c r="X66" t="s">
        <v>5176</v>
      </c>
      <c r="Y66" t="s">
        <v>339</v>
      </c>
      <c r="Z66" t="s">
        <v>4999</v>
      </c>
      <c r="AA66" t="s">
        <v>5187</v>
      </c>
      <c r="AB66" s="139" t="s">
        <v>896</v>
      </c>
      <c r="AC66" t="s">
        <v>897</v>
      </c>
      <c r="AD66" s="142" t="s">
        <v>339</v>
      </c>
      <c r="AE66" s="167" t="s">
        <v>912</v>
      </c>
      <c r="AF66" t="s">
        <v>896</v>
      </c>
      <c r="AG66" s="153" t="s">
        <v>896</v>
      </c>
      <c r="AH66" s="159" t="s">
        <v>896</v>
      </c>
      <c r="AI66" s="135">
        <v>3733</v>
      </c>
      <c r="AJ66" s="143">
        <v>3.6993</v>
      </c>
      <c r="AK66" s="137" t="s">
        <v>339</v>
      </c>
      <c r="AL66" s="159" t="s">
        <v>5356</v>
      </c>
      <c r="AM66" s="153" t="s">
        <v>5357</v>
      </c>
      <c r="AN66" s="136">
        <v>4.2600072673859551E-3</v>
      </c>
      <c r="AO66" s="136">
        <v>-1.0437561044399668E-5</v>
      </c>
    </row>
    <row r="67" spans="1:41">
      <c r="A67" t="s">
        <v>1213</v>
      </c>
      <c r="B67" t="s">
        <v>1242</v>
      </c>
      <c r="C67" t="s">
        <v>1017</v>
      </c>
      <c r="D67" s="134">
        <v>154775</v>
      </c>
      <c r="E67" t="s">
        <v>1216</v>
      </c>
      <c r="F67" t="s">
        <v>5326</v>
      </c>
      <c r="G67" s="138">
        <v>-504000</v>
      </c>
      <c r="H67" s="138">
        <v>-504</v>
      </c>
      <c r="I67" s="136">
        <v>44.513020311895183</v>
      </c>
      <c r="J67" s="136">
        <v>-4.9167205639080773E-2</v>
      </c>
      <c r="K67" t="s">
        <v>5223</v>
      </c>
      <c r="L67" t="s">
        <v>1212</v>
      </c>
      <c r="M67" t="s">
        <v>5308</v>
      </c>
      <c r="N67" s="138">
        <v>-1864447.2</v>
      </c>
      <c r="O67" s="138">
        <v>-1864.4472000000001</v>
      </c>
      <c r="P67" s="136">
        <v>44.111174936992725</v>
      </c>
      <c r="Q67" s="136">
        <v>-4.8723344179119076E-2</v>
      </c>
      <c r="R67" s="138">
        <v>-3.9859</v>
      </c>
      <c r="S67" t="s">
        <v>204</v>
      </c>
      <c r="T67" t="s">
        <v>204</v>
      </c>
      <c r="U67" t="s">
        <v>746</v>
      </c>
      <c r="V67" s="139" t="s">
        <v>314</v>
      </c>
      <c r="W67" s="153" t="s">
        <v>928</v>
      </c>
      <c r="X67" t="s">
        <v>5176</v>
      </c>
      <c r="Y67" t="s">
        <v>339</v>
      </c>
      <c r="Z67" t="s">
        <v>4999</v>
      </c>
      <c r="AA67" t="s">
        <v>5187</v>
      </c>
      <c r="AB67" s="139" t="s">
        <v>896</v>
      </c>
      <c r="AC67" t="s">
        <v>897</v>
      </c>
      <c r="AD67" s="142" t="s">
        <v>339</v>
      </c>
      <c r="AE67" s="167" t="s">
        <v>912</v>
      </c>
      <c r="AF67" t="s">
        <v>896</v>
      </c>
      <c r="AG67" s="153" t="s">
        <v>896</v>
      </c>
      <c r="AH67" s="159" t="s">
        <v>896</v>
      </c>
      <c r="AI67" s="135">
        <v>3733</v>
      </c>
      <c r="AJ67" s="143">
        <v>3.6993</v>
      </c>
      <c r="AK67" s="137" t="s">
        <v>339</v>
      </c>
      <c r="AL67" s="159" t="s">
        <v>5356</v>
      </c>
      <c r="AM67" s="153" t="s">
        <v>5357</v>
      </c>
      <c r="AN67" s="136">
        <v>9.4302995439429528E-3</v>
      </c>
      <c r="AO67" s="136">
        <v>-1.041631130995775E-5</v>
      </c>
    </row>
    <row r="68" spans="1:41">
      <c r="A68" t="s">
        <v>1213</v>
      </c>
      <c r="B68" t="s">
        <v>1235</v>
      </c>
      <c r="C68" t="s">
        <v>1017</v>
      </c>
      <c r="D68" s="134">
        <v>154775</v>
      </c>
      <c r="E68" t="s">
        <v>1216</v>
      </c>
      <c r="F68" t="s">
        <v>5326</v>
      </c>
      <c r="G68" s="138">
        <v>-91000</v>
      </c>
      <c r="H68" s="138">
        <v>-91</v>
      </c>
      <c r="I68" s="136">
        <v>20.230882336224219</v>
      </c>
      <c r="J68" s="136">
        <v>-4.9216267262498732E-2</v>
      </c>
      <c r="K68" t="s">
        <v>5223</v>
      </c>
      <c r="L68" t="s">
        <v>1212</v>
      </c>
      <c r="M68" t="s">
        <v>5308</v>
      </c>
      <c r="N68" s="138">
        <v>-336636.3</v>
      </c>
      <c r="O68" s="138">
        <v>-336.63630000000001</v>
      </c>
      <c r="P68" s="136">
        <v>20.048246189765404</v>
      </c>
      <c r="Q68" s="136">
        <v>-4.8771962894230261E-2</v>
      </c>
      <c r="R68" s="138">
        <v>-0.71970000000000001</v>
      </c>
      <c r="S68" t="s">
        <v>204</v>
      </c>
      <c r="T68" t="s">
        <v>204</v>
      </c>
      <c r="U68" t="s">
        <v>746</v>
      </c>
      <c r="V68" s="139" t="s">
        <v>314</v>
      </c>
      <c r="W68" s="153" t="s">
        <v>928</v>
      </c>
      <c r="X68" t="s">
        <v>5176</v>
      </c>
      <c r="Y68" t="s">
        <v>339</v>
      </c>
      <c r="Z68" t="s">
        <v>4999</v>
      </c>
      <c r="AA68" t="s">
        <v>5187</v>
      </c>
      <c r="AB68" s="139" t="s">
        <v>896</v>
      </c>
      <c r="AC68" t="s">
        <v>897</v>
      </c>
      <c r="AD68" s="142" t="s">
        <v>339</v>
      </c>
      <c r="AE68" s="167" t="s">
        <v>912</v>
      </c>
      <c r="AF68" t="s">
        <v>896</v>
      </c>
      <c r="AG68" s="153" t="s">
        <v>896</v>
      </c>
      <c r="AH68" s="159" t="s">
        <v>896</v>
      </c>
      <c r="AI68" s="135">
        <v>3733</v>
      </c>
      <c r="AJ68" s="143">
        <v>3.6993</v>
      </c>
      <c r="AK68" s="137" t="s">
        <v>339</v>
      </c>
      <c r="AL68" s="159" t="s">
        <v>5356</v>
      </c>
      <c r="AM68" s="153" t="s">
        <v>5357</v>
      </c>
      <c r="AN68" s="136">
        <v>4.2860106802926172E-3</v>
      </c>
      <c r="AO68" s="136">
        <v>-1.0426705253161707E-5</v>
      </c>
    </row>
    <row r="69" spans="1:41">
      <c r="A69" t="s">
        <v>1213</v>
      </c>
      <c r="B69" t="s">
        <v>1238</v>
      </c>
      <c r="C69" t="s">
        <v>1017</v>
      </c>
      <c r="D69" s="134">
        <v>154775</v>
      </c>
      <c r="E69" t="s">
        <v>1216</v>
      </c>
      <c r="F69" t="s">
        <v>5326</v>
      </c>
      <c r="G69" s="138">
        <v>-2413000</v>
      </c>
      <c r="H69" s="138">
        <v>-2413</v>
      </c>
      <c r="I69" s="136">
        <v>16.224680008219131</v>
      </c>
      <c r="J69" s="136">
        <v>-4.9798933065703148E-2</v>
      </c>
      <c r="K69" t="s">
        <v>5223</v>
      </c>
      <c r="L69" t="s">
        <v>1212</v>
      </c>
      <c r="M69" t="s">
        <v>5308</v>
      </c>
      <c r="N69" s="138">
        <v>-8926410.9000000004</v>
      </c>
      <c r="O69" s="138">
        <v>-8926.4109000000008</v>
      </c>
      <c r="P69" s="136">
        <v>16.078210220842493</v>
      </c>
      <c r="Q69" s="136">
        <v>-4.9349368628437085E-2</v>
      </c>
      <c r="R69" s="138">
        <v>-19.083299999999998</v>
      </c>
      <c r="S69" t="s">
        <v>204</v>
      </c>
      <c r="T69" t="s">
        <v>204</v>
      </c>
      <c r="U69" t="s">
        <v>746</v>
      </c>
      <c r="V69" s="139" t="s">
        <v>314</v>
      </c>
      <c r="W69" s="153" t="s">
        <v>928</v>
      </c>
      <c r="X69" t="s">
        <v>5176</v>
      </c>
      <c r="Y69" t="s">
        <v>339</v>
      </c>
      <c r="Z69" t="s">
        <v>4999</v>
      </c>
      <c r="AA69" t="s">
        <v>5187</v>
      </c>
      <c r="AB69" s="139" t="s">
        <v>896</v>
      </c>
      <c r="AC69" t="s">
        <v>897</v>
      </c>
      <c r="AD69" s="142" t="s">
        <v>339</v>
      </c>
      <c r="AE69" s="167" t="s">
        <v>912</v>
      </c>
      <c r="AF69" t="s">
        <v>896</v>
      </c>
      <c r="AG69" s="153" t="s">
        <v>896</v>
      </c>
      <c r="AH69" s="159" t="s">
        <v>896</v>
      </c>
      <c r="AI69" s="135">
        <v>3733</v>
      </c>
      <c r="AJ69" s="143">
        <v>3.6993</v>
      </c>
      <c r="AK69" s="137" t="s">
        <v>339</v>
      </c>
      <c r="AL69" s="159" t="s">
        <v>5356</v>
      </c>
      <c r="AM69" s="153" t="s">
        <v>5357</v>
      </c>
      <c r="AN69" s="136">
        <v>3.4372772597784933E-3</v>
      </c>
      <c r="AO69" s="136">
        <v>-1.0550145833462335E-5</v>
      </c>
    </row>
    <row r="70" spans="1:41">
      <c r="A70" t="s">
        <v>1213</v>
      </c>
      <c r="B70" t="s">
        <v>1241</v>
      </c>
      <c r="C70" t="s">
        <v>1017</v>
      </c>
      <c r="D70" s="134">
        <v>154775</v>
      </c>
      <c r="E70" t="s">
        <v>1216</v>
      </c>
      <c r="F70" t="s">
        <v>5326</v>
      </c>
      <c r="G70" s="138">
        <v>-512000</v>
      </c>
      <c r="H70" s="138">
        <v>-512</v>
      </c>
      <c r="I70" s="136">
        <v>59.461355218523614</v>
      </c>
      <c r="J70" s="136">
        <v>-5.0390985498568172E-2</v>
      </c>
      <c r="K70" t="s">
        <v>5223</v>
      </c>
      <c r="L70" t="s">
        <v>1212</v>
      </c>
      <c r="M70" t="s">
        <v>5308</v>
      </c>
      <c r="N70" s="138">
        <v>-1894041.6000000001</v>
      </c>
      <c r="O70" s="138">
        <v>-1894.0416</v>
      </c>
      <c r="P70" s="136">
        <v>58.92456237875286</v>
      </c>
      <c r="Q70" s="136">
        <v>-4.9936076253644053E-2</v>
      </c>
      <c r="R70" s="138">
        <v>-4.0491999999999999</v>
      </c>
      <c r="S70" t="s">
        <v>204</v>
      </c>
      <c r="T70" t="s">
        <v>204</v>
      </c>
      <c r="U70" t="s">
        <v>746</v>
      </c>
      <c r="V70" s="139" t="s">
        <v>314</v>
      </c>
      <c r="W70" s="153" t="s">
        <v>928</v>
      </c>
      <c r="X70" t="s">
        <v>5176</v>
      </c>
      <c r="Y70" t="s">
        <v>339</v>
      </c>
      <c r="Z70" t="s">
        <v>4999</v>
      </c>
      <c r="AA70" t="s">
        <v>5187</v>
      </c>
      <c r="AB70" s="139" t="s">
        <v>896</v>
      </c>
      <c r="AC70" t="s">
        <v>897</v>
      </c>
      <c r="AD70" s="142" t="s">
        <v>339</v>
      </c>
      <c r="AE70" s="167" t="s">
        <v>912</v>
      </c>
      <c r="AF70" t="s">
        <v>896</v>
      </c>
      <c r="AG70" s="153" t="s">
        <v>896</v>
      </c>
      <c r="AH70" s="159" t="s">
        <v>896</v>
      </c>
      <c r="AI70" s="135">
        <v>3733</v>
      </c>
      <c r="AJ70" s="143">
        <v>3.6993</v>
      </c>
      <c r="AK70" s="137" t="s">
        <v>339</v>
      </c>
      <c r="AL70" s="159" t="s">
        <v>5356</v>
      </c>
      <c r="AM70" s="153" t="s">
        <v>5357</v>
      </c>
      <c r="AN70" s="136">
        <v>1.2597176894995668E-2</v>
      </c>
      <c r="AO70" s="136">
        <v>-1.0675575016845134E-5</v>
      </c>
    </row>
    <row r="71" spans="1:41">
      <c r="A71" t="s">
        <v>1213</v>
      </c>
      <c r="B71" t="s">
        <v>1253</v>
      </c>
      <c r="C71" t="s">
        <v>1017</v>
      </c>
      <c r="D71" s="134">
        <v>154775</v>
      </c>
      <c r="E71" t="s">
        <v>1216</v>
      </c>
      <c r="F71" t="s">
        <v>5326</v>
      </c>
      <c r="G71" s="138">
        <v>-159000</v>
      </c>
      <c r="H71" s="138">
        <v>-159</v>
      </c>
      <c r="I71" s="136">
        <v>16.690327573789432</v>
      </c>
      <c r="J71" s="136">
        <v>-5.0635051829276294E-2</v>
      </c>
      <c r="K71" t="s">
        <v>5223</v>
      </c>
      <c r="L71" t="s">
        <v>1212</v>
      </c>
      <c r="M71" t="s">
        <v>5308</v>
      </c>
      <c r="N71" s="138">
        <v>-588188.69999999995</v>
      </c>
      <c r="O71" s="138">
        <v>-588.18869999999993</v>
      </c>
      <c r="P71" s="136">
        <v>16.539654110291789</v>
      </c>
      <c r="Q71" s="136">
        <v>-5.0177939253158797E-2</v>
      </c>
      <c r="R71" s="138">
        <v>-1.2575000000000001</v>
      </c>
      <c r="S71" t="s">
        <v>204</v>
      </c>
      <c r="T71" t="s">
        <v>204</v>
      </c>
      <c r="U71" t="s">
        <v>746</v>
      </c>
      <c r="V71" s="139" t="s">
        <v>314</v>
      </c>
      <c r="W71" s="153" t="s">
        <v>928</v>
      </c>
      <c r="X71" t="s">
        <v>5176</v>
      </c>
      <c r="Y71" t="s">
        <v>339</v>
      </c>
      <c r="Z71" t="s">
        <v>4999</v>
      </c>
      <c r="AA71" t="s">
        <v>5187</v>
      </c>
      <c r="AB71" s="139" t="s">
        <v>896</v>
      </c>
      <c r="AC71" t="s">
        <v>897</v>
      </c>
      <c r="AD71" s="142" t="s">
        <v>339</v>
      </c>
      <c r="AE71" s="167" t="s">
        <v>912</v>
      </c>
      <c r="AF71" t="s">
        <v>896</v>
      </c>
      <c r="AG71" s="153" t="s">
        <v>896</v>
      </c>
      <c r="AH71" s="159" t="s">
        <v>896</v>
      </c>
      <c r="AI71" s="135">
        <v>3733</v>
      </c>
      <c r="AJ71" s="143">
        <v>3.6993</v>
      </c>
      <c r="AK71" s="137" t="s">
        <v>339</v>
      </c>
      <c r="AL71" s="159" t="s">
        <v>5356</v>
      </c>
      <c r="AM71" s="153" t="s">
        <v>5357</v>
      </c>
      <c r="AN71" s="136">
        <v>3.5359269581019888E-3</v>
      </c>
      <c r="AO71" s="136">
        <v>-1.0727281654387515E-5</v>
      </c>
    </row>
    <row r="72" spans="1:41">
      <c r="A72" t="s">
        <v>1213</v>
      </c>
      <c r="B72" t="s">
        <v>1252</v>
      </c>
      <c r="C72" t="s">
        <v>1017</v>
      </c>
      <c r="D72" s="134">
        <v>154775</v>
      </c>
      <c r="E72" t="s">
        <v>1216</v>
      </c>
      <c r="F72" t="s">
        <v>5326</v>
      </c>
      <c r="G72" s="138">
        <v>-229000</v>
      </c>
      <c r="H72" s="138">
        <v>-229</v>
      </c>
      <c r="I72" s="136">
        <v>20.295938656952078</v>
      </c>
      <c r="J72" s="136">
        <v>-4.8748340882228951E-2</v>
      </c>
      <c r="K72" t="s">
        <v>5223</v>
      </c>
      <c r="L72" t="s">
        <v>1212</v>
      </c>
      <c r="M72" t="s">
        <v>5308</v>
      </c>
      <c r="N72" s="138">
        <v>-847139.7</v>
      </c>
      <c r="O72" s="138">
        <v>-847.13969999999995</v>
      </c>
      <c r="P72" s="136">
        <v>20.112715208589023</v>
      </c>
      <c r="Q72" s="136">
        <v>-4.8308260762290264E-2</v>
      </c>
      <c r="R72" s="138">
        <v>-1.8110999999999999</v>
      </c>
      <c r="S72" t="s">
        <v>204</v>
      </c>
      <c r="T72" t="s">
        <v>204</v>
      </c>
      <c r="U72" t="s">
        <v>746</v>
      </c>
      <c r="V72" s="139" t="s">
        <v>314</v>
      </c>
      <c r="W72" s="153" t="s">
        <v>928</v>
      </c>
      <c r="X72" t="s">
        <v>5176</v>
      </c>
      <c r="Y72" t="s">
        <v>339</v>
      </c>
      <c r="Z72" t="s">
        <v>4999</v>
      </c>
      <c r="AA72" t="s">
        <v>5187</v>
      </c>
      <c r="AB72" s="139" t="s">
        <v>896</v>
      </c>
      <c r="AC72" t="s">
        <v>897</v>
      </c>
      <c r="AD72" s="142" t="s">
        <v>339</v>
      </c>
      <c r="AE72" s="167" t="s">
        <v>912</v>
      </c>
      <c r="AF72" t="s">
        <v>896</v>
      </c>
      <c r="AG72" s="153" t="s">
        <v>896</v>
      </c>
      <c r="AH72" s="159" t="s">
        <v>896</v>
      </c>
      <c r="AI72" s="135">
        <v>3733</v>
      </c>
      <c r="AJ72" s="143">
        <v>3.6993</v>
      </c>
      <c r="AK72" s="137" t="s">
        <v>339</v>
      </c>
      <c r="AL72" s="159" t="s">
        <v>5356</v>
      </c>
      <c r="AM72" s="153" t="s">
        <v>5357</v>
      </c>
      <c r="AN72" s="136">
        <v>4.2997931778042554E-3</v>
      </c>
      <c r="AO72" s="136">
        <v>-1.0327572776876038E-5</v>
      </c>
    </row>
    <row r="73" spans="1:41">
      <c r="A73" t="s">
        <v>1213</v>
      </c>
      <c r="B73" t="s">
        <v>1251</v>
      </c>
      <c r="C73" t="s">
        <v>1017</v>
      </c>
      <c r="D73" s="134">
        <v>154775</v>
      </c>
      <c r="E73" t="s">
        <v>1216</v>
      </c>
      <c r="F73" t="s">
        <v>5326</v>
      </c>
      <c r="G73" s="138">
        <v>-375000</v>
      </c>
      <c r="H73" s="138">
        <v>-375</v>
      </c>
      <c r="I73" s="136">
        <v>14.34921482896241</v>
      </c>
      <c r="J73" s="136">
        <v>-5.0458911436219861E-2</v>
      </c>
      <c r="K73" t="s">
        <v>5223</v>
      </c>
      <c r="L73" t="s">
        <v>1212</v>
      </c>
      <c r="M73" t="s">
        <v>5308</v>
      </c>
      <c r="N73" s="138">
        <v>-1387237.5</v>
      </c>
      <c r="O73" s="138">
        <v>-1387.2375</v>
      </c>
      <c r="P73" s="136">
        <v>14.219675975564062</v>
      </c>
      <c r="Q73" s="136">
        <v>-5.0003388983661433E-2</v>
      </c>
      <c r="R73" s="138">
        <v>-2.9657</v>
      </c>
      <c r="S73" t="s">
        <v>204</v>
      </c>
      <c r="T73" t="s">
        <v>204</v>
      </c>
      <c r="U73" t="s">
        <v>746</v>
      </c>
      <c r="V73" s="139" t="s">
        <v>314</v>
      </c>
      <c r="W73" s="153" t="s">
        <v>928</v>
      </c>
      <c r="X73" t="s">
        <v>5176</v>
      </c>
      <c r="Y73" t="s">
        <v>339</v>
      </c>
      <c r="Z73" t="s">
        <v>4999</v>
      </c>
      <c r="AA73" t="s">
        <v>5187</v>
      </c>
      <c r="AB73" s="139" t="s">
        <v>896</v>
      </c>
      <c r="AC73" t="s">
        <v>897</v>
      </c>
      <c r="AD73" s="142" t="s">
        <v>339</v>
      </c>
      <c r="AE73" s="167" t="s">
        <v>912</v>
      </c>
      <c r="AF73" t="s">
        <v>896</v>
      </c>
      <c r="AG73" s="153" t="s">
        <v>896</v>
      </c>
      <c r="AH73" s="159" t="s">
        <v>896</v>
      </c>
      <c r="AI73" s="135">
        <v>3733</v>
      </c>
      <c r="AJ73" s="143">
        <v>3.6993</v>
      </c>
      <c r="AK73" s="137" t="s">
        <v>339</v>
      </c>
      <c r="AL73" s="159" t="s">
        <v>5356</v>
      </c>
      <c r="AM73" s="153" t="s">
        <v>5357</v>
      </c>
      <c r="AN73" s="136">
        <v>3.0399508527923442E-3</v>
      </c>
      <c r="AO73" s="136">
        <v>-1.0689965456639674E-5</v>
      </c>
    </row>
    <row r="74" spans="1:41">
      <c r="A74" t="s">
        <v>1213</v>
      </c>
      <c r="B74" t="s">
        <v>1257</v>
      </c>
      <c r="C74" t="s">
        <v>1017</v>
      </c>
      <c r="D74" s="134">
        <v>154775</v>
      </c>
      <c r="E74" t="s">
        <v>1216</v>
      </c>
      <c r="F74" t="s">
        <v>5326</v>
      </c>
      <c r="G74" s="138">
        <v>-362000</v>
      </c>
      <c r="H74" s="138">
        <v>-362</v>
      </c>
      <c r="I74" s="136">
        <v>27.728488690122198</v>
      </c>
      <c r="J74" s="136">
        <v>-4.9608432051056028E-2</v>
      </c>
      <c r="K74" t="s">
        <v>5223</v>
      </c>
      <c r="L74" t="s">
        <v>1212</v>
      </c>
      <c r="M74" t="s">
        <v>5308</v>
      </c>
      <c r="N74" s="138">
        <v>-1339146.6000000001</v>
      </c>
      <c r="O74" s="138">
        <v>-1339.1466</v>
      </c>
      <c r="P74" s="136">
        <v>27.478167214403712</v>
      </c>
      <c r="Q74" s="136">
        <v>-4.9160587379178028E-2</v>
      </c>
      <c r="R74" s="138">
        <v>-2.8629000000000002</v>
      </c>
      <c r="S74" t="s">
        <v>204</v>
      </c>
      <c r="T74" t="s">
        <v>204</v>
      </c>
      <c r="U74" t="s">
        <v>746</v>
      </c>
      <c r="V74" s="139" t="s">
        <v>314</v>
      </c>
      <c r="W74" s="153" t="s">
        <v>928</v>
      </c>
      <c r="X74" t="s">
        <v>5176</v>
      </c>
      <c r="Y74" t="s">
        <v>339</v>
      </c>
      <c r="Z74" t="s">
        <v>4999</v>
      </c>
      <c r="AA74" t="s">
        <v>5187</v>
      </c>
      <c r="AB74" s="139" t="s">
        <v>896</v>
      </c>
      <c r="AC74" t="s">
        <v>897</v>
      </c>
      <c r="AD74" s="142" t="s">
        <v>339</v>
      </c>
      <c r="AE74" s="167" t="s">
        <v>912</v>
      </c>
      <c r="AF74" t="s">
        <v>896</v>
      </c>
      <c r="AG74" s="153" t="s">
        <v>896</v>
      </c>
      <c r="AH74" s="159" t="s">
        <v>896</v>
      </c>
      <c r="AI74" s="135">
        <v>3733</v>
      </c>
      <c r="AJ74" s="143">
        <v>3.6993</v>
      </c>
      <c r="AK74" s="137" t="s">
        <v>339</v>
      </c>
      <c r="AL74" s="159" t="s">
        <v>5356</v>
      </c>
      <c r="AM74" s="153" t="s">
        <v>5357</v>
      </c>
      <c r="AN74" s="136">
        <v>5.8744150007455096E-3</v>
      </c>
      <c r="AO74" s="136">
        <v>-1.0509787268283447E-5</v>
      </c>
    </row>
    <row r="75" spans="1:41">
      <c r="A75" t="s">
        <v>1213</v>
      </c>
      <c r="B75" t="s">
        <v>1233</v>
      </c>
      <c r="C75" t="s">
        <v>1017</v>
      </c>
      <c r="D75" s="134">
        <v>154775</v>
      </c>
      <c r="E75" t="s">
        <v>1216</v>
      </c>
      <c r="F75" t="s">
        <v>5326</v>
      </c>
      <c r="G75" s="138">
        <v>-479000</v>
      </c>
      <c r="H75" s="138">
        <v>-479</v>
      </c>
      <c r="I75" s="136">
        <v>5.569044061965994</v>
      </c>
      <c r="J75" s="136">
        <v>-4.7505417279957877E-2</v>
      </c>
      <c r="K75" t="s">
        <v>5223</v>
      </c>
      <c r="L75" t="s">
        <v>1212</v>
      </c>
      <c r="M75" t="s">
        <v>5308</v>
      </c>
      <c r="N75" s="138">
        <v>-1771964.7</v>
      </c>
      <c r="O75" s="138">
        <v>-1771.9647</v>
      </c>
      <c r="P75" s="136">
        <v>5.5187690057409053</v>
      </c>
      <c r="Q75" s="136">
        <v>-4.7076557766876019E-2</v>
      </c>
      <c r="R75" s="138">
        <v>-3.7881999999999998</v>
      </c>
      <c r="S75" t="s">
        <v>204</v>
      </c>
      <c r="T75" t="s">
        <v>204</v>
      </c>
      <c r="U75" t="s">
        <v>746</v>
      </c>
      <c r="V75" s="139" t="s">
        <v>314</v>
      </c>
      <c r="W75" s="153" t="s">
        <v>928</v>
      </c>
      <c r="X75" t="s">
        <v>5176</v>
      </c>
      <c r="Y75" t="s">
        <v>339</v>
      </c>
      <c r="Z75" t="s">
        <v>4999</v>
      </c>
      <c r="AA75" t="s">
        <v>5187</v>
      </c>
      <c r="AB75" s="139" t="s">
        <v>896</v>
      </c>
      <c r="AC75" t="s">
        <v>897</v>
      </c>
      <c r="AD75" s="142" t="s">
        <v>339</v>
      </c>
      <c r="AE75" s="167" t="s">
        <v>912</v>
      </c>
      <c r="AF75" t="s">
        <v>896</v>
      </c>
      <c r="AG75" s="153" t="s">
        <v>896</v>
      </c>
      <c r="AH75" s="159" t="s">
        <v>896</v>
      </c>
      <c r="AI75" s="135">
        <v>3733</v>
      </c>
      <c r="AJ75" s="143">
        <v>3.6993</v>
      </c>
      <c r="AK75" s="137" t="s">
        <v>339</v>
      </c>
      <c r="AL75" s="159" t="s">
        <v>5356</v>
      </c>
      <c r="AM75" s="153" t="s">
        <v>5357</v>
      </c>
      <c r="AN75" s="136">
        <v>1.1798290322645592E-3</v>
      </c>
      <c r="AO75" s="136">
        <v>-1.0064253375102675E-5</v>
      </c>
    </row>
    <row r="76" spans="1:41">
      <c r="A76" t="s">
        <v>1213</v>
      </c>
      <c r="B76" t="s">
        <v>1233</v>
      </c>
      <c r="C76" t="s">
        <v>1017</v>
      </c>
      <c r="D76" s="134">
        <v>154778</v>
      </c>
      <c r="E76" t="s">
        <v>1216</v>
      </c>
      <c r="F76" t="s">
        <v>5326</v>
      </c>
      <c r="G76" s="138">
        <v>-479000</v>
      </c>
      <c r="H76" s="138">
        <v>-479</v>
      </c>
      <c r="I76" s="136">
        <v>5.569044061965994</v>
      </c>
      <c r="J76" s="136">
        <v>-4.7505417279957877E-2</v>
      </c>
      <c r="K76" t="s">
        <v>5221</v>
      </c>
      <c r="L76" t="s">
        <v>1212</v>
      </c>
      <c r="M76" t="s">
        <v>5308</v>
      </c>
      <c r="N76" s="138">
        <v>-1784993.5</v>
      </c>
      <c r="O76" s="138">
        <v>-1784.9935</v>
      </c>
      <c r="P76" s="136">
        <v>5.5593470926644191</v>
      </c>
      <c r="Q76" s="136">
        <v>-4.7422699569719534E-2</v>
      </c>
      <c r="R76" s="138">
        <v>9.1867999999999999</v>
      </c>
      <c r="S76" t="s">
        <v>204</v>
      </c>
      <c r="T76" t="s">
        <v>204</v>
      </c>
      <c r="U76" t="s">
        <v>746</v>
      </c>
      <c r="V76" s="139" t="s">
        <v>314</v>
      </c>
      <c r="W76" s="153" t="s">
        <v>928</v>
      </c>
      <c r="X76" t="s">
        <v>5176</v>
      </c>
      <c r="Y76" t="s">
        <v>339</v>
      </c>
      <c r="Z76" t="s">
        <v>5222</v>
      </c>
      <c r="AA76" t="s">
        <v>5187</v>
      </c>
      <c r="AB76" s="139" t="s">
        <v>896</v>
      </c>
      <c r="AC76" t="s">
        <v>897</v>
      </c>
      <c r="AD76" s="142" t="s">
        <v>339</v>
      </c>
      <c r="AE76" s="167" t="s">
        <v>912</v>
      </c>
      <c r="AF76" t="s">
        <v>896</v>
      </c>
      <c r="AG76" s="153" t="s">
        <v>896</v>
      </c>
      <c r="AH76" s="159" t="s">
        <v>896</v>
      </c>
      <c r="AI76" s="135">
        <v>3733</v>
      </c>
      <c r="AJ76" s="143">
        <v>3.7265000000000001</v>
      </c>
      <c r="AK76" s="137" t="s">
        <v>339</v>
      </c>
      <c r="AL76" s="159" t="s">
        <v>5356</v>
      </c>
      <c r="AM76" s="153" t="s">
        <v>5357</v>
      </c>
      <c r="AN76" s="136">
        <v>-2.8612227879794465E-3</v>
      </c>
      <c r="AO76" s="136">
        <v>2.4406986362737462E-5</v>
      </c>
    </row>
    <row r="77" spans="1:41">
      <c r="A77" t="s">
        <v>1213</v>
      </c>
      <c r="B77" t="s">
        <v>1257</v>
      </c>
      <c r="C77" t="s">
        <v>1017</v>
      </c>
      <c r="D77" s="134">
        <v>154778</v>
      </c>
      <c r="E77" t="s">
        <v>1216</v>
      </c>
      <c r="F77" t="s">
        <v>5326</v>
      </c>
      <c r="G77" s="138">
        <v>-362000</v>
      </c>
      <c r="H77" s="138">
        <v>-362</v>
      </c>
      <c r="I77" s="136">
        <v>27.728488690122198</v>
      </c>
      <c r="J77" s="136">
        <v>-4.9608432051056028E-2</v>
      </c>
      <c r="K77" t="s">
        <v>5221</v>
      </c>
      <c r="L77" t="s">
        <v>1212</v>
      </c>
      <c r="M77" t="s">
        <v>5308</v>
      </c>
      <c r="N77" s="138">
        <v>-1348993</v>
      </c>
      <c r="O77" s="138">
        <v>-1348.9929999999999</v>
      </c>
      <c r="P77" s="136">
        <v>27.680207099850087</v>
      </c>
      <c r="Q77" s="136">
        <v>-4.9522052514937132E-2</v>
      </c>
      <c r="R77" s="138">
        <v>6.9428000000000001</v>
      </c>
      <c r="S77" t="s">
        <v>204</v>
      </c>
      <c r="T77" t="s">
        <v>204</v>
      </c>
      <c r="U77" t="s">
        <v>746</v>
      </c>
      <c r="V77" s="139" t="s">
        <v>314</v>
      </c>
      <c r="W77" s="153" t="s">
        <v>928</v>
      </c>
      <c r="X77" t="s">
        <v>5176</v>
      </c>
      <c r="Y77" t="s">
        <v>339</v>
      </c>
      <c r="Z77" t="s">
        <v>5222</v>
      </c>
      <c r="AA77" t="s">
        <v>5187</v>
      </c>
      <c r="AB77" s="139" t="s">
        <v>896</v>
      </c>
      <c r="AC77" t="s">
        <v>897</v>
      </c>
      <c r="AD77" s="142" t="s">
        <v>339</v>
      </c>
      <c r="AE77" s="167" t="s">
        <v>912</v>
      </c>
      <c r="AF77" t="s">
        <v>896</v>
      </c>
      <c r="AG77" s="153" t="s">
        <v>896</v>
      </c>
      <c r="AH77" s="159" t="s">
        <v>896</v>
      </c>
      <c r="AI77" s="135">
        <v>3733</v>
      </c>
      <c r="AJ77" s="143">
        <v>3.7265000000000001</v>
      </c>
      <c r="AK77" s="137" t="s">
        <v>339</v>
      </c>
      <c r="AL77" s="159" t="s">
        <v>5356</v>
      </c>
      <c r="AM77" s="153" t="s">
        <v>5357</v>
      </c>
      <c r="AN77" s="136">
        <v>-1.4246140420803174E-2</v>
      </c>
      <c r="AO77" s="136">
        <v>2.5487457933723488E-5</v>
      </c>
    </row>
    <row r="78" spans="1:41">
      <c r="A78" t="s">
        <v>1213</v>
      </c>
      <c r="B78" t="s">
        <v>1251</v>
      </c>
      <c r="C78" t="s">
        <v>1017</v>
      </c>
      <c r="D78" s="134">
        <v>154778</v>
      </c>
      <c r="E78" t="s">
        <v>1216</v>
      </c>
      <c r="F78" t="s">
        <v>5326</v>
      </c>
      <c r="G78" s="138">
        <v>-375000</v>
      </c>
      <c r="H78" s="138">
        <v>-375</v>
      </c>
      <c r="I78" s="136">
        <v>14.34921482896241</v>
      </c>
      <c r="J78" s="136">
        <v>-5.0458911436219861E-2</v>
      </c>
      <c r="K78" t="s">
        <v>5221</v>
      </c>
      <c r="L78" t="s">
        <v>1212</v>
      </c>
      <c r="M78" t="s">
        <v>5308</v>
      </c>
      <c r="N78" s="138">
        <v>-1397437.5</v>
      </c>
      <c r="O78" s="138">
        <v>-1397.4375</v>
      </c>
      <c r="P78" s="136">
        <v>14.32422959017638</v>
      </c>
      <c r="Q78" s="136">
        <v>-5.0371051022521651E-2</v>
      </c>
      <c r="R78" s="138">
        <v>7.1921999999999997</v>
      </c>
      <c r="S78" t="s">
        <v>204</v>
      </c>
      <c r="T78" t="s">
        <v>204</v>
      </c>
      <c r="U78" t="s">
        <v>746</v>
      </c>
      <c r="V78" s="139" t="s">
        <v>314</v>
      </c>
      <c r="W78" s="153" t="s">
        <v>928</v>
      </c>
      <c r="X78" t="s">
        <v>5176</v>
      </c>
      <c r="Y78" t="s">
        <v>339</v>
      </c>
      <c r="Z78" t="s">
        <v>5222</v>
      </c>
      <c r="AA78" t="s">
        <v>5187</v>
      </c>
      <c r="AB78" s="139" t="s">
        <v>896</v>
      </c>
      <c r="AC78" t="s">
        <v>897</v>
      </c>
      <c r="AD78" s="142" t="s">
        <v>339</v>
      </c>
      <c r="AE78" s="167" t="s">
        <v>912</v>
      </c>
      <c r="AF78" t="s">
        <v>896</v>
      </c>
      <c r="AG78" s="153" t="s">
        <v>896</v>
      </c>
      <c r="AH78" s="159" t="s">
        <v>896</v>
      </c>
      <c r="AI78" s="135">
        <v>3733</v>
      </c>
      <c r="AJ78" s="143">
        <v>3.7265000000000001</v>
      </c>
      <c r="AK78" s="137" t="s">
        <v>339</v>
      </c>
      <c r="AL78" s="159" t="s">
        <v>5356</v>
      </c>
      <c r="AM78" s="153" t="s">
        <v>5357</v>
      </c>
      <c r="AN78" s="136">
        <v>-7.3722348039290285E-3</v>
      </c>
      <c r="AO78" s="136">
        <v>2.5924411021266411E-5</v>
      </c>
    </row>
    <row r="79" spans="1:41">
      <c r="A79" t="s">
        <v>1213</v>
      </c>
      <c r="B79" t="s">
        <v>1252</v>
      </c>
      <c r="C79" t="s">
        <v>1017</v>
      </c>
      <c r="D79" s="134">
        <v>154778</v>
      </c>
      <c r="E79" t="s">
        <v>1216</v>
      </c>
      <c r="F79" t="s">
        <v>5326</v>
      </c>
      <c r="G79" s="138">
        <v>-229000</v>
      </c>
      <c r="H79" s="138">
        <v>-229</v>
      </c>
      <c r="I79" s="136">
        <v>20.295938656952078</v>
      </c>
      <c r="J79" s="136">
        <v>-4.8748340882228951E-2</v>
      </c>
      <c r="K79" t="s">
        <v>5221</v>
      </c>
      <c r="L79" t="s">
        <v>1212</v>
      </c>
      <c r="M79" t="s">
        <v>5308</v>
      </c>
      <c r="N79" s="138">
        <v>-853368.5</v>
      </c>
      <c r="O79" s="138">
        <v>-853.36850000000004</v>
      </c>
      <c r="P79" s="136">
        <v>20.260598822698075</v>
      </c>
      <c r="Q79" s="136">
        <v>-4.8663458959985584E-2</v>
      </c>
      <c r="R79" s="138">
        <v>4.3920000000000003</v>
      </c>
      <c r="S79" t="s">
        <v>204</v>
      </c>
      <c r="T79" t="s">
        <v>204</v>
      </c>
      <c r="U79" t="s">
        <v>746</v>
      </c>
      <c r="V79" s="139" t="s">
        <v>314</v>
      </c>
      <c r="W79" s="153" t="s">
        <v>928</v>
      </c>
      <c r="X79" t="s">
        <v>5176</v>
      </c>
      <c r="Y79" t="s">
        <v>339</v>
      </c>
      <c r="Z79" t="s">
        <v>5222</v>
      </c>
      <c r="AA79" t="s">
        <v>5187</v>
      </c>
      <c r="AB79" s="139" t="s">
        <v>896</v>
      </c>
      <c r="AC79" t="s">
        <v>897</v>
      </c>
      <c r="AD79" s="142" t="s">
        <v>339</v>
      </c>
      <c r="AE79" s="167" t="s">
        <v>912</v>
      </c>
      <c r="AF79" t="s">
        <v>896</v>
      </c>
      <c r="AG79" s="153" t="s">
        <v>896</v>
      </c>
      <c r="AH79" s="159" t="s">
        <v>896</v>
      </c>
      <c r="AI79" s="135">
        <v>3733</v>
      </c>
      <c r="AJ79" s="143">
        <v>3.7265000000000001</v>
      </c>
      <c r="AK79" s="137" t="s">
        <v>339</v>
      </c>
      <c r="AL79" s="159" t="s">
        <v>5356</v>
      </c>
      <c r="AM79" s="153" t="s">
        <v>5357</v>
      </c>
      <c r="AN79" s="136">
        <v>-1.0427499143938104E-2</v>
      </c>
      <c r="AO79" s="136">
        <v>2.5045566574164163E-5</v>
      </c>
    </row>
    <row r="80" spans="1:41">
      <c r="A80" t="s">
        <v>1213</v>
      </c>
      <c r="B80" t="s">
        <v>1253</v>
      </c>
      <c r="C80" t="s">
        <v>1017</v>
      </c>
      <c r="D80" s="134">
        <v>154778</v>
      </c>
      <c r="E80" t="s">
        <v>1216</v>
      </c>
      <c r="F80" t="s">
        <v>5326</v>
      </c>
      <c r="G80" s="138">
        <v>-159000</v>
      </c>
      <c r="H80" s="138">
        <v>-159</v>
      </c>
      <c r="I80" s="136">
        <v>16.690327573789432</v>
      </c>
      <c r="J80" s="136">
        <v>-5.0635051829276294E-2</v>
      </c>
      <c r="K80" t="s">
        <v>5221</v>
      </c>
      <c r="L80" t="s">
        <v>1212</v>
      </c>
      <c r="M80" t="s">
        <v>5308</v>
      </c>
      <c r="N80" s="138">
        <v>-592513.5</v>
      </c>
      <c r="O80" s="138">
        <v>-592.51350000000002</v>
      </c>
      <c r="P80" s="136">
        <v>16.661265926527275</v>
      </c>
      <c r="Q80" s="136">
        <v>-5.0546884715188346E-2</v>
      </c>
      <c r="R80" s="138">
        <v>3.0495000000000001</v>
      </c>
      <c r="S80" t="s">
        <v>204</v>
      </c>
      <c r="T80" t="s">
        <v>204</v>
      </c>
      <c r="U80" t="s">
        <v>746</v>
      </c>
      <c r="V80" s="139" t="s">
        <v>314</v>
      </c>
      <c r="W80" s="153" t="s">
        <v>928</v>
      </c>
      <c r="X80" t="s">
        <v>5176</v>
      </c>
      <c r="Y80" t="s">
        <v>339</v>
      </c>
      <c r="Z80" t="s">
        <v>5222</v>
      </c>
      <c r="AA80" t="s">
        <v>5187</v>
      </c>
      <c r="AB80" s="139" t="s">
        <v>896</v>
      </c>
      <c r="AC80" t="s">
        <v>897</v>
      </c>
      <c r="AD80" s="142" t="s">
        <v>339</v>
      </c>
      <c r="AE80" s="167" t="s">
        <v>912</v>
      </c>
      <c r="AF80" t="s">
        <v>896</v>
      </c>
      <c r="AG80" s="153" t="s">
        <v>896</v>
      </c>
      <c r="AH80" s="159" t="s">
        <v>896</v>
      </c>
      <c r="AI80" s="135">
        <v>3733</v>
      </c>
      <c r="AJ80" s="143">
        <v>3.7265000000000001</v>
      </c>
      <c r="AK80" s="137" t="s">
        <v>339</v>
      </c>
      <c r="AL80" s="159" t="s">
        <v>5356</v>
      </c>
      <c r="AM80" s="153" t="s">
        <v>5357</v>
      </c>
      <c r="AN80" s="136">
        <v>-8.5750346130515735E-3</v>
      </c>
      <c r="AO80" s="136">
        <v>2.6014907146074836E-5</v>
      </c>
    </row>
    <row r="81" spans="1:41">
      <c r="A81" t="s">
        <v>1213</v>
      </c>
      <c r="B81" t="s">
        <v>1241</v>
      </c>
      <c r="C81" t="s">
        <v>1017</v>
      </c>
      <c r="D81" s="134">
        <v>154778</v>
      </c>
      <c r="E81" t="s">
        <v>1216</v>
      </c>
      <c r="F81" t="s">
        <v>5326</v>
      </c>
      <c r="G81" s="138">
        <v>-512000</v>
      </c>
      <c r="H81" s="138">
        <v>-512</v>
      </c>
      <c r="I81" s="136">
        <v>59.461355218523614</v>
      </c>
      <c r="J81" s="136">
        <v>-5.0390985498568172E-2</v>
      </c>
      <c r="K81" t="s">
        <v>5221</v>
      </c>
      <c r="L81" t="s">
        <v>1212</v>
      </c>
      <c r="M81" t="s">
        <v>5308</v>
      </c>
      <c r="N81" s="138">
        <v>-1907968</v>
      </c>
      <c r="O81" s="138">
        <v>-1907.9680000000001</v>
      </c>
      <c r="P81" s="136">
        <v>59.357819507588601</v>
      </c>
      <c r="Q81" s="136">
        <v>-5.0303243359339486E-2</v>
      </c>
      <c r="R81" s="138">
        <v>9.819700000000001</v>
      </c>
      <c r="S81" t="s">
        <v>204</v>
      </c>
      <c r="T81" t="s">
        <v>204</v>
      </c>
      <c r="U81" t="s">
        <v>746</v>
      </c>
      <c r="V81" s="139" t="s">
        <v>314</v>
      </c>
      <c r="W81" s="153" t="s">
        <v>928</v>
      </c>
      <c r="X81" t="s">
        <v>5176</v>
      </c>
      <c r="Y81" t="s">
        <v>339</v>
      </c>
      <c r="Z81" t="s">
        <v>5222</v>
      </c>
      <c r="AA81" t="s">
        <v>5187</v>
      </c>
      <c r="AB81" s="139" t="s">
        <v>896</v>
      </c>
      <c r="AC81" t="s">
        <v>897</v>
      </c>
      <c r="AD81" s="142" t="s">
        <v>339</v>
      </c>
      <c r="AE81" s="167" t="s">
        <v>912</v>
      </c>
      <c r="AF81" t="s">
        <v>896</v>
      </c>
      <c r="AG81" s="153" t="s">
        <v>896</v>
      </c>
      <c r="AH81" s="159" t="s">
        <v>896</v>
      </c>
      <c r="AI81" s="135">
        <v>3733</v>
      </c>
      <c r="AJ81" s="143">
        <v>3.7265000000000001</v>
      </c>
      <c r="AK81" s="137" t="s">
        <v>339</v>
      </c>
      <c r="AL81" s="159" t="s">
        <v>5356</v>
      </c>
      <c r="AM81" s="153" t="s">
        <v>5357</v>
      </c>
      <c r="AN81" s="136">
        <v>-3.0549620843782255E-2</v>
      </c>
      <c r="AO81" s="136">
        <v>2.5889512529075694E-5</v>
      </c>
    </row>
    <row r="82" spans="1:41">
      <c r="A82" t="s">
        <v>1213</v>
      </c>
      <c r="B82" t="s">
        <v>1238</v>
      </c>
      <c r="C82" t="s">
        <v>1017</v>
      </c>
      <c r="D82" s="134">
        <v>154778</v>
      </c>
      <c r="E82" t="s">
        <v>1216</v>
      </c>
      <c r="F82" t="s">
        <v>5326</v>
      </c>
      <c r="G82" s="138">
        <v>-2413000</v>
      </c>
      <c r="H82" s="138">
        <v>-2413</v>
      </c>
      <c r="I82" s="136">
        <v>16.224680008219131</v>
      </c>
      <c r="J82" s="136">
        <v>-4.9798933065703148E-2</v>
      </c>
      <c r="K82" t="s">
        <v>5221</v>
      </c>
      <c r="L82" t="s">
        <v>1212</v>
      </c>
      <c r="M82" t="s">
        <v>5308</v>
      </c>
      <c r="N82" s="138">
        <v>-8992044.5</v>
      </c>
      <c r="O82" s="138">
        <v>-8992.0445</v>
      </c>
      <c r="P82" s="136">
        <v>16.196429159021857</v>
      </c>
      <c r="Q82" s="136">
        <v>-4.9712221824093968E-2</v>
      </c>
      <c r="R82" s="138">
        <v>46.279300000000006</v>
      </c>
      <c r="S82" t="s">
        <v>204</v>
      </c>
      <c r="T82" t="s">
        <v>204</v>
      </c>
      <c r="U82" t="s">
        <v>746</v>
      </c>
      <c r="V82" s="139" t="s">
        <v>314</v>
      </c>
      <c r="W82" s="153" t="s">
        <v>928</v>
      </c>
      <c r="X82" t="s">
        <v>5176</v>
      </c>
      <c r="Y82" t="s">
        <v>339</v>
      </c>
      <c r="Z82" t="s">
        <v>5222</v>
      </c>
      <c r="AA82" t="s">
        <v>5187</v>
      </c>
      <c r="AB82" s="139" t="s">
        <v>896</v>
      </c>
      <c r="AC82" t="s">
        <v>897</v>
      </c>
      <c r="AD82" s="142" t="s">
        <v>339</v>
      </c>
      <c r="AE82" s="167" t="s">
        <v>912</v>
      </c>
      <c r="AF82" t="s">
        <v>896</v>
      </c>
      <c r="AG82" s="153" t="s">
        <v>896</v>
      </c>
      <c r="AH82" s="159" t="s">
        <v>896</v>
      </c>
      <c r="AI82" s="135">
        <v>3733</v>
      </c>
      <c r="AJ82" s="143">
        <v>3.7265000000000001</v>
      </c>
      <c r="AK82" s="137" t="s">
        <v>339</v>
      </c>
      <c r="AL82" s="159" t="s">
        <v>5356</v>
      </c>
      <c r="AM82" s="153" t="s">
        <v>5357</v>
      </c>
      <c r="AN82" s="136">
        <v>-8.3357976073911155E-3</v>
      </c>
      <c r="AO82" s="136">
        <v>2.5585332153819331E-5</v>
      </c>
    </row>
    <row r="83" spans="1:41">
      <c r="A83" t="s">
        <v>1213</v>
      </c>
      <c r="B83" t="s">
        <v>1235</v>
      </c>
      <c r="C83" t="s">
        <v>1017</v>
      </c>
      <c r="D83" s="134">
        <v>154778</v>
      </c>
      <c r="E83" t="s">
        <v>1216</v>
      </c>
      <c r="F83" t="s">
        <v>5326</v>
      </c>
      <c r="G83" s="138">
        <v>-91000</v>
      </c>
      <c r="H83" s="138">
        <v>-91</v>
      </c>
      <c r="I83" s="136">
        <v>20.230882336224219</v>
      </c>
      <c r="J83" s="136">
        <v>-4.9216267262498732E-2</v>
      </c>
      <c r="K83" t="s">
        <v>5221</v>
      </c>
      <c r="L83" t="s">
        <v>1212</v>
      </c>
      <c r="M83" t="s">
        <v>5308</v>
      </c>
      <c r="N83" s="138">
        <v>-339111.5</v>
      </c>
      <c r="O83" s="138">
        <v>-339.11149999999998</v>
      </c>
      <c r="P83" s="136">
        <v>20.195655779785575</v>
      </c>
      <c r="Q83" s="136">
        <v>-4.9130570574257036E-2</v>
      </c>
      <c r="R83" s="138">
        <v>1.7452999999999999</v>
      </c>
      <c r="S83" t="s">
        <v>204</v>
      </c>
      <c r="T83" t="s">
        <v>204</v>
      </c>
      <c r="U83" t="s">
        <v>746</v>
      </c>
      <c r="V83" s="139" t="s">
        <v>314</v>
      </c>
      <c r="W83" s="153" t="s">
        <v>928</v>
      </c>
      <c r="X83" t="s">
        <v>5176</v>
      </c>
      <c r="Y83" t="s">
        <v>339</v>
      </c>
      <c r="Z83" t="s">
        <v>5222</v>
      </c>
      <c r="AA83" t="s">
        <v>5187</v>
      </c>
      <c r="AB83" s="139" t="s">
        <v>896</v>
      </c>
      <c r="AC83" t="s">
        <v>897</v>
      </c>
      <c r="AD83" s="142" t="s">
        <v>339</v>
      </c>
      <c r="AE83" s="167" t="s">
        <v>912</v>
      </c>
      <c r="AF83" t="s">
        <v>896</v>
      </c>
      <c r="AG83" s="153" t="s">
        <v>896</v>
      </c>
      <c r="AH83" s="159" t="s">
        <v>896</v>
      </c>
      <c r="AI83" s="135">
        <v>3733</v>
      </c>
      <c r="AJ83" s="143">
        <v>3.7265000000000001</v>
      </c>
      <c r="AK83" s="137" t="s">
        <v>339</v>
      </c>
      <c r="AL83" s="159" t="s">
        <v>5356</v>
      </c>
      <c r="AM83" s="153" t="s">
        <v>5357</v>
      </c>
      <c r="AN83" s="136">
        <v>-1.039407498257428E-2</v>
      </c>
      <c r="AO83" s="136">
        <v>2.5285974372598813E-5</v>
      </c>
    </row>
    <row r="84" spans="1:41">
      <c r="A84" t="s">
        <v>1213</v>
      </c>
      <c r="B84" t="s">
        <v>1242</v>
      </c>
      <c r="C84" t="s">
        <v>1017</v>
      </c>
      <c r="D84" s="134">
        <v>154778</v>
      </c>
      <c r="E84" t="s">
        <v>1216</v>
      </c>
      <c r="F84" t="s">
        <v>5326</v>
      </c>
      <c r="G84" s="138">
        <v>-504000</v>
      </c>
      <c r="H84" s="138">
        <v>-504</v>
      </c>
      <c r="I84" s="136">
        <v>44.513020311895183</v>
      </c>
      <c r="J84" s="136">
        <v>-4.9167205639080773E-2</v>
      </c>
      <c r="K84" t="s">
        <v>5221</v>
      </c>
      <c r="L84" t="s">
        <v>1212</v>
      </c>
      <c r="M84" t="s">
        <v>5308</v>
      </c>
      <c r="N84" s="138">
        <v>-1878156</v>
      </c>
      <c r="O84" s="138">
        <v>-1878.1559999999999</v>
      </c>
      <c r="P84" s="136">
        <v>44.435513043738922</v>
      </c>
      <c r="Q84" s="136">
        <v>-4.90815943782573E-2</v>
      </c>
      <c r="R84" s="138">
        <v>9.6662999999999997</v>
      </c>
      <c r="S84" t="s">
        <v>204</v>
      </c>
      <c r="T84" t="s">
        <v>204</v>
      </c>
      <c r="U84" t="s">
        <v>746</v>
      </c>
      <c r="V84" s="139" t="s">
        <v>314</v>
      </c>
      <c r="W84" s="153" t="s">
        <v>928</v>
      </c>
      <c r="X84" t="s">
        <v>5176</v>
      </c>
      <c r="Y84" t="s">
        <v>339</v>
      </c>
      <c r="Z84" t="s">
        <v>5222</v>
      </c>
      <c r="AA84" t="s">
        <v>5187</v>
      </c>
      <c r="AB84" s="139" t="s">
        <v>896</v>
      </c>
      <c r="AC84" t="s">
        <v>897</v>
      </c>
      <c r="AD84" s="142" t="s">
        <v>339</v>
      </c>
      <c r="AE84" s="167" t="s">
        <v>912</v>
      </c>
      <c r="AF84" t="s">
        <v>896</v>
      </c>
      <c r="AG84" s="153" t="s">
        <v>896</v>
      </c>
      <c r="AH84" s="159" t="s">
        <v>896</v>
      </c>
      <c r="AI84" s="135">
        <v>3733</v>
      </c>
      <c r="AJ84" s="143">
        <v>3.7265000000000001</v>
      </c>
      <c r="AK84" s="137" t="s">
        <v>339</v>
      </c>
      <c r="AL84" s="159" t="s">
        <v>5356</v>
      </c>
      <c r="AM84" s="153" t="s">
        <v>5357</v>
      </c>
      <c r="AN84" s="136">
        <v>-2.2869574501664772E-2</v>
      </c>
      <c r="AO84" s="136">
        <v>2.5260767850011488E-5</v>
      </c>
    </row>
    <row r="85" spans="1:41">
      <c r="A85" t="s">
        <v>1213</v>
      </c>
      <c r="B85" t="s">
        <v>1243</v>
      </c>
      <c r="C85" t="s">
        <v>1017</v>
      </c>
      <c r="D85" s="134">
        <v>154778</v>
      </c>
      <c r="E85" t="s">
        <v>1216</v>
      </c>
      <c r="F85" t="s">
        <v>5326</v>
      </c>
      <c r="G85" s="138">
        <v>-5876000</v>
      </c>
      <c r="H85" s="138">
        <v>-5876</v>
      </c>
      <c r="I85" s="136">
        <v>20.108140694615745</v>
      </c>
      <c r="J85" s="136">
        <v>-4.9267508906907675E-2</v>
      </c>
      <c r="K85" t="s">
        <v>5221</v>
      </c>
      <c r="L85" t="s">
        <v>1212</v>
      </c>
      <c r="M85" t="s">
        <v>5308</v>
      </c>
      <c r="N85" s="138">
        <v>-21896914</v>
      </c>
      <c r="O85" s="138">
        <v>-21896.914000000001</v>
      </c>
      <c r="P85" s="136">
        <v>20.073127859224638</v>
      </c>
      <c r="Q85" s="136">
        <v>-4.9181722995336581E-2</v>
      </c>
      <c r="R85" s="138">
        <v>112.6966</v>
      </c>
      <c r="S85" t="s">
        <v>204</v>
      </c>
      <c r="T85" t="s">
        <v>204</v>
      </c>
      <c r="U85" t="s">
        <v>746</v>
      </c>
      <c r="V85" s="139" t="s">
        <v>314</v>
      </c>
      <c r="W85" s="153" t="s">
        <v>928</v>
      </c>
      <c r="X85" t="s">
        <v>5176</v>
      </c>
      <c r="Y85" t="s">
        <v>339</v>
      </c>
      <c r="Z85" t="s">
        <v>5222</v>
      </c>
      <c r="AA85" t="s">
        <v>5187</v>
      </c>
      <c r="AB85" s="139" t="s">
        <v>896</v>
      </c>
      <c r="AC85" t="s">
        <v>897</v>
      </c>
      <c r="AD85" s="142" t="s">
        <v>339</v>
      </c>
      <c r="AE85" s="167" t="s">
        <v>912</v>
      </c>
      <c r="AF85" t="s">
        <v>896</v>
      </c>
      <c r="AG85" s="153" t="s">
        <v>896</v>
      </c>
      <c r="AH85" s="159" t="s">
        <v>896</v>
      </c>
      <c r="AI85" s="135">
        <v>3733</v>
      </c>
      <c r="AJ85" s="143">
        <v>3.7265000000000001</v>
      </c>
      <c r="AK85" s="137" t="s">
        <v>339</v>
      </c>
      <c r="AL85" s="159" t="s">
        <v>5356</v>
      </c>
      <c r="AM85" s="153" t="s">
        <v>5357</v>
      </c>
      <c r="AN85" s="136">
        <v>-1.033101367831875E-2</v>
      </c>
      <c r="AO85" s="136">
        <v>2.5312300930450624E-5</v>
      </c>
    </row>
    <row r="86" spans="1:41">
      <c r="A86" t="s">
        <v>1213</v>
      </c>
      <c r="B86">
        <v>15108</v>
      </c>
      <c r="C86" t="s">
        <v>1017</v>
      </c>
      <c r="D86" s="134">
        <v>154779</v>
      </c>
      <c r="E86" t="s">
        <v>1216</v>
      </c>
      <c r="F86" t="s">
        <v>5327</v>
      </c>
      <c r="G86" s="138">
        <v>25000000</v>
      </c>
      <c r="H86" s="138">
        <v>25000</v>
      </c>
      <c r="I86" s="136">
        <v>-656.46192953353034</v>
      </c>
      <c r="J86" s="136">
        <v>1.6064372203690294</v>
      </c>
      <c r="K86" t="s">
        <v>5253</v>
      </c>
      <c r="L86" t="s">
        <v>1212</v>
      </c>
      <c r="M86" t="s">
        <v>5308</v>
      </c>
      <c r="N86" s="138">
        <v>-94170000</v>
      </c>
      <c r="O86" s="138">
        <v>-94170</v>
      </c>
      <c r="P86" s="136">
        <v>652.09936607776956</v>
      </c>
      <c r="Q86" s="136">
        <v>-1.595761529980501</v>
      </c>
      <c r="R86" s="138">
        <v>-1482.8178</v>
      </c>
      <c r="S86" t="s">
        <v>204</v>
      </c>
      <c r="T86" t="s">
        <v>204</v>
      </c>
      <c r="U86" t="s">
        <v>746</v>
      </c>
      <c r="V86" s="139" t="s">
        <v>314</v>
      </c>
      <c r="W86" s="153" t="s">
        <v>928</v>
      </c>
      <c r="X86" t="s">
        <v>5176</v>
      </c>
      <c r="Y86" t="s">
        <v>339</v>
      </c>
      <c r="Z86" t="s">
        <v>4995</v>
      </c>
      <c r="AA86" t="s">
        <v>5187</v>
      </c>
      <c r="AB86" s="139" t="s">
        <v>896</v>
      </c>
      <c r="AC86" t="s">
        <v>897</v>
      </c>
      <c r="AD86" s="142" t="s">
        <v>339</v>
      </c>
      <c r="AE86" s="167" t="s">
        <v>912</v>
      </c>
      <c r="AF86" t="s">
        <v>896</v>
      </c>
      <c r="AG86" s="153" t="s">
        <v>896</v>
      </c>
      <c r="AH86" s="159" t="s">
        <v>896</v>
      </c>
      <c r="AI86" s="135">
        <v>3792</v>
      </c>
      <c r="AJ86" s="143">
        <v>3.7667999999999999</v>
      </c>
      <c r="AK86" s="137" t="s">
        <v>339</v>
      </c>
      <c r="AL86" s="159" t="s">
        <v>5356</v>
      </c>
      <c r="AM86" s="153" t="s">
        <v>5357</v>
      </c>
      <c r="AN86" s="136">
        <v>1.02680740346843</v>
      </c>
      <c r="AO86" s="136">
        <v>-2.5127148382454874E-3</v>
      </c>
    </row>
    <row r="87" spans="1:41">
      <c r="A87" t="s">
        <v>1213</v>
      </c>
      <c r="B87" t="s">
        <v>1225</v>
      </c>
      <c r="C87" t="s">
        <v>1017</v>
      </c>
      <c r="D87" s="134">
        <v>154781</v>
      </c>
      <c r="E87" t="s">
        <v>1216</v>
      </c>
      <c r="F87" t="s">
        <v>5328</v>
      </c>
      <c r="G87" s="138">
        <v>-725000</v>
      </c>
      <c r="H87" s="138">
        <v>-725</v>
      </c>
      <c r="I87" s="136">
        <v>256.59334348376706</v>
      </c>
      <c r="J87" s="136">
        <v>-4.2446300768647929E-2</v>
      </c>
      <c r="K87" t="s">
        <v>5188</v>
      </c>
      <c r="L87" t="s">
        <v>1212</v>
      </c>
      <c r="M87" t="s">
        <v>5308</v>
      </c>
      <c r="N87" s="138">
        <v>-2755000</v>
      </c>
      <c r="O87" s="138">
        <v>-2755</v>
      </c>
      <c r="P87" s="136">
        <v>254.98292501001956</v>
      </c>
      <c r="Q87" s="136">
        <v>-4.2179901391438838E-2</v>
      </c>
      <c r="R87" s="138">
        <v>65.270899999999997</v>
      </c>
      <c r="S87" t="s">
        <v>204</v>
      </c>
      <c r="T87" t="s">
        <v>204</v>
      </c>
      <c r="U87" t="s">
        <v>746</v>
      </c>
      <c r="V87" s="139" t="s">
        <v>314</v>
      </c>
      <c r="W87" s="153" t="s">
        <v>928</v>
      </c>
      <c r="X87" t="s">
        <v>5176</v>
      </c>
      <c r="Y87" t="s">
        <v>339</v>
      </c>
      <c r="Z87" t="s">
        <v>5189</v>
      </c>
      <c r="AA87" t="s">
        <v>5184</v>
      </c>
      <c r="AB87" s="139" t="s">
        <v>896</v>
      </c>
      <c r="AC87" t="s">
        <v>897</v>
      </c>
      <c r="AD87" s="142" t="s">
        <v>339</v>
      </c>
      <c r="AE87" s="167" t="s">
        <v>912</v>
      </c>
      <c r="AF87" t="s">
        <v>896</v>
      </c>
      <c r="AG87" s="153" t="s">
        <v>896</v>
      </c>
      <c r="AH87" s="159" t="s">
        <v>896</v>
      </c>
      <c r="AI87" s="135">
        <v>3824</v>
      </c>
      <c r="AJ87" s="143">
        <v>3.8</v>
      </c>
      <c r="AK87" s="137" t="s">
        <v>339</v>
      </c>
      <c r="AL87" s="159" t="s">
        <v>5356</v>
      </c>
      <c r="AM87" s="153" t="s">
        <v>5357</v>
      </c>
      <c r="AN87" s="136">
        <v>-0.60410011432538502</v>
      </c>
      <c r="AO87" s="136">
        <v>9.9931723866609478E-5</v>
      </c>
    </row>
    <row r="88" spans="1:41">
      <c r="A88" t="s">
        <v>1213</v>
      </c>
      <c r="B88" t="s">
        <v>1225</v>
      </c>
      <c r="C88" t="s">
        <v>1017</v>
      </c>
      <c r="D88" s="134">
        <v>154783</v>
      </c>
      <c r="E88" t="s">
        <v>1216</v>
      </c>
      <c r="F88" t="s">
        <v>5328</v>
      </c>
      <c r="G88" s="138">
        <v>-1600000</v>
      </c>
      <c r="H88" s="138">
        <v>-1600</v>
      </c>
      <c r="I88" s="136">
        <v>566.27496492969283</v>
      </c>
      <c r="J88" s="136">
        <v>-9.3674594799774732E-2</v>
      </c>
      <c r="K88" t="s">
        <v>5206</v>
      </c>
      <c r="L88" t="s">
        <v>1228</v>
      </c>
      <c r="M88" t="s">
        <v>5329</v>
      </c>
      <c r="N88" s="138">
        <v>-224448000</v>
      </c>
      <c r="O88" s="138">
        <v>-224448</v>
      </c>
      <c r="P88" s="136">
        <v>557.45117483678132</v>
      </c>
      <c r="Q88" s="136">
        <v>-9.2214941781820145E-2</v>
      </c>
      <c r="R88" s="138">
        <v>-62.407599999999995</v>
      </c>
      <c r="S88" t="s">
        <v>204</v>
      </c>
      <c r="T88" t="s">
        <v>204</v>
      </c>
      <c r="U88" t="s">
        <v>746</v>
      </c>
      <c r="V88" s="139" t="s">
        <v>314</v>
      </c>
      <c r="W88" t="s">
        <v>929</v>
      </c>
      <c r="X88" t="s">
        <v>5186</v>
      </c>
      <c r="Y88" t="s">
        <v>339</v>
      </c>
      <c r="Z88" t="s">
        <v>5189</v>
      </c>
      <c r="AA88" t="s">
        <v>5187</v>
      </c>
      <c r="AB88" s="139" t="s">
        <v>896</v>
      </c>
      <c r="AC88" t="s">
        <v>897</v>
      </c>
      <c r="AD88" s="142" t="s">
        <v>339</v>
      </c>
      <c r="AE88" s="167" t="s">
        <v>912</v>
      </c>
      <c r="AF88" t="s">
        <v>896</v>
      </c>
      <c r="AG88" s="153" t="s">
        <v>896</v>
      </c>
      <c r="AH88" s="159" t="s">
        <v>896</v>
      </c>
      <c r="AI88" s="135">
        <v>3824</v>
      </c>
      <c r="AJ88" s="143">
        <v>140.28</v>
      </c>
      <c r="AK88" s="137" t="s">
        <v>339</v>
      </c>
      <c r="AL88" s="159" t="s">
        <v>5356</v>
      </c>
      <c r="AM88" s="153" t="s">
        <v>5357</v>
      </c>
      <c r="AN88" s="136">
        <v>0.57759986361910731</v>
      </c>
      <c r="AO88" s="136">
        <v>-9.5547987341525404E-5</v>
      </c>
    </row>
    <row r="89" spans="1:41">
      <c r="A89" t="s">
        <v>1213</v>
      </c>
      <c r="B89" t="s">
        <v>1230</v>
      </c>
      <c r="C89" t="s">
        <v>1017</v>
      </c>
      <c r="D89" s="134">
        <v>154783</v>
      </c>
      <c r="E89" t="s">
        <v>1216</v>
      </c>
      <c r="F89" t="s">
        <v>5328</v>
      </c>
      <c r="G89" s="138">
        <v>-6800000</v>
      </c>
      <c r="H89" s="138">
        <v>-6800</v>
      </c>
      <c r="I89" s="136">
        <v>128.77050468558699</v>
      </c>
      <c r="J89" s="136">
        <v>-9.268656457042275E-2</v>
      </c>
      <c r="K89" t="s">
        <v>5206</v>
      </c>
      <c r="L89" t="s">
        <v>1228</v>
      </c>
      <c r="M89" t="s">
        <v>5329</v>
      </c>
      <c r="N89" s="138">
        <v>-953904000</v>
      </c>
      <c r="O89" s="138">
        <v>-953904</v>
      </c>
      <c r="P89" s="136">
        <v>126.76398139942162</v>
      </c>
      <c r="Q89" s="136">
        <v>-9.1242307202795622E-2</v>
      </c>
      <c r="R89" s="138">
        <v>-265.23240000000004</v>
      </c>
      <c r="S89" t="s">
        <v>204</v>
      </c>
      <c r="T89" t="s">
        <v>204</v>
      </c>
      <c r="U89" t="s">
        <v>746</v>
      </c>
      <c r="V89" s="139" t="s">
        <v>314</v>
      </c>
      <c r="W89" t="s">
        <v>929</v>
      </c>
      <c r="X89" t="s">
        <v>5186</v>
      </c>
      <c r="Y89" t="s">
        <v>339</v>
      </c>
      <c r="Z89" t="s">
        <v>5189</v>
      </c>
      <c r="AA89" t="s">
        <v>5187</v>
      </c>
      <c r="AB89" s="139" t="s">
        <v>896</v>
      </c>
      <c r="AC89" t="s">
        <v>897</v>
      </c>
      <c r="AD89" s="142" t="s">
        <v>339</v>
      </c>
      <c r="AE89" s="167" t="s">
        <v>912</v>
      </c>
      <c r="AF89" t="s">
        <v>896</v>
      </c>
      <c r="AG89" s="153" t="s">
        <v>896</v>
      </c>
      <c r="AH89" s="159" t="s">
        <v>896</v>
      </c>
      <c r="AI89" s="135">
        <v>3824</v>
      </c>
      <c r="AJ89" s="143">
        <v>140.28</v>
      </c>
      <c r="AK89" s="137" t="s">
        <v>339</v>
      </c>
      <c r="AL89" s="159" t="s">
        <v>5356</v>
      </c>
      <c r="AM89" s="153" t="s">
        <v>5357</v>
      </c>
      <c r="AN89" s="136">
        <v>0.13134577820121954</v>
      </c>
      <c r="AO89" s="136">
        <v>-9.4540197555522735E-5</v>
      </c>
    </row>
    <row r="90" spans="1:41">
      <c r="A90" t="s">
        <v>1213</v>
      </c>
      <c r="B90">
        <v>15108</v>
      </c>
      <c r="C90" t="s">
        <v>1017</v>
      </c>
      <c r="D90" s="134">
        <v>154784</v>
      </c>
      <c r="E90" t="s">
        <v>1216</v>
      </c>
      <c r="F90" t="s">
        <v>5330</v>
      </c>
      <c r="G90" s="138">
        <v>10000000</v>
      </c>
      <c r="H90" s="138">
        <v>10000</v>
      </c>
      <c r="I90" s="136">
        <v>-266.116370801409</v>
      </c>
      <c r="J90" s="136">
        <v>0.65121711370022994</v>
      </c>
      <c r="K90" t="s">
        <v>5252</v>
      </c>
      <c r="L90" t="s">
        <v>1212</v>
      </c>
      <c r="M90" t="s">
        <v>5308</v>
      </c>
      <c r="N90" s="138">
        <v>-38107000</v>
      </c>
      <c r="O90" s="138">
        <v>-38107</v>
      </c>
      <c r="P90" s="136">
        <v>263.87969144234432</v>
      </c>
      <c r="Q90" s="136">
        <v>-0.64574370418357174</v>
      </c>
      <c r="R90" s="138">
        <v>-1037.3256999999999</v>
      </c>
      <c r="S90" t="s">
        <v>204</v>
      </c>
      <c r="T90" t="s">
        <v>204</v>
      </c>
      <c r="U90" t="s">
        <v>746</v>
      </c>
      <c r="V90" s="139" t="s">
        <v>314</v>
      </c>
      <c r="W90" s="153" t="s">
        <v>928</v>
      </c>
      <c r="X90" t="s">
        <v>5176</v>
      </c>
      <c r="Y90" t="s">
        <v>339</v>
      </c>
      <c r="Z90" t="s">
        <v>4991</v>
      </c>
      <c r="AA90" t="s">
        <v>5200</v>
      </c>
      <c r="AB90" s="139" t="s">
        <v>896</v>
      </c>
      <c r="AC90" t="s">
        <v>897</v>
      </c>
      <c r="AD90" s="142" t="s">
        <v>339</v>
      </c>
      <c r="AE90" s="167" t="s">
        <v>912</v>
      </c>
      <c r="AF90" t="s">
        <v>896</v>
      </c>
      <c r="AG90" s="153" t="s">
        <v>896</v>
      </c>
      <c r="AH90" s="159" t="s">
        <v>896</v>
      </c>
      <c r="AI90" s="135">
        <v>3843</v>
      </c>
      <c r="AJ90" s="143">
        <v>3.8107000000000002</v>
      </c>
      <c r="AK90" s="137" t="s">
        <v>339</v>
      </c>
      <c r="AL90" s="159" t="s">
        <v>5356</v>
      </c>
      <c r="AM90" s="153" t="s">
        <v>5357</v>
      </c>
      <c r="AN90" s="136">
        <v>0.7183173094546571</v>
      </c>
      <c r="AO90" s="136">
        <v>-1.7578043905200438E-3</v>
      </c>
    </row>
    <row r="91" spans="1:41">
      <c r="A91" t="s">
        <v>1213</v>
      </c>
      <c r="B91" t="s">
        <v>1230</v>
      </c>
      <c r="C91" t="s">
        <v>1017</v>
      </c>
      <c r="D91" s="134">
        <v>154786</v>
      </c>
      <c r="E91" t="s">
        <v>1218</v>
      </c>
      <c r="F91" t="s">
        <v>5331</v>
      </c>
      <c r="G91" s="138">
        <v>-585000</v>
      </c>
      <c r="H91" s="138">
        <v>-585</v>
      </c>
      <c r="I91" s="136">
        <v>12.142690848739313</v>
      </c>
      <c r="J91" s="136">
        <v>-8.7400783444807669E-3</v>
      </c>
      <c r="K91" t="s">
        <v>5194</v>
      </c>
      <c r="L91" t="s">
        <v>1212</v>
      </c>
      <c r="M91" t="s">
        <v>5308</v>
      </c>
      <c r="N91" s="138">
        <v>-2452320</v>
      </c>
      <c r="O91" s="138">
        <v>-2452.3200000000002</v>
      </c>
      <c r="P91" s="136">
        <v>12.144139338641347</v>
      </c>
      <c r="Q91" s="136">
        <v>-8.7411209400127341E-3</v>
      </c>
      <c r="R91" s="138">
        <v>22.5002</v>
      </c>
      <c r="S91" t="s">
        <v>204</v>
      </c>
      <c r="T91" t="s">
        <v>204</v>
      </c>
      <c r="U91" t="s">
        <v>746</v>
      </c>
      <c r="V91" s="139" t="s">
        <v>314</v>
      </c>
      <c r="W91" s="153" t="s">
        <v>928</v>
      </c>
      <c r="X91" t="s">
        <v>5183</v>
      </c>
      <c r="Y91" t="s">
        <v>339</v>
      </c>
      <c r="Z91" t="s">
        <v>4991</v>
      </c>
      <c r="AA91" t="s">
        <v>5184</v>
      </c>
      <c r="AB91" s="139" t="s">
        <v>896</v>
      </c>
      <c r="AC91" t="s">
        <v>897</v>
      </c>
      <c r="AD91" s="142" t="s">
        <v>339</v>
      </c>
      <c r="AE91" s="167" t="s">
        <v>912</v>
      </c>
      <c r="AF91" t="s">
        <v>896</v>
      </c>
      <c r="AG91" s="153" t="s">
        <v>896</v>
      </c>
      <c r="AH91" s="159" t="s">
        <v>896</v>
      </c>
      <c r="AI91" s="135">
        <v>4191.5</v>
      </c>
      <c r="AJ91" s="143">
        <v>4.1920000000000002</v>
      </c>
      <c r="AK91" s="137" t="s">
        <v>339</v>
      </c>
      <c r="AL91" s="159" t="s">
        <v>5356</v>
      </c>
      <c r="AM91" s="153" t="s">
        <v>5357</v>
      </c>
      <c r="AN91" s="136">
        <v>-1.1142331920089815E-2</v>
      </c>
      <c r="AO91" s="136">
        <v>8.0200389794083049E-6</v>
      </c>
    </row>
    <row r="92" spans="1:41">
      <c r="A92" t="s">
        <v>1213</v>
      </c>
      <c r="B92" t="s">
        <v>1225</v>
      </c>
      <c r="C92" t="s">
        <v>1017</v>
      </c>
      <c r="D92" s="134">
        <v>154786</v>
      </c>
      <c r="E92" t="s">
        <v>1218</v>
      </c>
      <c r="F92" t="s">
        <v>5331</v>
      </c>
      <c r="G92" s="138">
        <v>-245000</v>
      </c>
      <c r="H92" s="138">
        <v>-245</v>
      </c>
      <c r="I92" s="136">
        <v>95.044075460608624</v>
      </c>
      <c r="J92" s="136">
        <v>-1.5722424278454772E-2</v>
      </c>
      <c r="K92" t="s">
        <v>5194</v>
      </c>
      <c r="L92" t="s">
        <v>1212</v>
      </c>
      <c r="M92" t="s">
        <v>5308</v>
      </c>
      <c r="N92" s="138">
        <v>-1027040</v>
      </c>
      <c r="O92" s="138">
        <v>-1027.04</v>
      </c>
      <c r="P92" s="136">
        <v>95.05541317687495</v>
      </c>
      <c r="Q92" s="136">
        <v>-1.5724299791311559E-2</v>
      </c>
      <c r="R92" s="138">
        <v>9.4232000000000014</v>
      </c>
      <c r="S92" t="s">
        <v>204</v>
      </c>
      <c r="T92" t="s">
        <v>204</v>
      </c>
      <c r="U92" t="s">
        <v>746</v>
      </c>
      <c r="V92" s="139" t="s">
        <v>314</v>
      </c>
      <c r="W92" s="153" t="s">
        <v>928</v>
      </c>
      <c r="X92" t="s">
        <v>5183</v>
      </c>
      <c r="Y92" t="s">
        <v>339</v>
      </c>
      <c r="Z92" t="s">
        <v>4991</v>
      </c>
      <c r="AA92" t="s">
        <v>5184</v>
      </c>
      <c r="AB92" s="139" t="s">
        <v>896</v>
      </c>
      <c r="AC92" t="s">
        <v>897</v>
      </c>
      <c r="AD92" s="142" t="s">
        <v>339</v>
      </c>
      <c r="AE92" s="167" t="s">
        <v>912</v>
      </c>
      <c r="AF92" t="s">
        <v>896</v>
      </c>
      <c r="AG92" s="153" t="s">
        <v>896</v>
      </c>
      <c r="AH92" s="159" t="s">
        <v>896</v>
      </c>
      <c r="AI92" s="135">
        <v>4191.5</v>
      </c>
      <c r="AJ92" s="143">
        <v>4.1920000000000002</v>
      </c>
      <c r="AK92" s="137" t="s">
        <v>339</v>
      </c>
      <c r="AL92" s="159" t="s">
        <v>5356</v>
      </c>
      <c r="AM92" s="153" t="s">
        <v>5357</v>
      </c>
      <c r="AN92" s="136">
        <v>-8.7213999681966858E-2</v>
      </c>
      <c r="AO92" s="136">
        <v>1.4427153921752943E-5</v>
      </c>
    </row>
    <row r="93" spans="1:41">
      <c r="A93" t="s">
        <v>1213</v>
      </c>
      <c r="B93" t="s">
        <v>1241</v>
      </c>
      <c r="C93" t="s">
        <v>1017</v>
      </c>
      <c r="D93" s="134">
        <v>154787</v>
      </c>
      <c r="E93" t="s">
        <v>1216</v>
      </c>
      <c r="F93" t="s">
        <v>5332</v>
      </c>
      <c r="G93" s="138">
        <v>-514000</v>
      </c>
      <c r="H93" s="138">
        <v>-514</v>
      </c>
      <c r="I93" s="136">
        <v>60.509156523899591</v>
      </c>
      <c r="J93" s="136">
        <v>-5.1278952821050813E-2</v>
      </c>
      <c r="K93" t="s">
        <v>5219</v>
      </c>
      <c r="L93" t="s">
        <v>1212</v>
      </c>
      <c r="M93" t="s">
        <v>5308</v>
      </c>
      <c r="N93" s="138">
        <v>-1935569.8</v>
      </c>
      <c r="O93" s="138">
        <v>-1935.5698</v>
      </c>
      <c r="P93" s="136">
        <v>60.216525032253884</v>
      </c>
      <c r="Q93" s="136">
        <v>-5.1030959999532513E-2</v>
      </c>
      <c r="R93" s="138">
        <v>29.9237</v>
      </c>
      <c r="S93" t="s">
        <v>204</v>
      </c>
      <c r="T93" t="s">
        <v>204</v>
      </c>
      <c r="U93" t="s">
        <v>746</v>
      </c>
      <c r="V93" s="139" t="s">
        <v>314</v>
      </c>
      <c r="W93" s="153" t="s">
        <v>928</v>
      </c>
      <c r="X93" t="s">
        <v>5176</v>
      </c>
      <c r="Y93" t="s">
        <v>339</v>
      </c>
      <c r="Z93" t="s">
        <v>5133</v>
      </c>
      <c r="AA93" t="s">
        <v>5187</v>
      </c>
      <c r="AB93" s="139" t="s">
        <v>896</v>
      </c>
      <c r="AC93" t="s">
        <v>897</v>
      </c>
      <c r="AD93" s="142" t="s">
        <v>339</v>
      </c>
      <c r="AE93" s="167" t="s">
        <v>912</v>
      </c>
      <c r="AF93" t="s">
        <v>896</v>
      </c>
      <c r="AG93" s="153" t="s">
        <v>896</v>
      </c>
      <c r="AH93" s="159" t="s">
        <v>896</v>
      </c>
      <c r="AI93" s="135">
        <v>3784</v>
      </c>
      <c r="AJ93" s="143">
        <v>3.7656999999999998</v>
      </c>
      <c r="AK93" s="137" t="s">
        <v>339</v>
      </c>
      <c r="AL93" s="159" t="s">
        <v>5356</v>
      </c>
      <c r="AM93" s="153" t="s">
        <v>5357</v>
      </c>
      <c r="AN93" s="136">
        <v>-9.3094021914604572E-2</v>
      </c>
      <c r="AO93" s="136">
        <v>7.8893249086943757E-5</v>
      </c>
    </row>
    <row r="94" spans="1:41">
      <c r="A94" t="s">
        <v>1213</v>
      </c>
      <c r="B94" t="s">
        <v>1233</v>
      </c>
      <c r="C94" t="s">
        <v>1017</v>
      </c>
      <c r="D94" s="134">
        <v>154787</v>
      </c>
      <c r="E94" t="s">
        <v>1216</v>
      </c>
      <c r="F94" t="s">
        <v>5332</v>
      </c>
      <c r="G94" s="138">
        <v>-474000</v>
      </c>
      <c r="H94" s="138">
        <v>-474</v>
      </c>
      <c r="I94" s="136">
        <v>5.5862017956683792</v>
      </c>
      <c r="J94" s="136">
        <v>-4.7651777281789584E-2</v>
      </c>
      <c r="K94" t="s">
        <v>5219</v>
      </c>
      <c r="L94" t="s">
        <v>1212</v>
      </c>
      <c r="M94" t="s">
        <v>5308</v>
      </c>
      <c r="N94" s="138">
        <v>-1784941.8</v>
      </c>
      <c r="O94" s="138">
        <v>-1784.9418000000001</v>
      </c>
      <c r="P94" s="136">
        <v>5.5591860734535983</v>
      </c>
      <c r="Q94" s="136">
        <v>-4.7421326033307357E-2</v>
      </c>
      <c r="R94" s="138">
        <v>27.594999999999999</v>
      </c>
      <c r="S94" t="s">
        <v>204</v>
      </c>
      <c r="T94" t="s">
        <v>204</v>
      </c>
      <c r="U94" t="s">
        <v>746</v>
      </c>
      <c r="V94" s="139" t="s">
        <v>314</v>
      </c>
      <c r="W94" s="153" t="s">
        <v>928</v>
      </c>
      <c r="X94" t="s">
        <v>5176</v>
      </c>
      <c r="Y94" t="s">
        <v>339</v>
      </c>
      <c r="Z94" t="s">
        <v>5133</v>
      </c>
      <c r="AA94" t="s">
        <v>5187</v>
      </c>
      <c r="AB94" s="139" t="s">
        <v>896</v>
      </c>
      <c r="AC94" t="s">
        <v>897</v>
      </c>
      <c r="AD94" s="142" t="s">
        <v>339</v>
      </c>
      <c r="AE94" s="167" t="s">
        <v>912</v>
      </c>
      <c r="AF94" t="s">
        <v>896</v>
      </c>
      <c r="AG94" s="153" t="s">
        <v>896</v>
      </c>
      <c r="AH94" s="159" t="s">
        <v>896</v>
      </c>
      <c r="AI94" s="135">
        <v>3784</v>
      </c>
      <c r="AJ94" s="143">
        <v>3.7656999999999998</v>
      </c>
      <c r="AK94" s="137" t="s">
        <v>339</v>
      </c>
      <c r="AL94" s="159" t="s">
        <v>5356</v>
      </c>
      <c r="AM94" s="153" t="s">
        <v>5357</v>
      </c>
      <c r="AN94" s="136">
        <v>-8.5944346651064107E-3</v>
      </c>
      <c r="AO94" s="136">
        <v>7.3312798481806681E-5</v>
      </c>
    </row>
    <row r="95" spans="1:41">
      <c r="A95" t="s">
        <v>1213</v>
      </c>
      <c r="B95" t="s">
        <v>1225</v>
      </c>
      <c r="C95" t="s">
        <v>1017</v>
      </c>
      <c r="D95" s="134">
        <v>154792</v>
      </c>
      <c r="E95" t="s">
        <v>1216</v>
      </c>
      <c r="F95" t="s">
        <v>5333</v>
      </c>
      <c r="G95" s="138">
        <v>-1425000</v>
      </c>
      <c r="H95" s="138">
        <v>-1425</v>
      </c>
      <c r="I95" s="136">
        <v>497.21670376953819</v>
      </c>
      <c r="J95" s="136">
        <v>-8.2250807713305743E-2</v>
      </c>
      <c r="K95" t="s">
        <v>5185</v>
      </c>
      <c r="L95" t="s">
        <v>1228</v>
      </c>
      <c r="M95" t="s">
        <v>5334</v>
      </c>
      <c r="N95" s="138">
        <v>-207472875</v>
      </c>
      <c r="O95" s="138">
        <v>-207472.875</v>
      </c>
      <c r="P95" s="136">
        <v>490.6928289095539</v>
      </c>
      <c r="Q95" s="136">
        <v>-8.1171612319051747E-2</v>
      </c>
      <c r="R95" s="138">
        <v>141.6439</v>
      </c>
      <c r="S95" t="s">
        <v>204</v>
      </c>
      <c r="T95" t="s">
        <v>204</v>
      </c>
      <c r="U95" t="s">
        <v>746</v>
      </c>
      <c r="V95" s="139" t="s">
        <v>314</v>
      </c>
      <c r="W95" t="s">
        <v>929</v>
      </c>
      <c r="X95" t="s">
        <v>5186</v>
      </c>
      <c r="Y95" t="s">
        <v>339</v>
      </c>
      <c r="Z95" t="s">
        <v>5022</v>
      </c>
      <c r="AA95" t="s">
        <v>5187</v>
      </c>
      <c r="AB95" s="139" t="s">
        <v>896</v>
      </c>
      <c r="AC95" t="s">
        <v>897</v>
      </c>
      <c r="AD95" s="142" t="s">
        <v>339</v>
      </c>
      <c r="AE95" s="167" t="s">
        <v>912</v>
      </c>
      <c r="AF95" t="s">
        <v>896</v>
      </c>
      <c r="AG95" s="153" t="s">
        <v>896</v>
      </c>
      <c r="AH95" s="159" t="s">
        <v>896</v>
      </c>
      <c r="AI95" s="135">
        <v>3770</v>
      </c>
      <c r="AJ95" s="143">
        <v>145.595</v>
      </c>
      <c r="AK95" s="137" t="s">
        <v>339</v>
      </c>
      <c r="AL95" s="159" t="s">
        <v>5356</v>
      </c>
      <c r="AM95" s="153" t="s">
        <v>5357</v>
      </c>
      <c r="AN95" s="136">
        <v>-1.3109534187030663</v>
      </c>
      <c r="AO95" s="136">
        <v>2.168611326718921E-4</v>
      </c>
    </row>
    <row r="96" spans="1:41">
      <c r="A96" t="s">
        <v>1213</v>
      </c>
      <c r="B96" t="s">
        <v>1230</v>
      </c>
      <c r="C96" t="s">
        <v>1017</v>
      </c>
      <c r="D96" s="134">
        <v>154792</v>
      </c>
      <c r="E96" t="s">
        <v>1216</v>
      </c>
      <c r="F96" t="s">
        <v>5333</v>
      </c>
      <c r="G96" s="138">
        <v>-3500000</v>
      </c>
      <c r="H96" s="138">
        <v>-3500</v>
      </c>
      <c r="I96" s="136">
        <v>65.342988913915221</v>
      </c>
      <c r="J96" s="136">
        <v>-4.7032642886518899E-2</v>
      </c>
      <c r="K96" t="s">
        <v>5185</v>
      </c>
      <c r="L96" t="s">
        <v>1228</v>
      </c>
      <c r="M96" t="s">
        <v>5334</v>
      </c>
      <c r="N96" s="138">
        <v>-509582500</v>
      </c>
      <c r="O96" s="138">
        <v>-509582.5</v>
      </c>
      <c r="P96" s="136">
        <v>64.485637422261973</v>
      </c>
      <c r="Q96" s="136">
        <v>-4.6415537559606555E-2</v>
      </c>
      <c r="R96" s="138">
        <v>347.8972</v>
      </c>
      <c r="S96" t="s">
        <v>204</v>
      </c>
      <c r="T96" t="s">
        <v>204</v>
      </c>
      <c r="U96" t="s">
        <v>746</v>
      </c>
      <c r="V96" s="139" t="s">
        <v>314</v>
      </c>
      <c r="W96" t="s">
        <v>929</v>
      </c>
      <c r="X96" t="s">
        <v>5186</v>
      </c>
      <c r="Y96" t="s">
        <v>339</v>
      </c>
      <c r="Z96" t="s">
        <v>5022</v>
      </c>
      <c r="AA96" t="s">
        <v>5187</v>
      </c>
      <c r="AB96" s="139" t="s">
        <v>896</v>
      </c>
      <c r="AC96" t="s">
        <v>897</v>
      </c>
      <c r="AD96" s="142" t="s">
        <v>339</v>
      </c>
      <c r="AE96" s="167" t="s">
        <v>912</v>
      </c>
      <c r="AF96" t="s">
        <v>896</v>
      </c>
      <c r="AG96" s="153" t="s">
        <v>896</v>
      </c>
      <c r="AH96" s="159" t="s">
        <v>896</v>
      </c>
      <c r="AI96" s="135">
        <v>3770</v>
      </c>
      <c r="AJ96" s="143">
        <v>145.595</v>
      </c>
      <c r="AK96" s="137" t="s">
        <v>339</v>
      </c>
      <c r="AL96" s="159" t="s">
        <v>5356</v>
      </c>
      <c r="AM96" s="153" t="s">
        <v>5357</v>
      </c>
      <c r="AN96" s="136">
        <v>-0.17228225450904833</v>
      </c>
      <c r="AO96" s="136">
        <v>1.2400549602472911E-4</v>
      </c>
    </row>
    <row r="97" spans="1:41">
      <c r="A97" t="s">
        <v>1213</v>
      </c>
      <c r="B97" t="s">
        <v>1225</v>
      </c>
      <c r="C97" t="s">
        <v>1017</v>
      </c>
      <c r="D97" s="134">
        <v>154794</v>
      </c>
      <c r="E97" t="s">
        <v>1216</v>
      </c>
      <c r="F97" t="s">
        <v>5335</v>
      </c>
      <c r="G97" s="138">
        <v>-5000000</v>
      </c>
      <c r="H97" s="138">
        <v>-5000</v>
      </c>
      <c r="I97" s="136">
        <v>1726.5722199861762</v>
      </c>
      <c r="J97" s="136">
        <v>-0.28561381504801869</v>
      </c>
      <c r="K97" t="s">
        <v>5199</v>
      </c>
      <c r="L97" t="s">
        <v>1212</v>
      </c>
      <c r="M97" t="s">
        <v>5308</v>
      </c>
      <c r="N97" s="138">
        <v>-18520000</v>
      </c>
      <c r="O97" s="138">
        <v>-18520</v>
      </c>
      <c r="P97" s="136">
        <v>1714.0775938967558</v>
      </c>
      <c r="Q97" s="136">
        <v>-0.28354692332829307</v>
      </c>
      <c r="R97" s="138">
        <v>-12.262799999999999</v>
      </c>
      <c r="S97" t="s">
        <v>204</v>
      </c>
      <c r="T97" t="s">
        <v>204</v>
      </c>
      <c r="U97" t="s">
        <v>746</v>
      </c>
      <c r="V97" s="139" t="s">
        <v>314</v>
      </c>
      <c r="W97" s="153" t="s">
        <v>928</v>
      </c>
      <c r="X97" t="s">
        <v>5176</v>
      </c>
      <c r="Y97" t="s">
        <v>339</v>
      </c>
      <c r="Z97" t="s">
        <v>4795</v>
      </c>
      <c r="AA97" t="s">
        <v>5200</v>
      </c>
      <c r="AB97" s="139" t="s">
        <v>896</v>
      </c>
      <c r="AC97" t="s">
        <v>897</v>
      </c>
      <c r="AD97" s="142" t="s">
        <v>339</v>
      </c>
      <c r="AE97" s="167" t="s">
        <v>912</v>
      </c>
      <c r="AF97" t="s">
        <v>896</v>
      </c>
      <c r="AG97" s="153" t="s">
        <v>896</v>
      </c>
      <c r="AH97" s="159" t="s">
        <v>896</v>
      </c>
      <c r="AI97" s="135">
        <v>3731</v>
      </c>
      <c r="AJ97" s="143">
        <v>3.7040000000000002</v>
      </c>
      <c r="AK97" s="137" t="s">
        <v>339</v>
      </c>
      <c r="AL97" s="159" t="s">
        <v>5356</v>
      </c>
      <c r="AM97" s="153" t="s">
        <v>5357</v>
      </c>
      <c r="AN97" s="136">
        <v>0.1134957228845293</v>
      </c>
      <c r="AO97" s="136">
        <v>-1.8774741090727546E-5</v>
      </c>
    </row>
    <row r="98" spans="1:41">
      <c r="A98" t="s">
        <v>1213</v>
      </c>
      <c r="B98" t="s">
        <v>1225</v>
      </c>
      <c r="C98" t="s">
        <v>1017</v>
      </c>
      <c r="D98" s="134">
        <v>154798</v>
      </c>
      <c r="E98" t="s">
        <v>1216</v>
      </c>
      <c r="F98" t="s">
        <v>5336</v>
      </c>
      <c r="G98" s="138">
        <v>1725000</v>
      </c>
      <c r="H98" s="138">
        <v>1725</v>
      </c>
      <c r="I98" s="136">
        <v>-588.00404522705298</v>
      </c>
      <c r="J98" s="136">
        <v>9.7269072603468038E-2</v>
      </c>
      <c r="K98" t="s">
        <v>5211</v>
      </c>
      <c r="L98" t="s">
        <v>1228</v>
      </c>
      <c r="M98" t="s">
        <v>5337</v>
      </c>
      <c r="N98" s="138">
        <v>-254187375</v>
      </c>
      <c r="O98" s="138">
        <v>-254187.375</v>
      </c>
      <c r="P98" s="136">
        <v>582.30935616667682</v>
      </c>
      <c r="Q98" s="136">
        <v>-9.632704315968417E-2</v>
      </c>
      <c r="R98" s="138">
        <v>-250.52179999999998</v>
      </c>
      <c r="S98" t="s">
        <v>204</v>
      </c>
      <c r="T98" t="s">
        <v>204</v>
      </c>
      <c r="U98" t="s">
        <v>746</v>
      </c>
      <c r="V98" s="139" t="s">
        <v>314</v>
      </c>
      <c r="W98" t="s">
        <v>929</v>
      </c>
      <c r="X98" t="s">
        <v>5186</v>
      </c>
      <c r="Y98" t="s">
        <v>339</v>
      </c>
      <c r="Z98" t="s">
        <v>5212</v>
      </c>
      <c r="AA98" t="s">
        <v>5187</v>
      </c>
      <c r="AB98" s="139" t="s">
        <v>896</v>
      </c>
      <c r="AC98" t="s">
        <v>897</v>
      </c>
      <c r="AD98" s="142" t="s">
        <v>339</v>
      </c>
      <c r="AE98" s="167" t="s">
        <v>912</v>
      </c>
      <c r="AF98" t="s">
        <v>896</v>
      </c>
      <c r="AG98" s="153" t="s">
        <v>896</v>
      </c>
      <c r="AH98" s="159" t="s">
        <v>896</v>
      </c>
      <c r="AI98" s="135">
        <v>3683</v>
      </c>
      <c r="AJ98" s="143">
        <v>147.35499999999999</v>
      </c>
      <c r="AK98" s="137" t="s">
        <v>339</v>
      </c>
      <c r="AL98" s="159" t="s">
        <v>5356</v>
      </c>
      <c r="AM98" s="153" t="s">
        <v>5357</v>
      </c>
      <c r="AN98" s="136">
        <v>2.3186493961145946</v>
      </c>
      <c r="AO98" s="136">
        <v>-3.8355667496397947E-4</v>
      </c>
    </row>
    <row r="99" spans="1:41">
      <c r="A99" t="s">
        <v>1213</v>
      </c>
      <c r="B99" t="s">
        <v>1230</v>
      </c>
      <c r="C99" t="s">
        <v>1017</v>
      </c>
      <c r="D99" s="134">
        <v>154798</v>
      </c>
      <c r="E99" t="s">
        <v>1216</v>
      </c>
      <c r="F99" t="s">
        <v>5336</v>
      </c>
      <c r="G99" s="138">
        <v>4200000</v>
      </c>
      <c r="H99" s="138">
        <v>4200</v>
      </c>
      <c r="I99" s="136">
        <v>-76.602088542159066</v>
      </c>
      <c r="J99" s="136">
        <v>5.5136729045426769E-2</v>
      </c>
      <c r="K99" t="s">
        <v>5211</v>
      </c>
      <c r="L99" t="s">
        <v>1228</v>
      </c>
      <c r="M99" t="s">
        <v>5337</v>
      </c>
      <c r="N99" s="138">
        <v>-618891000</v>
      </c>
      <c r="O99" s="138">
        <v>-618891</v>
      </c>
      <c r="P99" s="136">
        <v>75.860214265674188</v>
      </c>
      <c r="Q99" s="136">
        <v>-5.4602742025662857E-2</v>
      </c>
      <c r="R99" s="138">
        <v>-609.96619999999996</v>
      </c>
      <c r="S99" t="s">
        <v>204</v>
      </c>
      <c r="T99" t="s">
        <v>204</v>
      </c>
      <c r="U99" t="s">
        <v>746</v>
      </c>
      <c r="V99" s="139" t="s">
        <v>314</v>
      </c>
      <c r="W99" t="s">
        <v>929</v>
      </c>
      <c r="X99" t="s">
        <v>5186</v>
      </c>
      <c r="Y99" t="s">
        <v>339</v>
      </c>
      <c r="Z99" t="s">
        <v>5212</v>
      </c>
      <c r="AA99" t="s">
        <v>5187</v>
      </c>
      <c r="AB99" s="139" t="s">
        <v>896</v>
      </c>
      <c r="AC99" t="s">
        <v>897</v>
      </c>
      <c r="AD99" s="142" t="s">
        <v>339</v>
      </c>
      <c r="AE99" s="167" t="s">
        <v>912</v>
      </c>
      <c r="AF99" t="s">
        <v>896</v>
      </c>
      <c r="AG99" s="153" t="s">
        <v>896</v>
      </c>
      <c r="AH99" s="159" t="s">
        <v>896</v>
      </c>
      <c r="AI99" s="135">
        <v>3683</v>
      </c>
      <c r="AJ99" s="143">
        <v>147.35499999999999</v>
      </c>
      <c r="AK99" s="137" t="s">
        <v>339</v>
      </c>
      <c r="AL99" s="159" t="s">
        <v>5356</v>
      </c>
      <c r="AM99" s="153" t="s">
        <v>5357</v>
      </c>
      <c r="AN99" s="136">
        <v>0.30206150413609767</v>
      </c>
      <c r="AO99" s="136">
        <v>-2.1741813605303891E-4</v>
      </c>
    </row>
    <row r="100" spans="1:41">
      <c r="A100" t="s">
        <v>1213</v>
      </c>
      <c r="B100" t="s">
        <v>1230</v>
      </c>
      <c r="C100" t="s">
        <v>1017</v>
      </c>
      <c r="D100" s="134">
        <v>154799</v>
      </c>
      <c r="E100" t="s">
        <v>1216</v>
      </c>
      <c r="F100" t="s">
        <v>5338</v>
      </c>
      <c r="G100" s="138">
        <v>3500000</v>
      </c>
      <c r="H100" s="138">
        <v>3500</v>
      </c>
      <c r="I100" s="136">
        <v>-64.147056225570353</v>
      </c>
      <c r="J100" s="136">
        <v>4.6171833242176774E-2</v>
      </c>
      <c r="K100" t="s">
        <v>5202</v>
      </c>
      <c r="L100" t="s">
        <v>1228</v>
      </c>
      <c r="M100" t="s">
        <v>5339</v>
      </c>
      <c r="N100" s="138">
        <v>-505925000</v>
      </c>
      <c r="O100" s="138">
        <v>-505925</v>
      </c>
      <c r="P100" s="136">
        <v>63.3914364880658</v>
      </c>
      <c r="Q100" s="136">
        <v>-4.5627952500527862E-2</v>
      </c>
      <c r="R100" s="138">
        <v>-252.655</v>
      </c>
      <c r="S100" t="s">
        <v>204</v>
      </c>
      <c r="T100" t="s">
        <v>204</v>
      </c>
      <c r="U100" t="s">
        <v>746</v>
      </c>
      <c r="V100" s="139" t="s">
        <v>314</v>
      </c>
      <c r="W100" t="s">
        <v>929</v>
      </c>
      <c r="X100" t="s">
        <v>5186</v>
      </c>
      <c r="Y100" t="s">
        <v>339</v>
      </c>
      <c r="Z100" t="s">
        <v>5203</v>
      </c>
      <c r="AA100" t="s">
        <v>5187</v>
      </c>
      <c r="AB100" s="139" t="s">
        <v>896</v>
      </c>
      <c r="AC100" t="s">
        <v>897</v>
      </c>
      <c r="AD100" s="142" t="s">
        <v>339</v>
      </c>
      <c r="AE100" s="167" t="s">
        <v>912</v>
      </c>
      <c r="AF100" t="s">
        <v>896</v>
      </c>
      <c r="AG100" s="153" t="s">
        <v>896</v>
      </c>
      <c r="AH100" s="159" t="s">
        <v>896</v>
      </c>
      <c r="AI100" s="135">
        <v>3701</v>
      </c>
      <c r="AJ100" s="143">
        <v>144.55000000000001</v>
      </c>
      <c r="AK100" s="137" t="s">
        <v>339</v>
      </c>
      <c r="AL100" s="159" t="s">
        <v>5356</v>
      </c>
      <c r="AM100" s="153" t="s">
        <v>5357</v>
      </c>
      <c r="AN100" s="136">
        <v>0.12511732495634303</v>
      </c>
      <c r="AO100" s="136">
        <v>-9.0057075156766453E-5</v>
      </c>
    </row>
    <row r="101" spans="1:41">
      <c r="A101" t="s">
        <v>1213</v>
      </c>
      <c r="B101" t="s">
        <v>1225</v>
      </c>
      <c r="C101" t="s">
        <v>1017</v>
      </c>
      <c r="D101" s="134">
        <v>154799</v>
      </c>
      <c r="E101" t="s">
        <v>1216</v>
      </c>
      <c r="F101" t="s">
        <v>5338</v>
      </c>
      <c r="G101" s="138">
        <v>1300000</v>
      </c>
      <c r="H101" s="138">
        <v>1300</v>
      </c>
      <c r="I101" s="136">
        <v>-445.29921854835106</v>
      </c>
      <c r="J101" s="136">
        <v>7.3662489860119668E-2</v>
      </c>
      <c r="K101" t="s">
        <v>5202</v>
      </c>
      <c r="L101" t="s">
        <v>1228</v>
      </c>
      <c r="M101" t="s">
        <v>5339</v>
      </c>
      <c r="N101" s="138">
        <v>-187915000</v>
      </c>
      <c r="O101" s="138">
        <v>-187915</v>
      </c>
      <c r="P101" s="136">
        <v>440.05381995286007</v>
      </c>
      <c r="Q101" s="136">
        <v>-7.2794783147962741E-2</v>
      </c>
      <c r="R101" s="138">
        <v>-93.843299999999999</v>
      </c>
      <c r="S101" t="s">
        <v>204</v>
      </c>
      <c r="T101" t="s">
        <v>204</v>
      </c>
      <c r="U101" t="s">
        <v>746</v>
      </c>
      <c r="V101" s="139" t="s">
        <v>314</v>
      </c>
      <c r="W101" t="s">
        <v>929</v>
      </c>
      <c r="X101" t="s">
        <v>5186</v>
      </c>
      <c r="Y101" t="s">
        <v>339</v>
      </c>
      <c r="Z101" t="s">
        <v>5203</v>
      </c>
      <c r="AA101" t="s">
        <v>5187</v>
      </c>
      <c r="AB101" s="139" t="s">
        <v>896</v>
      </c>
      <c r="AC101" t="s">
        <v>897</v>
      </c>
      <c r="AD101" s="142" t="s">
        <v>339</v>
      </c>
      <c r="AE101" s="167" t="s">
        <v>912</v>
      </c>
      <c r="AF101" t="s">
        <v>896</v>
      </c>
      <c r="AG101" s="153" t="s">
        <v>896</v>
      </c>
      <c r="AH101" s="159" t="s">
        <v>896</v>
      </c>
      <c r="AI101" s="135">
        <v>3701</v>
      </c>
      <c r="AJ101" s="143">
        <v>144.55000000000001</v>
      </c>
      <c r="AK101" s="137" t="s">
        <v>339</v>
      </c>
      <c r="AL101" s="159" t="s">
        <v>5356</v>
      </c>
      <c r="AM101" s="153" t="s">
        <v>5357</v>
      </c>
      <c r="AN101" s="136">
        <v>0.86854565600020439</v>
      </c>
      <c r="AO101" s="136">
        <v>-1.4367695453572666E-4</v>
      </c>
    </row>
    <row r="102" spans="1:41">
      <c r="A102" t="s">
        <v>1213</v>
      </c>
      <c r="B102">
        <v>15108</v>
      </c>
      <c r="C102" t="s">
        <v>1017</v>
      </c>
      <c r="D102" s="134">
        <v>154803</v>
      </c>
      <c r="E102" t="s">
        <v>1216</v>
      </c>
      <c r="F102" t="s">
        <v>5340</v>
      </c>
      <c r="G102" s="138">
        <v>4800000</v>
      </c>
      <c r="H102" s="138">
        <v>4800</v>
      </c>
      <c r="I102" s="136">
        <v>-123.71398996069874</v>
      </c>
      <c r="J102" s="136">
        <v>0.3027422447703052</v>
      </c>
      <c r="K102" t="s">
        <v>5247</v>
      </c>
      <c r="L102" t="s">
        <v>1212</v>
      </c>
      <c r="M102" t="s">
        <v>5308</v>
      </c>
      <c r="N102" s="138">
        <v>-17808960</v>
      </c>
      <c r="O102" s="138">
        <v>-17808.96</v>
      </c>
      <c r="P102" s="136">
        <v>123.32177473191415</v>
      </c>
      <c r="Q102" s="136">
        <v>-0.30178244936775556</v>
      </c>
      <c r="R102" s="138">
        <v>-30.4604</v>
      </c>
      <c r="S102" t="s">
        <v>204</v>
      </c>
      <c r="T102" t="s">
        <v>204</v>
      </c>
      <c r="U102" t="s">
        <v>746</v>
      </c>
      <c r="V102" s="139" t="s">
        <v>314</v>
      </c>
      <c r="W102" s="153" t="s">
        <v>928</v>
      </c>
      <c r="X102" t="s">
        <v>5176</v>
      </c>
      <c r="Y102" t="s">
        <v>339</v>
      </c>
      <c r="Z102" t="s">
        <v>4932</v>
      </c>
      <c r="AA102" t="s">
        <v>5246</v>
      </c>
      <c r="AB102" s="139" t="s">
        <v>896</v>
      </c>
      <c r="AC102" t="s">
        <v>897</v>
      </c>
      <c r="AD102" s="142" t="s">
        <v>339</v>
      </c>
      <c r="AE102" s="167" t="s">
        <v>912</v>
      </c>
      <c r="AF102" t="s">
        <v>896</v>
      </c>
      <c r="AG102" s="153" t="s">
        <v>896</v>
      </c>
      <c r="AH102" s="159" t="s">
        <v>896</v>
      </c>
      <c r="AI102" s="135">
        <v>3722</v>
      </c>
      <c r="AJ102" s="143">
        <v>3.7101999999999999</v>
      </c>
      <c r="AK102" s="137" t="s">
        <v>339</v>
      </c>
      <c r="AL102" s="159" t="s">
        <v>5356</v>
      </c>
      <c r="AM102" s="153" t="s">
        <v>5357</v>
      </c>
      <c r="AN102" s="136">
        <v>2.1092933843122351E-2</v>
      </c>
      <c r="AO102" s="136">
        <v>-5.1616815062605341E-5</v>
      </c>
    </row>
    <row r="103" spans="1:41">
      <c r="A103" t="s">
        <v>1213</v>
      </c>
      <c r="B103" t="s">
        <v>1230</v>
      </c>
      <c r="C103" t="s">
        <v>1017</v>
      </c>
      <c r="D103" s="134">
        <v>154804</v>
      </c>
      <c r="E103" t="s">
        <v>1216</v>
      </c>
      <c r="F103" t="s">
        <v>5340</v>
      </c>
      <c r="G103" s="138">
        <v>2600000</v>
      </c>
      <c r="H103" s="138">
        <v>2600</v>
      </c>
      <c r="I103" s="136">
        <v>-47.922483692136439</v>
      </c>
      <c r="J103" s="136">
        <v>3.4493693955393763E-2</v>
      </c>
      <c r="K103" t="s">
        <v>5216</v>
      </c>
      <c r="L103" t="s">
        <v>1228</v>
      </c>
      <c r="M103" t="s">
        <v>5341</v>
      </c>
      <c r="N103" s="138">
        <v>-375492000</v>
      </c>
      <c r="O103" s="138">
        <v>-375492</v>
      </c>
      <c r="P103" s="136">
        <v>47.358962923140361</v>
      </c>
      <c r="Q103" s="136">
        <v>-3.4088082404286936E-2</v>
      </c>
      <c r="R103" s="138">
        <v>-178.88489999999999</v>
      </c>
      <c r="S103" t="s">
        <v>204</v>
      </c>
      <c r="T103" t="s">
        <v>204</v>
      </c>
      <c r="U103" t="s">
        <v>746</v>
      </c>
      <c r="V103" s="139" t="s">
        <v>314</v>
      </c>
      <c r="W103" t="s">
        <v>929</v>
      </c>
      <c r="X103" t="s">
        <v>5186</v>
      </c>
      <c r="Y103" t="s">
        <v>339</v>
      </c>
      <c r="Z103" t="s">
        <v>4932</v>
      </c>
      <c r="AA103" t="s">
        <v>5187</v>
      </c>
      <c r="AB103" s="139" t="s">
        <v>896</v>
      </c>
      <c r="AC103" t="s">
        <v>897</v>
      </c>
      <c r="AD103" s="142" t="s">
        <v>339</v>
      </c>
      <c r="AE103" s="167" t="s">
        <v>912</v>
      </c>
      <c r="AF103" t="s">
        <v>896</v>
      </c>
      <c r="AG103" s="153" t="s">
        <v>896</v>
      </c>
      <c r="AH103" s="159" t="s">
        <v>896</v>
      </c>
      <c r="AI103" s="135">
        <v>3722</v>
      </c>
      <c r="AJ103" s="143">
        <v>144.41999999999999</v>
      </c>
      <c r="AK103" s="137" t="s">
        <v>339</v>
      </c>
      <c r="AL103" s="159" t="s">
        <v>5356</v>
      </c>
      <c r="AM103" s="153" t="s">
        <v>5357</v>
      </c>
      <c r="AN103" s="136">
        <v>8.8585645814257499E-2</v>
      </c>
      <c r="AO103" s="136">
        <v>-6.3762266062585257E-5</v>
      </c>
    </row>
    <row r="104" spans="1:41">
      <c r="A104" t="s">
        <v>1213</v>
      </c>
      <c r="B104" t="s">
        <v>1230</v>
      </c>
      <c r="C104" t="s">
        <v>1017</v>
      </c>
      <c r="D104" s="134">
        <v>154806</v>
      </c>
      <c r="E104" t="s">
        <v>1228</v>
      </c>
      <c r="F104" t="s">
        <v>5342</v>
      </c>
      <c r="G104" s="138">
        <v>36821500</v>
      </c>
      <c r="H104" s="138">
        <v>36821.5</v>
      </c>
      <c r="I104" s="136">
        <v>-4.6355449029874336</v>
      </c>
      <c r="J104" s="136">
        <v>3.3365772155580357E-3</v>
      </c>
      <c r="K104" t="s">
        <v>5195</v>
      </c>
      <c r="L104" t="s">
        <v>1212</v>
      </c>
      <c r="M104" t="s">
        <v>5308</v>
      </c>
      <c r="N104" s="138">
        <v>-94447147.5</v>
      </c>
      <c r="O104" s="138">
        <v>-94447.147500000006</v>
      </c>
      <c r="P104" s="136">
        <v>467.71192967361992</v>
      </c>
      <c r="Q104" s="136">
        <v>-0.33665016748903948</v>
      </c>
      <c r="R104" s="138">
        <v>18.270099999999999</v>
      </c>
      <c r="S104" t="s">
        <v>204</v>
      </c>
      <c r="T104" t="s">
        <v>204</v>
      </c>
      <c r="U104" t="s">
        <v>746</v>
      </c>
      <c r="V104" s="139" t="s">
        <v>314</v>
      </c>
      <c r="W104" s="153" t="s">
        <v>928</v>
      </c>
      <c r="X104" t="s">
        <v>5196</v>
      </c>
      <c r="Y104" t="s">
        <v>339</v>
      </c>
      <c r="Z104" t="s">
        <v>5197</v>
      </c>
      <c r="AA104" t="s">
        <v>5187</v>
      </c>
      <c r="AB104" s="139" t="s">
        <v>896</v>
      </c>
      <c r="AC104" t="s">
        <v>897</v>
      </c>
      <c r="AD104" s="142" t="s">
        <v>339</v>
      </c>
      <c r="AE104" s="167" t="s">
        <v>912</v>
      </c>
      <c r="AF104" t="s">
        <v>896</v>
      </c>
      <c r="AG104" s="153" t="s">
        <v>896</v>
      </c>
      <c r="AH104" s="159" t="s">
        <v>896</v>
      </c>
      <c r="AI104" s="135">
        <v>25.4</v>
      </c>
      <c r="AJ104" s="143">
        <v>2.5649999999999999E-2</v>
      </c>
      <c r="AK104" s="137" t="s">
        <v>339</v>
      </c>
      <c r="AL104" s="159" t="s">
        <v>5356</v>
      </c>
      <c r="AM104" s="153" t="s">
        <v>5357</v>
      </c>
      <c r="AN104" s="136">
        <v>-9.047540337246876E-3</v>
      </c>
      <c r="AO104" s="136">
        <v>6.5122477676023135E-6</v>
      </c>
    </row>
    <row r="105" spans="1:41">
      <c r="A105" t="s">
        <v>1213</v>
      </c>
      <c r="B105" t="s">
        <v>1225</v>
      </c>
      <c r="C105" t="s">
        <v>1017</v>
      </c>
      <c r="D105" s="134">
        <v>154806</v>
      </c>
      <c r="E105" t="s">
        <v>1228</v>
      </c>
      <c r="F105" t="s">
        <v>5342</v>
      </c>
      <c r="G105" s="138">
        <v>10181500</v>
      </c>
      <c r="H105" s="138">
        <v>10181.5</v>
      </c>
      <c r="I105" s="136">
        <v>-23.955816379475657</v>
      </c>
      <c r="J105" s="136">
        <v>3.9628299526252306E-3</v>
      </c>
      <c r="K105" t="s">
        <v>5195</v>
      </c>
      <c r="L105" t="s">
        <v>1212</v>
      </c>
      <c r="M105" t="s">
        <v>5308</v>
      </c>
      <c r="N105" s="138">
        <v>-26115547.5</v>
      </c>
      <c r="O105" s="138">
        <v>-26115.547500000001</v>
      </c>
      <c r="P105" s="136">
        <v>2417.0666750592031</v>
      </c>
      <c r="Q105" s="136">
        <v>-0.39983710284335289</v>
      </c>
      <c r="R105" s="138">
        <v>5.0518999999999998</v>
      </c>
      <c r="S105" t="s">
        <v>204</v>
      </c>
      <c r="T105" t="s">
        <v>204</v>
      </c>
      <c r="U105" t="s">
        <v>746</v>
      </c>
      <c r="V105" s="139" t="s">
        <v>314</v>
      </c>
      <c r="W105" s="153" t="s">
        <v>928</v>
      </c>
      <c r="X105" t="s">
        <v>5196</v>
      </c>
      <c r="Y105" t="s">
        <v>339</v>
      </c>
      <c r="Z105" t="s">
        <v>5197</v>
      </c>
      <c r="AA105" t="s">
        <v>5187</v>
      </c>
      <c r="AB105" s="139" t="s">
        <v>896</v>
      </c>
      <c r="AC105" t="s">
        <v>897</v>
      </c>
      <c r="AD105" s="142" t="s">
        <v>339</v>
      </c>
      <c r="AE105" s="167" t="s">
        <v>912</v>
      </c>
      <c r="AF105" t="s">
        <v>896</v>
      </c>
      <c r="AG105" s="153" t="s">
        <v>896</v>
      </c>
      <c r="AH105" s="159" t="s">
        <v>896</v>
      </c>
      <c r="AI105" s="135">
        <v>25.4</v>
      </c>
      <c r="AJ105" s="143">
        <v>2.5649999999999999E-2</v>
      </c>
      <c r="AK105" s="137" t="s">
        <v>339</v>
      </c>
      <c r="AL105" s="159" t="s">
        <v>5356</v>
      </c>
      <c r="AM105" s="153" t="s">
        <v>5357</v>
      </c>
      <c r="AN105" s="136">
        <v>-4.6756361882138907E-2</v>
      </c>
      <c r="AO105" s="136">
        <v>7.7345521608301886E-6</v>
      </c>
    </row>
    <row r="106" spans="1:41">
      <c r="A106" t="s">
        <v>1213</v>
      </c>
      <c r="B106" t="s">
        <v>1230</v>
      </c>
      <c r="C106" t="s">
        <v>1017</v>
      </c>
      <c r="D106" s="134">
        <v>154807</v>
      </c>
      <c r="E106" t="s">
        <v>1216</v>
      </c>
      <c r="F106" t="s">
        <v>5343</v>
      </c>
      <c r="G106" s="138">
        <v>7500000</v>
      </c>
      <c r="H106" s="138">
        <v>7500</v>
      </c>
      <c r="I106" s="136">
        <v>-136.15805079106471</v>
      </c>
      <c r="J106" s="136">
        <v>9.8003980004913768E-2</v>
      </c>
      <c r="K106" t="s">
        <v>5214</v>
      </c>
      <c r="L106" t="s">
        <v>1212</v>
      </c>
      <c r="M106" t="s">
        <v>5308</v>
      </c>
      <c r="N106" s="138">
        <v>-27438750</v>
      </c>
      <c r="O106" s="138">
        <v>-27438.75</v>
      </c>
      <c r="P106" s="136">
        <v>135.87949504067382</v>
      </c>
      <c r="Q106" s="136">
        <v>-9.7803480864150846E-2</v>
      </c>
      <c r="R106" s="138">
        <v>384.91659999999996</v>
      </c>
      <c r="S106" t="s">
        <v>204</v>
      </c>
      <c r="T106" t="s">
        <v>204</v>
      </c>
      <c r="U106" t="s">
        <v>746</v>
      </c>
      <c r="V106" s="139" t="s">
        <v>314</v>
      </c>
      <c r="W106" s="153" t="s">
        <v>928</v>
      </c>
      <c r="X106" t="s">
        <v>5176</v>
      </c>
      <c r="Y106" t="s">
        <v>339</v>
      </c>
      <c r="Z106" t="s">
        <v>5197</v>
      </c>
      <c r="AA106" t="s">
        <v>5184</v>
      </c>
      <c r="AB106" s="139" t="s">
        <v>896</v>
      </c>
      <c r="AC106" t="s">
        <v>897</v>
      </c>
      <c r="AD106" s="142" t="s">
        <v>339</v>
      </c>
      <c r="AE106" s="167" t="s">
        <v>912</v>
      </c>
      <c r="AF106" t="s">
        <v>896</v>
      </c>
      <c r="AG106" s="153" t="s">
        <v>896</v>
      </c>
      <c r="AH106" s="159" t="s">
        <v>896</v>
      </c>
      <c r="AI106" s="135">
        <v>3666</v>
      </c>
      <c r="AJ106" s="143">
        <v>3.6585000000000001</v>
      </c>
      <c r="AK106" s="137" t="s">
        <v>339</v>
      </c>
      <c r="AL106" s="159" t="s">
        <v>5356</v>
      </c>
      <c r="AM106" s="153" t="s">
        <v>5357</v>
      </c>
      <c r="AN106" s="136">
        <v>-0.19061461676548785</v>
      </c>
      <c r="AO106" s="136">
        <v>1.3720078233783807E-4</v>
      </c>
    </row>
    <row r="107" spans="1:41">
      <c r="A107" t="s">
        <v>1213</v>
      </c>
      <c r="B107">
        <v>15108</v>
      </c>
      <c r="C107" t="s">
        <v>1017</v>
      </c>
      <c r="D107" s="134">
        <v>154810</v>
      </c>
      <c r="E107" t="s">
        <v>1216</v>
      </c>
      <c r="F107" t="s">
        <v>5344</v>
      </c>
      <c r="G107" s="138">
        <v>5700000</v>
      </c>
      <c r="H107" s="138">
        <v>5700</v>
      </c>
      <c r="I107" s="136">
        <v>-144.77893921851518</v>
      </c>
      <c r="J107" s="136">
        <v>0.35429057836062783</v>
      </c>
      <c r="K107" t="s">
        <v>5245</v>
      </c>
      <c r="L107" t="s">
        <v>1212</v>
      </c>
      <c r="M107" t="s">
        <v>5308</v>
      </c>
      <c r="N107" s="138">
        <v>-20782200</v>
      </c>
      <c r="O107" s="138">
        <v>-20782.2</v>
      </c>
      <c r="P107" s="136">
        <v>143.91058134970186</v>
      </c>
      <c r="Q107" s="136">
        <v>-0.35216560760710169</v>
      </c>
      <c r="R107" s="138">
        <v>327.34520000000003</v>
      </c>
      <c r="S107" t="s">
        <v>204</v>
      </c>
      <c r="T107" t="s">
        <v>204</v>
      </c>
      <c r="U107" t="s">
        <v>746</v>
      </c>
      <c r="V107" s="139" t="s">
        <v>314</v>
      </c>
      <c r="W107" s="153" t="s">
        <v>928</v>
      </c>
      <c r="X107" t="s">
        <v>5176</v>
      </c>
      <c r="Y107" t="s">
        <v>339</v>
      </c>
      <c r="Z107" t="s">
        <v>5075</v>
      </c>
      <c r="AA107" t="s">
        <v>5246</v>
      </c>
      <c r="AB107" s="139" t="s">
        <v>896</v>
      </c>
      <c r="AC107" t="s">
        <v>897</v>
      </c>
      <c r="AD107" s="142" t="s">
        <v>339</v>
      </c>
      <c r="AE107" s="167" t="s">
        <v>912</v>
      </c>
      <c r="AF107" t="s">
        <v>896</v>
      </c>
      <c r="AG107" s="153" t="s">
        <v>896</v>
      </c>
      <c r="AH107" s="159" t="s">
        <v>896</v>
      </c>
      <c r="AI107" s="135">
        <v>3668</v>
      </c>
      <c r="AJ107" s="143">
        <v>3.6459999999999999</v>
      </c>
      <c r="AK107" s="137" t="s">
        <v>339</v>
      </c>
      <c r="AL107" s="159" t="s">
        <v>5356</v>
      </c>
      <c r="AM107" s="153" t="s">
        <v>5357</v>
      </c>
      <c r="AN107" s="136">
        <v>-0.2266768560539055</v>
      </c>
      <c r="AO107" s="136">
        <v>5.547041224766517E-4</v>
      </c>
    </row>
    <row r="108" spans="1:41">
      <c r="A108" t="s">
        <v>1213</v>
      </c>
      <c r="B108" t="s">
        <v>1230</v>
      </c>
      <c r="C108" t="s">
        <v>1017</v>
      </c>
      <c r="D108" s="134">
        <v>154813</v>
      </c>
      <c r="E108" t="s">
        <v>1216</v>
      </c>
      <c r="F108" t="s">
        <v>5345</v>
      </c>
      <c r="G108" s="138">
        <v>-2000000</v>
      </c>
      <c r="H108" s="138">
        <v>-2000</v>
      </c>
      <c r="I108" s="136">
        <v>36.358334566575635</v>
      </c>
      <c r="J108" s="136">
        <v>-2.6170038959668188E-2</v>
      </c>
      <c r="K108" t="s">
        <v>5215</v>
      </c>
      <c r="L108" t="s">
        <v>1212</v>
      </c>
      <c r="M108" t="s">
        <v>5308</v>
      </c>
      <c r="N108" s="138">
        <v>-7320000</v>
      </c>
      <c r="O108" s="138">
        <v>-7320</v>
      </c>
      <c r="P108" s="136">
        <v>36.249388317533871</v>
      </c>
      <c r="Q108" s="136">
        <v>-2.609162151794758E-2</v>
      </c>
      <c r="R108" s="138">
        <v>-99.647600000000011</v>
      </c>
      <c r="S108" t="s">
        <v>204</v>
      </c>
      <c r="T108" t="s">
        <v>204</v>
      </c>
      <c r="U108" t="s">
        <v>746</v>
      </c>
      <c r="V108" s="139" t="s">
        <v>314</v>
      </c>
      <c r="W108" s="153" t="s">
        <v>928</v>
      </c>
      <c r="X108" t="s">
        <v>5176</v>
      </c>
      <c r="Y108" t="s">
        <v>339</v>
      </c>
      <c r="Z108" t="s">
        <v>5060</v>
      </c>
      <c r="AA108" t="s">
        <v>5184</v>
      </c>
      <c r="AB108" s="139" t="s">
        <v>896</v>
      </c>
      <c r="AC108" t="s">
        <v>897</v>
      </c>
      <c r="AD108" s="142" t="s">
        <v>339</v>
      </c>
      <c r="AE108" s="167" t="s">
        <v>912</v>
      </c>
      <c r="AF108" t="s">
        <v>896</v>
      </c>
      <c r="AG108" s="153" t="s">
        <v>896</v>
      </c>
      <c r="AH108" s="159" t="s">
        <v>896</v>
      </c>
      <c r="AI108" s="135">
        <v>3671</v>
      </c>
      <c r="AJ108" s="143">
        <v>3.66</v>
      </c>
      <c r="AK108" s="137" t="s">
        <v>339</v>
      </c>
      <c r="AL108" s="159" t="s">
        <v>5356</v>
      </c>
      <c r="AM108" s="153" t="s">
        <v>5357</v>
      </c>
      <c r="AN108" s="136">
        <v>4.9346497436037126E-2</v>
      </c>
      <c r="AO108" s="136">
        <v>-3.5518672013416344E-5</v>
      </c>
    </row>
    <row r="109" spans="1:41">
      <c r="A109" t="s">
        <v>1213</v>
      </c>
      <c r="B109" t="s">
        <v>1230</v>
      </c>
      <c r="C109" t="s">
        <v>1017</v>
      </c>
      <c r="D109" s="134">
        <v>154816</v>
      </c>
      <c r="E109" t="s">
        <v>1218</v>
      </c>
      <c r="F109" t="s">
        <v>5346</v>
      </c>
      <c r="G109" s="138">
        <v>13150000</v>
      </c>
      <c r="H109" s="138">
        <v>13150</v>
      </c>
      <c r="I109" s="136">
        <v>-266.90142348373126</v>
      </c>
      <c r="J109" s="136">
        <v>0.19211057751202165</v>
      </c>
      <c r="K109" t="s">
        <v>5179</v>
      </c>
      <c r="L109" t="s">
        <v>1216</v>
      </c>
      <c r="M109" t="s">
        <v>5347</v>
      </c>
      <c r="N109" s="138">
        <v>-14639895</v>
      </c>
      <c r="O109" s="138">
        <v>-14639.895</v>
      </c>
      <c r="P109" s="136">
        <v>267.73606186138426</v>
      </c>
      <c r="Q109" s="136">
        <v>-0.19271133437068408</v>
      </c>
      <c r="R109" s="138">
        <v>399.74209999999999</v>
      </c>
      <c r="S109" t="s">
        <v>204</v>
      </c>
      <c r="T109" t="s">
        <v>204</v>
      </c>
      <c r="U109" t="s">
        <v>746</v>
      </c>
      <c r="V109" s="139" t="s">
        <v>314</v>
      </c>
      <c r="W109" t="s">
        <v>929</v>
      </c>
      <c r="X109" t="s">
        <v>5180</v>
      </c>
      <c r="Y109" t="s">
        <v>339</v>
      </c>
      <c r="Z109" t="s">
        <v>5026</v>
      </c>
      <c r="AA109" t="s">
        <v>5181</v>
      </c>
      <c r="AB109" s="139" t="s">
        <v>896</v>
      </c>
      <c r="AC109" t="s">
        <v>897</v>
      </c>
      <c r="AD109" s="142" t="s">
        <v>339</v>
      </c>
      <c r="AE109" s="167" t="s">
        <v>912</v>
      </c>
      <c r="AF109" t="s">
        <v>896</v>
      </c>
      <c r="AG109" s="153" t="s">
        <v>896</v>
      </c>
      <c r="AH109" s="159" t="s">
        <v>896</v>
      </c>
      <c r="AI109" s="135">
        <v>4098.6000000000004</v>
      </c>
      <c r="AJ109" s="143">
        <v>1.1133</v>
      </c>
      <c r="AK109" s="137" t="s">
        <v>339</v>
      </c>
      <c r="AL109" s="159" t="s">
        <v>5356</v>
      </c>
      <c r="AM109" s="153" t="s">
        <v>5357</v>
      </c>
      <c r="AN109" s="136">
        <v>-0.19795638225892237</v>
      </c>
      <c r="AO109" s="136">
        <v>1.4248524575692325E-4</v>
      </c>
    </row>
    <row r="110" spans="1:41">
      <c r="A110" t="s">
        <v>1213</v>
      </c>
      <c r="B110" t="s">
        <v>1225</v>
      </c>
      <c r="C110" t="s">
        <v>1017</v>
      </c>
      <c r="D110" s="134">
        <v>154816</v>
      </c>
      <c r="E110" t="s">
        <v>1218</v>
      </c>
      <c r="F110" t="s">
        <v>5346</v>
      </c>
      <c r="G110" s="138">
        <v>5600000</v>
      </c>
      <c r="H110" s="138">
        <v>5600</v>
      </c>
      <c r="I110" s="136">
        <v>-2124.286349218864</v>
      </c>
      <c r="J110" s="136">
        <v>0.35140466262088088</v>
      </c>
      <c r="K110" t="s">
        <v>5179</v>
      </c>
      <c r="L110" t="s">
        <v>1216</v>
      </c>
      <c r="M110" t="s">
        <v>5347</v>
      </c>
      <c r="N110" s="138">
        <v>-6234480</v>
      </c>
      <c r="O110" s="138">
        <v>-6234.48</v>
      </c>
      <c r="P110" s="136">
        <v>2130.9292921040696</v>
      </c>
      <c r="Q110" s="136">
        <v>-0.35250355454015714</v>
      </c>
      <c r="R110" s="138">
        <v>170.23239999999998</v>
      </c>
      <c r="S110" t="s">
        <v>204</v>
      </c>
      <c r="T110" t="s">
        <v>204</v>
      </c>
      <c r="U110" t="s">
        <v>746</v>
      </c>
      <c r="V110" s="139" t="s">
        <v>314</v>
      </c>
      <c r="W110" t="s">
        <v>929</v>
      </c>
      <c r="X110" t="s">
        <v>5180</v>
      </c>
      <c r="Y110" t="s">
        <v>339</v>
      </c>
      <c r="Z110" t="s">
        <v>5026</v>
      </c>
      <c r="AA110" t="s">
        <v>5181</v>
      </c>
      <c r="AB110" s="139" t="s">
        <v>896</v>
      </c>
      <c r="AC110" t="s">
        <v>897</v>
      </c>
      <c r="AD110" s="142" t="s">
        <v>339</v>
      </c>
      <c r="AE110" s="167" t="s">
        <v>912</v>
      </c>
      <c r="AF110" t="s">
        <v>896</v>
      </c>
      <c r="AG110" s="153" t="s">
        <v>896</v>
      </c>
      <c r="AH110" s="159" t="s">
        <v>896</v>
      </c>
      <c r="AI110" s="135">
        <v>4098.6000000000004</v>
      </c>
      <c r="AJ110" s="143">
        <v>1.1133</v>
      </c>
      <c r="AK110" s="137" t="s">
        <v>339</v>
      </c>
      <c r="AL110" s="159" t="s">
        <v>5356</v>
      </c>
      <c r="AM110" s="153" t="s">
        <v>5357</v>
      </c>
      <c r="AN110" s="136">
        <v>-1.575548137153391</v>
      </c>
      <c r="AO110" s="136">
        <v>2.6063104052941499E-4</v>
      </c>
    </row>
    <row r="111" spans="1:41">
      <c r="A111" t="s">
        <v>1213</v>
      </c>
      <c r="B111">
        <v>15108</v>
      </c>
      <c r="C111" t="s">
        <v>1017</v>
      </c>
      <c r="D111" s="134">
        <v>154817</v>
      </c>
      <c r="E111" t="s">
        <v>1216</v>
      </c>
      <c r="F111" t="s">
        <v>5347</v>
      </c>
      <c r="G111" s="138">
        <v>25000000</v>
      </c>
      <c r="H111" s="138">
        <v>25000</v>
      </c>
      <c r="I111" s="136">
        <v>-639.32328738589865</v>
      </c>
      <c r="J111" s="136">
        <v>1.5644970081283822</v>
      </c>
      <c r="K111" t="s">
        <v>5243</v>
      </c>
      <c r="L111" t="s">
        <v>1212</v>
      </c>
      <c r="M111" t="s">
        <v>5308</v>
      </c>
      <c r="N111" s="138">
        <v>-92025000</v>
      </c>
      <c r="O111" s="138">
        <v>-92025</v>
      </c>
      <c r="P111" s="136">
        <v>637.2458762164888</v>
      </c>
      <c r="Q111" s="136">
        <v>-1.5594133460386068</v>
      </c>
      <c r="R111" s="138">
        <v>541.48830000000009</v>
      </c>
      <c r="S111" t="s">
        <v>204</v>
      </c>
      <c r="T111" t="s">
        <v>204</v>
      </c>
      <c r="U111" t="s">
        <v>746</v>
      </c>
      <c r="V111" s="139" t="s">
        <v>314</v>
      </c>
      <c r="W111" s="153" t="s">
        <v>928</v>
      </c>
      <c r="X111" t="s">
        <v>5176</v>
      </c>
      <c r="Y111" t="s">
        <v>339</v>
      </c>
      <c r="Z111" t="s">
        <v>5026</v>
      </c>
      <c r="AA111" t="s">
        <v>5244</v>
      </c>
      <c r="AB111" s="139" t="s">
        <v>896</v>
      </c>
      <c r="AC111" t="s">
        <v>897</v>
      </c>
      <c r="AD111" s="142" t="s">
        <v>339</v>
      </c>
      <c r="AE111" s="167" t="s">
        <v>912</v>
      </c>
      <c r="AF111" t="s">
        <v>896</v>
      </c>
      <c r="AG111" s="153" t="s">
        <v>896</v>
      </c>
      <c r="AH111" s="159" t="s">
        <v>896</v>
      </c>
      <c r="AI111" s="135">
        <v>3693</v>
      </c>
      <c r="AJ111" s="143">
        <v>3.681</v>
      </c>
      <c r="AK111" s="137" t="s">
        <v>339</v>
      </c>
      <c r="AL111" s="159" t="s">
        <v>5356</v>
      </c>
      <c r="AM111" s="153" t="s">
        <v>5357</v>
      </c>
      <c r="AN111" s="136">
        <v>-0.37496460096808365</v>
      </c>
      <c r="AO111" s="136">
        <v>9.1758114860365824E-4</v>
      </c>
    </row>
    <row r="112" spans="1:41">
      <c r="A112" t="s">
        <v>1213</v>
      </c>
      <c r="B112" t="s">
        <v>1225</v>
      </c>
      <c r="C112" t="s">
        <v>1017</v>
      </c>
      <c r="D112" s="134">
        <v>154818</v>
      </c>
      <c r="E112" t="s">
        <v>1216</v>
      </c>
      <c r="F112" t="s">
        <v>5347</v>
      </c>
      <c r="G112" s="138">
        <v>-2750000</v>
      </c>
      <c r="H112" s="138">
        <v>-2750</v>
      </c>
      <c r="I112" s="136">
        <v>939.94295487132717</v>
      </c>
      <c r="J112" s="136">
        <v>-0.15548767098225227</v>
      </c>
      <c r="K112" t="s">
        <v>5204</v>
      </c>
      <c r="L112" t="s">
        <v>1212</v>
      </c>
      <c r="M112" t="s">
        <v>5308</v>
      </c>
      <c r="N112" s="138">
        <v>-10125500</v>
      </c>
      <c r="O112" s="138">
        <v>-10125.5</v>
      </c>
      <c r="P112" s="136">
        <v>937.14323309943848</v>
      </c>
      <c r="Q112" s="136">
        <v>-0.15502453413394338</v>
      </c>
      <c r="R112" s="138">
        <v>-56.427199999999999</v>
      </c>
      <c r="S112" t="s">
        <v>204</v>
      </c>
      <c r="T112" t="s">
        <v>204</v>
      </c>
      <c r="U112" t="s">
        <v>746</v>
      </c>
      <c r="V112" s="139" t="s">
        <v>314</v>
      </c>
      <c r="W112" s="153" t="s">
        <v>928</v>
      </c>
      <c r="X112" t="s">
        <v>5176</v>
      </c>
      <c r="Y112" t="s">
        <v>339</v>
      </c>
      <c r="Z112" t="s">
        <v>5026</v>
      </c>
      <c r="AA112" t="s">
        <v>5205</v>
      </c>
      <c r="AB112" s="139" t="s">
        <v>896</v>
      </c>
      <c r="AC112" t="s">
        <v>897</v>
      </c>
      <c r="AD112" s="142" t="s">
        <v>339</v>
      </c>
      <c r="AE112" s="167" t="s">
        <v>912</v>
      </c>
      <c r="AF112" t="s">
        <v>896</v>
      </c>
      <c r="AG112" s="153" t="s">
        <v>896</v>
      </c>
      <c r="AH112" s="159" t="s">
        <v>896</v>
      </c>
      <c r="AI112" s="135">
        <v>3693</v>
      </c>
      <c r="AJ112" s="143">
        <v>3.6819999999999999</v>
      </c>
      <c r="AK112" s="137" t="s">
        <v>339</v>
      </c>
      <c r="AL112" s="159" t="s">
        <v>5356</v>
      </c>
      <c r="AM112" s="153" t="s">
        <v>5357</v>
      </c>
      <c r="AN112" s="136">
        <v>0.52224979483817524</v>
      </c>
      <c r="AO112" s="136">
        <v>-8.6391843089523698E-5</v>
      </c>
    </row>
    <row r="113" spans="1:41">
      <c r="A113" t="s">
        <v>1213</v>
      </c>
      <c r="B113" t="s">
        <v>1230</v>
      </c>
      <c r="C113" t="s">
        <v>1017</v>
      </c>
      <c r="D113" s="134">
        <v>154818</v>
      </c>
      <c r="E113" t="s">
        <v>1216</v>
      </c>
      <c r="F113" t="s">
        <v>5347</v>
      </c>
      <c r="G113" s="138">
        <v>-1500000</v>
      </c>
      <c r="H113" s="138">
        <v>-1500</v>
      </c>
      <c r="I113" s="136">
        <v>27.43217029849438</v>
      </c>
      <c r="J113" s="136">
        <v>-1.9745155382332052E-2</v>
      </c>
      <c r="K113" t="s">
        <v>5204</v>
      </c>
      <c r="L113" t="s">
        <v>1212</v>
      </c>
      <c r="M113" t="s">
        <v>5308</v>
      </c>
      <c r="N113" s="138">
        <v>-5523000</v>
      </c>
      <c r="O113" s="138">
        <v>-5523</v>
      </c>
      <c r="P113" s="136">
        <v>27.350460611713054</v>
      </c>
      <c r="Q113" s="136">
        <v>-1.9686342301041597E-2</v>
      </c>
      <c r="R113" s="138">
        <v>-30.778500000000001</v>
      </c>
      <c r="S113" t="s">
        <v>204</v>
      </c>
      <c r="T113" t="s">
        <v>204</v>
      </c>
      <c r="U113" t="s">
        <v>746</v>
      </c>
      <c r="V113" s="139" t="s">
        <v>314</v>
      </c>
      <c r="W113" s="153" t="s">
        <v>928</v>
      </c>
      <c r="X113" t="s">
        <v>5176</v>
      </c>
      <c r="Y113" t="s">
        <v>339</v>
      </c>
      <c r="Z113" t="s">
        <v>5026</v>
      </c>
      <c r="AA113" t="s">
        <v>5205</v>
      </c>
      <c r="AB113" s="139" t="s">
        <v>896</v>
      </c>
      <c r="AC113" t="s">
        <v>897</v>
      </c>
      <c r="AD113" s="142" t="s">
        <v>339</v>
      </c>
      <c r="AE113" s="167" t="s">
        <v>912</v>
      </c>
      <c r="AF113" t="s">
        <v>896</v>
      </c>
      <c r="AG113" s="153" t="s">
        <v>896</v>
      </c>
      <c r="AH113" s="159" t="s">
        <v>896</v>
      </c>
      <c r="AI113" s="135">
        <v>3693</v>
      </c>
      <c r="AJ113" s="143">
        <v>3.6819999999999999</v>
      </c>
      <c r="AK113" s="137" t="s">
        <v>339</v>
      </c>
      <c r="AL113" s="159" t="s">
        <v>5356</v>
      </c>
      <c r="AM113" s="153" t="s">
        <v>5357</v>
      </c>
      <c r="AN113" s="136">
        <v>1.5241824236360734E-2</v>
      </c>
      <c r="AO113" s="136">
        <v>-1.0970775719982137E-5</v>
      </c>
    </row>
    <row r="114" spans="1:41">
      <c r="A114" t="s">
        <v>1213</v>
      </c>
      <c r="B114" t="s">
        <v>1233</v>
      </c>
      <c r="C114" t="s">
        <v>1017</v>
      </c>
      <c r="D114" s="134">
        <v>154819</v>
      </c>
      <c r="E114" t="s">
        <v>1216</v>
      </c>
      <c r="F114" t="s">
        <v>5347</v>
      </c>
      <c r="G114" s="138">
        <v>979000</v>
      </c>
      <c r="H114" s="138">
        <v>979</v>
      </c>
      <c r="I114" s="136">
        <v>-11.260278969157197</v>
      </c>
      <c r="J114" s="136">
        <v>9.6053154754481618E-2</v>
      </c>
      <c r="K114" t="s">
        <v>5220</v>
      </c>
      <c r="L114" t="s">
        <v>1212</v>
      </c>
      <c r="M114" t="s">
        <v>5308</v>
      </c>
      <c r="N114" s="138">
        <v>-3606146.5</v>
      </c>
      <c r="O114" s="138">
        <v>-3606.1464999999998</v>
      </c>
      <c r="P114" s="136">
        <v>11.231312640912682</v>
      </c>
      <c r="Q114" s="136">
        <v>-9.5806064321184145E-2</v>
      </c>
      <c r="R114" s="138">
        <v>23.146799999999999</v>
      </c>
      <c r="S114" t="s">
        <v>204</v>
      </c>
      <c r="T114" t="s">
        <v>204</v>
      </c>
      <c r="U114" t="s">
        <v>746</v>
      </c>
      <c r="V114" s="139" t="s">
        <v>314</v>
      </c>
      <c r="W114" s="153" t="s">
        <v>928</v>
      </c>
      <c r="X114" t="s">
        <v>5176</v>
      </c>
      <c r="Y114" t="s">
        <v>339</v>
      </c>
      <c r="Z114" t="s">
        <v>5026</v>
      </c>
      <c r="AA114" t="s">
        <v>5187</v>
      </c>
      <c r="AB114" s="139" t="s">
        <v>896</v>
      </c>
      <c r="AC114" t="s">
        <v>897</v>
      </c>
      <c r="AD114" s="142" t="s">
        <v>339</v>
      </c>
      <c r="AE114" s="167" t="s">
        <v>912</v>
      </c>
      <c r="AF114" t="s">
        <v>896</v>
      </c>
      <c r="AG114" s="153" t="s">
        <v>896</v>
      </c>
      <c r="AH114" s="159" t="s">
        <v>896</v>
      </c>
      <c r="AI114" s="135">
        <v>3693</v>
      </c>
      <c r="AJ114" s="143">
        <v>3.6835</v>
      </c>
      <c r="AK114" s="137" t="s">
        <v>339</v>
      </c>
      <c r="AL114" s="159" t="s">
        <v>5356</v>
      </c>
      <c r="AM114" s="153" t="s">
        <v>5357</v>
      </c>
      <c r="AN114" s="136">
        <v>-7.2090454390768789E-3</v>
      </c>
      <c r="AO114" s="136">
        <v>6.1495062341565565E-5</v>
      </c>
    </row>
    <row r="115" spans="1:41">
      <c r="A115" t="s">
        <v>1213</v>
      </c>
      <c r="B115" t="s">
        <v>1230</v>
      </c>
      <c r="C115" t="s">
        <v>1017</v>
      </c>
      <c r="D115" s="134">
        <v>154821</v>
      </c>
      <c r="E115" t="s">
        <v>1216</v>
      </c>
      <c r="F115" t="s">
        <v>5347</v>
      </c>
      <c r="G115" s="138">
        <v>-7250000</v>
      </c>
      <c r="H115" s="138">
        <v>-7250</v>
      </c>
      <c r="I115" s="136">
        <v>132.58882310938949</v>
      </c>
      <c r="J115" s="136">
        <v>-9.5434917681271589E-2</v>
      </c>
      <c r="K115" t="s">
        <v>5201</v>
      </c>
      <c r="L115" t="s">
        <v>1228</v>
      </c>
      <c r="M115" t="s">
        <v>5348</v>
      </c>
      <c r="N115" s="138">
        <v>-1030297500</v>
      </c>
      <c r="O115" s="138">
        <v>-1030297.5</v>
      </c>
      <c r="P115" s="136">
        <v>131.313739770231</v>
      </c>
      <c r="Q115" s="136">
        <v>-9.4517136901145368E-2</v>
      </c>
      <c r="R115" s="138">
        <v>84.943899999999999</v>
      </c>
      <c r="S115" t="s">
        <v>204</v>
      </c>
      <c r="T115" t="s">
        <v>204</v>
      </c>
      <c r="U115" t="s">
        <v>746</v>
      </c>
      <c r="V115" s="139" t="s">
        <v>314</v>
      </c>
      <c r="W115" t="s">
        <v>929</v>
      </c>
      <c r="X115" t="s">
        <v>5186</v>
      </c>
      <c r="Y115" t="s">
        <v>339</v>
      </c>
      <c r="Z115" t="s">
        <v>5026</v>
      </c>
      <c r="AA115" t="s">
        <v>5200</v>
      </c>
      <c r="AB115" s="139" t="s">
        <v>896</v>
      </c>
      <c r="AC115" t="s">
        <v>897</v>
      </c>
      <c r="AD115" s="142" t="s">
        <v>339</v>
      </c>
      <c r="AE115" s="167" t="s">
        <v>912</v>
      </c>
      <c r="AF115" t="s">
        <v>896</v>
      </c>
      <c r="AG115" s="153" t="s">
        <v>896</v>
      </c>
      <c r="AH115" s="159" t="s">
        <v>896</v>
      </c>
      <c r="AI115" s="135">
        <v>3693</v>
      </c>
      <c r="AJ115" s="143">
        <v>142.11000000000001</v>
      </c>
      <c r="AK115" s="137" t="s">
        <v>339</v>
      </c>
      <c r="AL115" s="159" t="s">
        <v>5356</v>
      </c>
      <c r="AM115" s="153" t="s">
        <v>5357</v>
      </c>
      <c r="AN115" s="136">
        <v>-4.2065074327452705E-2</v>
      </c>
      <c r="AO115" s="136">
        <v>3.0277641897348797E-5</v>
      </c>
    </row>
    <row r="116" spans="1:41">
      <c r="A116" t="s">
        <v>1213</v>
      </c>
      <c r="B116" t="s">
        <v>1225</v>
      </c>
      <c r="C116" t="s">
        <v>1017</v>
      </c>
      <c r="D116" s="134">
        <v>154821</v>
      </c>
      <c r="E116" t="s">
        <v>1216</v>
      </c>
      <c r="F116" t="s">
        <v>5347</v>
      </c>
      <c r="G116" s="138">
        <v>-3090000</v>
      </c>
      <c r="H116" s="138">
        <v>-3090</v>
      </c>
      <c r="I116" s="136">
        <v>1056.1540838372366</v>
      </c>
      <c r="J116" s="136">
        <v>-0.17471160121278528</v>
      </c>
      <c r="K116" t="s">
        <v>5201</v>
      </c>
      <c r="L116" t="s">
        <v>1228</v>
      </c>
      <c r="M116" t="s">
        <v>5348</v>
      </c>
      <c r="N116" s="138">
        <v>-439119900</v>
      </c>
      <c r="O116" s="138">
        <v>-439119.9</v>
      </c>
      <c r="P116" s="136">
        <v>1045.9972361912323</v>
      </c>
      <c r="Q116" s="136">
        <v>-0.17303143054198647</v>
      </c>
      <c r="R116" s="138">
        <v>36.203699999999998</v>
      </c>
      <c r="S116" t="s">
        <v>204</v>
      </c>
      <c r="T116" t="s">
        <v>204</v>
      </c>
      <c r="U116" t="s">
        <v>746</v>
      </c>
      <c r="V116" s="139" t="s">
        <v>314</v>
      </c>
      <c r="W116" t="s">
        <v>929</v>
      </c>
      <c r="X116" t="s">
        <v>5186</v>
      </c>
      <c r="Y116" t="s">
        <v>339</v>
      </c>
      <c r="Z116" t="s">
        <v>5026</v>
      </c>
      <c r="AA116" t="s">
        <v>5200</v>
      </c>
      <c r="AB116" s="139" t="s">
        <v>896</v>
      </c>
      <c r="AC116" t="s">
        <v>897</v>
      </c>
      <c r="AD116" s="142" t="s">
        <v>339</v>
      </c>
      <c r="AE116" s="167" t="s">
        <v>912</v>
      </c>
      <c r="AF116" t="s">
        <v>896</v>
      </c>
      <c r="AG116" s="153" t="s">
        <v>896</v>
      </c>
      <c r="AH116" s="159" t="s">
        <v>896</v>
      </c>
      <c r="AI116" s="135">
        <v>3693</v>
      </c>
      <c r="AJ116" s="143">
        <v>142.11000000000001</v>
      </c>
      <c r="AK116" s="137" t="s">
        <v>339</v>
      </c>
      <c r="AL116" s="159" t="s">
        <v>5356</v>
      </c>
      <c r="AM116" s="153" t="s">
        <v>5357</v>
      </c>
      <c r="AN116" s="136">
        <v>-0.33507500101423948</v>
      </c>
      <c r="AO116" s="136">
        <v>5.5428929215403412E-5</v>
      </c>
    </row>
    <row r="117" spans="1:41">
      <c r="A117" t="s">
        <v>1213</v>
      </c>
      <c r="B117" t="s">
        <v>1225</v>
      </c>
      <c r="C117" t="s">
        <v>1017</v>
      </c>
      <c r="D117" s="134">
        <v>154823</v>
      </c>
      <c r="E117" t="s">
        <v>1218</v>
      </c>
      <c r="F117" t="s">
        <v>5349</v>
      </c>
      <c r="G117" s="138">
        <v>-1145000</v>
      </c>
      <c r="H117" s="138">
        <v>-1145</v>
      </c>
      <c r="I117" s="136">
        <v>440.25398108622903</v>
      </c>
      <c r="J117" s="136">
        <v>-7.2827894294003478E-2</v>
      </c>
      <c r="K117" t="s">
        <v>5192</v>
      </c>
      <c r="L117" t="s">
        <v>1212</v>
      </c>
      <c r="M117" t="s">
        <v>5308</v>
      </c>
      <c r="N117" s="138">
        <v>-4764345</v>
      </c>
      <c r="O117" s="138">
        <v>-4764.3450000000003</v>
      </c>
      <c r="P117" s="136">
        <v>440.95340248887902</v>
      </c>
      <c r="Q117" s="136">
        <v>-7.2943594299381007E-2</v>
      </c>
      <c r="R117" s="138">
        <v>5.8701000000000008</v>
      </c>
      <c r="S117" t="s">
        <v>204</v>
      </c>
      <c r="T117" t="s">
        <v>204</v>
      </c>
      <c r="U117" t="s">
        <v>746</v>
      </c>
      <c r="V117" s="139" t="s">
        <v>314</v>
      </c>
      <c r="W117" s="153" t="s">
        <v>928</v>
      </c>
      <c r="X117" t="s">
        <v>5183</v>
      </c>
      <c r="Y117" t="s">
        <v>339</v>
      </c>
      <c r="Z117" t="s">
        <v>5014</v>
      </c>
      <c r="AA117" t="s">
        <v>5193</v>
      </c>
      <c r="AB117" s="139" t="s">
        <v>896</v>
      </c>
      <c r="AC117" t="s">
        <v>897</v>
      </c>
      <c r="AD117" s="142" t="s">
        <v>339</v>
      </c>
      <c r="AE117" s="167" t="s">
        <v>912</v>
      </c>
      <c r="AF117" t="s">
        <v>896</v>
      </c>
      <c r="AG117" s="153" t="s">
        <v>896</v>
      </c>
      <c r="AH117" s="159" t="s">
        <v>896</v>
      </c>
      <c r="AI117" s="135">
        <v>4154.3999999999996</v>
      </c>
      <c r="AJ117" s="143">
        <v>4.1609999999999996</v>
      </c>
      <c r="AK117" s="137" t="s">
        <v>339</v>
      </c>
      <c r="AL117" s="159" t="s">
        <v>5356</v>
      </c>
      <c r="AM117" s="153" t="s">
        <v>5357</v>
      </c>
      <c r="AN117" s="136">
        <v>-5.4329600387114714E-2</v>
      </c>
      <c r="AO117" s="136">
        <v>8.9873358652338254E-6</v>
      </c>
    </row>
    <row r="118" spans="1:41">
      <c r="A118" t="s">
        <v>1213</v>
      </c>
      <c r="B118" t="s">
        <v>1230</v>
      </c>
      <c r="C118" t="s">
        <v>1017</v>
      </c>
      <c r="D118" s="134">
        <v>154823</v>
      </c>
      <c r="E118" t="s">
        <v>1218</v>
      </c>
      <c r="F118" t="s">
        <v>5349</v>
      </c>
      <c r="G118" s="138">
        <v>-4090000</v>
      </c>
      <c r="H118" s="138">
        <v>-4090</v>
      </c>
      <c r="I118" s="136">
        <v>84.143625218555115</v>
      </c>
      <c r="J118" s="136">
        <v>-6.0564983969360692E-2</v>
      </c>
      <c r="K118" t="s">
        <v>5192</v>
      </c>
      <c r="L118" t="s">
        <v>1212</v>
      </c>
      <c r="M118" t="s">
        <v>5308</v>
      </c>
      <c r="N118" s="138">
        <v>-17018490</v>
      </c>
      <c r="O118" s="138">
        <v>-17018.490000000002</v>
      </c>
      <c r="P118" s="136">
        <v>84.277302266129368</v>
      </c>
      <c r="Q118" s="136">
        <v>-6.0661202170351876E-2</v>
      </c>
      <c r="R118" s="138">
        <v>20.968400000000003</v>
      </c>
      <c r="S118" t="s">
        <v>204</v>
      </c>
      <c r="T118" t="s">
        <v>204</v>
      </c>
      <c r="U118" t="s">
        <v>746</v>
      </c>
      <c r="V118" s="139" t="s">
        <v>314</v>
      </c>
      <c r="W118" s="153" t="s">
        <v>928</v>
      </c>
      <c r="X118" t="s">
        <v>5183</v>
      </c>
      <c r="Y118" t="s">
        <v>339</v>
      </c>
      <c r="Z118" t="s">
        <v>5014</v>
      </c>
      <c r="AA118" t="s">
        <v>5193</v>
      </c>
      <c r="AB118" s="139" t="s">
        <v>896</v>
      </c>
      <c r="AC118" t="s">
        <v>897</v>
      </c>
      <c r="AD118" s="142" t="s">
        <v>339</v>
      </c>
      <c r="AE118" s="167" t="s">
        <v>912</v>
      </c>
      <c r="AF118" t="s">
        <v>896</v>
      </c>
      <c r="AG118" s="153" t="s">
        <v>896</v>
      </c>
      <c r="AH118" s="159" t="s">
        <v>896</v>
      </c>
      <c r="AI118" s="135">
        <v>4154.3999999999996</v>
      </c>
      <c r="AJ118" s="143">
        <v>4.1609999999999996</v>
      </c>
      <c r="AK118" s="137" t="s">
        <v>339</v>
      </c>
      <c r="AL118" s="159" t="s">
        <v>5356</v>
      </c>
      <c r="AM118" s="153" t="s">
        <v>5357</v>
      </c>
      <c r="AN118" s="136">
        <v>-1.0383755126910614E-2</v>
      </c>
      <c r="AO118" s="136">
        <v>7.4740298052243498E-6</v>
      </c>
    </row>
    <row r="119" spans="1:41">
      <c r="A119" t="s">
        <v>1213</v>
      </c>
      <c r="B119" t="s">
        <v>1230</v>
      </c>
      <c r="C119" t="s">
        <v>1017</v>
      </c>
      <c r="D119" s="134">
        <v>154824</v>
      </c>
      <c r="E119" t="s">
        <v>1216</v>
      </c>
      <c r="F119" t="s">
        <v>5316</v>
      </c>
      <c r="G119" s="138">
        <v>-2900000</v>
      </c>
      <c r="H119" s="138">
        <v>-2900</v>
      </c>
      <c r="I119" s="136">
        <v>53.897195031631604</v>
      </c>
      <c r="J119" s="136">
        <v>-3.8794177747935255E-2</v>
      </c>
      <c r="K119" t="s">
        <v>5190</v>
      </c>
      <c r="L119" t="s">
        <v>1212</v>
      </c>
      <c r="M119" t="s">
        <v>5308</v>
      </c>
      <c r="N119" s="138">
        <v>-10877900</v>
      </c>
      <c r="O119" s="138">
        <v>-10877.9</v>
      </c>
      <c r="P119" s="136">
        <v>53.868472838702409</v>
      </c>
      <c r="Q119" s="136">
        <v>-3.877350405875437E-2</v>
      </c>
      <c r="R119" s="138">
        <v>119.1331</v>
      </c>
      <c r="S119" t="s">
        <v>204</v>
      </c>
      <c r="T119" t="s">
        <v>204</v>
      </c>
      <c r="U119" t="s">
        <v>746</v>
      </c>
      <c r="V119" s="139" t="s">
        <v>314</v>
      </c>
      <c r="W119" s="153" t="s">
        <v>928</v>
      </c>
      <c r="X119" t="s">
        <v>5176</v>
      </c>
      <c r="Y119" t="s">
        <v>339</v>
      </c>
      <c r="Z119" t="s">
        <v>5191</v>
      </c>
      <c r="AA119" t="s">
        <v>5184</v>
      </c>
      <c r="AB119" s="139" t="s">
        <v>896</v>
      </c>
      <c r="AC119" t="s">
        <v>897</v>
      </c>
      <c r="AD119" s="142" t="s">
        <v>339</v>
      </c>
      <c r="AE119" s="167" t="s">
        <v>912</v>
      </c>
      <c r="AF119" t="s">
        <v>896</v>
      </c>
      <c r="AG119" s="153" t="s">
        <v>896</v>
      </c>
      <c r="AH119" s="159" t="s">
        <v>896</v>
      </c>
      <c r="AI119" s="135">
        <v>3753</v>
      </c>
      <c r="AJ119" s="143">
        <v>3.7509999999999999</v>
      </c>
      <c r="AK119" s="137" t="s">
        <v>339</v>
      </c>
      <c r="AL119" s="159" t="s">
        <v>5356</v>
      </c>
      <c r="AM119" s="153" t="s">
        <v>5357</v>
      </c>
      <c r="AN119" s="136">
        <v>-5.8995931992646682E-2</v>
      </c>
      <c r="AO119" s="136">
        <v>4.2464151813181118E-5</v>
      </c>
    </row>
    <row r="120" spans="1:41">
      <c r="A120" t="s">
        <v>1213</v>
      </c>
      <c r="B120" t="s">
        <v>1225</v>
      </c>
      <c r="C120" t="s">
        <v>1017</v>
      </c>
      <c r="D120" s="134">
        <v>154824</v>
      </c>
      <c r="E120" t="s">
        <v>1216</v>
      </c>
      <c r="F120" t="s">
        <v>5316</v>
      </c>
      <c r="G120" s="138">
        <v>-1275000</v>
      </c>
      <c r="H120" s="138">
        <v>-1275</v>
      </c>
      <c r="I120" s="136">
        <v>442.87202173949885</v>
      </c>
      <c r="J120" s="136">
        <v>-7.3260977005676658E-2</v>
      </c>
      <c r="K120" t="s">
        <v>5190</v>
      </c>
      <c r="L120" t="s">
        <v>1212</v>
      </c>
      <c r="M120" t="s">
        <v>5308</v>
      </c>
      <c r="N120" s="138">
        <v>-4782525</v>
      </c>
      <c r="O120" s="138">
        <v>-4782.5249999999996</v>
      </c>
      <c r="P120" s="136">
        <v>442.63601213558758</v>
      </c>
      <c r="Q120" s="136">
        <v>-7.3221935717637396E-2</v>
      </c>
      <c r="R120" s="138">
        <v>52.377499999999998</v>
      </c>
      <c r="S120" t="s">
        <v>204</v>
      </c>
      <c r="T120" t="s">
        <v>204</v>
      </c>
      <c r="U120" t="s">
        <v>746</v>
      </c>
      <c r="V120" s="139" t="s">
        <v>314</v>
      </c>
      <c r="W120" s="153" t="s">
        <v>928</v>
      </c>
      <c r="X120" t="s">
        <v>5176</v>
      </c>
      <c r="Y120" t="s">
        <v>339</v>
      </c>
      <c r="Z120" t="s">
        <v>5191</v>
      </c>
      <c r="AA120" t="s">
        <v>5184</v>
      </c>
      <c r="AB120" s="139" t="s">
        <v>896</v>
      </c>
      <c r="AC120" t="s">
        <v>897</v>
      </c>
      <c r="AD120" s="142" t="s">
        <v>339</v>
      </c>
      <c r="AE120" s="167" t="s">
        <v>912</v>
      </c>
      <c r="AF120" t="s">
        <v>896</v>
      </c>
      <c r="AG120" s="153" t="s">
        <v>896</v>
      </c>
      <c r="AH120" s="159" t="s">
        <v>896</v>
      </c>
      <c r="AI120" s="135">
        <v>3753</v>
      </c>
      <c r="AJ120" s="143">
        <v>3.7509999999999999</v>
      </c>
      <c r="AK120" s="137" t="s">
        <v>339</v>
      </c>
      <c r="AL120" s="159" t="s">
        <v>5356</v>
      </c>
      <c r="AM120" s="153" t="s">
        <v>5357</v>
      </c>
      <c r="AN120" s="136">
        <v>-0.48476822700431221</v>
      </c>
      <c r="AO120" s="136">
        <v>8.0191550128076399E-5</v>
      </c>
    </row>
    <row r="121" spans="1:41">
      <c r="A121" t="s">
        <v>1213</v>
      </c>
      <c r="B121" t="s">
        <v>1225</v>
      </c>
      <c r="C121" t="s">
        <v>1017</v>
      </c>
      <c r="D121" s="134">
        <v>154826</v>
      </c>
      <c r="E121" t="s">
        <v>1218</v>
      </c>
      <c r="F121" t="s">
        <v>5350</v>
      </c>
      <c r="G121" s="138">
        <v>575000</v>
      </c>
      <c r="H121" s="138">
        <v>575</v>
      </c>
      <c r="I121" s="136">
        <v>-223.22760142179351</v>
      </c>
      <c r="J121" s="136">
        <v>3.6926857809983442E-2</v>
      </c>
      <c r="K121" t="s">
        <v>5198</v>
      </c>
      <c r="L121" t="s">
        <v>1216</v>
      </c>
      <c r="M121" t="s">
        <v>5351</v>
      </c>
      <c r="N121" s="138">
        <v>-642907.5</v>
      </c>
      <c r="O121" s="138">
        <v>-642.90750000000003</v>
      </c>
      <c r="P121" s="136">
        <v>223.67132654883656</v>
      </c>
      <c r="Q121" s="136">
        <v>-3.7000259909762648E-2</v>
      </c>
      <c r="R121" s="138">
        <v>7.3078000000000003</v>
      </c>
      <c r="S121" t="s">
        <v>204</v>
      </c>
      <c r="T121" t="s">
        <v>204</v>
      </c>
      <c r="U121" t="s">
        <v>746</v>
      </c>
      <c r="V121" s="139" t="s">
        <v>314</v>
      </c>
      <c r="W121" t="s">
        <v>929</v>
      </c>
      <c r="X121" t="s">
        <v>5180</v>
      </c>
      <c r="Y121" t="s">
        <v>339</v>
      </c>
      <c r="Z121" t="s">
        <v>4942</v>
      </c>
      <c r="AA121" t="s">
        <v>5181</v>
      </c>
      <c r="AB121" s="139" t="s">
        <v>896</v>
      </c>
      <c r="AC121" t="s">
        <v>897</v>
      </c>
      <c r="AD121" s="142" t="s">
        <v>339</v>
      </c>
      <c r="AE121" s="167" t="s">
        <v>912</v>
      </c>
      <c r="AF121" t="s">
        <v>896</v>
      </c>
      <c r="AG121" s="153" t="s">
        <v>896</v>
      </c>
      <c r="AH121" s="159" t="s">
        <v>896</v>
      </c>
      <c r="AI121" s="135">
        <v>4194.6000000000004</v>
      </c>
      <c r="AJ121" s="143">
        <v>1.1181000000000001</v>
      </c>
      <c r="AK121" s="137" t="s">
        <v>339</v>
      </c>
      <c r="AL121" s="159" t="s">
        <v>5356</v>
      </c>
      <c r="AM121" s="153" t="s">
        <v>5357</v>
      </c>
      <c r="AN121" s="136">
        <v>-6.7636056150313997E-2</v>
      </c>
      <c r="AO121" s="136">
        <v>1.1188522442488888E-5</v>
      </c>
    </row>
    <row r="122" spans="1:41">
      <c r="A122" t="s">
        <v>1213</v>
      </c>
      <c r="B122" t="s">
        <v>1230</v>
      </c>
      <c r="C122" t="s">
        <v>1017</v>
      </c>
      <c r="D122" s="134">
        <v>154826</v>
      </c>
      <c r="E122" t="s">
        <v>1218</v>
      </c>
      <c r="F122" t="s">
        <v>5350</v>
      </c>
      <c r="G122" s="138">
        <v>1325000</v>
      </c>
      <c r="H122" s="138">
        <v>1325</v>
      </c>
      <c r="I122" s="136">
        <v>-27.523016613888526</v>
      </c>
      <c r="J122" s="136">
        <v>1.9810544835439533E-2</v>
      </c>
      <c r="K122" t="s">
        <v>5198</v>
      </c>
      <c r="L122" t="s">
        <v>1216</v>
      </c>
      <c r="M122" t="s">
        <v>5351</v>
      </c>
      <c r="N122" s="138">
        <v>-1481482.5</v>
      </c>
      <c r="O122" s="138">
        <v>-1481.4825000000001</v>
      </c>
      <c r="P122" s="136">
        <v>27.577726040347532</v>
      </c>
      <c r="Q122" s="136">
        <v>-1.9849923641948711E-2</v>
      </c>
      <c r="R122" s="138">
        <v>16.8398</v>
      </c>
      <c r="S122" t="s">
        <v>204</v>
      </c>
      <c r="T122" t="s">
        <v>204</v>
      </c>
      <c r="U122" t="s">
        <v>746</v>
      </c>
      <c r="V122" s="139" t="s">
        <v>314</v>
      </c>
      <c r="W122" t="s">
        <v>929</v>
      </c>
      <c r="X122" t="s">
        <v>5180</v>
      </c>
      <c r="Y122" t="s">
        <v>339</v>
      </c>
      <c r="Z122" t="s">
        <v>4942</v>
      </c>
      <c r="AA122" t="s">
        <v>5181</v>
      </c>
      <c r="AB122" s="139" t="s">
        <v>896</v>
      </c>
      <c r="AC122" t="s">
        <v>897</v>
      </c>
      <c r="AD122" s="142" t="s">
        <v>339</v>
      </c>
      <c r="AE122" s="167" t="s">
        <v>912</v>
      </c>
      <c r="AF122" t="s">
        <v>896</v>
      </c>
      <c r="AG122" s="153" t="s">
        <v>896</v>
      </c>
      <c r="AH122" s="159" t="s">
        <v>896</v>
      </c>
      <c r="AI122" s="135">
        <v>4194.6000000000004</v>
      </c>
      <c r="AJ122" s="143">
        <v>1.1181000000000001</v>
      </c>
      <c r="AK122" s="137" t="s">
        <v>339</v>
      </c>
      <c r="AL122" s="159" t="s">
        <v>5356</v>
      </c>
      <c r="AM122" s="153" t="s">
        <v>5357</v>
      </c>
      <c r="AN122" s="136">
        <v>-8.3392388990699354E-3</v>
      </c>
      <c r="AO122" s="136">
        <v>6.002425839473625E-6</v>
      </c>
    </row>
    <row r="123" spans="1:41">
      <c r="A123" t="s">
        <v>1213</v>
      </c>
      <c r="B123" t="s">
        <v>1233</v>
      </c>
      <c r="C123" t="s">
        <v>1017</v>
      </c>
      <c r="D123" s="134">
        <v>154827</v>
      </c>
      <c r="E123" t="s">
        <v>1216</v>
      </c>
      <c r="F123" t="s">
        <v>5351</v>
      </c>
      <c r="G123" s="138">
        <v>-980000</v>
      </c>
      <c r="H123" s="138">
        <v>-980</v>
      </c>
      <c r="I123" s="136">
        <v>11.473226096845194</v>
      </c>
      <c r="J123" s="136">
        <v>-9.7869650017730722E-2</v>
      </c>
      <c r="K123" t="s">
        <v>5218</v>
      </c>
      <c r="L123" t="s">
        <v>1212</v>
      </c>
      <c r="M123" t="s">
        <v>5308</v>
      </c>
      <c r="N123" s="138">
        <v>-3675000</v>
      </c>
      <c r="O123" s="138">
        <v>-3675</v>
      </c>
      <c r="P123" s="136">
        <v>11.445756281768947</v>
      </c>
      <c r="Q123" s="136">
        <v>-9.7635325237161535E-2</v>
      </c>
      <c r="R123" s="138">
        <v>41.730499999999999</v>
      </c>
      <c r="S123" t="s">
        <v>204</v>
      </c>
      <c r="T123" t="s">
        <v>204</v>
      </c>
      <c r="U123" t="s">
        <v>746</v>
      </c>
      <c r="V123" s="139" t="s">
        <v>314</v>
      </c>
      <c r="W123" s="153" t="s">
        <v>928</v>
      </c>
      <c r="X123" t="s">
        <v>5176</v>
      </c>
      <c r="Y123" t="s">
        <v>339</v>
      </c>
      <c r="Z123" t="s">
        <v>4942</v>
      </c>
      <c r="AA123" t="s">
        <v>5187</v>
      </c>
      <c r="AB123" s="139" t="s">
        <v>896</v>
      </c>
      <c r="AC123" t="s">
        <v>897</v>
      </c>
      <c r="AD123" s="142" t="s">
        <v>339</v>
      </c>
      <c r="AE123" s="167" t="s">
        <v>912</v>
      </c>
      <c r="AF123" t="s">
        <v>896</v>
      </c>
      <c r="AG123" s="153" t="s">
        <v>896</v>
      </c>
      <c r="AH123" s="159" t="s">
        <v>896</v>
      </c>
      <c r="AI123" s="135">
        <v>3759</v>
      </c>
      <c r="AJ123" s="143">
        <v>3.75</v>
      </c>
      <c r="AK123" s="137" t="s">
        <v>339</v>
      </c>
      <c r="AL123" s="159" t="s">
        <v>5356</v>
      </c>
      <c r="AM123" s="153" t="s">
        <v>5357</v>
      </c>
      <c r="AN123" s="136">
        <v>-1.2996914246196783E-2</v>
      </c>
      <c r="AO123" s="136">
        <v>1.1086711251471824E-4</v>
      </c>
    </row>
    <row r="124" spans="1:41">
      <c r="A124" t="s">
        <v>1213</v>
      </c>
      <c r="B124" t="s">
        <v>1230</v>
      </c>
      <c r="C124" t="s">
        <v>1017</v>
      </c>
      <c r="D124" s="134">
        <v>154830</v>
      </c>
      <c r="E124" t="s">
        <v>1216</v>
      </c>
      <c r="F124" t="s">
        <v>5352</v>
      </c>
      <c r="G124" s="138">
        <v>-2250000</v>
      </c>
      <c r="H124" s="138">
        <v>-2250</v>
      </c>
      <c r="I124" s="136">
        <v>42.039633848992402</v>
      </c>
      <c r="J124" s="136">
        <v>-3.0259330323939414E-2</v>
      </c>
      <c r="K124" t="s">
        <v>5175</v>
      </c>
      <c r="L124" t="s">
        <v>1212</v>
      </c>
      <c r="M124" t="s">
        <v>5308</v>
      </c>
      <c r="N124" s="138">
        <v>-8460000</v>
      </c>
      <c r="O124" s="138">
        <v>-8460</v>
      </c>
      <c r="P124" s="136">
        <v>41.894784858789144</v>
      </c>
      <c r="Q124" s="136">
        <v>-3.0155070770742694E-2</v>
      </c>
      <c r="R124" s="138">
        <v>138.96600000000001</v>
      </c>
      <c r="S124" t="s">
        <v>204</v>
      </c>
      <c r="T124" t="s">
        <v>204</v>
      </c>
      <c r="U124" t="s">
        <v>746</v>
      </c>
      <c r="V124" s="139" t="s">
        <v>314</v>
      </c>
      <c r="W124" s="153" t="s">
        <v>928</v>
      </c>
      <c r="X124" t="s">
        <v>5176</v>
      </c>
      <c r="Y124" t="s">
        <v>339</v>
      </c>
      <c r="Z124" t="s">
        <v>5177</v>
      </c>
      <c r="AA124" t="s">
        <v>5178</v>
      </c>
      <c r="AB124" s="139" t="s">
        <v>896</v>
      </c>
      <c r="AC124" t="s">
        <v>897</v>
      </c>
      <c r="AD124" s="142" t="s">
        <v>339</v>
      </c>
      <c r="AE124" s="167" t="s">
        <v>912</v>
      </c>
      <c r="AF124" t="s">
        <v>896</v>
      </c>
      <c r="AG124" s="153" t="s">
        <v>896</v>
      </c>
      <c r="AH124" s="159" t="s">
        <v>896</v>
      </c>
      <c r="AI124" s="135">
        <v>3773</v>
      </c>
      <c r="AJ124" s="143">
        <v>3.76</v>
      </c>
      <c r="AK124" s="137" t="s">
        <v>339</v>
      </c>
      <c r="AL124" s="159" t="s">
        <v>5356</v>
      </c>
      <c r="AM124" s="153" t="s">
        <v>5357</v>
      </c>
      <c r="AN124" s="136">
        <v>-6.8817384453397093E-2</v>
      </c>
      <c r="AO124" s="136">
        <v>4.9533446834594284E-5</v>
      </c>
    </row>
    <row r="125" spans="1:41">
      <c r="A125" t="s">
        <v>1213</v>
      </c>
      <c r="B125" t="s">
        <v>1225</v>
      </c>
      <c r="C125" t="s">
        <v>1017</v>
      </c>
      <c r="D125" s="134">
        <v>154830</v>
      </c>
      <c r="E125" t="s">
        <v>1216</v>
      </c>
      <c r="F125" t="s">
        <v>5352</v>
      </c>
      <c r="G125" s="138">
        <v>-7500000</v>
      </c>
      <c r="H125" s="138">
        <v>-7500</v>
      </c>
      <c r="I125" s="136">
        <v>2619.0124575212444</v>
      </c>
      <c r="J125" s="136">
        <v>-0.43324346991805468</v>
      </c>
      <c r="K125" t="s">
        <v>5175</v>
      </c>
      <c r="L125" t="s">
        <v>1212</v>
      </c>
      <c r="M125" t="s">
        <v>5308</v>
      </c>
      <c r="N125" s="138">
        <v>-28200000</v>
      </c>
      <c r="O125" s="138">
        <v>-28200</v>
      </c>
      <c r="P125" s="136">
        <v>2609.9885609011076</v>
      </c>
      <c r="Q125" s="136">
        <v>-0.43175071478714167</v>
      </c>
      <c r="R125" s="138">
        <v>463.22</v>
      </c>
      <c r="S125" t="s">
        <v>204</v>
      </c>
      <c r="T125" t="s">
        <v>204</v>
      </c>
      <c r="U125" t="s">
        <v>746</v>
      </c>
      <c r="V125" s="139" t="s">
        <v>314</v>
      </c>
      <c r="W125" s="153" t="s">
        <v>928</v>
      </c>
      <c r="X125" t="s">
        <v>5176</v>
      </c>
      <c r="Y125" t="s">
        <v>339</v>
      </c>
      <c r="Z125" t="s">
        <v>5177</v>
      </c>
      <c r="AA125" t="s">
        <v>5178</v>
      </c>
      <c r="AB125" s="139" t="s">
        <v>896</v>
      </c>
      <c r="AC125" t="s">
        <v>897</v>
      </c>
      <c r="AD125" s="142" t="s">
        <v>339</v>
      </c>
      <c r="AE125" s="167" t="s">
        <v>912</v>
      </c>
      <c r="AF125" t="s">
        <v>896</v>
      </c>
      <c r="AG125" s="153" t="s">
        <v>896</v>
      </c>
      <c r="AH125" s="159" t="s">
        <v>896</v>
      </c>
      <c r="AI125" s="135">
        <v>3773</v>
      </c>
      <c r="AJ125" s="143">
        <v>3.76</v>
      </c>
      <c r="AK125" s="137" t="s">
        <v>339</v>
      </c>
      <c r="AL125" s="159" t="s">
        <v>5356</v>
      </c>
      <c r="AM125" s="153" t="s">
        <v>5357</v>
      </c>
      <c r="AN125" s="136">
        <v>-4.2872301843750806</v>
      </c>
      <c r="AO125" s="136">
        <v>7.0920414146255148E-4</v>
      </c>
    </row>
    <row r="126" spans="1:41">
      <c r="A126" t="s">
        <v>1213</v>
      </c>
      <c r="B126">
        <v>15108</v>
      </c>
      <c r="C126" t="s">
        <v>1017</v>
      </c>
      <c r="D126" s="134">
        <v>154831</v>
      </c>
      <c r="E126" t="s">
        <v>1216</v>
      </c>
      <c r="F126" t="s">
        <v>5353</v>
      </c>
      <c r="G126" s="138">
        <v>8000000</v>
      </c>
      <c r="H126" s="138">
        <v>8000</v>
      </c>
      <c r="I126" s="136">
        <v>-208.18429799046473</v>
      </c>
      <c r="J126" s="136">
        <v>0.50945072355669307</v>
      </c>
      <c r="K126" t="s">
        <v>5248</v>
      </c>
      <c r="L126" t="s">
        <v>1212</v>
      </c>
      <c r="M126" t="s">
        <v>5308</v>
      </c>
      <c r="N126" s="138">
        <v>-29792800</v>
      </c>
      <c r="O126" s="138">
        <v>-29792.799999999999</v>
      </c>
      <c r="P126" s="136">
        <v>206.30631829331818</v>
      </c>
      <c r="Q126" s="136">
        <v>-0.50485509302753606</v>
      </c>
      <c r="R126" s="138">
        <v>-195.3622</v>
      </c>
      <c r="S126" t="s">
        <v>204</v>
      </c>
      <c r="T126" t="s">
        <v>204</v>
      </c>
      <c r="U126" t="s">
        <v>746</v>
      </c>
      <c r="V126" s="139" t="s">
        <v>314</v>
      </c>
      <c r="W126" s="153" t="s">
        <v>928</v>
      </c>
      <c r="X126" t="s">
        <v>5176</v>
      </c>
      <c r="Y126" t="s">
        <v>339</v>
      </c>
      <c r="Z126" t="s">
        <v>5054</v>
      </c>
      <c r="AA126" t="s">
        <v>2484</v>
      </c>
      <c r="AB126" s="139" t="s">
        <v>896</v>
      </c>
      <c r="AC126" t="s">
        <v>897</v>
      </c>
      <c r="AD126" s="142" t="s">
        <v>339</v>
      </c>
      <c r="AE126" s="167" t="s">
        <v>912</v>
      </c>
      <c r="AF126" t="s">
        <v>896</v>
      </c>
      <c r="AG126" s="153" t="s">
        <v>896</v>
      </c>
      <c r="AH126" s="159" t="s">
        <v>896</v>
      </c>
      <c r="AI126" s="135">
        <v>3758</v>
      </c>
      <c r="AJ126" s="143">
        <v>3.7241</v>
      </c>
      <c r="AK126" s="137" t="s">
        <v>339</v>
      </c>
      <c r="AL126" s="159" t="s">
        <v>5356</v>
      </c>
      <c r="AM126" s="153" t="s">
        <v>5357</v>
      </c>
      <c r="AN126" s="136">
        <v>0.13528253203543616</v>
      </c>
      <c r="AO126" s="136">
        <v>-3.3105178678360811E-4</v>
      </c>
    </row>
    <row r="127" spans="1:41">
      <c r="A127" t="s">
        <v>1213</v>
      </c>
      <c r="B127" t="s">
        <v>1233</v>
      </c>
      <c r="C127" t="s">
        <v>1017</v>
      </c>
      <c r="D127" s="134">
        <v>154832</v>
      </c>
      <c r="E127" t="s">
        <v>1216</v>
      </c>
      <c r="F127" t="s">
        <v>5354</v>
      </c>
      <c r="G127" s="138">
        <v>-1500000</v>
      </c>
      <c r="H127" s="138">
        <v>-1500</v>
      </c>
      <c r="I127" s="136">
        <v>17.332145226678691</v>
      </c>
      <c r="J127" s="136">
        <v>-0.14784777821627318</v>
      </c>
      <c r="K127" t="s">
        <v>5224</v>
      </c>
      <c r="L127" t="s">
        <v>1212</v>
      </c>
      <c r="M127" t="s">
        <v>5308</v>
      </c>
      <c r="N127" s="138">
        <v>-5550000</v>
      </c>
      <c r="O127" s="138">
        <v>-5550</v>
      </c>
      <c r="P127" s="136">
        <v>17.285427854100043</v>
      </c>
      <c r="Q127" s="136">
        <v>-0.14744926668469294</v>
      </c>
      <c r="R127" s="138">
        <v>-10.8171</v>
      </c>
      <c r="S127" t="s">
        <v>204</v>
      </c>
      <c r="T127" t="s">
        <v>204</v>
      </c>
      <c r="U127" t="s">
        <v>746</v>
      </c>
      <c r="V127" s="139" t="s">
        <v>314</v>
      </c>
      <c r="W127" s="153" t="s">
        <v>928</v>
      </c>
      <c r="X127" t="s">
        <v>5176</v>
      </c>
      <c r="Y127" t="s">
        <v>339</v>
      </c>
      <c r="Z127" t="s">
        <v>4723</v>
      </c>
      <c r="AA127" t="s">
        <v>5187</v>
      </c>
      <c r="AB127" s="139" t="s">
        <v>896</v>
      </c>
      <c r="AC127" t="s">
        <v>897</v>
      </c>
      <c r="AD127" s="142" t="s">
        <v>339</v>
      </c>
      <c r="AE127" s="167" t="s">
        <v>912</v>
      </c>
      <c r="AF127" t="s">
        <v>896</v>
      </c>
      <c r="AG127" s="153" t="s">
        <v>896</v>
      </c>
      <c r="AH127" s="159" t="s">
        <v>896</v>
      </c>
      <c r="AI127" s="135">
        <v>3710</v>
      </c>
      <c r="AJ127" s="143">
        <v>3.7</v>
      </c>
      <c r="AK127" s="137" t="s">
        <v>339</v>
      </c>
      <c r="AL127" s="159" t="s">
        <v>5356</v>
      </c>
      <c r="AM127" s="153" t="s">
        <v>5357</v>
      </c>
      <c r="AN127" s="136">
        <v>3.3689849484370938E-3</v>
      </c>
      <c r="AO127" s="136">
        <v>-2.8738331750404954E-5</v>
      </c>
    </row>
  </sheetData>
  <autoFilter ref="A1:AO144"/>
  <dataValidations count="14">
    <dataValidation type="list" allowBlank="1" showInputMessage="1" showErrorMessage="1" sqref="U2:U127">
      <formula1>Underlying_Asset</formula1>
    </dataValidation>
    <dataValidation type="list" allowBlank="1" showInputMessage="1" showErrorMessage="1" sqref="AB2:AB1048576 AG2:AG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215 AD2:AD1048576 Y2:Y20 AL128:AL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127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127">
      <formula1>Additional_Factor</formula1>
    </dataValidation>
    <dataValidation allowBlank="1" showInputMessage="1" showErrorMessage="1" sqref="Z2:Z19 P2:Q19 M2:M19 I2:K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127">
      <formula1>Penalty</formula1>
    </dataValidation>
    <dataValidation type="list" allowBlank="1" showInputMessage="1" showErrorMessage="1" sqref="C22:C76">
      <formula1>$C$834:$C$841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>
          <x14:formula1>
            <xm:f>'[520042177_in_0324 חוזים.xlsx]אפשרויות בחירה'!#REF!</xm:f>
          </x14:formula1>
          <xm:sqref>C2:C20</xm:sqref>
        </x14:dataValidation>
        <x14:dataValidation type="list" allowBlank="1" showInputMessage="1" showErrorMessage="1">
          <x14:formula1>
            <xm:f>'[520042177_in_0224 21.07.2024.xlsx]אפשרויות בחירה'!#REF!</xm:f>
          </x14:formula1>
          <xm:sqref>AE2:AE127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 filterMode="1"/>
  <dimension ref="A1:BA62"/>
  <sheetViews>
    <sheetView rightToLeft="1" workbookViewId="0">
      <selection activeCell="G80" sqref="G80"/>
    </sheetView>
  </sheetViews>
  <sheetFormatPr defaultColWidth="9" defaultRowHeight="14.25"/>
  <cols>
    <col min="1" max="4" width="11.625" style="2" customWidth="1"/>
    <col min="5" max="5" width="39" style="2" bestFit="1" customWidth="1"/>
    <col min="6" max="7" width="11.625" style="2" customWidth="1"/>
    <col min="8" max="8" width="38.25" style="2" bestFit="1" customWidth="1"/>
    <col min="9" max="27" width="11.625" style="2" customWidth="1"/>
    <col min="28" max="28" width="11.625" style="4"/>
    <col min="29" max="29" width="17.5" style="2" bestFit="1" customWidth="1"/>
    <col min="30" max="30" width="16" style="2" bestFit="1" customWidth="1"/>
    <col min="31" max="49" width="11.625" style="2" customWidth="1"/>
    <col min="50" max="50" width="11.625" style="4" customWidth="1"/>
    <col min="51" max="53" width="11.625" style="2" customWidth="1"/>
    <col min="54" max="16384" width="9" style="2"/>
  </cols>
  <sheetData>
    <row r="1" spans="1:53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54</v>
      </c>
      <c r="H1" s="17" t="s">
        <v>154</v>
      </c>
      <c r="I1" s="17" t="s">
        <v>55</v>
      </c>
      <c r="J1" s="17" t="s">
        <v>69</v>
      </c>
      <c r="K1" s="17" t="s">
        <v>83</v>
      </c>
      <c r="L1" s="17" t="s">
        <v>56</v>
      </c>
      <c r="M1" s="17" t="s">
        <v>155</v>
      </c>
      <c r="N1" s="17" t="s">
        <v>156</v>
      </c>
      <c r="O1" s="17" t="s">
        <v>157</v>
      </c>
      <c r="P1" s="17" t="s">
        <v>71</v>
      </c>
      <c r="Q1" s="17" t="s">
        <v>58</v>
      </c>
      <c r="R1" s="17" t="s">
        <v>158</v>
      </c>
      <c r="S1" s="17" t="s">
        <v>59</v>
      </c>
      <c r="T1" s="17" t="s">
        <v>72</v>
      </c>
      <c r="U1" s="17" t="s">
        <v>159</v>
      </c>
      <c r="V1" s="17" t="s">
        <v>62</v>
      </c>
      <c r="W1" s="17" t="s">
        <v>98</v>
      </c>
      <c r="X1" s="17" t="s">
        <v>85</v>
      </c>
      <c r="Y1" s="17" t="s">
        <v>160</v>
      </c>
      <c r="Z1" s="17" t="s">
        <v>74</v>
      </c>
      <c r="AA1" s="17" t="s">
        <v>73</v>
      </c>
      <c r="AB1" s="17" t="s">
        <v>86</v>
      </c>
      <c r="AC1" s="17" t="s">
        <v>161</v>
      </c>
      <c r="AD1" s="17" t="s">
        <v>162</v>
      </c>
      <c r="AE1" s="17" t="s">
        <v>163</v>
      </c>
      <c r="AF1" s="17" t="s">
        <v>164</v>
      </c>
      <c r="AG1" s="17" t="s">
        <v>165</v>
      </c>
      <c r="AH1" s="17" t="s">
        <v>166</v>
      </c>
      <c r="AI1" s="17" t="s">
        <v>167</v>
      </c>
      <c r="AJ1" s="17" t="s">
        <v>168</v>
      </c>
      <c r="AK1" s="17" t="s">
        <v>103</v>
      </c>
      <c r="AL1" s="17" t="s">
        <v>105</v>
      </c>
      <c r="AM1" s="17" t="s">
        <v>104</v>
      </c>
      <c r="AN1" s="17" t="s">
        <v>106</v>
      </c>
      <c r="AO1" s="17" t="s">
        <v>107</v>
      </c>
      <c r="AP1" s="17" t="s">
        <v>169</v>
      </c>
      <c r="AQ1" s="17" t="s">
        <v>170</v>
      </c>
      <c r="AR1" s="17" t="s">
        <v>171</v>
      </c>
      <c r="AS1" s="17" t="s">
        <v>61</v>
      </c>
      <c r="AT1" s="17" t="s">
        <v>63</v>
      </c>
      <c r="AU1" s="17" t="s">
        <v>172</v>
      </c>
      <c r="AV1" s="17" t="s">
        <v>78</v>
      </c>
      <c r="AW1" s="17" t="s">
        <v>88</v>
      </c>
      <c r="AX1" s="17" t="s">
        <v>87</v>
      </c>
      <c r="AY1" s="17" t="s">
        <v>17</v>
      </c>
      <c r="AZ1" s="17" t="s">
        <v>64</v>
      </c>
      <c r="BA1" s="17" t="s">
        <v>65</v>
      </c>
    </row>
    <row r="2" spans="1:53" hidden="1">
      <c r="A2" t="s">
        <v>1213</v>
      </c>
      <c r="B2" t="s">
        <v>1214</v>
      </c>
      <c r="C2" s="109"/>
      <c r="D2" s="109"/>
      <c r="E2" t="s">
        <v>5358</v>
      </c>
      <c r="F2" t="s">
        <v>5254</v>
      </c>
      <c r="G2" t="s">
        <v>1011</v>
      </c>
      <c r="H2" s="108"/>
      <c r="I2" t="s">
        <v>204</v>
      </c>
      <c r="J2" t="s">
        <v>204</v>
      </c>
      <c r="K2" t="s">
        <v>442</v>
      </c>
      <c r="L2" t="s">
        <v>339</v>
      </c>
      <c r="M2" t="s">
        <v>339</v>
      </c>
      <c r="N2" s="109"/>
      <c r="O2"/>
      <c r="P2" t="s">
        <v>1324</v>
      </c>
      <c r="Q2" t="s">
        <v>312</v>
      </c>
      <c r="R2" t="s">
        <v>407</v>
      </c>
      <c r="S2" t="s">
        <v>1212</v>
      </c>
      <c r="T2" s="131">
        <v>3.4119999999999999</v>
      </c>
      <c r="U2" t="s">
        <v>314</v>
      </c>
      <c r="V2" t="s">
        <v>1871</v>
      </c>
      <c r="W2" t="s">
        <v>753</v>
      </c>
      <c r="X2" s="109"/>
      <c r="Y2" s="109"/>
      <c r="Z2" s="109"/>
      <c r="AA2"/>
      <c r="AB2" s="16"/>
      <c r="AC2" t="s">
        <v>761</v>
      </c>
      <c r="AD2" s="131">
        <f>AT2</f>
        <v>352.36200000000002</v>
      </c>
      <c r="AE2" s="132">
        <v>1</v>
      </c>
      <c r="AF2"/>
      <c r="AG2" s="109"/>
      <c r="AH2" s="109"/>
      <c r="AI2" s="108"/>
      <c r="AJ2" s="108"/>
      <c r="AK2" t="s">
        <v>886</v>
      </c>
      <c r="AL2" t="s">
        <v>4722</v>
      </c>
      <c r="AM2" t="s">
        <v>889</v>
      </c>
      <c r="AN2" t="s">
        <v>4723</v>
      </c>
      <c r="AO2" s="161">
        <v>45565</v>
      </c>
      <c r="AP2" s="108"/>
      <c r="AQ2" s="131">
        <v>315964.174</v>
      </c>
      <c r="AR2" s="131">
        <v>111.52</v>
      </c>
      <c r="AS2" s="131">
        <v>1</v>
      </c>
      <c r="AT2" s="131">
        <v>352.36200000000002</v>
      </c>
      <c r="AU2" s="131">
        <v>352362.16</v>
      </c>
      <c r="AV2" s="109"/>
      <c r="AW2" s="109"/>
      <c r="AX2" s="16"/>
      <c r="AY2" s="109" t="s">
        <v>15</v>
      </c>
      <c r="AZ2" s="132">
        <v>1</v>
      </c>
      <c r="BA2" s="132">
        <v>3.31E-3</v>
      </c>
    </row>
    <row r="3" spans="1:53" hidden="1">
      <c r="A3" t="s">
        <v>1213</v>
      </c>
      <c r="B3" t="s">
        <v>1217</v>
      </c>
      <c r="C3" s="109"/>
      <c r="D3" s="109"/>
      <c r="E3" t="s">
        <v>5358</v>
      </c>
      <c r="F3" t="s">
        <v>5255</v>
      </c>
      <c r="G3" t="s">
        <v>1011</v>
      </c>
      <c r="H3" s="108"/>
      <c r="I3" t="s">
        <v>204</v>
      </c>
      <c r="J3" t="s">
        <v>204</v>
      </c>
      <c r="K3" t="s">
        <v>442</v>
      </c>
      <c r="L3" t="s">
        <v>339</v>
      </c>
      <c r="M3" t="s">
        <v>339</v>
      </c>
      <c r="N3" s="109"/>
      <c r="O3"/>
      <c r="P3" t="s">
        <v>1324</v>
      </c>
      <c r="Q3" t="s">
        <v>312</v>
      </c>
      <c r="R3" t="s">
        <v>407</v>
      </c>
      <c r="S3" t="s">
        <v>1212</v>
      </c>
      <c r="T3" s="131">
        <v>3.1779999999999999</v>
      </c>
      <c r="U3" t="s">
        <v>314</v>
      </c>
      <c r="V3" t="s">
        <v>1871</v>
      </c>
      <c r="W3" t="s">
        <v>753</v>
      </c>
      <c r="X3" s="109"/>
      <c r="Y3" s="109"/>
      <c r="Z3" s="109"/>
      <c r="AA3"/>
      <c r="AB3" s="16"/>
      <c r="AC3" t="s">
        <v>761</v>
      </c>
      <c r="AD3" s="131">
        <f t="shared" ref="AD3:AD50" si="0">AT3</f>
        <v>24962.749</v>
      </c>
      <c r="AE3" s="132">
        <v>1</v>
      </c>
      <c r="AF3"/>
      <c r="AG3" s="109"/>
      <c r="AH3" s="109"/>
      <c r="AI3" s="108"/>
      <c r="AJ3" s="108"/>
      <c r="AK3" t="s">
        <v>886</v>
      </c>
      <c r="AL3" t="s">
        <v>4722</v>
      </c>
      <c r="AM3" t="s">
        <v>889</v>
      </c>
      <c r="AN3" t="s">
        <v>4723</v>
      </c>
      <c r="AO3" s="161">
        <v>45565</v>
      </c>
      <c r="AP3" s="108"/>
      <c r="AQ3" s="131">
        <v>19116229.892999999</v>
      </c>
      <c r="AR3" s="131">
        <f>AT3*1000/AQ3*100</f>
        <v>130.58405940776476</v>
      </c>
      <c r="AS3" s="131">
        <v>1</v>
      </c>
      <c r="AT3" s="131">
        <v>24962.749</v>
      </c>
      <c r="AU3" s="131">
        <v>24962749.07</v>
      </c>
      <c r="AV3" s="109"/>
      <c r="AW3" s="109"/>
      <c r="AX3" s="16"/>
      <c r="AY3" s="109" t="s">
        <v>15</v>
      </c>
      <c r="AZ3" s="132">
        <v>1</v>
      </c>
      <c r="BA3" s="132">
        <v>2.3089999999999999E-2</v>
      </c>
    </row>
    <row r="4" spans="1:53" hidden="1">
      <c r="A4" t="s">
        <v>1213</v>
      </c>
      <c r="B4" t="s">
        <v>1224</v>
      </c>
      <c r="C4" s="109"/>
      <c r="D4" s="109"/>
      <c r="E4" t="s">
        <v>5358</v>
      </c>
      <c r="F4" t="s">
        <v>5256</v>
      </c>
      <c r="G4" t="s">
        <v>1011</v>
      </c>
      <c r="H4" s="108"/>
      <c r="I4" t="s">
        <v>204</v>
      </c>
      <c r="J4" t="s">
        <v>204</v>
      </c>
      <c r="K4" t="s">
        <v>442</v>
      </c>
      <c r="L4" t="s">
        <v>339</v>
      </c>
      <c r="M4" t="s">
        <v>339</v>
      </c>
      <c r="N4" s="109"/>
      <c r="O4"/>
      <c r="P4" t="s">
        <v>1324</v>
      </c>
      <c r="Q4" t="s">
        <v>312</v>
      </c>
      <c r="R4" t="s">
        <v>407</v>
      </c>
      <c r="S4" t="s">
        <v>1212</v>
      </c>
      <c r="T4" s="131">
        <v>2.66</v>
      </c>
      <c r="U4" t="s">
        <v>314</v>
      </c>
      <c r="V4" t="s">
        <v>1871</v>
      </c>
      <c r="W4" t="s">
        <v>753</v>
      </c>
      <c r="X4" s="109"/>
      <c r="Y4" s="109"/>
      <c r="Z4" s="109"/>
      <c r="AA4"/>
      <c r="AB4" s="16"/>
      <c r="AC4" t="s">
        <v>761</v>
      </c>
      <c r="AD4" s="131">
        <f t="shared" si="0"/>
        <v>3116.7350000000001</v>
      </c>
      <c r="AE4" s="132">
        <v>1</v>
      </c>
      <c r="AF4"/>
      <c r="AG4" s="109"/>
      <c r="AH4" s="109"/>
      <c r="AI4" s="108"/>
      <c r="AJ4" s="108"/>
      <c r="AK4" t="s">
        <v>886</v>
      </c>
      <c r="AL4" t="s">
        <v>4722</v>
      </c>
      <c r="AM4" t="s">
        <v>889</v>
      </c>
      <c r="AN4" t="s">
        <v>4723</v>
      </c>
      <c r="AO4" s="161">
        <v>45565</v>
      </c>
      <c r="AP4" s="108"/>
      <c r="AQ4" s="131">
        <v>2659917.7510000002</v>
      </c>
      <c r="AR4" s="131">
        <v>117.17400000000001</v>
      </c>
      <c r="AS4" s="131">
        <v>1</v>
      </c>
      <c r="AT4" s="131">
        <v>3116.7350000000001</v>
      </c>
      <c r="AU4" s="131">
        <v>3116735.41</v>
      </c>
      <c r="AV4" s="109"/>
      <c r="AW4" s="109"/>
      <c r="AX4" s="16"/>
      <c r="AY4" s="109" t="s">
        <v>15</v>
      </c>
      <c r="AZ4" s="132">
        <v>1</v>
      </c>
      <c r="BA4" s="132">
        <v>8.3599999999999994E-3</v>
      </c>
    </row>
    <row r="5" spans="1:53" hidden="1">
      <c r="A5" t="s">
        <v>1213</v>
      </c>
      <c r="B5" t="s">
        <v>1230</v>
      </c>
      <c r="C5" s="109"/>
      <c r="D5" s="109"/>
      <c r="E5" t="s">
        <v>5358</v>
      </c>
      <c r="F5" t="s">
        <v>5257</v>
      </c>
      <c r="G5" t="s">
        <v>1011</v>
      </c>
      <c r="H5" s="108"/>
      <c r="I5" t="s">
        <v>204</v>
      </c>
      <c r="J5" t="s">
        <v>204</v>
      </c>
      <c r="K5" t="s">
        <v>442</v>
      </c>
      <c r="L5" t="s">
        <v>339</v>
      </c>
      <c r="M5" t="s">
        <v>339</v>
      </c>
      <c r="N5" s="109"/>
      <c r="O5"/>
      <c r="P5" t="s">
        <v>1324</v>
      </c>
      <c r="Q5" t="s">
        <v>312</v>
      </c>
      <c r="R5" t="s">
        <v>407</v>
      </c>
      <c r="S5" t="s">
        <v>1212</v>
      </c>
      <c r="T5" s="131">
        <v>2.8730000000000002</v>
      </c>
      <c r="U5" t="s">
        <v>314</v>
      </c>
      <c r="V5" t="s">
        <v>1871</v>
      </c>
      <c r="W5" t="s">
        <v>753</v>
      </c>
      <c r="X5" s="109"/>
      <c r="Y5" s="109"/>
      <c r="Z5" s="109"/>
      <c r="AA5"/>
      <c r="AB5" s="16"/>
      <c r="AC5" t="s">
        <v>761</v>
      </c>
      <c r="AD5" s="131">
        <f t="shared" si="0"/>
        <v>71838.459000000003</v>
      </c>
      <c r="AE5" s="132">
        <v>1</v>
      </c>
      <c r="AF5"/>
      <c r="AG5" s="109"/>
      <c r="AH5" s="109"/>
      <c r="AI5" s="108"/>
      <c r="AJ5" s="108"/>
      <c r="AK5" t="s">
        <v>886</v>
      </c>
      <c r="AL5" t="s">
        <v>4722</v>
      </c>
      <c r="AM5" t="s">
        <v>889</v>
      </c>
      <c r="AN5" t="s">
        <v>4723</v>
      </c>
      <c r="AO5" s="161">
        <v>45565</v>
      </c>
      <c r="AP5" s="108"/>
      <c r="AQ5" s="131">
        <v>58342037.329000004</v>
      </c>
      <c r="AR5" s="131">
        <f>AT5*1000/AQ5*100</f>
        <v>123.13327111785885</v>
      </c>
      <c r="AS5" s="131">
        <v>1</v>
      </c>
      <c r="AT5" s="131">
        <v>71838.459000000003</v>
      </c>
      <c r="AU5" s="131">
        <v>71838459.099999994</v>
      </c>
      <c r="AV5" s="109"/>
      <c r="AW5" s="109"/>
      <c r="AX5" s="16"/>
      <c r="AY5" s="109" t="s">
        <v>15</v>
      </c>
      <c r="AZ5" s="132">
        <v>1</v>
      </c>
      <c r="BA5" s="132">
        <v>2.562E-2</v>
      </c>
    </row>
    <row r="6" spans="1:53" hidden="1">
      <c r="A6" t="s">
        <v>1213</v>
      </c>
      <c r="B6" t="s">
        <v>1233</v>
      </c>
      <c r="C6" t="s">
        <v>2397</v>
      </c>
      <c r="D6" t="s">
        <v>309</v>
      </c>
      <c r="E6" t="s">
        <v>5258</v>
      </c>
      <c r="F6" t="s">
        <v>5259</v>
      </c>
      <c r="G6" t="s">
        <v>1012</v>
      </c>
      <c r="H6" s="108"/>
      <c r="I6" t="s">
        <v>204</v>
      </c>
      <c r="J6" t="s">
        <v>204</v>
      </c>
      <c r="K6" t="s">
        <v>451</v>
      </c>
      <c r="L6" t="s">
        <v>339</v>
      </c>
      <c r="M6" t="s">
        <v>338</v>
      </c>
      <c r="N6" s="109"/>
      <c r="O6" t="s">
        <v>5234</v>
      </c>
      <c r="P6" t="s">
        <v>1566</v>
      </c>
      <c r="Q6" t="s">
        <v>413</v>
      </c>
      <c r="R6" t="s">
        <v>407</v>
      </c>
      <c r="S6" t="s">
        <v>1212</v>
      </c>
      <c r="T6" s="175">
        <v>2.42</v>
      </c>
      <c r="U6" t="s">
        <v>5260</v>
      </c>
      <c r="V6" s="132">
        <v>7.9500000000000001E-2</v>
      </c>
      <c r="W6" t="s">
        <v>753</v>
      </c>
      <c r="X6" t="s">
        <v>896</v>
      </c>
      <c r="Y6" s="109"/>
      <c r="Z6" s="136">
        <v>8.09E-2</v>
      </c>
      <c r="AA6" t="s">
        <v>5261</v>
      </c>
      <c r="AB6" t="s">
        <v>412</v>
      </c>
      <c r="AC6" s="109"/>
      <c r="AD6" s="131">
        <f t="shared" si="0"/>
        <v>868.23299999999995</v>
      </c>
      <c r="AE6" s="132">
        <v>1</v>
      </c>
      <c r="AF6" s="109"/>
      <c r="AG6" t="s">
        <v>338</v>
      </c>
      <c r="AH6" t="s">
        <v>781</v>
      </c>
      <c r="AI6" t="s">
        <v>5262</v>
      </c>
      <c r="AJ6" t="s">
        <v>338</v>
      </c>
      <c r="AK6" t="s">
        <v>886</v>
      </c>
      <c r="AL6" t="s">
        <v>4722</v>
      </c>
      <c r="AM6" t="s">
        <v>889</v>
      </c>
      <c r="AN6" t="s">
        <v>4723</v>
      </c>
      <c r="AO6" s="161">
        <v>45565</v>
      </c>
      <c r="AP6" s="108"/>
      <c r="AQ6" s="131">
        <v>866327</v>
      </c>
      <c r="AR6" s="131">
        <v>100.22</v>
      </c>
      <c r="AS6" s="131">
        <v>1</v>
      </c>
      <c r="AT6" s="131">
        <v>868.23299999999995</v>
      </c>
      <c r="AU6" s="131">
        <v>868232.91899999999</v>
      </c>
      <c r="AV6" s="109"/>
      <c r="AW6" s="109"/>
      <c r="AX6" t="s">
        <v>339</v>
      </c>
      <c r="AY6" s="109" t="s">
        <v>15</v>
      </c>
      <c r="AZ6" s="132">
        <v>1</v>
      </c>
      <c r="BA6" s="132">
        <v>2.31E-3</v>
      </c>
    </row>
    <row r="7" spans="1:53">
      <c r="A7" t="s">
        <v>1213</v>
      </c>
      <c r="B7" t="s">
        <v>1238</v>
      </c>
      <c r="C7" t="s">
        <v>1635</v>
      </c>
      <c r="D7" t="s">
        <v>309</v>
      </c>
      <c r="E7" t="s">
        <v>5263</v>
      </c>
      <c r="F7" t="s">
        <v>5264</v>
      </c>
      <c r="G7" t="s">
        <v>1012</v>
      </c>
      <c r="H7" s="108"/>
      <c r="I7" t="s">
        <v>204</v>
      </c>
      <c r="J7" t="s">
        <v>204</v>
      </c>
      <c r="K7" t="s">
        <v>454</v>
      </c>
      <c r="L7" t="s">
        <v>339</v>
      </c>
      <c r="M7" t="s">
        <v>338</v>
      </c>
      <c r="N7" t="s">
        <v>1208</v>
      </c>
      <c r="O7" t="s">
        <v>5265</v>
      </c>
      <c r="P7" t="s">
        <v>1554</v>
      </c>
      <c r="Q7" t="s">
        <v>413</v>
      </c>
      <c r="R7" t="s">
        <v>407</v>
      </c>
      <c r="S7" t="s">
        <v>1216</v>
      </c>
      <c r="T7" s="109">
        <v>2.4700000000000002</v>
      </c>
      <c r="U7" t="s">
        <v>823</v>
      </c>
      <c r="V7" s="132">
        <v>9.9013000000000004E-2</v>
      </c>
      <c r="W7" t="s">
        <v>755</v>
      </c>
      <c r="X7" t="s">
        <v>905</v>
      </c>
      <c r="Y7" s="132">
        <v>4.7500000000000001E-2</v>
      </c>
      <c r="Z7" s="163">
        <v>9.7799999999999998E-2</v>
      </c>
      <c r="AA7" t="s">
        <v>5266</v>
      </c>
      <c r="AB7" t="s">
        <v>412</v>
      </c>
      <c r="AC7" t="s">
        <v>777</v>
      </c>
      <c r="AD7" s="131">
        <f t="shared" si="0"/>
        <v>4568.7960000000003</v>
      </c>
      <c r="AE7" s="132">
        <v>1</v>
      </c>
      <c r="AF7" t="s">
        <v>5265</v>
      </c>
      <c r="AG7" t="s">
        <v>339</v>
      </c>
      <c r="AH7" t="s">
        <v>781</v>
      </c>
      <c r="AI7" t="s">
        <v>5267</v>
      </c>
      <c r="AJ7" t="s">
        <v>339</v>
      </c>
      <c r="AK7" t="s">
        <v>886</v>
      </c>
      <c r="AL7" t="s">
        <v>4722</v>
      </c>
      <c r="AM7" t="s">
        <v>889</v>
      </c>
      <c r="AN7" t="s">
        <v>4723</v>
      </c>
      <c r="AO7" s="161">
        <v>45565</v>
      </c>
      <c r="AP7" s="108"/>
      <c r="AQ7" s="131">
        <v>1195381</v>
      </c>
      <c r="AR7" s="131">
        <v>103.02</v>
      </c>
      <c r="AS7" s="131">
        <v>3.71</v>
      </c>
      <c r="AT7" s="131">
        <v>4568.7960000000003</v>
      </c>
      <c r="AU7" s="131">
        <v>1231481.5060000001</v>
      </c>
      <c r="AV7" s="109"/>
      <c r="AW7" s="109"/>
      <c r="AX7" t="s">
        <v>339</v>
      </c>
      <c r="AY7" s="109" t="s">
        <v>15</v>
      </c>
      <c r="AZ7" s="132">
        <v>0.46131</v>
      </c>
      <c r="BA7" s="132">
        <v>2.5300000000000001E-3</v>
      </c>
    </row>
    <row r="8" spans="1:53" hidden="1">
      <c r="A8" t="s">
        <v>1213</v>
      </c>
      <c r="B8" t="s">
        <v>1238</v>
      </c>
      <c r="C8" t="s">
        <v>2397</v>
      </c>
      <c r="D8" t="s">
        <v>309</v>
      </c>
      <c r="E8" t="s">
        <v>5258</v>
      </c>
      <c r="F8" t="s">
        <v>5259</v>
      </c>
      <c r="G8" t="s">
        <v>1012</v>
      </c>
      <c r="H8" s="108"/>
      <c r="I8" t="s">
        <v>204</v>
      </c>
      <c r="J8" t="s">
        <v>204</v>
      </c>
      <c r="K8" t="s">
        <v>451</v>
      </c>
      <c r="L8" t="s">
        <v>339</v>
      </c>
      <c r="M8" t="s">
        <v>338</v>
      </c>
      <c r="N8" s="109"/>
      <c r="O8" t="s">
        <v>5234</v>
      </c>
      <c r="P8" t="s">
        <v>1566</v>
      </c>
      <c r="Q8" t="s">
        <v>413</v>
      </c>
      <c r="R8" t="s">
        <v>407</v>
      </c>
      <c r="S8" t="s">
        <v>1212</v>
      </c>
      <c r="T8" s="175">
        <v>2.42</v>
      </c>
      <c r="U8" t="s">
        <v>5260</v>
      </c>
      <c r="V8" s="132">
        <v>7.9500000000000001E-2</v>
      </c>
      <c r="W8" t="s">
        <v>753</v>
      </c>
      <c r="X8" t="s">
        <v>896</v>
      </c>
      <c r="Y8" s="109"/>
      <c r="Z8" s="136">
        <v>8.09E-2</v>
      </c>
      <c r="AA8" t="s">
        <v>5261</v>
      </c>
      <c r="AB8" t="s">
        <v>412</v>
      </c>
      <c r="AC8" s="109"/>
      <c r="AD8" s="131">
        <f t="shared" si="0"/>
        <v>2277.7710000000002</v>
      </c>
      <c r="AE8" s="132">
        <v>1</v>
      </c>
      <c r="AF8" s="109"/>
      <c r="AG8" t="s">
        <v>338</v>
      </c>
      <c r="AH8" t="s">
        <v>781</v>
      </c>
      <c r="AI8" t="s">
        <v>5262</v>
      </c>
      <c r="AJ8" t="s">
        <v>338</v>
      </c>
      <c r="AK8" t="s">
        <v>886</v>
      </c>
      <c r="AL8" t="s">
        <v>4722</v>
      </c>
      <c r="AM8" t="s">
        <v>889</v>
      </c>
      <c r="AN8" t="s">
        <v>4723</v>
      </c>
      <c r="AO8" s="161">
        <v>45565</v>
      </c>
      <c r="AP8" s="108"/>
      <c r="AQ8" s="131">
        <v>2272771</v>
      </c>
      <c r="AR8" s="131">
        <v>100.22</v>
      </c>
      <c r="AS8" s="131">
        <v>1</v>
      </c>
      <c r="AT8" s="131">
        <v>2277.7710000000002</v>
      </c>
      <c r="AU8" s="131">
        <v>2277771.0959999999</v>
      </c>
      <c r="AV8" s="109"/>
      <c r="AW8" s="109"/>
      <c r="AX8" t="s">
        <v>339</v>
      </c>
      <c r="AY8" s="109" t="s">
        <v>15</v>
      </c>
      <c r="AZ8" s="132">
        <v>0.22999</v>
      </c>
      <c r="BA8" s="132">
        <v>1.2600000000000001E-3</v>
      </c>
    </row>
    <row r="9" spans="1:53" hidden="1">
      <c r="A9" t="s">
        <v>1213</v>
      </c>
      <c r="B9" t="s">
        <v>1238</v>
      </c>
      <c r="C9" t="s">
        <v>4888</v>
      </c>
      <c r="D9" t="s">
        <v>309</v>
      </c>
      <c r="E9" t="s">
        <v>5268</v>
      </c>
      <c r="F9" t="s">
        <v>5269</v>
      </c>
      <c r="G9" t="s">
        <v>1012</v>
      </c>
      <c r="H9" t="s">
        <v>817</v>
      </c>
      <c r="I9" t="s">
        <v>204</v>
      </c>
      <c r="J9" t="s">
        <v>204</v>
      </c>
      <c r="K9" t="s">
        <v>477</v>
      </c>
      <c r="L9" t="s">
        <v>339</v>
      </c>
      <c r="M9" t="s">
        <v>339</v>
      </c>
      <c r="N9" t="s">
        <v>1208</v>
      </c>
      <c r="O9" t="s">
        <v>5270</v>
      </c>
      <c r="P9" t="s">
        <v>410</v>
      </c>
      <c r="Q9" t="s">
        <v>312</v>
      </c>
      <c r="R9" t="s">
        <v>408</v>
      </c>
      <c r="S9" t="s">
        <v>1212</v>
      </c>
      <c r="T9" s="175">
        <v>1.41</v>
      </c>
      <c r="U9" t="s">
        <v>5260</v>
      </c>
      <c r="V9" s="132">
        <v>5.2999999999999999E-2</v>
      </c>
      <c r="W9" t="s">
        <v>753</v>
      </c>
      <c r="X9" t="s">
        <v>896</v>
      </c>
      <c r="Y9" s="109"/>
      <c r="Z9" s="136">
        <v>8.8800000000000004E-2</v>
      </c>
      <c r="AA9" t="s">
        <v>1659</v>
      </c>
      <c r="AB9" t="s">
        <v>412</v>
      </c>
      <c r="AC9" s="109"/>
      <c r="AD9" s="131">
        <f t="shared" si="0"/>
        <v>2156.7950000000001</v>
      </c>
      <c r="AE9" s="132">
        <v>1</v>
      </c>
      <c r="AF9" s="109"/>
      <c r="AG9" t="s">
        <v>339</v>
      </c>
      <c r="AH9" t="s">
        <v>781</v>
      </c>
      <c r="AI9" t="s">
        <v>5262</v>
      </c>
      <c r="AJ9" t="s">
        <v>338</v>
      </c>
      <c r="AK9" t="s">
        <v>886</v>
      </c>
      <c r="AL9" t="s">
        <v>4722</v>
      </c>
      <c r="AM9" t="s">
        <v>889</v>
      </c>
      <c r="AN9" t="s">
        <v>4723</v>
      </c>
      <c r="AO9" s="161">
        <v>45565</v>
      </c>
      <c r="AP9" s="108"/>
      <c r="AQ9" s="131">
        <v>2258187.11</v>
      </c>
      <c r="AR9" s="131">
        <v>95.51</v>
      </c>
      <c r="AS9" s="131">
        <v>1</v>
      </c>
      <c r="AT9" s="131">
        <v>2156.7950000000001</v>
      </c>
      <c r="AU9" s="131">
        <v>2156794.5090000001</v>
      </c>
      <c r="AV9" s="109"/>
      <c r="AW9" s="109"/>
      <c r="AX9" t="s">
        <v>339</v>
      </c>
      <c r="AY9" s="109" t="s">
        <v>15</v>
      </c>
      <c r="AZ9" s="132">
        <v>0.21776999999999999</v>
      </c>
      <c r="BA9" s="132">
        <v>1.1900000000000001E-3</v>
      </c>
    </row>
    <row r="10" spans="1:53" hidden="1">
      <c r="A10" t="s">
        <v>1213</v>
      </c>
      <c r="B10" t="s">
        <v>1238</v>
      </c>
      <c r="C10" s="109"/>
      <c r="D10" s="109"/>
      <c r="E10" t="s">
        <v>5359</v>
      </c>
      <c r="F10" t="s">
        <v>5271</v>
      </c>
      <c r="G10" t="s">
        <v>1011</v>
      </c>
      <c r="H10" s="108"/>
      <c r="I10" t="s">
        <v>204</v>
      </c>
      <c r="J10" t="s">
        <v>204</v>
      </c>
      <c r="K10" t="s">
        <v>442</v>
      </c>
      <c r="L10" t="s">
        <v>339</v>
      </c>
      <c r="M10" t="s">
        <v>339</v>
      </c>
      <c r="N10" s="109"/>
      <c r="O10"/>
      <c r="P10" t="s">
        <v>1324</v>
      </c>
      <c r="Q10" t="s">
        <v>312</v>
      </c>
      <c r="R10" t="s">
        <v>407</v>
      </c>
      <c r="S10" t="s">
        <v>1212</v>
      </c>
      <c r="T10" s="131">
        <v>1.75</v>
      </c>
      <c r="U10" t="s">
        <v>314</v>
      </c>
      <c r="V10" t="s">
        <v>1871</v>
      </c>
      <c r="W10" t="s">
        <v>754</v>
      </c>
      <c r="X10" s="109"/>
      <c r="Y10" s="109"/>
      <c r="Z10" s="109"/>
      <c r="AA10"/>
      <c r="AB10" s="16"/>
      <c r="AC10" t="s">
        <v>761</v>
      </c>
      <c r="AD10" s="131">
        <f t="shared" si="0"/>
        <v>543.57000000000005</v>
      </c>
      <c r="AE10" s="132">
        <v>1</v>
      </c>
      <c r="AF10"/>
      <c r="AG10" s="109"/>
      <c r="AH10" s="109"/>
      <c r="AI10" s="108"/>
      <c r="AJ10" s="108"/>
      <c r="AK10" t="s">
        <v>886</v>
      </c>
      <c r="AL10" t="s">
        <v>4722</v>
      </c>
      <c r="AM10" t="s">
        <v>889</v>
      </c>
      <c r="AN10" t="s">
        <v>4723</v>
      </c>
      <c r="AO10" s="161">
        <v>45565</v>
      </c>
      <c r="AP10" s="108"/>
      <c r="AQ10" s="131">
        <v>378216.011</v>
      </c>
      <c r="AR10" s="131">
        <v>143.72</v>
      </c>
      <c r="AS10" s="131">
        <v>1</v>
      </c>
      <c r="AT10" s="131">
        <v>543.57000000000005</v>
      </c>
      <c r="AU10" s="131">
        <v>543570.32999999996</v>
      </c>
      <c r="AV10" s="109"/>
      <c r="AW10" s="109"/>
      <c r="AX10" s="16"/>
      <c r="AY10" s="109" t="s">
        <v>15</v>
      </c>
      <c r="AZ10" s="132">
        <v>5.4879999999999998E-2</v>
      </c>
      <c r="BA10" s="132">
        <v>2.9999999999999997E-4</v>
      </c>
    </row>
    <row r="11" spans="1:53" hidden="1">
      <c r="A11" t="s">
        <v>1213</v>
      </c>
      <c r="B11" t="s">
        <v>1238</v>
      </c>
      <c r="C11" t="s">
        <v>4911</v>
      </c>
      <c r="D11" t="s">
        <v>309</v>
      </c>
      <c r="E11" t="s">
        <v>5272</v>
      </c>
      <c r="F11" t="s">
        <v>5273</v>
      </c>
      <c r="G11" t="s">
        <v>1012</v>
      </c>
      <c r="H11" t="s">
        <v>815</v>
      </c>
      <c r="I11" t="s">
        <v>204</v>
      </c>
      <c r="J11" t="s">
        <v>204</v>
      </c>
      <c r="K11" t="s">
        <v>447</v>
      </c>
      <c r="L11" t="s">
        <v>339</v>
      </c>
      <c r="M11" t="s">
        <v>339</v>
      </c>
      <c r="N11" t="s">
        <v>1208</v>
      </c>
      <c r="O11" t="s">
        <v>5274</v>
      </c>
      <c r="P11" t="s">
        <v>410</v>
      </c>
      <c r="Q11" t="s">
        <v>312</v>
      </c>
      <c r="R11" t="s">
        <v>408</v>
      </c>
      <c r="S11" t="s">
        <v>1212</v>
      </c>
      <c r="T11" s="175">
        <v>1.1599999999999999</v>
      </c>
      <c r="U11" t="s">
        <v>823</v>
      </c>
      <c r="V11" s="132">
        <v>0.100036</v>
      </c>
      <c r="W11" t="s">
        <v>753</v>
      </c>
      <c r="X11" t="s">
        <v>900</v>
      </c>
      <c r="Y11" s="132">
        <v>0.04</v>
      </c>
      <c r="Z11" s="136">
        <v>9.9099999999999994E-2</v>
      </c>
      <c r="AA11" t="s">
        <v>1777</v>
      </c>
      <c r="AB11" t="s">
        <v>412</v>
      </c>
      <c r="AC11" s="109"/>
      <c r="AD11" s="131">
        <f t="shared" si="0"/>
        <v>271.59699999999998</v>
      </c>
      <c r="AE11" s="132">
        <v>1</v>
      </c>
      <c r="AF11" s="109"/>
      <c r="AG11" t="s">
        <v>339</v>
      </c>
      <c r="AH11" t="s">
        <v>781</v>
      </c>
      <c r="AI11" t="s">
        <v>5275</v>
      </c>
      <c r="AJ11" t="s">
        <v>339</v>
      </c>
      <c r="AK11" t="s">
        <v>884</v>
      </c>
      <c r="AL11" s="109"/>
      <c r="AM11" t="s">
        <v>889</v>
      </c>
      <c r="AN11" t="s">
        <v>4723</v>
      </c>
      <c r="AO11" s="161">
        <v>45565</v>
      </c>
      <c r="AP11" s="108"/>
      <c r="AQ11" s="131">
        <v>252674</v>
      </c>
      <c r="AR11" s="131">
        <v>107.489</v>
      </c>
      <c r="AS11" s="131">
        <v>1</v>
      </c>
      <c r="AT11" s="131">
        <v>271.59699999999998</v>
      </c>
      <c r="AU11" s="131">
        <v>271596.935</v>
      </c>
      <c r="AV11" s="109"/>
      <c r="AW11" s="109"/>
      <c r="AX11" t="s">
        <v>339</v>
      </c>
      <c r="AY11" s="109" t="s">
        <v>15</v>
      </c>
      <c r="AZ11" s="132">
        <v>2.742E-2</v>
      </c>
      <c r="BA11" s="132">
        <v>1.4999999999999999E-4</v>
      </c>
    </row>
    <row r="12" spans="1:53" hidden="1">
      <c r="A12" t="s">
        <v>1213</v>
      </c>
      <c r="B12" t="s">
        <v>1238</v>
      </c>
      <c r="C12" s="109"/>
      <c r="D12" s="109"/>
      <c r="E12" t="s">
        <v>5360</v>
      </c>
      <c r="F12" t="s">
        <v>5276</v>
      </c>
      <c r="G12" t="s">
        <v>1011</v>
      </c>
      <c r="H12" s="108"/>
      <c r="I12" t="s">
        <v>204</v>
      </c>
      <c r="J12" t="s">
        <v>204</v>
      </c>
      <c r="K12" t="s">
        <v>442</v>
      </c>
      <c r="L12" t="s">
        <v>339</v>
      </c>
      <c r="M12" t="s">
        <v>339</v>
      </c>
      <c r="N12" s="109"/>
      <c r="O12"/>
      <c r="P12" t="s">
        <v>1324</v>
      </c>
      <c r="Q12" t="s">
        <v>312</v>
      </c>
      <c r="R12" t="s">
        <v>407</v>
      </c>
      <c r="S12" t="s">
        <v>1212</v>
      </c>
      <c r="T12" s="131">
        <v>1.7</v>
      </c>
      <c r="U12" t="s">
        <v>314</v>
      </c>
      <c r="V12" t="s">
        <v>1871</v>
      </c>
      <c r="W12" t="s">
        <v>753</v>
      </c>
      <c r="X12" s="109"/>
      <c r="Y12" s="109"/>
      <c r="Z12" s="109"/>
      <c r="AA12"/>
      <c r="AB12" s="16"/>
      <c r="AC12" t="s">
        <v>761</v>
      </c>
      <c r="AD12" s="131">
        <f t="shared" si="0"/>
        <v>85.382999999999996</v>
      </c>
      <c r="AE12" s="132">
        <v>1</v>
      </c>
      <c r="AF12"/>
      <c r="AG12" s="109"/>
      <c r="AH12" s="109"/>
      <c r="AI12" s="108"/>
      <c r="AJ12" s="108"/>
      <c r="AK12" t="s">
        <v>886</v>
      </c>
      <c r="AL12" t="s">
        <v>4722</v>
      </c>
      <c r="AM12" t="s">
        <v>889</v>
      </c>
      <c r="AN12" t="s">
        <v>4723</v>
      </c>
      <c r="AO12" s="161">
        <v>45565</v>
      </c>
      <c r="AP12" s="108"/>
      <c r="AQ12" s="131">
        <v>69845.010999999999</v>
      </c>
      <c r="AR12" s="131">
        <v>122.247</v>
      </c>
      <c r="AS12" s="131">
        <v>1</v>
      </c>
      <c r="AT12" s="131">
        <v>85.382999999999996</v>
      </c>
      <c r="AU12" s="131">
        <v>85383.278999999995</v>
      </c>
      <c r="AV12" s="109"/>
      <c r="AW12" s="109"/>
      <c r="AX12" s="16"/>
      <c r="AY12" s="109" t="s">
        <v>15</v>
      </c>
      <c r="AZ12" s="132">
        <v>8.6199999999999992E-3</v>
      </c>
      <c r="BA12" s="132">
        <v>5.0000000000000002E-5</v>
      </c>
    </row>
    <row r="13" spans="1:53" hidden="1">
      <c r="A13" t="s">
        <v>1213</v>
      </c>
      <c r="B13" t="s">
        <v>1238</v>
      </c>
      <c r="C13" s="109"/>
      <c r="D13" s="109"/>
      <c r="E13" t="s">
        <v>5358</v>
      </c>
      <c r="F13" t="s">
        <v>5277</v>
      </c>
      <c r="G13" t="s">
        <v>1011</v>
      </c>
      <c r="H13" s="108"/>
      <c r="I13" t="s">
        <v>204</v>
      </c>
      <c r="J13" t="s">
        <v>204</v>
      </c>
      <c r="K13" t="s">
        <v>442</v>
      </c>
      <c r="L13" t="s">
        <v>339</v>
      </c>
      <c r="M13" t="s">
        <v>339</v>
      </c>
      <c r="N13" s="109"/>
      <c r="O13"/>
      <c r="P13" t="s">
        <v>1324</v>
      </c>
      <c r="Q13" t="s">
        <v>312</v>
      </c>
      <c r="R13" t="s">
        <v>407</v>
      </c>
      <c r="S13" t="s">
        <v>1212</v>
      </c>
      <c r="T13" s="131">
        <v>8.3000000000000004E-2</v>
      </c>
      <c r="U13" t="s">
        <v>314</v>
      </c>
      <c r="V13" t="s">
        <v>1871</v>
      </c>
      <c r="W13" t="s">
        <v>753</v>
      </c>
      <c r="X13" s="109"/>
      <c r="Y13" s="109"/>
      <c r="Z13" s="109"/>
      <c r="AA13"/>
      <c r="AB13" s="16"/>
      <c r="AC13" t="s">
        <v>761</v>
      </c>
      <c r="AD13" s="131">
        <f t="shared" si="0"/>
        <v>0</v>
      </c>
      <c r="AE13" s="132">
        <v>1</v>
      </c>
      <c r="AF13"/>
      <c r="AG13" s="109"/>
      <c r="AH13" s="109"/>
      <c r="AI13" s="108"/>
      <c r="AJ13" s="108"/>
      <c r="AK13" t="s">
        <v>886</v>
      </c>
      <c r="AL13" t="s">
        <v>4722</v>
      </c>
      <c r="AM13" t="s">
        <v>889</v>
      </c>
      <c r="AN13" t="s">
        <v>5278</v>
      </c>
      <c r="AO13" s="161">
        <v>45565</v>
      </c>
      <c r="AP13" s="108"/>
      <c r="AQ13" s="131">
        <v>-4.0000000000000001E-3</v>
      </c>
      <c r="AR13" s="131">
        <v>0</v>
      </c>
      <c r="AS13" s="131">
        <v>1</v>
      </c>
      <c r="AT13" s="131">
        <v>0</v>
      </c>
      <c r="AU13" s="131">
        <v>0</v>
      </c>
      <c r="AV13" s="109"/>
      <c r="AW13" s="109"/>
      <c r="AX13" s="16"/>
      <c r="AY13" s="109" t="s">
        <v>15</v>
      </c>
      <c r="AZ13" s="109"/>
      <c r="BA13" s="109"/>
    </row>
    <row r="14" spans="1:53">
      <c r="A14" t="s">
        <v>1213</v>
      </c>
      <c r="B14" t="s">
        <v>1241</v>
      </c>
      <c r="C14" t="s">
        <v>1635</v>
      </c>
      <c r="D14" t="s">
        <v>309</v>
      </c>
      <c r="E14" t="s">
        <v>5263</v>
      </c>
      <c r="F14" t="s">
        <v>5264</v>
      </c>
      <c r="G14" t="s">
        <v>1012</v>
      </c>
      <c r="H14" s="108"/>
      <c r="I14" t="s">
        <v>204</v>
      </c>
      <c r="J14" t="s">
        <v>204</v>
      </c>
      <c r="K14" t="s">
        <v>454</v>
      </c>
      <c r="L14" t="s">
        <v>339</v>
      </c>
      <c r="M14" t="s">
        <v>338</v>
      </c>
      <c r="N14" t="s">
        <v>1208</v>
      </c>
      <c r="O14" t="s">
        <v>5265</v>
      </c>
      <c r="P14" t="s">
        <v>1554</v>
      </c>
      <c r="Q14" t="s">
        <v>413</v>
      </c>
      <c r="R14" t="s">
        <v>407</v>
      </c>
      <c r="S14" t="s">
        <v>1216</v>
      </c>
      <c r="T14" s="109">
        <v>2.4700000000000002</v>
      </c>
      <c r="U14" t="s">
        <v>823</v>
      </c>
      <c r="V14" s="132">
        <v>9.9013000000000004E-2</v>
      </c>
      <c r="W14" t="s">
        <v>755</v>
      </c>
      <c r="X14" t="s">
        <v>905</v>
      </c>
      <c r="Y14" s="132">
        <v>4.7500000000000001E-2</v>
      </c>
      <c r="Z14" s="163">
        <v>9.7799999999999998E-2</v>
      </c>
      <c r="AA14" t="s">
        <v>5266</v>
      </c>
      <c r="AB14" t="s">
        <v>412</v>
      </c>
      <c r="AC14" t="s">
        <v>777</v>
      </c>
      <c r="AD14" s="131">
        <f t="shared" si="0"/>
        <v>1616.8579999999999</v>
      </c>
      <c r="AE14" s="132">
        <v>1</v>
      </c>
      <c r="AF14" t="s">
        <v>5265</v>
      </c>
      <c r="AG14" t="s">
        <v>339</v>
      </c>
      <c r="AH14" t="s">
        <v>781</v>
      </c>
      <c r="AI14" t="s">
        <v>5267</v>
      </c>
      <c r="AJ14" t="s">
        <v>339</v>
      </c>
      <c r="AK14" t="s">
        <v>886</v>
      </c>
      <c r="AL14" t="s">
        <v>4722</v>
      </c>
      <c r="AM14" t="s">
        <v>889</v>
      </c>
      <c r="AN14" t="s">
        <v>4723</v>
      </c>
      <c r="AO14" s="161">
        <v>45565</v>
      </c>
      <c r="AP14" s="108"/>
      <c r="AQ14" s="131">
        <v>423035</v>
      </c>
      <c r="AR14" s="131">
        <v>103.02</v>
      </c>
      <c r="AS14" s="131">
        <v>3.71</v>
      </c>
      <c r="AT14" s="131">
        <v>1616.8579999999999</v>
      </c>
      <c r="AU14" s="131">
        <v>435810.65700000001</v>
      </c>
      <c r="AV14" s="109"/>
      <c r="AW14" s="109"/>
      <c r="AX14" t="s">
        <v>339</v>
      </c>
      <c r="AY14" s="109" t="s">
        <v>15</v>
      </c>
      <c r="AZ14" s="132">
        <v>0.51888000000000001</v>
      </c>
      <c r="BA14" s="132">
        <v>4.2599999999999999E-3</v>
      </c>
    </row>
    <row r="15" spans="1:53" hidden="1">
      <c r="A15" t="s">
        <v>1213</v>
      </c>
      <c r="B15" t="s">
        <v>1241</v>
      </c>
      <c r="C15" s="109"/>
      <c r="D15" s="109"/>
      <c r="E15" t="s">
        <v>5358</v>
      </c>
      <c r="F15" t="s">
        <v>5279</v>
      </c>
      <c r="G15" t="s">
        <v>1011</v>
      </c>
      <c r="H15" s="108"/>
      <c r="I15" t="s">
        <v>204</v>
      </c>
      <c r="J15" t="s">
        <v>204</v>
      </c>
      <c r="K15" t="s">
        <v>442</v>
      </c>
      <c r="L15" t="s">
        <v>339</v>
      </c>
      <c r="M15" t="s">
        <v>339</v>
      </c>
      <c r="N15" s="109"/>
      <c r="O15"/>
      <c r="P15" t="s">
        <v>1324</v>
      </c>
      <c r="Q15" t="s">
        <v>312</v>
      </c>
      <c r="R15" t="s">
        <v>407</v>
      </c>
      <c r="S15" t="s">
        <v>1212</v>
      </c>
      <c r="T15" s="131">
        <v>3.1909999999999998</v>
      </c>
      <c r="U15" t="s">
        <v>314</v>
      </c>
      <c r="V15" t="s">
        <v>1871</v>
      </c>
      <c r="W15" t="s">
        <v>753</v>
      </c>
      <c r="X15" s="109"/>
      <c r="Y15" s="109"/>
      <c r="Z15" s="109"/>
      <c r="AA15"/>
      <c r="AB15" s="16"/>
      <c r="AC15" t="s">
        <v>761</v>
      </c>
      <c r="AD15" s="131">
        <f t="shared" si="0"/>
        <v>1378.963</v>
      </c>
      <c r="AE15" s="132">
        <v>1</v>
      </c>
      <c r="AF15"/>
      <c r="AG15" s="109"/>
      <c r="AH15" s="109"/>
      <c r="AI15" s="108"/>
      <c r="AJ15" s="108"/>
      <c r="AK15" t="s">
        <v>886</v>
      </c>
      <c r="AL15" t="s">
        <v>4722</v>
      </c>
      <c r="AM15" t="s">
        <v>889</v>
      </c>
      <c r="AN15" t="s">
        <v>4723</v>
      </c>
      <c r="AO15" s="161">
        <v>45565</v>
      </c>
      <c r="AP15" s="108"/>
      <c r="AQ15" s="131">
        <v>1203234.584</v>
      </c>
      <c r="AR15" s="131">
        <v>114.605</v>
      </c>
      <c r="AS15" s="131">
        <v>1</v>
      </c>
      <c r="AT15" s="131">
        <v>1378.963</v>
      </c>
      <c r="AU15" s="131">
        <v>1378963</v>
      </c>
      <c r="AV15" s="109"/>
      <c r="AW15" s="109"/>
      <c r="AX15" s="16"/>
      <c r="AY15" s="109" t="s">
        <v>15</v>
      </c>
      <c r="AZ15" s="132">
        <v>0.44252999999999998</v>
      </c>
      <c r="BA15" s="132">
        <v>3.64E-3</v>
      </c>
    </row>
    <row r="16" spans="1:53" hidden="1">
      <c r="A16" t="s">
        <v>1213</v>
      </c>
      <c r="B16" t="s">
        <v>1241</v>
      </c>
      <c r="C16" s="109"/>
      <c r="D16" s="109"/>
      <c r="E16" t="s">
        <v>5359</v>
      </c>
      <c r="F16" t="s">
        <v>5280</v>
      </c>
      <c r="G16" t="s">
        <v>1011</v>
      </c>
      <c r="H16" s="108"/>
      <c r="I16" t="s">
        <v>204</v>
      </c>
      <c r="J16" t="s">
        <v>204</v>
      </c>
      <c r="K16" t="s">
        <v>442</v>
      </c>
      <c r="L16" t="s">
        <v>339</v>
      </c>
      <c r="M16" t="s">
        <v>339</v>
      </c>
      <c r="N16" s="109"/>
      <c r="O16"/>
      <c r="P16" t="s">
        <v>1324</v>
      </c>
      <c r="Q16" t="s">
        <v>312</v>
      </c>
      <c r="R16" t="s">
        <v>407</v>
      </c>
      <c r="S16" t="s">
        <v>1212</v>
      </c>
      <c r="T16" s="131">
        <v>2.089</v>
      </c>
      <c r="U16" t="s">
        <v>314</v>
      </c>
      <c r="V16" t="s">
        <v>1871</v>
      </c>
      <c r="W16" t="s">
        <v>754</v>
      </c>
      <c r="X16" s="109"/>
      <c r="Y16" s="109"/>
      <c r="Z16" s="109"/>
      <c r="AA16"/>
      <c r="AB16" s="16"/>
      <c r="AC16" t="s">
        <v>761</v>
      </c>
      <c r="AD16" s="131">
        <f t="shared" si="0"/>
        <v>120.241</v>
      </c>
      <c r="AE16" s="132">
        <v>1</v>
      </c>
      <c r="AF16"/>
      <c r="AG16" s="109"/>
      <c r="AH16" s="109"/>
      <c r="AI16" s="108"/>
      <c r="AJ16" s="108"/>
      <c r="AK16" t="s">
        <v>886</v>
      </c>
      <c r="AL16" t="s">
        <v>4722</v>
      </c>
      <c r="AM16" t="s">
        <v>889</v>
      </c>
      <c r="AN16" t="s">
        <v>4723</v>
      </c>
      <c r="AO16" s="161">
        <v>45565</v>
      </c>
      <c r="AP16" s="108"/>
      <c r="AQ16" s="131">
        <v>96114.410999999993</v>
      </c>
      <c r="AR16" s="131">
        <v>125.102</v>
      </c>
      <c r="AS16" s="131">
        <v>1</v>
      </c>
      <c r="AT16" s="131">
        <v>120.241</v>
      </c>
      <c r="AU16" s="131">
        <v>120241.29</v>
      </c>
      <c r="AV16" s="109"/>
      <c r="AW16" s="109"/>
      <c r="AX16" s="16"/>
      <c r="AY16" s="109" t="s">
        <v>15</v>
      </c>
      <c r="AZ16" s="132">
        <v>3.8589999999999999E-2</v>
      </c>
      <c r="BA16" s="132">
        <v>3.2000000000000003E-4</v>
      </c>
    </row>
    <row r="17" spans="1:53">
      <c r="A17" t="s">
        <v>1213</v>
      </c>
      <c r="B17" t="s">
        <v>1242</v>
      </c>
      <c r="C17" t="s">
        <v>1635</v>
      </c>
      <c r="D17" t="s">
        <v>309</v>
      </c>
      <c r="E17" t="s">
        <v>5263</v>
      </c>
      <c r="F17" t="s">
        <v>5264</v>
      </c>
      <c r="G17" t="s">
        <v>1012</v>
      </c>
      <c r="H17" s="108"/>
      <c r="I17" t="s">
        <v>204</v>
      </c>
      <c r="J17" t="s">
        <v>204</v>
      </c>
      <c r="K17" t="s">
        <v>454</v>
      </c>
      <c r="L17" t="s">
        <v>339</v>
      </c>
      <c r="M17" t="s">
        <v>338</v>
      </c>
      <c r="N17" t="s">
        <v>1208</v>
      </c>
      <c r="O17" t="s">
        <v>5265</v>
      </c>
      <c r="P17" t="s">
        <v>1554</v>
      </c>
      <c r="Q17" t="s">
        <v>413</v>
      </c>
      <c r="R17" t="s">
        <v>407</v>
      </c>
      <c r="S17" t="s">
        <v>1216</v>
      </c>
      <c r="T17" s="109">
        <v>2.4700000000000002</v>
      </c>
      <c r="U17" t="s">
        <v>823</v>
      </c>
      <c r="V17" s="132">
        <v>9.9013000000000004E-2</v>
      </c>
      <c r="W17" t="s">
        <v>755</v>
      </c>
      <c r="X17" t="s">
        <v>905</v>
      </c>
      <c r="Y17" s="132">
        <v>4.7500000000000001E-2</v>
      </c>
      <c r="Z17" s="163">
        <v>9.7799999999999998E-2</v>
      </c>
      <c r="AA17" t="s">
        <v>5266</v>
      </c>
      <c r="AB17" t="s">
        <v>412</v>
      </c>
      <c r="AC17" t="s">
        <v>777</v>
      </c>
      <c r="AD17" s="131">
        <f t="shared" si="0"/>
        <v>1149.9760000000001</v>
      </c>
      <c r="AE17" s="132">
        <v>1</v>
      </c>
      <c r="AF17" t="s">
        <v>5265</v>
      </c>
      <c r="AG17" t="s">
        <v>339</v>
      </c>
      <c r="AH17" t="s">
        <v>781</v>
      </c>
      <c r="AI17" t="s">
        <v>5267</v>
      </c>
      <c r="AJ17" t="s">
        <v>339</v>
      </c>
      <c r="AK17" t="s">
        <v>886</v>
      </c>
      <c r="AL17" t="s">
        <v>4722</v>
      </c>
      <c r="AM17" t="s">
        <v>889</v>
      </c>
      <c r="AN17" t="s">
        <v>4723</v>
      </c>
      <c r="AO17" s="161">
        <v>45565</v>
      </c>
      <c r="AP17" s="108"/>
      <c r="AQ17" s="131">
        <v>300880</v>
      </c>
      <c r="AR17" s="131">
        <v>103.02</v>
      </c>
      <c r="AS17" s="131">
        <v>3.71</v>
      </c>
      <c r="AT17" s="131">
        <v>1149.9760000000001</v>
      </c>
      <c r="AU17" s="131">
        <v>309966.576</v>
      </c>
      <c r="AV17" s="109"/>
      <c r="AW17" s="109"/>
      <c r="AX17" t="s">
        <v>339</v>
      </c>
      <c r="AY17" s="109" t="s">
        <v>15</v>
      </c>
      <c r="AZ17" s="132">
        <v>0.53735999999999995</v>
      </c>
      <c r="BA17" s="132">
        <v>3.0100000000000001E-3</v>
      </c>
    </row>
    <row r="18" spans="1:53" hidden="1">
      <c r="A18" t="s">
        <v>1213</v>
      </c>
      <c r="B18" t="s">
        <v>1242</v>
      </c>
      <c r="C18" t="s">
        <v>2397</v>
      </c>
      <c r="D18" t="s">
        <v>309</v>
      </c>
      <c r="E18" t="s">
        <v>5258</v>
      </c>
      <c r="F18" t="s">
        <v>5259</v>
      </c>
      <c r="G18" t="s">
        <v>1012</v>
      </c>
      <c r="H18" s="108"/>
      <c r="I18" t="s">
        <v>204</v>
      </c>
      <c r="J18" t="s">
        <v>204</v>
      </c>
      <c r="K18" t="s">
        <v>451</v>
      </c>
      <c r="L18" t="s">
        <v>339</v>
      </c>
      <c r="M18" t="s">
        <v>338</v>
      </c>
      <c r="N18" s="109"/>
      <c r="O18" t="s">
        <v>5234</v>
      </c>
      <c r="P18" t="s">
        <v>1566</v>
      </c>
      <c r="Q18" t="s">
        <v>413</v>
      </c>
      <c r="R18" t="s">
        <v>407</v>
      </c>
      <c r="S18" t="s">
        <v>1212</v>
      </c>
      <c r="T18" s="175">
        <v>2.42</v>
      </c>
      <c r="U18" t="s">
        <v>5260</v>
      </c>
      <c r="V18" s="132">
        <v>7.9500000000000001E-2</v>
      </c>
      <c r="W18" t="s">
        <v>753</v>
      </c>
      <c r="X18" t="s">
        <v>896</v>
      </c>
      <c r="Y18" s="109"/>
      <c r="Z18" s="136">
        <v>8.09E-2</v>
      </c>
      <c r="AA18" t="s">
        <v>5261</v>
      </c>
      <c r="AB18" t="s">
        <v>412</v>
      </c>
      <c r="AC18" s="109"/>
      <c r="AD18" s="131">
        <f t="shared" si="0"/>
        <v>937.90599999999995</v>
      </c>
      <c r="AE18" s="132">
        <v>1</v>
      </c>
      <c r="AF18" s="109"/>
      <c r="AG18" t="s">
        <v>338</v>
      </c>
      <c r="AH18" t="s">
        <v>781</v>
      </c>
      <c r="AI18" t="s">
        <v>5262</v>
      </c>
      <c r="AJ18" t="s">
        <v>338</v>
      </c>
      <c r="AK18" t="s">
        <v>886</v>
      </c>
      <c r="AL18" t="s">
        <v>4722</v>
      </c>
      <c r="AM18" t="s">
        <v>889</v>
      </c>
      <c r="AN18" t="s">
        <v>4723</v>
      </c>
      <c r="AO18" s="161">
        <v>45565</v>
      </c>
      <c r="AP18" s="108"/>
      <c r="AQ18" s="131">
        <v>935847</v>
      </c>
      <c r="AR18" s="131">
        <v>100.22</v>
      </c>
      <c r="AS18" s="131">
        <v>1</v>
      </c>
      <c r="AT18" s="131">
        <v>937.90599999999995</v>
      </c>
      <c r="AU18" s="131">
        <v>937905.86300000001</v>
      </c>
      <c r="AV18" s="109"/>
      <c r="AW18" s="109"/>
      <c r="AX18" t="s">
        <v>339</v>
      </c>
      <c r="AY18" s="109" t="s">
        <v>15</v>
      </c>
      <c r="AZ18" s="132">
        <v>0.43825999999999998</v>
      </c>
      <c r="BA18" s="132">
        <v>2.4499999999999999E-3</v>
      </c>
    </row>
    <row r="19" spans="1:53" hidden="1">
      <c r="A19" t="s">
        <v>1213</v>
      </c>
      <c r="B19" t="s">
        <v>1242</v>
      </c>
      <c r="C19" t="s">
        <v>4911</v>
      </c>
      <c r="D19" t="s">
        <v>309</v>
      </c>
      <c r="E19" t="s">
        <v>5272</v>
      </c>
      <c r="F19" t="s">
        <v>5273</v>
      </c>
      <c r="G19" t="s">
        <v>1012</v>
      </c>
      <c r="H19" t="s">
        <v>815</v>
      </c>
      <c r="I19" t="s">
        <v>204</v>
      </c>
      <c r="J19" t="s">
        <v>204</v>
      </c>
      <c r="K19" t="s">
        <v>447</v>
      </c>
      <c r="L19" t="s">
        <v>339</v>
      </c>
      <c r="M19" t="s">
        <v>339</v>
      </c>
      <c r="N19" t="s">
        <v>1208</v>
      </c>
      <c r="O19" t="s">
        <v>5274</v>
      </c>
      <c r="P19" t="s">
        <v>410</v>
      </c>
      <c r="Q19" t="s">
        <v>312</v>
      </c>
      <c r="R19" t="s">
        <v>408</v>
      </c>
      <c r="S19" t="s">
        <v>1212</v>
      </c>
      <c r="T19" s="175">
        <v>1.1599999999999999</v>
      </c>
      <c r="U19" t="s">
        <v>823</v>
      </c>
      <c r="V19" s="132">
        <v>0.100036</v>
      </c>
      <c r="W19" t="s">
        <v>753</v>
      </c>
      <c r="X19" t="s">
        <v>900</v>
      </c>
      <c r="Y19" s="132">
        <v>0.04</v>
      </c>
      <c r="Z19" s="136">
        <v>9.9099999999999994E-2</v>
      </c>
      <c r="AA19" t="s">
        <v>1777</v>
      </c>
      <c r="AB19" t="s">
        <v>412</v>
      </c>
      <c r="AC19" s="109"/>
      <c r="AD19" s="131">
        <f t="shared" si="0"/>
        <v>52.177</v>
      </c>
      <c r="AE19" s="132">
        <v>1</v>
      </c>
      <c r="AF19" s="109"/>
      <c r="AG19" t="s">
        <v>339</v>
      </c>
      <c r="AH19" t="s">
        <v>781</v>
      </c>
      <c r="AI19" t="s">
        <v>5275</v>
      </c>
      <c r="AJ19" t="s">
        <v>339</v>
      </c>
      <c r="AK19" t="s">
        <v>884</v>
      </c>
      <c r="AL19" s="109"/>
      <c r="AM19" t="s">
        <v>889</v>
      </c>
      <c r="AN19" t="s">
        <v>4723</v>
      </c>
      <c r="AO19" s="161">
        <v>45565</v>
      </c>
      <c r="AP19" s="108"/>
      <c r="AQ19" s="131">
        <v>48542</v>
      </c>
      <c r="AR19" s="131">
        <v>107.489</v>
      </c>
      <c r="AS19" s="131">
        <v>1</v>
      </c>
      <c r="AT19" s="131">
        <v>52.177</v>
      </c>
      <c r="AU19" s="131">
        <v>52177.345000000001</v>
      </c>
      <c r="AV19" s="109"/>
      <c r="AW19" s="109"/>
      <c r="AX19" t="s">
        <v>339</v>
      </c>
      <c r="AY19" s="109" t="s">
        <v>15</v>
      </c>
      <c r="AZ19" s="132">
        <v>2.4379999999999999E-2</v>
      </c>
      <c r="BA19" s="132">
        <v>1.3999999999999999E-4</v>
      </c>
    </row>
    <row r="20" spans="1:53" hidden="1">
      <c r="A20" t="s">
        <v>1213</v>
      </c>
      <c r="B20" t="s">
        <v>1243</v>
      </c>
      <c r="C20" s="108"/>
      <c r="D20" s="109"/>
      <c r="E20" t="s">
        <v>5358</v>
      </c>
      <c r="F20" t="s">
        <v>5281</v>
      </c>
      <c r="G20" t="s">
        <v>1011</v>
      </c>
      <c r="H20" s="108"/>
      <c r="I20" t="s">
        <v>204</v>
      </c>
      <c r="J20" t="s">
        <v>204</v>
      </c>
      <c r="K20" t="s">
        <v>442</v>
      </c>
      <c r="L20" t="s">
        <v>339</v>
      </c>
      <c r="M20" t="s">
        <v>339</v>
      </c>
      <c r="N20" s="108"/>
      <c r="O20"/>
      <c r="P20" t="s">
        <v>1324</v>
      </c>
      <c r="Q20" t="s">
        <v>312</v>
      </c>
      <c r="R20" t="s">
        <v>407</v>
      </c>
      <c r="S20" t="s">
        <v>1212</v>
      </c>
      <c r="T20" s="131">
        <v>2.9889999999999999</v>
      </c>
      <c r="U20" t="s">
        <v>314</v>
      </c>
      <c r="V20" t="s">
        <v>1871</v>
      </c>
      <c r="W20" t="s">
        <v>753</v>
      </c>
      <c r="X20" s="109"/>
      <c r="Y20" s="108"/>
      <c r="Z20" s="108"/>
      <c r="AA20"/>
      <c r="AB20" s="16"/>
      <c r="AC20" t="s">
        <v>761</v>
      </c>
      <c r="AD20" s="131">
        <f t="shared" si="0"/>
        <v>38043.919000000002</v>
      </c>
      <c r="AE20" s="132">
        <v>1</v>
      </c>
      <c r="AF20"/>
      <c r="AG20" s="109"/>
      <c r="AH20" s="109"/>
      <c r="AI20" s="108"/>
      <c r="AJ20" s="108"/>
      <c r="AK20" t="s">
        <v>886</v>
      </c>
      <c r="AL20" t="s">
        <v>4722</v>
      </c>
      <c r="AM20" t="s">
        <v>889</v>
      </c>
      <c r="AN20" t="s">
        <v>4723</v>
      </c>
      <c r="AO20" s="161">
        <v>45565</v>
      </c>
      <c r="AP20" s="108"/>
      <c r="AQ20" s="131">
        <v>31354046.256000001</v>
      </c>
      <c r="AR20" s="131">
        <f>AT20*1000/AQ20*100</f>
        <v>121.33655314972245</v>
      </c>
      <c r="AS20" s="131">
        <v>1</v>
      </c>
      <c r="AT20" s="131">
        <v>38043.919000000002</v>
      </c>
      <c r="AU20" s="131">
        <v>38043918.869999997</v>
      </c>
      <c r="AV20" s="108"/>
      <c r="AW20" s="108"/>
      <c r="AX20" s="16"/>
      <c r="AY20" s="109" t="s">
        <v>15</v>
      </c>
      <c r="AZ20" s="132">
        <v>0.56281999999999999</v>
      </c>
      <c r="BA20" s="132">
        <v>8.5500000000000003E-3</v>
      </c>
    </row>
    <row r="21" spans="1:53">
      <c r="A21" t="s">
        <v>1213</v>
      </c>
      <c r="B21" t="s">
        <v>1243</v>
      </c>
      <c r="C21" t="s">
        <v>1635</v>
      </c>
      <c r="D21" t="s">
        <v>309</v>
      </c>
      <c r="E21" t="s">
        <v>5263</v>
      </c>
      <c r="F21" t="s">
        <v>5264</v>
      </c>
      <c r="G21" t="s">
        <v>1012</v>
      </c>
      <c r="H21" s="108"/>
      <c r="I21" t="s">
        <v>204</v>
      </c>
      <c r="J21" t="s">
        <v>204</v>
      </c>
      <c r="K21" t="s">
        <v>454</v>
      </c>
      <c r="L21" t="s">
        <v>339</v>
      </c>
      <c r="M21" t="s">
        <v>338</v>
      </c>
      <c r="N21" t="s">
        <v>1208</v>
      </c>
      <c r="O21" t="s">
        <v>5265</v>
      </c>
      <c r="P21" t="s">
        <v>1554</v>
      </c>
      <c r="Q21" t="s">
        <v>413</v>
      </c>
      <c r="R21" t="s">
        <v>407</v>
      </c>
      <c r="S21" t="s">
        <v>1216</v>
      </c>
      <c r="T21" s="109">
        <v>2.4700000000000002</v>
      </c>
      <c r="U21" t="s">
        <v>823</v>
      </c>
      <c r="V21" s="132">
        <v>9.9013000000000004E-2</v>
      </c>
      <c r="W21" t="s">
        <v>755</v>
      </c>
      <c r="X21" t="s">
        <v>905</v>
      </c>
      <c r="Y21" s="132">
        <v>4.7500000000000001E-2</v>
      </c>
      <c r="Z21" s="163">
        <v>9.7799999999999998E-2</v>
      </c>
      <c r="AA21" t="s">
        <v>5266</v>
      </c>
      <c r="AB21" t="s">
        <v>412</v>
      </c>
      <c r="AC21" t="s">
        <v>777</v>
      </c>
      <c r="AD21" s="131">
        <f t="shared" si="0"/>
        <v>14886.157999999999</v>
      </c>
      <c r="AE21" s="132">
        <v>1</v>
      </c>
      <c r="AF21" t="s">
        <v>5265</v>
      </c>
      <c r="AG21" t="s">
        <v>339</v>
      </c>
      <c r="AH21" t="s">
        <v>781</v>
      </c>
      <c r="AI21" t="s">
        <v>5267</v>
      </c>
      <c r="AJ21" t="s">
        <v>339</v>
      </c>
      <c r="AK21" t="s">
        <v>886</v>
      </c>
      <c r="AL21" t="s">
        <v>4722</v>
      </c>
      <c r="AM21" t="s">
        <v>889</v>
      </c>
      <c r="AN21" t="s">
        <v>4723</v>
      </c>
      <c r="AO21" s="161">
        <v>45565</v>
      </c>
      <c r="AP21" s="108"/>
      <c r="AQ21" s="131">
        <v>3894818</v>
      </c>
      <c r="AR21" s="131">
        <v>103.02</v>
      </c>
      <c r="AS21" s="131">
        <v>3.71</v>
      </c>
      <c r="AT21" s="131">
        <v>14886.157999999999</v>
      </c>
      <c r="AU21" s="131">
        <v>4012441.5040000002</v>
      </c>
      <c r="AV21" s="108"/>
      <c r="AW21" s="108"/>
      <c r="AX21" t="s">
        <v>339</v>
      </c>
      <c r="AY21" s="109" t="s">
        <v>15</v>
      </c>
      <c r="AZ21" s="132">
        <v>0.22022</v>
      </c>
      <c r="BA21" s="132">
        <v>3.3400000000000001E-3</v>
      </c>
    </row>
    <row r="22" spans="1:53" hidden="1">
      <c r="A22" t="s">
        <v>1213</v>
      </c>
      <c r="B22" t="s">
        <v>1243</v>
      </c>
      <c r="C22" t="s">
        <v>2397</v>
      </c>
      <c r="D22" t="s">
        <v>309</v>
      </c>
      <c r="E22" t="s">
        <v>5258</v>
      </c>
      <c r="F22" t="s">
        <v>5259</v>
      </c>
      <c r="G22" t="s">
        <v>1012</v>
      </c>
      <c r="H22" s="108"/>
      <c r="I22" t="s">
        <v>204</v>
      </c>
      <c r="J22" t="s">
        <v>204</v>
      </c>
      <c r="K22" t="s">
        <v>451</v>
      </c>
      <c r="L22" t="s">
        <v>339</v>
      </c>
      <c r="M22" t="s">
        <v>338</v>
      </c>
      <c r="N22" s="108"/>
      <c r="O22" t="s">
        <v>5234</v>
      </c>
      <c r="P22" t="s">
        <v>1566</v>
      </c>
      <c r="Q22" t="s">
        <v>413</v>
      </c>
      <c r="R22" t="s">
        <v>407</v>
      </c>
      <c r="S22" t="s">
        <v>1212</v>
      </c>
      <c r="T22" s="175">
        <v>2.42</v>
      </c>
      <c r="U22" t="s">
        <v>5260</v>
      </c>
      <c r="V22" s="132">
        <v>7.9500000000000001E-2</v>
      </c>
      <c r="W22" t="s">
        <v>753</v>
      </c>
      <c r="X22" t="s">
        <v>896</v>
      </c>
      <c r="Y22" s="108"/>
      <c r="Z22" s="136">
        <v>8.09E-2</v>
      </c>
      <c r="AA22" t="s">
        <v>5261</v>
      </c>
      <c r="AB22" t="s">
        <v>412</v>
      </c>
      <c r="AC22" s="108"/>
      <c r="AD22" s="131">
        <f t="shared" si="0"/>
        <v>11697.022999999999</v>
      </c>
      <c r="AE22" s="132">
        <v>1</v>
      </c>
      <c r="AF22" s="108"/>
      <c r="AG22" t="s">
        <v>338</v>
      </c>
      <c r="AH22" t="s">
        <v>781</v>
      </c>
      <c r="AI22" t="s">
        <v>5262</v>
      </c>
      <c r="AJ22" t="s">
        <v>338</v>
      </c>
      <c r="AK22" t="s">
        <v>886</v>
      </c>
      <c r="AL22" t="s">
        <v>4722</v>
      </c>
      <c r="AM22" t="s">
        <v>889</v>
      </c>
      <c r="AN22" t="s">
        <v>4723</v>
      </c>
      <c r="AO22" s="161">
        <v>45565</v>
      </c>
      <c r="AP22" s="108"/>
      <c r="AQ22" s="131">
        <v>11671346</v>
      </c>
      <c r="AR22" s="131">
        <v>100.22</v>
      </c>
      <c r="AS22" s="131">
        <v>1</v>
      </c>
      <c r="AT22" s="131">
        <v>11697.022999999999</v>
      </c>
      <c r="AU22" s="131">
        <v>11697022.960999999</v>
      </c>
      <c r="AV22" s="108"/>
      <c r="AW22" s="108"/>
      <c r="AX22" t="s">
        <v>339</v>
      </c>
      <c r="AY22" s="109" t="s">
        <v>15</v>
      </c>
      <c r="AZ22" s="132">
        <v>0.17304</v>
      </c>
      <c r="BA22" s="132">
        <v>2.63E-3</v>
      </c>
    </row>
    <row r="23" spans="1:53" hidden="1">
      <c r="A23" t="s">
        <v>1213</v>
      </c>
      <c r="B23" t="s">
        <v>1243</v>
      </c>
      <c r="C23" t="s">
        <v>4888</v>
      </c>
      <c r="D23" t="s">
        <v>309</v>
      </c>
      <c r="E23" t="s">
        <v>5268</v>
      </c>
      <c r="F23" t="s">
        <v>5269</v>
      </c>
      <c r="G23" t="s">
        <v>1012</v>
      </c>
      <c r="H23" t="s">
        <v>817</v>
      </c>
      <c r="I23" t="s">
        <v>204</v>
      </c>
      <c r="J23" t="s">
        <v>204</v>
      </c>
      <c r="K23" t="s">
        <v>477</v>
      </c>
      <c r="L23" t="s">
        <v>339</v>
      </c>
      <c r="M23" t="s">
        <v>339</v>
      </c>
      <c r="N23" t="s">
        <v>1208</v>
      </c>
      <c r="O23" t="s">
        <v>5270</v>
      </c>
      <c r="P23" t="s">
        <v>410</v>
      </c>
      <c r="Q23" t="s">
        <v>312</v>
      </c>
      <c r="R23" t="s">
        <v>408</v>
      </c>
      <c r="S23" t="s">
        <v>1212</v>
      </c>
      <c r="T23" s="175">
        <v>1.41</v>
      </c>
      <c r="U23" t="s">
        <v>5260</v>
      </c>
      <c r="V23" s="132">
        <v>5.2999999999999999E-2</v>
      </c>
      <c r="W23" t="s">
        <v>753</v>
      </c>
      <c r="X23" t="s">
        <v>896</v>
      </c>
      <c r="Y23" s="108"/>
      <c r="Z23" s="136">
        <v>8.8800000000000004E-2</v>
      </c>
      <c r="AA23" t="s">
        <v>1659</v>
      </c>
      <c r="AB23" t="s">
        <v>412</v>
      </c>
      <c r="AC23" s="108"/>
      <c r="AD23" s="131">
        <f t="shared" si="0"/>
        <v>1605.0740000000001</v>
      </c>
      <c r="AE23" s="132">
        <v>1</v>
      </c>
      <c r="AF23" s="108"/>
      <c r="AG23" t="s">
        <v>339</v>
      </c>
      <c r="AH23" t="s">
        <v>781</v>
      </c>
      <c r="AI23" t="s">
        <v>5262</v>
      </c>
      <c r="AJ23" t="s">
        <v>338</v>
      </c>
      <c r="AK23" t="s">
        <v>886</v>
      </c>
      <c r="AL23" t="s">
        <v>4722</v>
      </c>
      <c r="AM23" t="s">
        <v>889</v>
      </c>
      <c r="AN23" t="s">
        <v>4723</v>
      </c>
      <c r="AO23" s="161">
        <v>45565</v>
      </c>
      <c r="AP23" s="108"/>
      <c r="AQ23" s="131">
        <v>1680529.35</v>
      </c>
      <c r="AR23" s="131">
        <v>95.51</v>
      </c>
      <c r="AS23" s="131">
        <v>1</v>
      </c>
      <c r="AT23" s="131">
        <v>1605.0740000000001</v>
      </c>
      <c r="AU23" s="131">
        <v>1605073.5819999999</v>
      </c>
      <c r="AV23" s="108"/>
      <c r="AW23" s="108"/>
      <c r="AX23" t="s">
        <v>339</v>
      </c>
      <c r="AY23" s="109" t="s">
        <v>15</v>
      </c>
      <c r="AZ23" s="132">
        <v>2.375E-2</v>
      </c>
      <c r="BA23" s="132">
        <v>3.6000000000000002E-4</v>
      </c>
    </row>
    <row r="24" spans="1:53" hidden="1">
      <c r="A24" t="s">
        <v>1213</v>
      </c>
      <c r="B24" t="s">
        <v>1243</v>
      </c>
      <c r="C24" s="108"/>
      <c r="D24" s="108"/>
      <c r="E24" t="s">
        <v>5359</v>
      </c>
      <c r="F24" t="s">
        <v>5282</v>
      </c>
      <c r="G24" t="s">
        <v>1011</v>
      </c>
      <c r="H24" s="108"/>
      <c r="I24" t="s">
        <v>204</v>
      </c>
      <c r="J24" t="s">
        <v>204</v>
      </c>
      <c r="K24" t="s">
        <v>442</v>
      </c>
      <c r="L24" t="s">
        <v>339</v>
      </c>
      <c r="M24" t="s">
        <v>339</v>
      </c>
      <c r="N24" s="108"/>
      <c r="O24"/>
      <c r="P24" t="s">
        <v>1324</v>
      </c>
      <c r="Q24" t="s">
        <v>312</v>
      </c>
      <c r="R24" t="s">
        <v>407</v>
      </c>
      <c r="S24" t="s">
        <v>1212</v>
      </c>
      <c r="T24" s="131">
        <v>1.962</v>
      </c>
      <c r="U24" t="s">
        <v>314</v>
      </c>
      <c r="V24" t="s">
        <v>1871</v>
      </c>
      <c r="W24" t="s">
        <v>754</v>
      </c>
      <c r="X24" s="108"/>
      <c r="Y24" s="108"/>
      <c r="Z24" s="108"/>
      <c r="AA24"/>
      <c r="AC24" t="s">
        <v>761</v>
      </c>
      <c r="AD24" s="131">
        <f>AT24-165.437</f>
        <v>522.29</v>
      </c>
      <c r="AE24" s="132">
        <v>1</v>
      </c>
      <c r="AF24"/>
      <c r="AG24" s="108"/>
      <c r="AH24" s="108"/>
      <c r="AI24" s="108"/>
      <c r="AJ24" s="108"/>
      <c r="AK24" t="s">
        <v>886</v>
      </c>
      <c r="AL24" t="s">
        <v>4722</v>
      </c>
      <c r="AM24" t="s">
        <v>889</v>
      </c>
      <c r="AN24" t="s">
        <v>4723</v>
      </c>
      <c r="AO24" s="161">
        <v>45565</v>
      </c>
      <c r="AP24" s="108"/>
      <c r="AQ24" s="131">
        <f>687746.724-165437</f>
        <v>522309.72400000005</v>
      </c>
      <c r="AR24" s="131">
        <f>AT24*1000/AQ24*100</f>
        <v>131.67034202104955</v>
      </c>
      <c r="AS24" s="131">
        <v>1</v>
      </c>
      <c r="AT24" s="131">
        <f>853.164-165.437</f>
        <v>687.72699999999998</v>
      </c>
      <c r="AU24" s="131">
        <f>853163.68-165437</f>
        <v>687726.68</v>
      </c>
      <c r="AV24" s="108"/>
      <c r="AW24" s="108"/>
      <c r="AY24" s="109" t="s">
        <v>15</v>
      </c>
      <c r="AZ24" s="132">
        <v>1.2619999999999999E-2</v>
      </c>
      <c r="BA24" s="132">
        <v>1.9000000000000001E-4</v>
      </c>
    </row>
    <row r="25" spans="1:53" hidden="1">
      <c r="A25" t="s">
        <v>1213</v>
      </c>
      <c r="B25" t="s">
        <v>1243</v>
      </c>
      <c r="C25" t="s">
        <v>4911</v>
      </c>
      <c r="D25" t="s">
        <v>309</v>
      </c>
      <c r="E25" t="s">
        <v>5272</v>
      </c>
      <c r="F25" t="s">
        <v>5273</v>
      </c>
      <c r="G25" t="s">
        <v>1012</v>
      </c>
      <c r="H25" t="s">
        <v>815</v>
      </c>
      <c r="I25" t="s">
        <v>204</v>
      </c>
      <c r="J25" t="s">
        <v>204</v>
      </c>
      <c r="K25" t="s">
        <v>447</v>
      </c>
      <c r="L25" t="s">
        <v>339</v>
      </c>
      <c r="M25" t="s">
        <v>339</v>
      </c>
      <c r="N25" t="s">
        <v>1208</v>
      </c>
      <c r="O25" t="s">
        <v>5274</v>
      </c>
      <c r="P25" t="s">
        <v>410</v>
      </c>
      <c r="Q25" t="s">
        <v>312</v>
      </c>
      <c r="R25" t="s">
        <v>408</v>
      </c>
      <c r="S25" t="s">
        <v>1212</v>
      </c>
      <c r="T25" s="175">
        <v>1.1599999999999999</v>
      </c>
      <c r="U25" t="s">
        <v>823</v>
      </c>
      <c r="V25" s="132">
        <v>0.100036</v>
      </c>
      <c r="W25" t="s">
        <v>753</v>
      </c>
      <c r="X25" t="s">
        <v>900</v>
      </c>
      <c r="Y25" s="132">
        <v>0.04</v>
      </c>
      <c r="Z25" s="136">
        <v>9.9099999999999994E-2</v>
      </c>
      <c r="AA25" t="s">
        <v>1777</v>
      </c>
      <c r="AB25" t="s">
        <v>412</v>
      </c>
      <c r="AD25" s="131">
        <f t="shared" si="0"/>
        <v>675.44799999999998</v>
      </c>
      <c r="AE25" s="132">
        <v>1</v>
      </c>
      <c r="AG25" t="s">
        <v>339</v>
      </c>
      <c r="AH25" t="s">
        <v>781</v>
      </c>
      <c r="AI25" t="s">
        <v>5275</v>
      </c>
      <c r="AJ25" t="s">
        <v>339</v>
      </c>
      <c r="AK25" t="s">
        <v>884</v>
      </c>
      <c r="AM25" t="s">
        <v>889</v>
      </c>
      <c r="AN25" t="s">
        <v>4723</v>
      </c>
      <c r="AO25" s="161">
        <v>45565</v>
      </c>
      <c r="AQ25" s="131">
        <v>628388</v>
      </c>
      <c r="AR25" s="131">
        <v>107.489</v>
      </c>
      <c r="AS25" s="131">
        <v>1</v>
      </c>
      <c r="AT25" s="131">
        <v>675.44799999999998</v>
      </c>
      <c r="AU25" s="131">
        <v>675448.424</v>
      </c>
      <c r="AX25" t="s">
        <v>339</v>
      </c>
      <c r="AY25" s="109" t="s">
        <v>15</v>
      </c>
      <c r="AZ25" s="132">
        <v>9.9900000000000006E-3</v>
      </c>
      <c r="BA25" s="132">
        <v>1.4999999999999999E-4</v>
      </c>
    </row>
    <row r="26" spans="1:53" hidden="1">
      <c r="A26" t="s">
        <v>1213</v>
      </c>
      <c r="B26" t="s">
        <v>1244</v>
      </c>
      <c r="E26" t="s">
        <v>5358</v>
      </c>
      <c r="F26" t="s">
        <v>5283</v>
      </c>
      <c r="G26" t="s">
        <v>1011</v>
      </c>
      <c r="I26" t="s">
        <v>204</v>
      </c>
      <c r="J26" t="s">
        <v>204</v>
      </c>
      <c r="K26" t="s">
        <v>442</v>
      </c>
      <c r="L26" t="s">
        <v>339</v>
      </c>
      <c r="M26" t="s">
        <v>339</v>
      </c>
      <c r="O26"/>
      <c r="P26" t="s">
        <v>1324</v>
      </c>
      <c r="Q26" t="s">
        <v>312</v>
      </c>
      <c r="R26" t="s">
        <v>407</v>
      </c>
      <c r="S26" t="s">
        <v>1212</v>
      </c>
      <c r="T26" s="131">
        <v>3.7189999999999999</v>
      </c>
      <c r="U26" t="s">
        <v>314</v>
      </c>
      <c r="V26" t="s">
        <v>1871</v>
      </c>
      <c r="W26" t="s">
        <v>753</v>
      </c>
      <c r="AA26"/>
      <c r="AC26" t="s">
        <v>761</v>
      </c>
      <c r="AD26" s="131">
        <f t="shared" si="0"/>
        <v>2607.5160000000001</v>
      </c>
      <c r="AE26" s="132">
        <v>1</v>
      </c>
      <c r="AF26"/>
      <c r="AK26" t="s">
        <v>886</v>
      </c>
      <c r="AL26" t="s">
        <v>4722</v>
      </c>
      <c r="AM26" t="s">
        <v>889</v>
      </c>
      <c r="AN26" t="s">
        <v>4723</v>
      </c>
      <c r="AO26" s="161">
        <v>45565</v>
      </c>
      <c r="AQ26" s="131">
        <v>2007641.567</v>
      </c>
      <c r="AR26" s="131">
        <f>AT26*1000/AQ26*100</f>
        <v>129.87955832655859</v>
      </c>
      <c r="AS26" s="131">
        <v>1</v>
      </c>
      <c r="AT26" s="131">
        <v>2607.5160000000001</v>
      </c>
      <c r="AU26" s="131">
        <v>2607515.9900000002</v>
      </c>
      <c r="AY26" s="109" t="s">
        <v>15</v>
      </c>
      <c r="AZ26" s="132">
        <v>1</v>
      </c>
      <c r="BA26" s="132">
        <v>7.5399999999999998E-3</v>
      </c>
    </row>
    <row r="27" spans="1:53" hidden="1">
      <c r="A27" t="s">
        <v>1213</v>
      </c>
      <c r="B27" t="s">
        <v>1247</v>
      </c>
      <c r="E27" t="s">
        <v>5358</v>
      </c>
      <c r="F27" t="s">
        <v>5284</v>
      </c>
      <c r="G27" t="s">
        <v>1011</v>
      </c>
      <c r="I27" t="s">
        <v>204</v>
      </c>
      <c r="J27" t="s">
        <v>204</v>
      </c>
      <c r="K27" t="s">
        <v>442</v>
      </c>
      <c r="L27" t="s">
        <v>339</v>
      </c>
      <c r="M27" t="s">
        <v>339</v>
      </c>
      <c r="O27"/>
      <c r="P27" t="s">
        <v>1324</v>
      </c>
      <c r="Q27" t="s">
        <v>312</v>
      </c>
      <c r="R27" t="s">
        <v>407</v>
      </c>
      <c r="S27" t="s">
        <v>1212</v>
      </c>
      <c r="T27" s="131">
        <v>2.609</v>
      </c>
      <c r="U27" t="s">
        <v>314</v>
      </c>
      <c r="V27" t="s">
        <v>1871</v>
      </c>
      <c r="W27" t="s">
        <v>753</v>
      </c>
      <c r="AA27"/>
      <c r="AC27" t="s">
        <v>761</v>
      </c>
      <c r="AD27" s="131">
        <f t="shared" si="0"/>
        <v>3659.3919999999998</v>
      </c>
      <c r="AE27" s="132">
        <v>1</v>
      </c>
      <c r="AF27"/>
      <c r="AK27" t="s">
        <v>886</v>
      </c>
      <c r="AL27" t="s">
        <v>4722</v>
      </c>
      <c r="AM27" t="s">
        <v>889</v>
      </c>
      <c r="AN27" t="s">
        <v>4723</v>
      </c>
      <c r="AO27" s="161">
        <v>45565</v>
      </c>
      <c r="AQ27" s="131">
        <v>2903100.9640000002</v>
      </c>
      <c r="AR27" s="131">
        <v>126.051</v>
      </c>
      <c r="AS27" s="131">
        <v>1</v>
      </c>
      <c r="AT27" s="131">
        <v>3659.3919999999998</v>
      </c>
      <c r="AU27" s="131">
        <v>3659391.7</v>
      </c>
      <c r="AY27" s="109" t="s">
        <v>15</v>
      </c>
      <c r="AZ27" s="132">
        <v>1</v>
      </c>
      <c r="BA27" s="132">
        <v>1.1979999999999999E-2</v>
      </c>
    </row>
    <row r="28" spans="1:53" hidden="1">
      <c r="A28" t="s">
        <v>1213</v>
      </c>
      <c r="B28" t="s">
        <v>1250</v>
      </c>
      <c r="E28" t="s">
        <v>5358</v>
      </c>
      <c r="F28" t="s">
        <v>5285</v>
      </c>
      <c r="G28" t="s">
        <v>1011</v>
      </c>
      <c r="I28" t="s">
        <v>204</v>
      </c>
      <c r="J28" t="s">
        <v>204</v>
      </c>
      <c r="K28" t="s">
        <v>442</v>
      </c>
      <c r="L28" t="s">
        <v>339</v>
      </c>
      <c r="M28" t="s">
        <v>339</v>
      </c>
      <c r="O28"/>
      <c r="P28" t="s">
        <v>1324</v>
      </c>
      <c r="Q28" t="s">
        <v>312</v>
      </c>
      <c r="R28" t="s">
        <v>407</v>
      </c>
      <c r="S28" t="s">
        <v>1212</v>
      </c>
      <c r="T28" s="131">
        <v>2.81</v>
      </c>
      <c r="U28" t="s">
        <v>314</v>
      </c>
      <c r="V28" t="s">
        <v>1871</v>
      </c>
      <c r="W28" t="s">
        <v>753</v>
      </c>
      <c r="AA28"/>
      <c r="AC28" t="s">
        <v>761</v>
      </c>
      <c r="AD28" s="131">
        <f t="shared" si="0"/>
        <v>50088.305</v>
      </c>
      <c r="AE28" s="132">
        <v>1</v>
      </c>
      <c r="AF28"/>
      <c r="AK28" t="s">
        <v>886</v>
      </c>
      <c r="AL28" t="s">
        <v>4722</v>
      </c>
      <c r="AM28" t="s">
        <v>889</v>
      </c>
      <c r="AN28" t="s">
        <v>4723</v>
      </c>
      <c r="AO28" s="161">
        <v>45565</v>
      </c>
      <c r="AQ28" s="131">
        <v>40625376.185000002</v>
      </c>
      <c r="AR28" s="131">
        <f>AT28*1000/AQ28*100</f>
        <v>123.29314754381025</v>
      </c>
      <c r="AS28" s="131">
        <v>1</v>
      </c>
      <c r="AT28" s="131">
        <v>50088.305</v>
      </c>
      <c r="AU28" s="131">
        <v>50088305.359999999</v>
      </c>
      <c r="AY28" s="109" t="s">
        <v>15</v>
      </c>
      <c r="AZ28" s="132">
        <v>1</v>
      </c>
      <c r="BA28" s="132">
        <v>1.498E-2</v>
      </c>
    </row>
    <row r="29" spans="1:53">
      <c r="A29" t="s">
        <v>1213</v>
      </c>
      <c r="B29" t="s">
        <v>1251</v>
      </c>
      <c r="C29" t="s">
        <v>1635</v>
      </c>
      <c r="D29" t="s">
        <v>309</v>
      </c>
      <c r="E29" t="s">
        <v>5263</v>
      </c>
      <c r="F29" t="s">
        <v>5264</v>
      </c>
      <c r="G29" t="s">
        <v>1012</v>
      </c>
      <c r="I29" t="s">
        <v>204</v>
      </c>
      <c r="J29" t="s">
        <v>204</v>
      </c>
      <c r="K29" t="s">
        <v>454</v>
      </c>
      <c r="L29" t="s">
        <v>339</v>
      </c>
      <c r="M29" t="s">
        <v>338</v>
      </c>
      <c r="N29" t="s">
        <v>1208</v>
      </c>
      <c r="O29" t="s">
        <v>5265</v>
      </c>
      <c r="P29" t="s">
        <v>1554</v>
      </c>
      <c r="Q29" t="s">
        <v>413</v>
      </c>
      <c r="R29" t="s">
        <v>407</v>
      </c>
      <c r="S29" t="s">
        <v>1216</v>
      </c>
      <c r="T29" s="109">
        <v>2.4700000000000002</v>
      </c>
      <c r="U29" t="s">
        <v>823</v>
      </c>
      <c r="V29" s="132">
        <v>9.9013000000000004E-2</v>
      </c>
      <c r="W29" t="s">
        <v>755</v>
      </c>
      <c r="X29" t="s">
        <v>905</v>
      </c>
      <c r="Y29" s="132">
        <v>4.7500000000000001E-2</v>
      </c>
      <c r="Z29" s="163">
        <v>9.7799999999999998E-2</v>
      </c>
      <c r="AA29" t="s">
        <v>5266</v>
      </c>
      <c r="AB29" t="s">
        <v>412</v>
      </c>
      <c r="AC29" t="s">
        <v>777</v>
      </c>
      <c r="AD29" s="131">
        <f t="shared" si="0"/>
        <v>882.71199999999999</v>
      </c>
      <c r="AE29" s="132">
        <v>1</v>
      </c>
      <c r="AF29" t="s">
        <v>5265</v>
      </c>
      <c r="AG29" t="s">
        <v>339</v>
      </c>
      <c r="AH29" t="s">
        <v>781</v>
      </c>
      <c r="AI29" t="s">
        <v>5267</v>
      </c>
      <c r="AJ29" t="s">
        <v>339</v>
      </c>
      <c r="AK29" t="s">
        <v>886</v>
      </c>
      <c r="AL29" t="s">
        <v>4722</v>
      </c>
      <c r="AM29" t="s">
        <v>889</v>
      </c>
      <c r="AN29" t="s">
        <v>4723</v>
      </c>
      <c r="AO29" s="161">
        <v>45565</v>
      </c>
      <c r="AQ29" s="131">
        <v>230953</v>
      </c>
      <c r="AR29" s="131">
        <v>103.02</v>
      </c>
      <c r="AS29" s="131">
        <v>3.71</v>
      </c>
      <c r="AT29" s="131">
        <v>882.71199999999999</v>
      </c>
      <c r="AU29" s="131">
        <v>237927.78099999999</v>
      </c>
      <c r="AX29" t="s">
        <v>339</v>
      </c>
      <c r="AY29" s="109" t="s">
        <v>15</v>
      </c>
      <c r="AZ29" s="132">
        <v>0.48670999999999998</v>
      </c>
      <c r="BA29" s="132">
        <v>3.1800000000000001E-3</v>
      </c>
    </row>
    <row r="30" spans="1:53" hidden="1">
      <c r="A30" t="s">
        <v>1213</v>
      </c>
      <c r="B30" t="s">
        <v>1251</v>
      </c>
      <c r="C30" t="s">
        <v>2397</v>
      </c>
      <c r="D30" t="s">
        <v>309</v>
      </c>
      <c r="E30" t="s">
        <v>5258</v>
      </c>
      <c r="F30" t="s">
        <v>5259</v>
      </c>
      <c r="G30" t="s">
        <v>1012</v>
      </c>
      <c r="I30" t="s">
        <v>204</v>
      </c>
      <c r="J30" t="s">
        <v>204</v>
      </c>
      <c r="K30" t="s">
        <v>451</v>
      </c>
      <c r="L30" t="s">
        <v>339</v>
      </c>
      <c r="M30" t="s">
        <v>338</v>
      </c>
      <c r="O30" t="s">
        <v>5234</v>
      </c>
      <c r="P30" t="s">
        <v>1566</v>
      </c>
      <c r="Q30" t="s">
        <v>413</v>
      </c>
      <c r="R30" t="s">
        <v>407</v>
      </c>
      <c r="S30" t="s">
        <v>1212</v>
      </c>
      <c r="T30" s="175">
        <v>2.42</v>
      </c>
      <c r="U30" t="s">
        <v>5260</v>
      </c>
      <c r="V30" s="132">
        <v>7.9500000000000001E-2</v>
      </c>
      <c r="W30" t="s">
        <v>753</v>
      </c>
      <c r="X30" t="s">
        <v>896</v>
      </c>
      <c r="Z30" s="136">
        <v>8.09E-2</v>
      </c>
      <c r="AA30" t="s">
        <v>5261</v>
      </c>
      <c r="AB30" t="s">
        <v>412</v>
      </c>
      <c r="AD30" s="131">
        <f t="shared" si="0"/>
        <v>736.92600000000004</v>
      </c>
      <c r="AE30" s="132">
        <v>1</v>
      </c>
      <c r="AG30" t="s">
        <v>338</v>
      </c>
      <c r="AH30" t="s">
        <v>781</v>
      </c>
      <c r="AI30" t="s">
        <v>5262</v>
      </c>
      <c r="AJ30" t="s">
        <v>338</v>
      </c>
      <c r="AK30" t="s">
        <v>886</v>
      </c>
      <c r="AL30" t="s">
        <v>4722</v>
      </c>
      <c r="AM30" t="s">
        <v>889</v>
      </c>
      <c r="AN30" t="s">
        <v>4723</v>
      </c>
      <c r="AO30" s="161">
        <v>45565</v>
      </c>
      <c r="AQ30" s="131">
        <v>735308</v>
      </c>
      <c r="AR30" s="131">
        <v>100.22</v>
      </c>
      <c r="AS30" s="131">
        <v>1</v>
      </c>
      <c r="AT30" s="131">
        <v>736.92600000000004</v>
      </c>
      <c r="AU30" s="131">
        <v>736925.67799999996</v>
      </c>
      <c r="AX30" t="s">
        <v>339</v>
      </c>
      <c r="AY30" s="109" t="s">
        <v>15</v>
      </c>
      <c r="AZ30" s="132">
        <v>0.40632000000000001</v>
      </c>
      <c r="BA30" s="132">
        <v>2.66E-3</v>
      </c>
    </row>
    <row r="31" spans="1:53" hidden="1">
      <c r="A31" t="s">
        <v>1213</v>
      </c>
      <c r="B31" t="s">
        <v>1251</v>
      </c>
      <c r="E31" t="s">
        <v>5359</v>
      </c>
      <c r="F31" t="s">
        <v>5286</v>
      </c>
      <c r="G31" t="s">
        <v>1011</v>
      </c>
      <c r="I31" t="s">
        <v>204</v>
      </c>
      <c r="J31" t="s">
        <v>204</v>
      </c>
      <c r="K31" t="s">
        <v>442</v>
      </c>
      <c r="L31" t="s">
        <v>339</v>
      </c>
      <c r="M31" t="s">
        <v>339</v>
      </c>
      <c r="O31"/>
      <c r="P31" t="s">
        <v>1324</v>
      </c>
      <c r="Q31" t="s">
        <v>312</v>
      </c>
      <c r="R31" t="s">
        <v>407</v>
      </c>
      <c r="S31" t="s">
        <v>1212</v>
      </c>
      <c r="T31" s="131">
        <v>3.2930000000000001</v>
      </c>
      <c r="U31" t="s">
        <v>314</v>
      </c>
      <c r="V31" t="s">
        <v>1871</v>
      </c>
      <c r="W31" t="s">
        <v>754</v>
      </c>
      <c r="AA31"/>
      <c r="AC31" t="s">
        <v>761</v>
      </c>
      <c r="AD31" s="131">
        <f t="shared" si="0"/>
        <v>59.017000000000003</v>
      </c>
      <c r="AE31" s="132">
        <v>1</v>
      </c>
      <c r="AK31" t="s">
        <v>886</v>
      </c>
      <c r="AL31" t="s">
        <v>4722</v>
      </c>
      <c r="AM31" t="s">
        <v>889</v>
      </c>
      <c r="AN31" t="s">
        <v>4723</v>
      </c>
      <c r="AO31" s="161">
        <v>45565</v>
      </c>
      <c r="AQ31" s="131">
        <v>50014.36</v>
      </c>
      <c r="AR31" s="131">
        <v>118</v>
      </c>
      <c r="AS31" s="131">
        <v>1</v>
      </c>
      <c r="AT31" s="131">
        <v>59.017000000000003</v>
      </c>
      <c r="AU31" s="131">
        <v>59017.1</v>
      </c>
      <c r="AY31" s="109" t="s">
        <v>15</v>
      </c>
      <c r="AZ31" s="132">
        <v>3.2539999999999999E-2</v>
      </c>
      <c r="BA31" s="132">
        <v>2.1000000000000001E-4</v>
      </c>
    </row>
    <row r="32" spans="1:53" hidden="1">
      <c r="A32" t="s">
        <v>1213</v>
      </c>
      <c r="B32" t="s">
        <v>1251</v>
      </c>
      <c r="E32" t="s">
        <v>5358</v>
      </c>
      <c r="F32" t="s">
        <v>5287</v>
      </c>
      <c r="G32" t="s">
        <v>1011</v>
      </c>
      <c r="I32" t="s">
        <v>204</v>
      </c>
      <c r="J32" t="s">
        <v>204</v>
      </c>
      <c r="K32" t="s">
        <v>442</v>
      </c>
      <c r="L32" t="s">
        <v>339</v>
      </c>
      <c r="M32" t="s">
        <v>339</v>
      </c>
      <c r="O32"/>
      <c r="P32" t="s">
        <v>1324</v>
      </c>
      <c r="Q32" t="s">
        <v>312</v>
      </c>
      <c r="R32" t="s">
        <v>407</v>
      </c>
      <c r="S32" t="s">
        <v>1212</v>
      </c>
      <c r="T32" s="131">
        <v>1.6859999999999999</v>
      </c>
      <c r="U32" t="s">
        <v>314</v>
      </c>
      <c r="V32" t="s">
        <v>1871</v>
      </c>
      <c r="W32" t="s">
        <v>753</v>
      </c>
      <c r="AA32"/>
      <c r="AC32" t="s">
        <v>761</v>
      </c>
      <c r="AD32" s="131">
        <f t="shared" si="0"/>
        <v>48.231999999999999</v>
      </c>
      <c r="AE32" s="132">
        <v>1</v>
      </c>
      <c r="AF32"/>
      <c r="AK32" t="s">
        <v>886</v>
      </c>
      <c r="AL32" t="s">
        <v>4722</v>
      </c>
      <c r="AM32" t="s">
        <v>889</v>
      </c>
      <c r="AN32" t="s">
        <v>4723</v>
      </c>
      <c r="AO32" s="161">
        <v>45565</v>
      </c>
      <c r="AQ32" s="131">
        <v>39659.491000000002</v>
      </c>
      <c r="AR32" s="131">
        <v>121.61499999999999</v>
      </c>
      <c r="AS32" s="131">
        <v>1</v>
      </c>
      <c r="AT32" s="131">
        <v>48.231999999999999</v>
      </c>
      <c r="AU32" s="131">
        <v>48231.94</v>
      </c>
      <c r="AY32" s="109" t="s">
        <v>15</v>
      </c>
      <c r="AZ32" s="132">
        <v>2.6589999999999999E-2</v>
      </c>
      <c r="BA32" s="132">
        <v>1.7000000000000001E-4</v>
      </c>
    </row>
    <row r="33" spans="1:53" hidden="1">
      <c r="A33" t="s">
        <v>1213</v>
      </c>
      <c r="B33" t="s">
        <v>1251</v>
      </c>
      <c r="E33" t="s">
        <v>5359</v>
      </c>
      <c r="F33" t="s">
        <v>5288</v>
      </c>
      <c r="G33" t="s">
        <v>1011</v>
      </c>
      <c r="I33" t="s">
        <v>204</v>
      </c>
      <c r="J33" t="s">
        <v>204</v>
      </c>
      <c r="K33" t="s">
        <v>442</v>
      </c>
      <c r="L33" t="s">
        <v>339</v>
      </c>
      <c r="M33" t="s">
        <v>339</v>
      </c>
      <c r="O33"/>
      <c r="P33" t="s">
        <v>1324</v>
      </c>
      <c r="Q33" t="s">
        <v>312</v>
      </c>
      <c r="R33" t="s">
        <v>407</v>
      </c>
      <c r="S33" t="s">
        <v>1212</v>
      </c>
      <c r="T33" s="131">
        <v>2.327</v>
      </c>
      <c r="U33" t="s">
        <v>314</v>
      </c>
      <c r="V33" t="s">
        <v>1871</v>
      </c>
      <c r="W33" t="s">
        <v>754</v>
      </c>
      <c r="AA33"/>
      <c r="AC33" t="s">
        <v>761</v>
      </c>
      <c r="AD33" s="131">
        <f t="shared" si="0"/>
        <v>47.548000000000002</v>
      </c>
      <c r="AE33" s="132">
        <v>1</v>
      </c>
      <c r="AF33"/>
      <c r="AK33" t="s">
        <v>886</v>
      </c>
      <c r="AL33" t="s">
        <v>4722</v>
      </c>
      <c r="AM33" t="s">
        <v>889</v>
      </c>
      <c r="AN33" t="s">
        <v>4723</v>
      </c>
      <c r="AO33" s="161">
        <v>45565</v>
      </c>
      <c r="AQ33" s="131">
        <v>37165.78</v>
      </c>
      <c r="AR33" s="131">
        <v>127.93600000000001</v>
      </c>
      <c r="AS33" s="131">
        <v>1</v>
      </c>
      <c r="AT33" s="131">
        <v>47.548000000000002</v>
      </c>
      <c r="AU33" s="131">
        <v>47548.27</v>
      </c>
      <c r="AY33" s="109" t="s">
        <v>15</v>
      </c>
      <c r="AZ33" s="132">
        <v>2.622E-2</v>
      </c>
      <c r="BA33" s="132">
        <v>1.7000000000000001E-4</v>
      </c>
    </row>
    <row r="34" spans="1:53" hidden="1">
      <c r="A34" t="s">
        <v>1213</v>
      </c>
      <c r="B34" t="s">
        <v>1251</v>
      </c>
      <c r="C34" t="s">
        <v>4911</v>
      </c>
      <c r="D34" t="s">
        <v>309</v>
      </c>
      <c r="E34" t="s">
        <v>5272</v>
      </c>
      <c r="F34" t="s">
        <v>5273</v>
      </c>
      <c r="G34" t="s">
        <v>1012</v>
      </c>
      <c r="H34" t="s">
        <v>815</v>
      </c>
      <c r="I34" t="s">
        <v>204</v>
      </c>
      <c r="J34" t="s">
        <v>204</v>
      </c>
      <c r="K34" t="s">
        <v>447</v>
      </c>
      <c r="L34" t="s">
        <v>339</v>
      </c>
      <c r="M34" t="s">
        <v>339</v>
      </c>
      <c r="N34" t="s">
        <v>1208</v>
      </c>
      <c r="O34" t="s">
        <v>5274</v>
      </c>
      <c r="P34" t="s">
        <v>410</v>
      </c>
      <c r="Q34" t="s">
        <v>312</v>
      </c>
      <c r="R34" t="s">
        <v>408</v>
      </c>
      <c r="S34" t="s">
        <v>1212</v>
      </c>
      <c r="T34" s="175">
        <v>1.1599999999999999</v>
      </c>
      <c r="U34" t="s">
        <v>823</v>
      </c>
      <c r="V34" s="132">
        <v>0.100036</v>
      </c>
      <c r="W34" t="s">
        <v>753</v>
      </c>
      <c r="X34" t="s">
        <v>900</v>
      </c>
      <c r="Y34" s="132">
        <v>0.04</v>
      </c>
      <c r="Z34" s="136">
        <v>9.9099999999999994E-2</v>
      </c>
      <c r="AA34" t="s">
        <v>1777</v>
      </c>
      <c r="AB34" t="s">
        <v>412</v>
      </c>
      <c r="AD34" s="131">
        <f t="shared" si="0"/>
        <v>39.209000000000003</v>
      </c>
      <c r="AE34" s="132">
        <v>1</v>
      </c>
      <c r="AG34" t="s">
        <v>339</v>
      </c>
      <c r="AH34" t="s">
        <v>781</v>
      </c>
      <c r="AI34" t="s">
        <v>5275</v>
      </c>
      <c r="AJ34" t="s">
        <v>339</v>
      </c>
      <c r="AK34" t="s">
        <v>884</v>
      </c>
      <c r="AM34" t="s">
        <v>889</v>
      </c>
      <c r="AN34" t="s">
        <v>4723</v>
      </c>
      <c r="AO34" s="161">
        <v>45565</v>
      </c>
      <c r="AQ34" s="131">
        <v>36477</v>
      </c>
      <c r="AR34" s="131">
        <v>107.489</v>
      </c>
      <c r="AS34" s="131">
        <v>1</v>
      </c>
      <c r="AT34" s="131">
        <v>39.209000000000003</v>
      </c>
      <c r="AU34" s="131">
        <v>39208.788</v>
      </c>
      <c r="AX34" t="s">
        <v>339</v>
      </c>
      <c r="AY34" s="109" t="s">
        <v>15</v>
      </c>
      <c r="AZ34" s="132">
        <v>2.162E-2</v>
      </c>
      <c r="BA34" s="132">
        <v>1.3999999999999999E-4</v>
      </c>
    </row>
    <row r="35" spans="1:53" hidden="1">
      <c r="A35" t="s">
        <v>1213</v>
      </c>
      <c r="B35" t="s">
        <v>1252</v>
      </c>
      <c r="C35" t="s">
        <v>2397</v>
      </c>
      <c r="D35" t="s">
        <v>309</v>
      </c>
      <c r="E35" t="s">
        <v>5258</v>
      </c>
      <c r="F35" t="s">
        <v>5259</v>
      </c>
      <c r="G35" t="s">
        <v>1012</v>
      </c>
      <c r="I35" t="s">
        <v>204</v>
      </c>
      <c r="J35" t="s">
        <v>204</v>
      </c>
      <c r="K35" t="s">
        <v>451</v>
      </c>
      <c r="L35" t="s">
        <v>339</v>
      </c>
      <c r="M35" t="s">
        <v>338</v>
      </c>
      <c r="O35" t="s">
        <v>5234</v>
      </c>
      <c r="P35" t="s">
        <v>1566</v>
      </c>
      <c r="Q35" t="s">
        <v>413</v>
      </c>
      <c r="R35" t="s">
        <v>407</v>
      </c>
      <c r="S35" t="s">
        <v>1212</v>
      </c>
      <c r="T35" s="175">
        <v>2.42</v>
      </c>
      <c r="U35" t="s">
        <v>5260</v>
      </c>
      <c r="V35" s="132">
        <v>7.9500000000000001E-2</v>
      </c>
      <c r="W35" t="s">
        <v>753</v>
      </c>
      <c r="X35" t="s">
        <v>896</v>
      </c>
      <c r="Z35" s="136">
        <v>8.09E-2</v>
      </c>
      <c r="AA35" t="s">
        <v>5261</v>
      </c>
      <c r="AB35" t="s">
        <v>412</v>
      </c>
      <c r="AD35" s="131">
        <f t="shared" si="0"/>
        <v>455.55399999999997</v>
      </c>
      <c r="AE35" s="132">
        <v>1</v>
      </c>
      <c r="AG35" t="s">
        <v>338</v>
      </c>
      <c r="AH35" t="s">
        <v>781</v>
      </c>
      <c r="AI35" t="s">
        <v>5262</v>
      </c>
      <c r="AJ35" t="s">
        <v>338</v>
      </c>
      <c r="AK35" t="s">
        <v>886</v>
      </c>
      <c r="AL35" t="s">
        <v>4722</v>
      </c>
      <c r="AM35" t="s">
        <v>889</v>
      </c>
      <c r="AN35" t="s">
        <v>4723</v>
      </c>
      <c r="AO35" s="161">
        <v>45565</v>
      </c>
      <c r="AQ35" s="131">
        <v>454554</v>
      </c>
      <c r="AR35" s="131">
        <v>100.22</v>
      </c>
      <c r="AS35" s="131">
        <v>1</v>
      </c>
      <c r="AT35" s="131">
        <v>455.55399999999997</v>
      </c>
      <c r="AU35" s="131">
        <v>455554.01899999997</v>
      </c>
      <c r="AX35" t="s">
        <v>339</v>
      </c>
      <c r="AY35" s="109" t="s">
        <v>15</v>
      </c>
      <c r="AZ35" s="132">
        <v>0.48516999999999999</v>
      </c>
      <c r="BA35" s="132">
        <v>2.5999999999999999E-3</v>
      </c>
    </row>
    <row r="36" spans="1:53">
      <c r="A36" t="s">
        <v>1213</v>
      </c>
      <c r="B36" t="s">
        <v>1252</v>
      </c>
      <c r="C36" t="s">
        <v>1635</v>
      </c>
      <c r="D36" t="s">
        <v>309</v>
      </c>
      <c r="E36" t="s">
        <v>5263</v>
      </c>
      <c r="F36" t="s">
        <v>5264</v>
      </c>
      <c r="G36" t="s">
        <v>1012</v>
      </c>
      <c r="I36" t="s">
        <v>204</v>
      </c>
      <c r="J36" t="s">
        <v>204</v>
      </c>
      <c r="K36" t="s">
        <v>454</v>
      </c>
      <c r="L36" t="s">
        <v>339</v>
      </c>
      <c r="M36" t="s">
        <v>338</v>
      </c>
      <c r="N36" t="s">
        <v>1208</v>
      </c>
      <c r="O36" t="s">
        <v>5265</v>
      </c>
      <c r="P36" t="s">
        <v>1554</v>
      </c>
      <c r="Q36" t="s">
        <v>413</v>
      </c>
      <c r="R36" t="s">
        <v>407</v>
      </c>
      <c r="S36" t="s">
        <v>1216</v>
      </c>
      <c r="T36" s="109">
        <v>2.4700000000000002</v>
      </c>
      <c r="U36" t="s">
        <v>823</v>
      </c>
      <c r="V36" s="132">
        <v>9.9013000000000004E-2</v>
      </c>
      <c r="W36" t="s">
        <v>755</v>
      </c>
      <c r="X36" t="s">
        <v>905</v>
      </c>
      <c r="Y36" s="132">
        <v>4.7500000000000001E-2</v>
      </c>
      <c r="Z36" s="163">
        <v>9.7799999999999998E-2</v>
      </c>
      <c r="AA36" t="s">
        <v>5266</v>
      </c>
      <c r="AB36" t="s">
        <v>412</v>
      </c>
      <c r="AC36" t="s">
        <v>777</v>
      </c>
      <c r="AD36" s="131">
        <f t="shared" si="0"/>
        <v>389</v>
      </c>
      <c r="AE36" s="132">
        <v>1</v>
      </c>
      <c r="AF36" t="s">
        <v>5265</v>
      </c>
      <c r="AG36" t="s">
        <v>339</v>
      </c>
      <c r="AH36" t="s">
        <v>781</v>
      </c>
      <c r="AI36" t="s">
        <v>5267</v>
      </c>
      <c r="AJ36" t="s">
        <v>339</v>
      </c>
      <c r="AK36" t="s">
        <v>886</v>
      </c>
      <c r="AL36" t="s">
        <v>4722</v>
      </c>
      <c r="AM36" t="s">
        <v>889</v>
      </c>
      <c r="AN36" t="s">
        <v>4723</v>
      </c>
      <c r="AO36" s="161">
        <v>45565</v>
      </c>
      <c r="AQ36" s="131">
        <v>101778</v>
      </c>
      <c r="AR36" s="131">
        <v>103.02</v>
      </c>
      <c r="AS36" s="131">
        <v>3.71</v>
      </c>
      <c r="AT36" s="131">
        <v>389</v>
      </c>
      <c r="AU36" s="131">
        <v>104851.696</v>
      </c>
      <c r="AX36" t="s">
        <v>339</v>
      </c>
      <c r="AY36" s="109" t="s">
        <v>15</v>
      </c>
      <c r="AZ36" s="132">
        <v>0.41427999999999998</v>
      </c>
      <c r="BA36" s="132">
        <v>2.2200000000000002E-3</v>
      </c>
    </row>
    <row r="37" spans="1:53" hidden="1">
      <c r="A37" t="s">
        <v>1213</v>
      </c>
      <c r="B37" t="s">
        <v>1252</v>
      </c>
      <c r="E37" t="s">
        <v>5359</v>
      </c>
      <c r="F37" t="s">
        <v>5289</v>
      </c>
      <c r="G37" t="s">
        <v>1011</v>
      </c>
      <c r="I37" t="s">
        <v>204</v>
      </c>
      <c r="J37" t="s">
        <v>204</v>
      </c>
      <c r="K37" t="s">
        <v>442</v>
      </c>
      <c r="L37" t="s">
        <v>339</v>
      </c>
      <c r="M37" t="s">
        <v>339</v>
      </c>
      <c r="O37"/>
      <c r="P37" t="s">
        <v>1324</v>
      </c>
      <c r="Q37" t="s">
        <v>312</v>
      </c>
      <c r="R37" t="s">
        <v>407</v>
      </c>
      <c r="S37" t="s">
        <v>1212</v>
      </c>
      <c r="T37" s="131">
        <v>2.3919999999999999</v>
      </c>
      <c r="U37" t="s">
        <v>314</v>
      </c>
      <c r="V37" t="s">
        <v>1871</v>
      </c>
      <c r="W37" t="s">
        <v>754</v>
      </c>
      <c r="AA37"/>
      <c r="AC37" t="s">
        <v>761</v>
      </c>
      <c r="AD37" s="131">
        <f t="shared" si="0"/>
        <v>27.658999999999999</v>
      </c>
      <c r="AE37" s="132">
        <v>1</v>
      </c>
      <c r="AF37"/>
      <c r="AK37" t="s">
        <v>886</v>
      </c>
      <c r="AL37" t="s">
        <v>4722</v>
      </c>
      <c r="AM37" t="s">
        <v>889</v>
      </c>
      <c r="AN37" t="s">
        <v>4723</v>
      </c>
      <c r="AO37" s="161">
        <v>45565</v>
      </c>
      <c r="AQ37" s="131">
        <v>22873.451000000001</v>
      </c>
      <c r="AR37" s="131">
        <v>120.92</v>
      </c>
      <c r="AS37" s="131">
        <v>1</v>
      </c>
      <c r="AT37" s="131">
        <v>27.658999999999999</v>
      </c>
      <c r="AU37" s="131">
        <v>27658.59</v>
      </c>
      <c r="AY37" s="109" t="s">
        <v>15</v>
      </c>
      <c r="AZ37" s="132">
        <v>2.946E-2</v>
      </c>
      <c r="BA37" s="132">
        <v>1.6000000000000001E-4</v>
      </c>
    </row>
    <row r="38" spans="1:53" hidden="1">
      <c r="A38" t="s">
        <v>1213</v>
      </c>
      <c r="B38" t="s">
        <v>1252</v>
      </c>
      <c r="E38" t="s">
        <v>5359</v>
      </c>
      <c r="F38" t="s">
        <v>5290</v>
      </c>
      <c r="G38" t="s">
        <v>1011</v>
      </c>
      <c r="I38" t="s">
        <v>204</v>
      </c>
      <c r="J38" t="s">
        <v>204</v>
      </c>
      <c r="K38" t="s">
        <v>442</v>
      </c>
      <c r="L38" t="s">
        <v>339</v>
      </c>
      <c r="M38" t="s">
        <v>339</v>
      </c>
      <c r="O38"/>
      <c r="P38" t="s">
        <v>1324</v>
      </c>
      <c r="Q38" t="s">
        <v>312</v>
      </c>
      <c r="R38" t="s">
        <v>407</v>
      </c>
      <c r="S38" t="s">
        <v>1212</v>
      </c>
      <c r="T38" s="131">
        <v>1.5880000000000001</v>
      </c>
      <c r="U38" t="s">
        <v>314</v>
      </c>
      <c r="V38" t="s">
        <v>1871</v>
      </c>
      <c r="W38" t="s">
        <v>754</v>
      </c>
      <c r="AA38"/>
      <c r="AC38" t="s">
        <v>761</v>
      </c>
      <c r="AD38" s="131">
        <f t="shared" si="0"/>
        <v>25.324000000000002</v>
      </c>
      <c r="AE38" s="132">
        <v>1</v>
      </c>
      <c r="AF38"/>
      <c r="AK38" t="s">
        <v>886</v>
      </c>
      <c r="AL38" t="s">
        <v>4722</v>
      </c>
      <c r="AM38" t="s">
        <v>889</v>
      </c>
      <c r="AN38" t="s">
        <v>4723</v>
      </c>
      <c r="AO38" s="161">
        <v>45565</v>
      </c>
      <c r="AQ38" s="131">
        <v>19446.605</v>
      </c>
      <c r="AR38" s="131">
        <v>130.221</v>
      </c>
      <c r="AS38" s="131">
        <v>1</v>
      </c>
      <c r="AT38" s="131">
        <v>25.324000000000002</v>
      </c>
      <c r="AU38" s="131">
        <v>25323.62</v>
      </c>
      <c r="AY38" s="109" t="s">
        <v>15</v>
      </c>
      <c r="AZ38" s="132">
        <v>2.6970000000000001E-2</v>
      </c>
      <c r="BA38" s="132">
        <v>1.3999999999999999E-4</v>
      </c>
    </row>
    <row r="39" spans="1:53" hidden="1">
      <c r="A39" t="s">
        <v>1213</v>
      </c>
      <c r="B39" t="s">
        <v>1252</v>
      </c>
      <c r="E39" t="s">
        <v>5358</v>
      </c>
      <c r="F39" t="s">
        <v>5291</v>
      </c>
      <c r="G39" t="s">
        <v>1011</v>
      </c>
      <c r="I39" t="s">
        <v>204</v>
      </c>
      <c r="J39" t="s">
        <v>204</v>
      </c>
      <c r="K39" t="s">
        <v>442</v>
      </c>
      <c r="L39" t="s">
        <v>339</v>
      </c>
      <c r="M39" t="s">
        <v>339</v>
      </c>
      <c r="O39"/>
      <c r="P39" t="s">
        <v>1324</v>
      </c>
      <c r="Q39" t="s">
        <v>312</v>
      </c>
      <c r="R39" t="s">
        <v>407</v>
      </c>
      <c r="S39" t="s">
        <v>1212</v>
      </c>
      <c r="T39" s="131">
        <v>1.6679999999999999</v>
      </c>
      <c r="U39" t="s">
        <v>314</v>
      </c>
      <c r="V39" t="s">
        <v>1871</v>
      </c>
      <c r="W39" t="s">
        <v>753</v>
      </c>
      <c r="AA39"/>
      <c r="AC39" t="s">
        <v>761</v>
      </c>
      <c r="AD39" s="131">
        <f t="shared" si="0"/>
        <v>24.088000000000001</v>
      </c>
      <c r="AE39" s="132">
        <v>1</v>
      </c>
      <c r="AF39"/>
      <c r="AK39" t="s">
        <v>886</v>
      </c>
      <c r="AL39" t="s">
        <v>4722</v>
      </c>
      <c r="AM39" t="s">
        <v>889</v>
      </c>
      <c r="AN39" t="s">
        <v>4723</v>
      </c>
      <c r="AO39" s="161">
        <v>45565</v>
      </c>
      <c r="AQ39" s="131">
        <v>20272.949000000001</v>
      </c>
      <c r="AR39" s="131">
        <v>118.821</v>
      </c>
      <c r="AS39" s="131">
        <v>1</v>
      </c>
      <c r="AT39" s="131">
        <v>24.088000000000001</v>
      </c>
      <c r="AU39" s="131">
        <v>24088.43</v>
      </c>
      <c r="AY39" s="109" t="s">
        <v>15</v>
      </c>
      <c r="AZ39" s="132">
        <v>2.5649999999999999E-2</v>
      </c>
      <c r="BA39" s="132">
        <v>1.3999999999999999E-4</v>
      </c>
    </row>
    <row r="40" spans="1:53" hidden="1">
      <c r="A40" t="s">
        <v>1213</v>
      </c>
      <c r="B40" t="s">
        <v>1252</v>
      </c>
      <c r="C40" t="s">
        <v>4911</v>
      </c>
      <c r="D40" t="s">
        <v>309</v>
      </c>
      <c r="E40" t="s">
        <v>5272</v>
      </c>
      <c r="F40" t="s">
        <v>5273</v>
      </c>
      <c r="G40" t="s">
        <v>1012</v>
      </c>
      <c r="H40" t="s">
        <v>815</v>
      </c>
      <c r="I40" t="s">
        <v>204</v>
      </c>
      <c r="J40" t="s">
        <v>204</v>
      </c>
      <c r="K40" t="s">
        <v>447</v>
      </c>
      <c r="L40" t="s">
        <v>339</v>
      </c>
      <c r="M40" t="s">
        <v>339</v>
      </c>
      <c r="N40" t="s">
        <v>1208</v>
      </c>
      <c r="O40" t="s">
        <v>5274</v>
      </c>
      <c r="P40" t="s">
        <v>410</v>
      </c>
      <c r="Q40" t="s">
        <v>312</v>
      </c>
      <c r="R40" t="s">
        <v>408</v>
      </c>
      <c r="S40" t="s">
        <v>1212</v>
      </c>
      <c r="T40" s="175">
        <v>1.1599999999999999</v>
      </c>
      <c r="U40" t="s">
        <v>823</v>
      </c>
      <c r="V40" s="132">
        <v>0.100036</v>
      </c>
      <c r="W40" t="s">
        <v>753</v>
      </c>
      <c r="X40" t="s">
        <v>900</v>
      </c>
      <c r="Y40" s="132">
        <v>0.04</v>
      </c>
      <c r="Z40" s="136">
        <v>9.9099999999999994E-2</v>
      </c>
      <c r="AA40" t="s">
        <v>1777</v>
      </c>
      <c r="AB40" t="s">
        <v>412</v>
      </c>
      <c r="AD40" s="131">
        <f t="shared" si="0"/>
        <v>17.341999999999999</v>
      </c>
      <c r="AE40" s="132">
        <v>1</v>
      </c>
      <c r="AG40" t="s">
        <v>339</v>
      </c>
      <c r="AH40" t="s">
        <v>781</v>
      </c>
      <c r="AI40" t="s">
        <v>5275</v>
      </c>
      <c r="AJ40" t="s">
        <v>339</v>
      </c>
      <c r="AK40" t="s">
        <v>884</v>
      </c>
      <c r="AM40" t="s">
        <v>889</v>
      </c>
      <c r="AN40" t="s">
        <v>4723</v>
      </c>
      <c r="AO40" s="161">
        <v>45565</v>
      </c>
      <c r="AQ40" s="131">
        <v>16134</v>
      </c>
      <c r="AR40" s="131">
        <v>107.489</v>
      </c>
      <c r="AS40" s="131">
        <v>1</v>
      </c>
      <c r="AT40" s="131">
        <v>17.341999999999999</v>
      </c>
      <c r="AU40" s="131">
        <v>17342.287</v>
      </c>
      <c r="AX40" t="s">
        <v>339</v>
      </c>
      <c r="AY40" s="109" t="s">
        <v>15</v>
      </c>
      <c r="AZ40" s="132">
        <v>1.847E-2</v>
      </c>
      <c r="BA40" s="132">
        <v>1E-4</v>
      </c>
    </row>
    <row r="41" spans="1:53" hidden="1">
      <c r="A41" t="s">
        <v>1213</v>
      </c>
      <c r="B41" t="s">
        <v>1253</v>
      </c>
      <c r="C41" t="s">
        <v>2397</v>
      </c>
      <c r="D41" t="s">
        <v>309</v>
      </c>
      <c r="E41" t="s">
        <v>5258</v>
      </c>
      <c r="F41" t="s">
        <v>5259</v>
      </c>
      <c r="G41" t="s">
        <v>1012</v>
      </c>
      <c r="I41" t="s">
        <v>204</v>
      </c>
      <c r="J41" t="s">
        <v>204</v>
      </c>
      <c r="K41" t="s">
        <v>451</v>
      </c>
      <c r="L41" t="s">
        <v>339</v>
      </c>
      <c r="M41" t="s">
        <v>338</v>
      </c>
      <c r="O41" t="s">
        <v>5234</v>
      </c>
      <c r="P41" t="s">
        <v>1566</v>
      </c>
      <c r="Q41" t="s">
        <v>413</v>
      </c>
      <c r="R41" t="s">
        <v>407</v>
      </c>
      <c r="S41" t="s">
        <v>1212</v>
      </c>
      <c r="T41" s="175">
        <v>2.42</v>
      </c>
      <c r="U41" t="s">
        <v>5260</v>
      </c>
      <c r="V41" s="132">
        <v>7.9500000000000001E-2</v>
      </c>
      <c r="W41" t="s">
        <v>753</v>
      </c>
      <c r="X41" t="s">
        <v>896</v>
      </c>
      <c r="Z41" s="136">
        <v>8.09E-2</v>
      </c>
      <c r="AA41" t="s">
        <v>5261</v>
      </c>
      <c r="AB41" t="s">
        <v>412</v>
      </c>
      <c r="AD41" s="131">
        <f t="shared" si="0"/>
        <v>326.92700000000002</v>
      </c>
      <c r="AE41" s="132">
        <v>1</v>
      </c>
      <c r="AG41" t="s">
        <v>338</v>
      </c>
      <c r="AH41" t="s">
        <v>781</v>
      </c>
      <c r="AI41" t="s">
        <v>5262</v>
      </c>
      <c r="AJ41" t="s">
        <v>338</v>
      </c>
      <c r="AK41" t="s">
        <v>886</v>
      </c>
      <c r="AL41" t="s">
        <v>4722</v>
      </c>
      <c r="AM41" t="s">
        <v>889</v>
      </c>
      <c r="AN41" t="s">
        <v>4723</v>
      </c>
      <c r="AO41" s="161">
        <v>45565</v>
      </c>
      <c r="AQ41" s="131">
        <v>326209</v>
      </c>
      <c r="AR41" s="131">
        <v>100.22</v>
      </c>
      <c r="AS41" s="131">
        <v>1</v>
      </c>
      <c r="AT41" s="131">
        <v>326.92700000000002</v>
      </c>
      <c r="AU41" s="131">
        <v>326926.65999999997</v>
      </c>
      <c r="AX41" t="s">
        <v>339</v>
      </c>
      <c r="AY41" s="109" t="s">
        <v>15</v>
      </c>
      <c r="AZ41" s="132">
        <v>0.49065999999999999</v>
      </c>
      <c r="BA41" s="132">
        <v>2.7899999999999999E-3</v>
      </c>
    </row>
    <row r="42" spans="1:53">
      <c r="A42" t="s">
        <v>1213</v>
      </c>
      <c r="B42" t="s">
        <v>1253</v>
      </c>
      <c r="C42" t="s">
        <v>1635</v>
      </c>
      <c r="D42" t="s">
        <v>309</v>
      </c>
      <c r="E42" t="s">
        <v>5263</v>
      </c>
      <c r="F42" t="s">
        <v>5264</v>
      </c>
      <c r="G42" t="s">
        <v>1012</v>
      </c>
      <c r="I42" t="s">
        <v>204</v>
      </c>
      <c r="J42" t="s">
        <v>204</v>
      </c>
      <c r="K42" t="s">
        <v>454</v>
      </c>
      <c r="L42" t="s">
        <v>339</v>
      </c>
      <c r="M42" t="s">
        <v>338</v>
      </c>
      <c r="N42" t="s">
        <v>1208</v>
      </c>
      <c r="O42" t="s">
        <v>5265</v>
      </c>
      <c r="P42" t="s">
        <v>1554</v>
      </c>
      <c r="Q42" t="s">
        <v>413</v>
      </c>
      <c r="R42" t="s">
        <v>407</v>
      </c>
      <c r="S42" t="s">
        <v>1216</v>
      </c>
      <c r="T42" s="109">
        <v>2.4700000000000002</v>
      </c>
      <c r="U42" t="s">
        <v>823</v>
      </c>
      <c r="V42" s="132">
        <v>9.9013000000000004E-2</v>
      </c>
      <c r="W42" t="s">
        <v>755</v>
      </c>
      <c r="X42" t="s">
        <v>905</v>
      </c>
      <c r="Y42" s="132">
        <v>4.7500000000000001E-2</v>
      </c>
      <c r="Z42" s="163">
        <v>9.7799999999999998E-2</v>
      </c>
      <c r="AA42" t="s">
        <v>5266</v>
      </c>
      <c r="AB42" t="s">
        <v>412</v>
      </c>
      <c r="AC42" t="s">
        <v>777</v>
      </c>
      <c r="AD42" s="131">
        <f t="shared" si="0"/>
        <v>287.55099999999999</v>
      </c>
      <c r="AE42" s="132">
        <v>1</v>
      </c>
      <c r="AF42" t="s">
        <v>5265</v>
      </c>
      <c r="AG42" t="s">
        <v>339</v>
      </c>
      <c r="AH42" t="s">
        <v>781</v>
      </c>
      <c r="AI42" t="s">
        <v>5267</v>
      </c>
      <c r="AJ42" t="s">
        <v>339</v>
      </c>
      <c r="AK42" t="s">
        <v>886</v>
      </c>
      <c r="AL42" t="s">
        <v>4722</v>
      </c>
      <c r="AM42" t="s">
        <v>889</v>
      </c>
      <c r="AN42" t="s">
        <v>4723</v>
      </c>
      <c r="AO42" s="161">
        <v>45565</v>
      </c>
      <c r="AQ42" s="131">
        <v>75235</v>
      </c>
      <c r="AR42" s="131">
        <v>103.02</v>
      </c>
      <c r="AS42" s="131">
        <v>3.71</v>
      </c>
      <c r="AT42" s="131">
        <v>287.55099999999999</v>
      </c>
      <c r="AU42" s="131">
        <v>77507.096999999994</v>
      </c>
      <c r="AX42" t="s">
        <v>339</v>
      </c>
      <c r="AY42" s="109" t="s">
        <v>15</v>
      </c>
      <c r="AZ42" s="132">
        <v>0.43157000000000001</v>
      </c>
      <c r="BA42" s="132">
        <v>2.4499999999999999E-3</v>
      </c>
    </row>
    <row r="43" spans="1:53" hidden="1">
      <c r="A43" t="s">
        <v>1213</v>
      </c>
      <c r="B43" t="s">
        <v>1253</v>
      </c>
      <c r="E43" t="s">
        <v>5359</v>
      </c>
      <c r="F43" t="s">
        <v>5292</v>
      </c>
      <c r="G43" t="s">
        <v>1011</v>
      </c>
      <c r="I43" t="s">
        <v>204</v>
      </c>
      <c r="J43" t="s">
        <v>204</v>
      </c>
      <c r="K43" t="s">
        <v>442</v>
      </c>
      <c r="L43" t="s">
        <v>339</v>
      </c>
      <c r="M43" t="s">
        <v>339</v>
      </c>
      <c r="O43"/>
      <c r="P43" t="s">
        <v>1324</v>
      </c>
      <c r="Q43" t="s">
        <v>312</v>
      </c>
      <c r="R43" t="s">
        <v>407</v>
      </c>
      <c r="S43" t="s">
        <v>1212</v>
      </c>
      <c r="T43" s="131">
        <v>0.57999999999999996</v>
      </c>
      <c r="U43" t="s">
        <v>314</v>
      </c>
      <c r="V43" t="s">
        <v>1871</v>
      </c>
      <c r="W43" t="s">
        <v>754</v>
      </c>
      <c r="AA43"/>
      <c r="AC43" t="s">
        <v>761</v>
      </c>
      <c r="AD43" s="131">
        <f t="shared" si="0"/>
        <v>38.545000000000002</v>
      </c>
      <c r="AE43" s="132">
        <v>1</v>
      </c>
      <c r="AF43"/>
      <c r="AK43" t="s">
        <v>886</v>
      </c>
      <c r="AL43" t="s">
        <v>4722</v>
      </c>
      <c r="AM43" t="s">
        <v>889</v>
      </c>
      <c r="AN43" t="s">
        <v>4723</v>
      </c>
      <c r="AO43" s="161">
        <v>45565</v>
      </c>
      <c r="AQ43" s="131">
        <v>36232.095000000001</v>
      </c>
      <c r="AR43" s="131">
        <v>106.383</v>
      </c>
      <c r="AS43" s="131">
        <v>1</v>
      </c>
      <c r="AT43" s="131">
        <v>38.545000000000002</v>
      </c>
      <c r="AU43" s="131">
        <v>38544.9</v>
      </c>
      <c r="AY43" s="109" t="s">
        <v>15</v>
      </c>
      <c r="AZ43" s="132">
        <v>5.7849999999999999E-2</v>
      </c>
      <c r="BA43" s="132">
        <v>3.3E-4</v>
      </c>
    </row>
    <row r="44" spans="1:53" hidden="1">
      <c r="A44" t="s">
        <v>1213</v>
      </c>
      <c r="B44" t="s">
        <v>1253</v>
      </c>
      <c r="C44" t="s">
        <v>4911</v>
      </c>
      <c r="D44" t="s">
        <v>309</v>
      </c>
      <c r="E44" t="s">
        <v>5272</v>
      </c>
      <c r="F44" t="s">
        <v>5273</v>
      </c>
      <c r="G44" t="s">
        <v>1012</v>
      </c>
      <c r="H44" t="s">
        <v>815</v>
      </c>
      <c r="I44" t="s">
        <v>204</v>
      </c>
      <c r="J44" t="s">
        <v>204</v>
      </c>
      <c r="K44" t="s">
        <v>447</v>
      </c>
      <c r="L44" t="s">
        <v>339</v>
      </c>
      <c r="M44" t="s">
        <v>339</v>
      </c>
      <c r="N44" t="s">
        <v>1208</v>
      </c>
      <c r="O44" t="s">
        <v>5274</v>
      </c>
      <c r="P44" t="s">
        <v>410</v>
      </c>
      <c r="Q44" t="s">
        <v>312</v>
      </c>
      <c r="R44" t="s">
        <v>408</v>
      </c>
      <c r="S44" t="s">
        <v>1212</v>
      </c>
      <c r="T44" s="175">
        <v>1.1599999999999999</v>
      </c>
      <c r="U44" t="s">
        <v>823</v>
      </c>
      <c r="V44" s="132">
        <v>0.100036</v>
      </c>
      <c r="W44" t="s">
        <v>753</v>
      </c>
      <c r="X44" t="s">
        <v>900</v>
      </c>
      <c r="Y44" s="132">
        <v>0.04</v>
      </c>
      <c r="Z44" s="136">
        <v>9.9099999999999994E-2</v>
      </c>
      <c r="AA44" t="s">
        <v>1777</v>
      </c>
      <c r="AB44" t="s">
        <v>412</v>
      </c>
      <c r="AD44" s="131">
        <f t="shared" si="0"/>
        <v>13.272</v>
      </c>
      <c r="AE44" s="132">
        <v>1</v>
      </c>
      <c r="AG44" t="s">
        <v>339</v>
      </c>
      <c r="AH44" t="s">
        <v>781</v>
      </c>
      <c r="AI44" t="s">
        <v>5275</v>
      </c>
      <c r="AJ44" t="s">
        <v>339</v>
      </c>
      <c r="AK44" t="s">
        <v>884</v>
      </c>
      <c r="AM44" t="s">
        <v>889</v>
      </c>
      <c r="AN44" t="s">
        <v>4723</v>
      </c>
      <c r="AO44" s="161">
        <v>45565</v>
      </c>
      <c r="AQ44" s="131">
        <v>12347</v>
      </c>
      <c r="AR44" s="131">
        <v>107.489</v>
      </c>
      <c r="AS44" s="131">
        <v>1</v>
      </c>
      <c r="AT44" s="131">
        <v>13.272</v>
      </c>
      <c r="AU44" s="131">
        <v>13271.675999999999</v>
      </c>
      <c r="AX44" t="s">
        <v>339</v>
      </c>
      <c r="AY44" s="109" t="s">
        <v>15</v>
      </c>
      <c r="AZ44" s="132">
        <v>1.992E-2</v>
      </c>
      <c r="BA44" s="132">
        <v>1.1E-4</v>
      </c>
    </row>
    <row r="45" spans="1:53" hidden="1">
      <c r="A45" t="s">
        <v>1213</v>
      </c>
      <c r="B45" t="s">
        <v>1253</v>
      </c>
      <c r="E45" t="s">
        <v>5359</v>
      </c>
      <c r="F45" t="s">
        <v>5293</v>
      </c>
      <c r="G45" t="s">
        <v>1011</v>
      </c>
      <c r="I45" t="s">
        <v>204</v>
      </c>
      <c r="J45" t="s">
        <v>204</v>
      </c>
      <c r="K45" t="s">
        <v>442</v>
      </c>
      <c r="L45" t="s">
        <v>339</v>
      </c>
      <c r="M45" t="s">
        <v>339</v>
      </c>
      <c r="O45"/>
      <c r="P45" t="s">
        <v>1324</v>
      </c>
      <c r="Q45" t="s">
        <v>312</v>
      </c>
      <c r="R45" t="s">
        <v>407</v>
      </c>
      <c r="S45" t="s">
        <v>1212</v>
      </c>
      <c r="T45" s="131">
        <v>3.0920000000000001</v>
      </c>
      <c r="U45" t="s">
        <v>314</v>
      </c>
      <c r="V45" t="s">
        <v>1871</v>
      </c>
      <c r="W45" t="s">
        <v>754</v>
      </c>
      <c r="AA45"/>
      <c r="AC45" t="s">
        <v>761</v>
      </c>
      <c r="AD45" s="131">
        <f t="shared" si="0"/>
        <v>0</v>
      </c>
      <c r="AE45" s="132">
        <v>1</v>
      </c>
      <c r="AF45"/>
      <c r="AK45" t="s">
        <v>886</v>
      </c>
      <c r="AL45" t="s">
        <v>4722</v>
      </c>
      <c r="AM45" t="s">
        <v>889</v>
      </c>
      <c r="AN45" t="s">
        <v>5294</v>
      </c>
      <c r="AO45" s="161">
        <v>45565</v>
      </c>
      <c r="AQ45" s="131">
        <v>32981.642</v>
      </c>
      <c r="AR45" s="131">
        <v>0</v>
      </c>
      <c r="AS45" s="131">
        <v>1</v>
      </c>
      <c r="AT45" s="131">
        <v>0</v>
      </c>
      <c r="AU45" s="131">
        <v>0</v>
      </c>
      <c r="AY45" s="109" t="s">
        <v>15</v>
      </c>
      <c r="AZ45" s="132">
        <v>0</v>
      </c>
      <c r="BA45" s="132">
        <v>0</v>
      </c>
    </row>
    <row r="46" spans="1:53" hidden="1">
      <c r="A46" t="s">
        <v>1213</v>
      </c>
      <c r="B46" t="s">
        <v>1254</v>
      </c>
      <c r="E46" t="s">
        <v>5358</v>
      </c>
      <c r="F46" t="s">
        <v>5295</v>
      </c>
      <c r="G46" t="s">
        <v>1011</v>
      </c>
      <c r="I46" t="s">
        <v>204</v>
      </c>
      <c r="J46" t="s">
        <v>204</v>
      </c>
      <c r="K46" t="s">
        <v>442</v>
      </c>
      <c r="L46" t="s">
        <v>339</v>
      </c>
      <c r="M46" t="s">
        <v>339</v>
      </c>
      <c r="O46"/>
      <c r="P46" t="s">
        <v>1324</v>
      </c>
      <c r="Q46" t="s">
        <v>312</v>
      </c>
      <c r="R46" t="s">
        <v>407</v>
      </c>
      <c r="S46" t="s">
        <v>1212</v>
      </c>
      <c r="T46" s="131">
        <v>3.2109999999999999</v>
      </c>
      <c r="U46" t="s">
        <v>314</v>
      </c>
      <c r="V46" t="s">
        <v>1871</v>
      </c>
      <c r="W46" t="s">
        <v>753</v>
      </c>
      <c r="AA46"/>
      <c r="AC46" t="s">
        <v>761</v>
      </c>
      <c r="AD46" s="131">
        <f t="shared" si="0"/>
        <v>36395.300999999999</v>
      </c>
      <c r="AE46" s="132">
        <v>1</v>
      </c>
      <c r="AF46"/>
      <c r="AK46" t="s">
        <v>886</v>
      </c>
      <c r="AL46" t="s">
        <v>4722</v>
      </c>
      <c r="AM46" t="s">
        <v>889</v>
      </c>
      <c r="AN46" t="s">
        <v>4723</v>
      </c>
      <c r="AO46" s="161">
        <v>45565</v>
      </c>
      <c r="AQ46" s="131">
        <v>25540096.791999999</v>
      </c>
      <c r="AR46" s="131">
        <f>AT46*1000/AQ46*100</f>
        <v>142.50259619767851</v>
      </c>
      <c r="AS46" s="131">
        <v>1</v>
      </c>
      <c r="AT46" s="131">
        <v>36395.300999999999</v>
      </c>
      <c r="AU46" s="131">
        <v>36395300.630000003</v>
      </c>
      <c r="AY46" s="109" t="s">
        <v>15</v>
      </c>
      <c r="AZ46" s="132">
        <v>1</v>
      </c>
      <c r="BA46" s="132">
        <v>1.2019999999999999E-2</v>
      </c>
    </row>
    <row r="47" spans="1:53" hidden="1">
      <c r="A47" t="s">
        <v>1213</v>
      </c>
      <c r="B47" t="s">
        <v>1256</v>
      </c>
      <c r="E47" t="s">
        <v>5358</v>
      </c>
      <c r="F47" t="s">
        <v>5296</v>
      </c>
      <c r="G47" t="s">
        <v>1011</v>
      </c>
      <c r="I47" t="s">
        <v>204</v>
      </c>
      <c r="J47" t="s">
        <v>204</v>
      </c>
      <c r="K47" t="s">
        <v>442</v>
      </c>
      <c r="L47" t="s">
        <v>339</v>
      </c>
      <c r="M47" t="s">
        <v>339</v>
      </c>
      <c r="O47"/>
      <c r="P47" t="s">
        <v>1324</v>
      </c>
      <c r="Q47" t="s">
        <v>312</v>
      </c>
      <c r="R47" t="s">
        <v>407</v>
      </c>
      <c r="S47" t="s">
        <v>1212</v>
      </c>
      <c r="T47" s="131">
        <v>3.2050000000000001</v>
      </c>
      <c r="U47" t="s">
        <v>314</v>
      </c>
      <c r="V47" t="s">
        <v>1871</v>
      </c>
      <c r="W47" t="s">
        <v>753</v>
      </c>
      <c r="AA47"/>
      <c r="AC47" t="s">
        <v>761</v>
      </c>
      <c r="AD47" s="131">
        <f t="shared" si="0"/>
        <v>918.47299999999996</v>
      </c>
      <c r="AE47" s="132">
        <v>1</v>
      </c>
      <c r="AF47"/>
      <c r="AK47" t="s">
        <v>886</v>
      </c>
      <c r="AL47" t="s">
        <v>4722</v>
      </c>
      <c r="AM47" t="s">
        <v>889</v>
      </c>
      <c r="AN47" t="s">
        <v>4723</v>
      </c>
      <c r="AO47" s="161">
        <v>45565</v>
      </c>
      <c r="AQ47" s="131">
        <v>809898.495</v>
      </c>
      <c r="AR47" s="131">
        <v>113.40600000000001</v>
      </c>
      <c r="AS47" s="131">
        <v>1</v>
      </c>
      <c r="AT47" s="131">
        <v>918.47299999999996</v>
      </c>
      <c r="AU47" s="131">
        <v>918473.18</v>
      </c>
      <c r="AY47" s="109" t="s">
        <v>15</v>
      </c>
      <c r="AZ47" s="132">
        <v>1</v>
      </c>
      <c r="BA47" s="132">
        <v>4.7299999999999998E-3</v>
      </c>
    </row>
    <row r="48" spans="1:53">
      <c r="A48" t="s">
        <v>1213</v>
      </c>
      <c r="B48" t="s">
        <v>1257</v>
      </c>
      <c r="C48" t="s">
        <v>1635</v>
      </c>
      <c r="D48" t="s">
        <v>309</v>
      </c>
      <c r="E48" t="s">
        <v>5263</v>
      </c>
      <c r="F48" t="s">
        <v>5264</v>
      </c>
      <c r="G48" t="s">
        <v>1012</v>
      </c>
      <c r="I48" t="s">
        <v>204</v>
      </c>
      <c r="J48" t="s">
        <v>204</v>
      </c>
      <c r="K48" t="s">
        <v>454</v>
      </c>
      <c r="L48" t="s">
        <v>339</v>
      </c>
      <c r="M48" t="s">
        <v>338</v>
      </c>
      <c r="N48" t="s">
        <v>1208</v>
      </c>
      <c r="O48" t="s">
        <v>5265</v>
      </c>
      <c r="P48" t="s">
        <v>1554</v>
      </c>
      <c r="Q48" t="s">
        <v>413</v>
      </c>
      <c r="R48" t="s">
        <v>407</v>
      </c>
      <c r="S48" t="s">
        <v>1216</v>
      </c>
      <c r="T48" s="109">
        <v>2.4700000000000002</v>
      </c>
      <c r="U48" t="s">
        <v>823</v>
      </c>
      <c r="V48" s="132">
        <v>9.9013000000000004E-2</v>
      </c>
      <c r="W48" t="s">
        <v>755</v>
      </c>
      <c r="X48" t="s">
        <v>905</v>
      </c>
      <c r="Y48" s="132">
        <v>4.7500000000000001E-2</v>
      </c>
      <c r="Z48" s="163">
        <v>9.7799999999999998E-2</v>
      </c>
      <c r="AA48" t="s">
        <v>5266</v>
      </c>
      <c r="AB48" t="s">
        <v>412</v>
      </c>
      <c r="AC48" t="s">
        <v>777</v>
      </c>
      <c r="AD48" s="131">
        <f t="shared" si="0"/>
        <v>845.62699999999995</v>
      </c>
      <c r="AE48" s="132">
        <v>1</v>
      </c>
      <c r="AF48" t="s">
        <v>5265</v>
      </c>
      <c r="AG48" t="s">
        <v>339</v>
      </c>
      <c r="AH48" t="s">
        <v>781</v>
      </c>
      <c r="AI48" t="s">
        <v>5267</v>
      </c>
      <c r="AJ48" t="s">
        <v>339</v>
      </c>
      <c r="AK48" t="s">
        <v>886</v>
      </c>
      <c r="AL48" t="s">
        <v>4722</v>
      </c>
      <c r="AM48" t="s">
        <v>889</v>
      </c>
      <c r="AN48" t="s">
        <v>4723</v>
      </c>
      <c r="AO48" s="161">
        <v>45565</v>
      </c>
      <c r="AQ48" s="131">
        <v>221250</v>
      </c>
      <c r="AR48" s="131">
        <v>103.02</v>
      </c>
      <c r="AS48" s="131">
        <v>3.71</v>
      </c>
      <c r="AT48" s="131">
        <v>845.62699999999995</v>
      </c>
      <c r="AU48" s="131">
        <v>227931.75</v>
      </c>
      <c r="AX48" t="s">
        <v>339</v>
      </c>
      <c r="AY48" s="109" t="s">
        <v>15</v>
      </c>
      <c r="AZ48" s="132">
        <v>0.50119000000000002</v>
      </c>
      <c r="BA48" s="132">
        <v>3.0999999999999999E-3</v>
      </c>
    </row>
    <row r="49" spans="1:53" hidden="1">
      <c r="A49" t="s">
        <v>1213</v>
      </c>
      <c r="B49" t="s">
        <v>1257</v>
      </c>
      <c r="C49" t="s">
        <v>2397</v>
      </c>
      <c r="D49" t="s">
        <v>309</v>
      </c>
      <c r="E49" t="s">
        <v>5258</v>
      </c>
      <c r="F49" t="s">
        <v>5259</v>
      </c>
      <c r="G49" t="s">
        <v>1012</v>
      </c>
      <c r="I49" t="s">
        <v>204</v>
      </c>
      <c r="J49" t="s">
        <v>204</v>
      </c>
      <c r="K49" t="s">
        <v>451</v>
      </c>
      <c r="L49" t="s">
        <v>339</v>
      </c>
      <c r="M49" t="s">
        <v>338</v>
      </c>
      <c r="O49" t="s">
        <v>5234</v>
      </c>
      <c r="P49" t="s">
        <v>1566</v>
      </c>
      <c r="Q49" t="s">
        <v>413</v>
      </c>
      <c r="R49" t="s">
        <v>407</v>
      </c>
      <c r="S49" t="s">
        <v>1212</v>
      </c>
      <c r="T49" s="175">
        <v>2.42</v>
      </c>
      <c r="U49" t="s">
        <v>5260</v>
      </c>
      <c r="V49" s="132">
        <v>7.9500000000000001E-2</v>
      </c>
      <c r="W49" t="s">
        <v>753</v>
      </c>
      <c r="X49" t="s">
        <v>896</v>
      </c>
      <c r="Z49" s="136">
        <v>8.09E-2</v>
      </c>
      <c r="AA49" t="s">
        <v>5261</v>
      </c>
      <c r="AB49" t="s">
        <v>412</v>
      </c>
      <c r="AD49" s="131">
        <f t="shared" si="0"/>
        <v>803.91899999999998</v>
      </c>
      <c r="AE49" s="132">
        <v>1</v>
      </c>
      <c r="AG49" t="s">
        <v>338</v>
      </c>
      <c r="AH49" t="s">
        <v>781</v>
      </c>
      <c r="AI49" t="s">
        <v>5262</v>
      </c>
      <c r="AJ49" t="s">
        <v>338</v>
      </c>
      <c r="AK49" t="s">
        <v>886</v>
      </c>
      <c r="AL49" t="s">
        <v>4722</v>
      </c>
      <c r="AM49" t="s">
        <v>889</v>
      </c>
      <c r="AN49" t="s">
        <v>4723</v>
      </c>
      <c r="AO49" s="161">
        <v>45565</v>
      </c>
      <c r="AQ49" s="131">
        <v>802154</v>
      </c>
      <c r="AR49" s="131">
        <v>100.22</v>
      </c>
      <c r="AS49" s="131">
        <v>1</v>
      </c>
      <c r="AT49" s="131">
        <v>803.91899999999998</v>
      </c>
      <c r="AU49" s="131">
        <v>803918.73899999994</v>
      </c>
      <c r="AX49" t="s">
        <v>339</v>
      </c>
      <c r="AY49" s="109" t="s">
        <v>15</v>
      </c>
      <c r="AZ49" s="132">
        <v>0.47647</v>
      </c>
      <c r="BA49" s="132">
        <v>2.9499999999999999E-3</v>
      </c>
    </row>
    <row r="50" spans="1:53" hidden="1">
      <c r="A50" t="s">
        <v>1213</v>
      </c>
      <c r="B50" t="s">
        <v>1257</v>
      </c>
      <c r="C50" t="s">
        <v>4911</v>
      </c>
      <c r="D50" t="s">
        <v>309</v>
      </c>
      <c r="E50" t="s">
        <v>5272</v>
      </c>
      <c r="F50" t="s">
        <v>5273</v>
      </c>
      <c r="G50" t="s">
        <v>1012</v>
      </c>
      <c r="H50" t="s">
        <v>815</v>
      </c>
      <c r="I50" t="s">
        <v>204</v>
      </c>
      <c r="J50" t="s">
        <v>204</v>
      </c>
      <c r="K50" t="s">
        <v>447</v>
      </c>
      <c r="L50" t="s">
        <v>339</v>
      </c>
      <c r="M50" t="s">
        <v>339</v>
      </c>
      <c r="N50" t="s">
        <v>1208</v>
      </c>
      <c r="O50" t="s">
        <v>5274</v>
      </c>
      <c r="P50" t="s">
        <v>410</v>
      </c>
      <c r="Q50" t="s">
        <v>312</v>
      </c>
      <c r="R50" t="s">
        <v>408</v>
      </c>
      <c r="S50" t="s">
        <v>1212</v>
      </c>
      <c r="T50" s="175">
        <v>1.1599999999999999</v>
      </c>
      <c r="U50" t="s">
        <v>823</v>
      </c>
      <c r="V50" s="132">
        <v>0.100036</v>
      </c>
      <c r="W50" t="s">
        <v>753</v>
      </c>
      <c r="X50" t="s">
        <v>900</v>
      </c>
      <c r="Y50" s="132">
        <v>0.04</v>
      </c>
      <c r="Z50" s="136">
        <v>9.9099999999999994E-2</v>
      </c>
      <c r="AA50" t="s">
        <v>1777</v>
      </c>
      <c r="AB50" t="s">
        <v>412</v>
      </c>
      <c r="AD50" s="131">
        <f t="shared" si="0"/>
        <v>37.701999999999998</v>
      </c>
      <c r="AE50" s="132">
        <v>1</v>
      </c>
      <c r="AG50" t="s">
        <v>339</v>
      </c>
      <c r="AH50" t="s">
        <v>781</v>
      </c>
      <c r="AI50" t="s">
        <v>5275</v>
      </c>
      <c r="AJ50" t="s">
        <v>339</v>
      </c>
      <c r="AK50" t="s">
        <v>884</v>
      </c>
      <c r="AM50" t="s">
        <v>889</v>
      </c>
      <c r="AN50" t="s">
        <v>4723</v>
      </c>
      <c r="AO50" s="161">
        <v>45565</v>
      </c>
      <c r="AQ50" s="131">
        <v>35075</v>
      </c>
      <c r="AR50" s="131">
        <v>107.489</v>
      </c>
      <c r="AS50" s="131">
        <v>1</v>
      </c>
      <c r="AT50" s="131">
        <v>37.701999999999998</v>
      </c>
      <c r="AU50" s="131">
        <v>37701.792000000001</v>
      </c>
      <c r="AX50" t="s">
        <v>339</v>
      </c>
      <c r="AY50" s="109" t="s">
        <v>15</v>
      </c>
      <c r="AZ50" s="132">
        <v>2.2349999999999998E-2</v>
      </c>
      <c r="BA50" s="132">
        <v>1.3999999999999999E-4</v>
      </c>
    </row>
    <row r="51" spans="1:53" hidden="1">
      <c r="A51" t="s">
        <v>1213</v>
      </c>
      <c r="B51" t="s">
        <v>1220</v>
      </c>
    </row>
    <row r="52" spans="1:53" hidden="1">
      <c r="A52" t="s">
        <v>1213</v>
      </c>
      <c r="B52" t="s">
        <v>1221</v>
      </c>
    </row>
    <row r="53" spans="1:53" hidden="1">
      <c r="A53" t="s">
        <v>1213</v>
      </c>
      <c r="B53" t="s">
        <v>1222</v>
      </c>
    </row>
    <row r="54" spans="1:53" hidden="1">
      <c r="A54" t="s">
        <v>1213</v>
      </c>
      <c r="B54" t="s">
        <v>1223</v>
      </c>
    </row>
    <row r="55" spans="1:53" hidden="1">
      <c r="A55" t="s">
        <v>1213</v>
      </c>
      <c r="B55" t="s">
        <v>1225</v>
      </c>
    </row>
    <row r="56" spans="1:53" hidden="1">
      <c r="A56" t="s">
        <v>1213</v>
      </c>
      <c r="B56" t="s">
        <v>1231</v>
      </c>
    </row>
    <row r="57" spans="1:53" hidden="1">
      <c r="A57" t="s">
        <v>1213</v>
      </c>
      <c r="B57" t="s">
        <v>1232</v>
      </c>
    </row>
    <row r="58" spans="1:53" hidden="1">
      <c r="A58" t="s">
        <v>1213</v>
      </c>
      <c r="B58" t="s">
        <v>1234</v>
      </c>
    </row>
    <row r="59" spans="1:53" hidden="1">
      <c r="A59" t="s">
        <v>1213</v>
      </c>
      <c r="B59" t="s">
        <v>1235</v>
      </c>
    </row>
    <row r="60" spans="1:53" hidden="1">
      <c r="A60" t="s">
        <v>1213</v>
      </c>
      <c r="B60">
        <v>15108</v>
      </c>
    </row>
    <row r="61" spans="1:53" hidden="1">
      <c r="A61" t="s">
        <v>1213</v>
      </c>
      <c r="B61" t="s">
        <v>1248</v>
      </c>
    </row>
    <row r="62" spans="1:53" hidden="1">
      <c r="A62" t="s">
        <v>1213</v>
      </c>
      <c r="B62" t="s">
        <v>1255</v>
      </c>
    </row>
  </sheetData>
  <sheetProtection formatColumns="0"/>
  <autoFilter ref="A1:BB62">
    <filterColumn colId="5">
      <filters>
        <filter val="90300072"/>
      </filters>
    </filterColumn>
  </autoFilter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50:Q50 P9 P11:Q11 P19:Q19 P23:Q23 P25:Q25 P34:Q34 P40:Q40 P44:Q44 Q2:Q10 Q12:Q18 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50">
      <formula1 xml:space="preserve"> In_the_books</formula1>
    </dataValidation>
    <dataValidation type="list" allowBlank="1" showInputMessage="1" showErrorMessage="1" sqref="R2:R20 R23 R25 R34 R40 R44 R5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31"/>
  <sheetViews>
    <sheetView rightToLeft="1" topLeftCell="N1" workbookViewId="0">
      <selection activeCell="R17" sqref="R17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56</v>
      </c>
      <c r="M1" s="17" t="s">
        <v>96</v>
      </c>
      <c r="N1" s="17" t="s">
        <v>97</v>
      </c>
      <c r="O1" s="17" t="s">
        <v>71</v>
      </c>
      <c r="P1" s="17" t="s">
        <v>58</v>
      </c>
      <c r="Q1" s="17" t="s">
        <v>84</v>
      </c>
      <c r="R1" s="17" t="s">
        <v>59</v>
      </c>
      <c r="S1" s="17" t="s">
        <v>72</v>
      </c>
      <c r="T1" s="17" t="s">
        <v>62</v>
      </c>
      <c r="U1" s="17" t="s">
        <v>74</v>
      </c>
      <c r="V1" s="17" t="s">
        <v>103</v>
      </c>
      <c r="W1" s="17" t="s">
        <v>104</v>
      </c>
      <c r="X1" s="17" t="s">
        <v>106</v>
      </c>
      <c r="Y1" s="17" t="s">
        <v>76</v>
      </c>
      <c r="Z1" s="17" t="s">
        <v>61</v>
      </c>
      <c r="AA1" s="17" t="s">
        <v>77</v>
      </c>
      <c r="AB1" s="17" t="s">
        <v>63</v>
      </c>
      <c r="AC1" s="17" t="s">
        <v>64</v>
      </c>
      <c r="AD1" s="17" t="s">
        <v>65</v>
      </c>
    </row>
    <row r="2" spans="1:30">
      <c r="A2" t="s">
        <v>1213</v>
      </c>
      <c r="B2" t="s">
        <v>1214</v>
      </c>
      <c r="C2" s="109"/>
      <c r="D2" s="109"/>
      <c r="E2" s="16"/>
      <c r="F2" s="109"/>
      <c r="G2" s="109"/>
      <c r="H2" s="109"/>
      <c r="I2" s="109"/>
      <c r="J2" s="16"/>
      <c r="K2" s="16"/>
      <c r="L2" s="109"/>
      <c r="M2" s="109"/>
      <c r="N2" s="109"/>
      <c r="O2" s="109"/>
      <c r="P2" s="109"/>
      <c r="Q2" s="109"/>
      <c r="R2" s="16"/>
      <c r="S2" s="109"/>
      <c r="T2" s="109"/>
      <c r="U2" s="109"/>
      <c r="V2" s="109"/>
      <c r="W2" s="109"/>
      <c r="X2" s="108"/>
      <c r="Y2" s="109"/>
      <c r="Z2" s="109"/>
      <c r="AA2" s="109"/>
      <c r="AB2" s="109"/>
      <c r="AC2" s="109"/>
      <c r="AD2" s="109"/>
    </row>
    <row r="3" spans="1:30">
      <c r="A3" t="s">
        <v>1213</v>
      </c>
      <c r="B3" t="s">
        <v>1217</v>
      </c>
      <c r="C3" s="109"/>
      <c r="D3" s="109"/>
      <c r="E3" s="16"/>
      <c r="F3" s="109"/>
      <c r="G3" s="109"/>
      <c r="H3" s="109"/>
      <c r="I3" s="109"/>
      <c r="J3" s="16"/>
      <c r="K3" s="16"/>
      <c r="L3" s="109"/>
      <c r="M3" s="109"/>
      <c r="N3" s="109"/>
      <c r="O3" s="109"/>
      <c r="P3" s="109"/>
      <c r="Q3" s="109"/>
      <c r="R3" s="16"/>
      <c r="S3" s="109"/>
      <c r="T3" s="109"/>
      <c r="U3" s="109"/>
      <c r="V3" s="109"/>
      <c r="W3" s="109"/>
      <c r="X3" s="108"/>
      <c r="Y3" s="109"/>
      <c r="Z3" s="109"/>
      <c r="AA3" s="109"/>
      <c r="AB3" s="109"/>
      <c r="AC3" s="109"/>
      <c r="AD3" s="109"/>
    </row>
    <row r="4" spans="1:30">
      <c r="A4" t="s">
        <v>1213</v>
      </c>
      <c r="B4" t="s">
        <v>1220</v>
      </c>
      <c r="C4" s="109"/>
      <c r="D4" s="109"/>
      <c r="E4" s="16"/>
      <c r="F4" s="109"/>
      <c r="G4" s="109"/>
      <c r="H4" s="109"/>
      <c r="I4" s="109"/>
      <c r="J4" s="16"/>
      <c r="K4" s="16"/>
      <c r="L4" s="109"/>
      <c r="M4" s="109"/>
      <c r="N4" s="109"/>
      <c r="O4" s="109"/>
      <c r="P4" s="109"/>
      <c r="Q4" s="109"/>
      <c r="R4" s="16"/>
      <c r="S4" s="109"/>
      <c r="T4" s="109"/>
      <c r="U4" s="109"/>
      <c r="V4" s="109"/>
      <c r="W4" s="109"/>
      <c r="X4" s="108"/>
      <c r="Y4" s="109"/>
      <c r="Z4" s="109"/>
      <c r="AA4" s="109"/>
      <c r="AB4" s="109"/>
      <c r="AC4" s="109"/>
      <c r="AD4" s="109"/>
    </row>
    <row r="5" spans="1:30">
      <c r="A5" t="s">
        <v>1213</v>
      </c>
      <c r="B5" t="s">
        <v>1221</v>
      </c>
      <c r="C5" s="109"/>
      <c r="D5" s="109"/>
      <c r="E5" s="16"/>
      <c r="F5" s="109"/>
      <c r="G5" s="109"/>
      <c r="H5" s="109"/>
      <c r="I5" s="109"/>
      <c r="J5" s="16"/>
      <c r="K5" s="16"/>
      <c r="L5" s="109"/>
      <c r="M5" s="109"/>
      <c r="N5" s="109"/>
      <c r="O5" s="109"/>
      <c r="P5" s="109"/>
      <c r="Q5" s="109"/>
      <c r="R5" s="16"/>
      <c r="S5" s="109"/>
      <c r="T5" s="109"/>
      <c r="U5" s="109"/>
      <c r="V5" s="109"/>
      <c r="W5" s="109"/>
      <c r="X5" s="108"/>
      <c r="Y5" s="109"/>
      <c r="Z5" s="109"/>
      <c r="AA5" s="109"/>
      <c r="AB5" s="109"/>
      <c r="AC5" s="109"/>
      <c r="AD5" s="109"/>
    </row>
    <row r="6" spans="1:30">
      <c r="A6" t="s">
        <v>1213</v>
      </c>
      <c r="B6" t="s">
        <v>1222</v>
      </c>
      <c r="C6" s="109"/>
      <c r="D6" s="109"/>
      <c r="E6" s="16"/>
      <c r="F6" s="109"/>
      <c r="G6" s="109"/>
      <c r="H6" s="109"/>
      <c r="I6" s="109"/>
      <c r="J6" s="16"/>
      <c r="K6" s="16"/>
      <c r="L6" s="109"/>
      <c r="M6" s="109"/>
      <c r="N6" s="109"/>
      <c r="O6" s="109"/>
      <c r="P6" s="109"/>
      <c r="Q6" s="109"/>
      <c r="R6" s="16"/>
      <c r="S6" s="109"/>
      <c r="T6" s="109"/>
      <c r="U6" s="109"/>
      <c r="V6" s="109"/>
      <c r="W6" s="109"/>
      <c r="X6" s="108"/>
      <c r="Y6" s="109"/>
      <c r="Z6" s="109"/>
      <c r="AA6" s="109"/>
      <c r="AB6" s="109"/>
      <c r="AC6" s="109"/>
      <c r="AD6" s="109"/>
    </row>
    <row r="7" spans="1:30">
      <c r="A7" t="s">
        <v>1213</v>
      </c>
      <c r="B7" t="s">
        <v>1223</v>
      </c>
      <c r="C7" s="109"/>
      <c r="D7" s="109"/>
      <c r="E7" s="16"/>
      <c r="F7" s="109"/>
      <c r="G7" s="109"/>
      <c r="H7" s="109"/>
      <c r="I7" s="109"/>
      <c r="J7" s="16"/>
      <c r="K7" s="16"/>
      <c r="L7" s="109"/>
      <c r="M7" s="109"/>
      <c r="N7" s="109"/>
      <c r="O7" s="109"/>
      <c r="P7" s="109"/>
      <c r="Q7" s="109"/>
      <c r="R7" s="16"/>
      <c r="S7" s="109"/>
      <c r="T7" s="109"/>
      <c r="U7" s="109"/>
      <c r="V7" s="109"/>
      <c r="W7" s="109"/>
      <c r="X7" s="108"/>
      <c r="Y7" s="109"/>
      <c r="Z7" s="109"/>
      <c r="AA7" s="109"/>
      <c r="AB7" s="109"/>
      <c r="AC7" s="109"/>
      <c r="AD7" s="109"/>
    </row>
    <row r="8" spans="1:30">
      <c r="A8" t="s">
        <v>1213</v>
      </c>
      <c r="B8" t="s">
        <v>1224</v>
      </c>
      <c r="C8" s="109"/>
      <c r="D8" s="109"/>
      <c r="E8" s="16"/>
      <c r="F8" s="109"/>
      <c r="G8" s="109"/>
      <c r="H8" s="109"/>
      <c r="I8" s="109"/>
      <c r="J8" s="16"/>
      <c r="K8" s="16"/>
      <c r="L8" s="109"/>
      <c r="M8" s="109"/>
      <c r="N8" s="109"/>
      <c r="O8" s="109"/>
      <c r="P8" s="109"/>
      <c r="Q8" s="109"/>
      <c r="R8" s="16"/>
      <c r="S8" s="109"/>
      <c r="T8" s="109"/>
      <c r="U8" s="109"/>
      <c r="V8" s="109"/>
      <c r="W8" s="109"/>
      <c r="X8" s="108"/>
      <c r="Y8" s="109"/>
      <c r="Z8" s="109"/>
      <c r="AA8" s="109"/>
      <c r="AB8" s="109"/>
      <c r="AC8" s="109"/>
      <c r="AD8" s="109"/>
    </row>
    <row r="9" spans="1:30">
      <c r="A9" t="s">
        <v>1213</v>
      </c>
      <c r="B9" t="s">
        <v>1225</v>
      </c>
      <c r="C9" s="109"/>
      <c r="D9" s="109"/>
      <c r="E9" s="16"/>
      <c r="F9" s="109"/>
      <c r="G9" s="109"/>
      <c r="H9" s="109"/>
      <c r="I9" s="109"/>
      <c r="J9" s="16"/>
      <c r="K9" s="16"/>
      <c r="L9" s="109"/>
      <c r="M9" s="109"/>
      <c r="N9" s="109"/>
      <c r="O9" s="109"/>
      <c r="P9" s="109"/>
      <c r="Q9" s="109"/>
      <c r="R9" s="16"/>
      <c r="S9" s="109"/>
      <c r="T9" s="109"/>
      <c r="U9" s="109"/>
      <c r="V9" s="109"/>
      <c r="W9" s="109"/>
      <c r="X9" s="108"/>
      <c r="Y9" s="109"/>
      <c r="Z9" s="109"/>
      <c r="AA9" s="109"/>
      <c r="AB9" s="109"/>
      <c r="AC9" s="109"/>
      <c r="AD9" s="109"/>
    </row>
    <row r="10" spans="1:30">
      <c r="A10" t="s">
        <v>1213</v>
      </c>
      <c r="B10" t="s">
        <v>1230</v>
      </c>
      <c r="C10" s="109"/>
      <c r="D10" s="109"/>
      <c r="E10" s="16"/>
      <c r="F10" s="109"/>
      <c r="G10" s="109"/>
      <c r="H10" s="109"/>
      <c r="I10" s="109"/>
      <c r="J10" s="16"/>
      <c r="K10" s="16"/>
      <c r="L10" s="109"/>
      <c r="M10" s="109"/>
      <c r="N10" s="109"/>
      <c r="O10" s="109"/>
      <c r="P10" s="109"/>
      <c r="Q10" s="109"/>
      <c r="R10" s="16"/>
      <c r="S10" s="109"/>
      <c r="T10" s="109"/>
      <c r="U10" s="109"/>
      <c r="V10" s="109"/>
      <c r="W10" s="109"/>
      <c r="X10" s="108"/>
      <c r="Y10" s="109"/>
      <c r="Z10" s="109"/>
      <c r="AA10" s="109"/>
      <c r="AB10" s="109"/>
      <c r="AC10" s="109"/>
      <c r="AD10" s="109"/>
    </row>
    <row r="11" spans="1:30">
      <c r="A11" t="s">
        <v>1213</v>
      </c>
      <c r="B11" t="s">
        <v>1231</v>
      </c>
      <c r="C11" s="109"/>
      <c r="D11" s="109"/>
      <c r="E11" s="16"/>
      <c r="F11" s="109"/>
      <c r="G11" s="109"/>
      <c r="H11" s="109"/>
      <c r="I11" s="109"/>
      <c r="J11" s="16"/>
      <c r="K11" s="16"/>
      <c r="L11" s="109"/>
      <c r="M11" s="109"/>
      <c r="N11" s="109"/>
      <c r="O11" s="109"/>
      <c r="P11" s="109"/>
      <c r="Q11" s="109"/>
      <c r="R11" s="16"/>
      <c r="S11" s="109"/>
      <c r="T11" s="109"/>
      <c r="U11" s="109"/>
      <c r="V11" s="109"/>
      <c r="W11" s="109"/>
      <c r="X11" s="108"/>
      <c r="Y11" s="109"/>
      <c r="Z11" s="109"/>
      <c r="AA11" s="109"/>
      <c r="AB11" s="109"/>
      <c r="AC11" s="109"/>
      <c r="AD11" s="109"/>
    </row>
    <row r="12" spans="1:30">
      <c r="A12" t="s">
        <v>1213</v>
      </c>
      <c r="B12" t="s">
        <v>1232</v>
      </c>
      <c r="C12" s="109"/>
      <c r="D12" s="109"/>
      <c r="E12" s="16"/>
      <c r="F12" s="109"/>
      <c r="G12" s="109"/>
      <c r="H12" s="109"/>
      <c r="I12" s="109"/>
      <c r="J12" s="16"/>
      <c r="K12" s="16"/>
      <c r="L12" s="109"/>
      <c r="M12" s="109"/>
      <c r="N12" s="109"/>
      <c r="O12" s="109"/>
      <c r="P12" s="109"/>
      <c r="Q12" s="109"/>
      <c r="R12" s="16"/>
      <c r="S12" s="109"/>
      <c r="T12" s="109"/>
      <c r="U12" s="109"/>
      <c r="V12" s="109"/>
      <c r="W12" s="109"/>
      <c r="X12" s="108"/>
      <c r="Y12" s="109"/>
      <c r="Z12" s="109"/>
      <c r="AA12" s="109"/>
      <c r="AB12" s="109"/>
      <c r="AC12" s="109"/>
      <c r="AD12" s="109"/>
    </row>
    <row r="13" spans="1:30">
      <c r="A13" t="s">
        <v>1213</v>
      </c>
      <c r="B13" t="s">
        <v>1233</v>
      </c>
      <c r="C13" s="109"/>
      <c r="D13" s="109"/>
      <c r="E13" s="16"/>
      <c r="F13" s="109"/>
      <c r="G13" s="109"/>
      <c r="H13" s="109"/>
      <c r="I13" s="109"/>
      <c r="J13" s="16"/>
      <c r="K13" s="16"/>
      <c r="L13" s="109"/>
      <c r="M13" s="109"/>
      <c r="N13" s="109"/>
      <c r="O13" s="109"/>
      <c r="P13" s="109"/>
      <c r="Q13" s="109"/>
      <c r="R13" s="16"/>
      <c r="S13" s="109"/>
      <c r="T13" s="109"/>
      <c r="U13" s="109"/>
      <c r="V13" s="109"/>
      <c r="W13" s="109"/>
      <c r="X13" s="108"/>
      <c r="Y13" s="109"/>
      <c r="Z13" s="109"/>
      <c r="AA13" s="109"/>
      <c r="AB13" s="109"/>
      <c r="AC13" s="109"/>
      <c r="AD13" s="109"/>
    </row>
    <row r="14" spans="1:30">
      <c r="A14" t="s">
        <v>1213</v>
      </c>
      <c r="B14" t="s">
        <v>1234</v>
      </c>
      <c r="C14" s="109"/>
      <c r="D14" s="109"/>
      <c r="E14" s="16"/>
      <c r="F14" s="109"/>
      <c r="G14" s="109"/>
      <c r="H14" s="109"/>
      <c r="I14" s="109"/>
      <c r="J14" s="16"/>
      <c r="K14" s="16"/>
      <c r="L14" s="109"/>
      <c r="M14" s="109"/>
      <c r="N14" s="109"/>
      <c r="O14" s="109"/>
      <c r="P14" s="109"/>
      <c r="Q14" s="109"/>
      <c r="R14" s="16"/>
      <c r="S14" s="109"/>
      <c r="T14" s="109"/>
      <c r="U14" s="109"/>
      <c r="V14" s="109"/>
      <c r="W14" s="109"/>
      <c r="X14" s="108"/>
      <c r="Y14" s="109"/>
      <c r="Z14" s="109"/>
      <c r="AA14" s="109"/>
      <c r="AB14" s="109"/>
      <c r="AC14" s="109"/>
      <c r="AD14" s="109"/>
    </row>
    <row r="15" spans="1:30">
      <c r="A15" t="s">
        <v>1213</v>
      </c>
      <c r="B15" t="s">
        <v>1235</v>
      </c>
      <c r="C15" s="109"/>
      <c r="D15" s="109"/>
      <c r="E15" s="16"/>
      <c r="F15" s="109"/>
      <c r="G15" s="109"/>
      <c r="H15" s="109"/>
      <c r="I15" s="109"/>
      <c r="J15" s="16"/>
      <c r="K15" s="16"/>
      <c r="L15" s="109"/>
      <c r="M15" s="109"/>
      <c r="N15" s="109"/>
      <c r="O15" s="109"/>
      <c r="P15" s="109"/>
      <c r="Q15" s="109"/>
      <c r="R15" s="16"/>
      <c r="S15" s="109"/>
      <c r="T15" s="109"/>
      <c r="U15" s="109"/>
      <c r="V15" s="109"/>
      <c r="W15" s="109"/>
      <c r="X15" s="108"/>
      <c r="Y15" s="109"/>
      <c r="Z15" s="109"/>
      <c r="AA15" s="109"/>
      <c r="AB15" s="109"/>
      <c r="AC15" s="109"/>
      <c r="AD15" s="109"/>
    </row>
    <row r="16" spans="1:30">
      <c r="A16" t="s">
        <v>1213</v>
      </c>
      <c r="B16" t="s">
        <v>1238</v>
      </c>
      <c r="C16" s="109"/>
      <c r="D16" s="109"/>
      <c r="E16" s="16"/>
      <c r="F16" s="109"/>
      <c r="G16" s="109"/>
      <c r="H16" s="109"/>
      <c r="I16" s="109"/>
      <c r="J16" s="16"/>
      <c r="K16" s="16"/>
      <c r="L16" s="109"/>
      <c r="M16" s="109"/>
      <c r="N16" s="109"/>
      <c r="O16" s="109"/>
      <c r="P16" s="109"/>
      <c r="Q16" s="109"/>
      <c r="R16" s="16"/>
      <c r="S16" s="109"/>
      <c r="T16" s="109"/>
      <c r="U16" s="109"/>
      <c r="V16" s="109"/>
      <c r="W16" s="109"/>
      <c r="X16" s="108"/>
      <c r="Y16" s="109"/>
      <c r="Z16" s="109"/>
      <c r="AA16" s="109"/>
      <c r="AB16" s="109"/>
      <c r="AC16" s="109"/>
      <c r="AD16" s="109"/>
    </row>
    <row r="17" spans="1:30">
      <c r="A17" t="s">
        <v>1213</v>
      </c>
      <c r="B17" t="s">
        <v>1241</v>
      </c>
      <c r="C17" s="109"/>
      <c r="D17" s="109"/>
      <c r="E17" s="16"/>
      <c r="F17" s="109"/>
      <c r="G17" s="109"/>
      <c r="H17" s="109"/>
      <c r="I17" s="109"/>
      <c r="J17" s="16"/>
      <c r="K17" s="16"/>
      <c r="L17" s="109"/>
      <c r="M17" s="109"/>
      <c r="N17" s="109"/>
      <c r="O17" s="109"/>
      <c r="P17" s="109"/>
      <c r="Q17" s="109"/>
      <c r="R17" s="16"/>
      <c r="S17" s="109"/>
      <c r="T17" s="109"/>
      <c r="U17" s="109"/>
      <c r="V17" s="109"/>
      <c r="W17" s="109"/>
      <c r="X17" s="108"/>
      <c r="Y17" s="109"/>
      <c r="Z17" s="109"/>
      <c r="AA17" s="109"/>
      <c r="AB17" s="109"/>
      <c r="AC17" s="109"/>
      <c r="AD17" s="109"/>
    </row>
    <row r="18" spans="1:30">
      <c r="A18" t="s">
        <v>1213</v>
      </c>
      <c r="B18" t="s">
        <v>1242</v>
      </c>
      <c r="C18" s="109"/>
      <c r="D18" s="109"/>
      <c r="E18" s="16"/>
      <c r="F18" s="109"/>
      <c r="G18" s="109"/>
      <c r="H18" s="109"/>
      <c r="I18" s="109"/>
      <c r="J18" s="16"/>
      <c r="K18" s="16"/>
      <c r="L18" s="109"/>
      <c r="M18" s="109"/>
      <c r="N18" s="109"/>
      <c r="O18" s="109"/>
      <c r="P18" s="109"/>
      <c r="Q18" s="109"/>
      <c r="R18" s="16"/>
      <c r="S18" s="109"/>
      <c r="T18" s="109"/>
      <c r="U18" s="109"/>
      <c r="V18" s="109"/>
      <c r="W18" s="109"/>
      <c r="X18" s="108"/>
      <c r="Y18" s="109"/>
      <c r="Z18" s="109"/>
      <c r="AA18" s="109"/>
      <c r="AB18" s="109"/>
      <c r="AC18" s="109"/>
      <c r="AD18" s="109"/>
    </row>
    <row r="19" spans="1:30">
      <c r="A19" t="s">
        <v>1213</v>
      </c>
      <c r="B19" t="s">
        <v>1243</v>
      </c>
      <c r="C19" s="108"/>
      <c r="D19" s="108"/>
      <c r="E19" s="16"/>
      <c r="F19" s="108"/>
      <c r="G19" s="108"/>
      <c r="H19" s="109"/>
      <c r="I19" s="109"/>
      <c r="J19" s="16"/>
      <c r="K19" s="16"/>
      <c r="L19" s="109"/>
      <c r="M19" s="109"/>
      <c r="N19" s="108"/>
      <c r="O19" s="108"/>
      <c r="P19" s="109"/>
      <c r="Q19" s="109"/>
      <c r="R19" s="108"/>
      <c r="S19" s="108"/>
      <c r="T19" s="108"/>
      <c r="U19" s="108"/>
      <c r="V19" s="109"/>
      <c r="W19" s="109"/>
      <c r="X19" s="108"/>
      <c r="Y19" s="108"/>
      <c r="Z19" s="108"/>
      <c r="AA19" s="108"/>
      <c r="AB19" s="108"/>
      <c r="AC19" s="108"/>
      <c r="AD19" s="108"/>
    </row>
    <row r="20" spans="1:30" customFormat="1">
      <c r="A20" t="s">
        <v>1213</v>
      </c>
      <c r="B20" t="s">
        <v>1244</v>
      </c>
    </row>
    <row r="21" spans="1:30">
      <c r="A21" t="s">
        <v>1213</v>
      </c>
      <c r="B21">
        <v>15108</v>
      </c>
    </row>
    <row r="22" spans="1:30">
      <c r="A22" t="s">
        <v>1213</v>
      </c>
      <c r="B22" t="s">
        <v>1247</v>
      </c>
    </row>
    <row r="23" spans="1:30">
      <c r="A23" t="s">
        <v>1213</v>
      </c>
      <c r="B23" t="s">
        <v>1248</v>
      </c>
    </row>
    <row r="24" spans="1:30">
      <c r="A24" t="s">
        <v>1213</v>
      </c>
      <c r="B24" t="s">
        <v>1250</v>
      </c>
    </row>
    <row r="25" spans="1:30">
      <c r="A25" t="s">
        <v>1213</v>
      </c>
      <c r="B25" t="s">
        <v>1251</v>
      </c>
    </row>
    <row r="26" spans="1:30">
      <c r="A26" t="s">
        <v>1213</v>
      </c>
      <c r="B26" t="s">
        <v>1252</v>
      </c>
    </row>
    <row r="27" spans="1:30">
      <c r="A27" t="s">
        <v>1213</v>
      </c>
      <c r="B27" t="s">
        <v>1253</v>
      </c>
    </row>
    <row r="28" spans="1:30">
      <c r="A28" t="s">
        <v>1213</v>
      </c>
      <c r="B28" t="s">
        <v>1254</v>
      </c>
    </row>
    <row r="29" spans="1:30">
      <c r="A29" t="s">
        <v>1213</v>
      </c>
      <c r="B29" t="s">
        <v>1255</v>
      </c>
    </row>
    <row r="30" spans="1:30">
      <c r="A30" t="s">
        <v>1213</v>
      </c>
      <c r="B30" t="s">
        <v>1256</v>
      </c>
    </row>
    <row r="31" spans="1:30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10">
    <dataValidation type="list" allowBlank="1" showInputMessage="1" showErrorMessage="1" sqref="M2:M19">
      <formula1>Underlying_Asset</formula1>
    </dataValidation>
    <dataValidation type="list" allowBlank="1" showInputMessage="1" showErrorMessage="1" sqref="E2:E19">
      <formula1>Issuer_Number_Type_2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L2:L19">
      <formula1>Holding_interest</formula1>
    </dataValidation>
    <dataValidation type="list" allowBlank="1" showInputMessage="1" showErrorMessage="1" sqref="P2:P19">
      <formula1>Rating_Agency</formula1>
    </dataValidation>
    <dataValidation type="list" allowBlank="1" showInputMessage="1" showErrorMessage="1" sqref="Q2:Q19">
      <formula1>What_is_rated</formula1>
    </dataValidation>
    <dataValidation type="list" allowBlank="1" showInputMessage="1" showErrorMessage="1" sqref="V2:V19">
      <formula1>Valuation</formula1>
    </dataValidation>
    <dataValidation type="list" allowBlank="1" showInputMessage="1" showErrorMessage="1" sqref="W2:W19">
      <formula1>Dependence_Independence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H2:H19">
      <formula1>Type_of_Security_ID_Fund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I2:I19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43"/>
  <sheetViews>
    <sheetView rightToLeft="1" workbookViewId="0">
      <selection activeCell="I30" sqref="I30"/>
    </sheetView>
  </sheetViews>
  <sheetFormatPr defaultColWidth="9" defaultRowHeight="14.25"/>
  <cols>
    <col min="1" max="4" width="11.625" style="2" customWidth="1"/>
    <col min="5" max="5" width="11.625" style="4" customWidth="1"/>
    <col min="6" max="22" width="11.625" style="2" customWidth="1"/>
    <col min="23" max="16384" width="9" style="2"/>
  </cols>
  <sheetData>
    <row r="1" spans="1:23" ht="66.75" customHeight="1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  <c r="G1" s="17" t="s">
        <v>173</v>
      </c>
      <c r="H1" s="17" t="s">
        <v>55</v>
      </c>
      <c r="I1" s="17" t="s">
        <v>69</v>
      </c>
      <c r="J1" s="17" t="s">
        <v>56</v>
      </c>
      <c r="K1" s="17" t="s">
        <v>57</v>
      </c>
      <c r="L1" s="17" t="s">
        <v>58</v>
      </c>
      <c r="M1" s="17" t="s">
        <v>59</v>
      </c>
      <c r="N1" s="17" t="s">
        <v>72</v>
      </c>
      <c r="O1" s="17" t="s">
        <v>62</v>
      </c>
      <c r="P1" s="17" t="s">
        <v>74</v>
      </c>
      <c r="Q1" s="17" t="s">
        <v>60</v>
      </c>
      <c r="R1" s="17" t="s">
        <v>61</v>
      </c>
      <c r="S1" s="17" t="s">
        <v>174</v>
      </c>
      <c r="T1" s="17" t="s">
        <v>63</v>
      </c>
      <c r="U1" s="17" t="s">
        <v>64</v>
      </c>
      <c r="V1" s="17" t="s">
        <v>65</v>
      </c>
    </row>
    <row r="2" spans="1:23">
      <c r="A2" t="s">
        <v>1213</v>
      </c>
      <c r="B2" t="s">
        <v>1247</v>
      </c>
      <c r="C2" t="s">
        <v>1209</v>
      </c>
      <c r="D2" t="s">
        <v>1210</v>
      </c>
      <c r="E2" t="s">
        <v>315</v>
      </c>
      <c r="F2" t="s">
        <v>950</v>
      </c>
      <c r="G2" t="s">
        <v>5297</v>
      </c>
      <c r="H2" s="16" t="s">
        <v>204</v>
      </c>
      <c r="I2" t="s">
        <v>204</v>
      </c>
      <c r="J2" t="s">
        <v>339</v>
      </c>
      <c r="K2" t="s">
        <v>1211</v>
      </c>
      <c r="L2" t="s">
        <v>415</v>
      </c>
      <c r="M2" t="s">
        <v>1216</v>
      </c>
      <c r="N2" s="131">
        <v>0.871</v>
      </c>
      <c r="O2" s="132">
        <v>5.8500000000000003E-2</v>
      </c>
      <c r="P2" s="132">
        <v>4.9889999999999997E-2</v>
      </c>
      <c r="Q2" s="131">
        <v>101.47</v>
      </c>
      <c r="R2" s="131">
        <v>3.71</v>
      </c>
      <c r="S2" s="131">
        <v>101.47</v>
      </c>
      <c r="T2" s="131">
        <v>376.45400000000001</v>
      </c>
      <c r="U2" s="132">
        <v>0.14924999999999999</v>
      </c>
      <c r="V2" s="132">
        <v>1.23E-3</v>
      </c>
      <c r="W2" s="151"/>
    </row>
    <row r="3" spans="1:23">
      <c r="A3" t="s">
        <v>1213</v>
      </c>
      <c r="B3" t="s">
        <v>1247</v>
      </c>
      <c r="C3" t="s">
        <v>1209</v>
      </c>
      <c r="D3" t="s">
        <v>1210</v>
      </c>
      <c r="E3" t="s">
        <v>315</v>
      </c>
      <c r="F3" t="s">
        <v>951</v>
      </c>
      <c r="G3" t="s">
        <v>1296</v>
      </c>
      <c r="H3" t="s">
        <v>204</v>
      </c>
      <c r="I3" t="s">
        <v>204</v>
      </c>
      <c r="J3" t="s">
        <v>339</v>
      </c>
      <c r="K3" t="s">
        <v>1211</v>
      </c>
      <c r="L3" t="s">
        <v>415</v>
      </c>
      <c r="M3" t="s">
        <v>1212</v>
      </c>
      <c r="N3" s="131">
        <v>0.84899999999999998</v>
      </c>
      <c r="O3" s="132">
        <v>4.5499999999999999E-2</v>
      </c>
      <c r="P3" s="132">
        <v>4.888E-2</v>
      </c>
      <c r="Q3" s="131">
        <v>1004.1</v>
      </c>
      <c r="R3" s="131">
        <v>1</v>
      </c>
      <c r="S3" s="131">
        <v>100.41</v>
      </c>
      <c r="T3" s="131">
        <v>1004.1</v>
      </c>
      <c r="U3" s="132">
        <v>0.39809</v>
      </c>
      <c r="V3" s="132">
        <v>3.29E-3</v>
      </c>
      <c r="W3" s="151"/>
    </row>
    <row r="4" spans="1:23">
      <c r="A4" t="s">
        <v>1213</v>
      </c>
      <c r="B4" t="s">
        <v>1247</v>
      </c>
      <c r="C4" t="s">
        <v>1209</v>
      </c>
      <c r="D4" t="s">
        <v>1210</v>
      </c>
      <c r="E4" t="s">
        <v>315</v>
      </c>
      <c r="F4" t="s">
        <v>950</v>
      </c>
      <c r="G4" t="s">
        <v>1317</v>
      </c>
      <c r="H4" t="s">
        <v>204</v>
      </c>
      <c r="I4" t="s">
        <v>204</v>
      </c>
      <c r="J4" t="s">
        <v>339</v>
      </c>
      <c r="K4" t="s">
        <v>1211</v>
      </c>
      <c r="L4" t="s">
        <v>415</v>
      </c>
      <c r="M4" t="s">
        <v>1216</v>
      </c>
      <c r="N4" s="131">
        <v>0.504</v>
      </c>
      <c r="O4" s="132">
        <v>5.7500000000000002E-2</v>
      </c>
      <c r="P4" s="132">
        <v>5.0750000000000003E-2</v>
      </c>
      <c r="Q4" s="131">
        <v>103.16</v>
      </c>
      <c r="R4" s="131">
        <v>3.71</v>
      </c>
      <c r="S4" s="131">
        <v>103.16</v>
      </c>
      <c r="T4" s="131">
        <v>382.72399999999999</v>
      </c>
      <c r="U4" s="132">
        <v>0.15174000000000001</v>
      </c>
      <c r="V4" s="132">
        <v>1.25E-3</v>
      </c>
      <c r="W4" s="151"/>
    </row>
    <row r="5" spans="1:23">
      <c r="A5" t="s">
        <v>1213</v>
      </c>
      <c r="B5" t="s">
        <v>1247</v>
      </c>
      <c r="C5" t="s">
        <v>1209</v>
      </c>
      <c r="D5" t="s">
        <v>1210</v>
      </c>
      <c r="E5" t="s">
        <v>315</v>
      </c>
      <c r="F5" t="s">
        <v>950</v>
      </c>
      <c r="G5" t="s">
        <v>5298</v>
      </c>
      <c r="H5" t="s">
        <v>204</v>
      </c>
      <c r="I5" t="s">
        <v>204</v>
      </c>
      <c r="J5" t="s">
        <v>339</v>
      </c>
      <c r="K5" t="s">
        <v>1211</v>
      </c>
      <c r="L5" t="s">
        <v>415</v>
      </c>
      <c r="M5" t="s">
        <v>1216</v>
      </c>
      <c r="N5" s="131">
        <v>0.625</v>
      </c>
      <c r="O5" s="132">
        <v>5.8500000000000003E-2</v>
      </c>
      <c r="P5" s="132">
        <v>4.9500000000000002E-2</v>
      </c>
      <c r="Q5" s="131">
        <v>102.72</v>
      </c>
      <c r="R5" s="131">
        <v>3.71</v>
      </c>
      <c r="S5" s="131">
        <v>102.72</v>
      </c>
      <c r="T5" s="131">
        <v>381.09100000000001</v>
      </c>
      <c r="U5" s="132">
        <v>0.15109</v>
      </c>
      <c r="V5" s="132">
        <v>1.25E-3</v>
      </c>
      <c r="W5" s="151"/>
    </row>
    <row r="6" spans="1:23">
      <c r="A6" t="s">
        <v>1213</v>
      </c>
      <c r="B6" t="s">
        <v>1247</v>
      </c>
      <c r="C6" t="s">
        <v>1209</v>
      </c>
      <c r="D6" t="s">
        <v>1210</v>
      </c>
      <c r="E6" t="s">
        <v>315</v>
      </c>
      <c r="F6" t="s">
        <v>950</v>
      </c>
      <c r="G6" t="s">
        <v>5299</v>
      </c>
      <c r="H6" t="s">
        <v>204</v>
      </c>
      <c r="I6" t="s">
        <v>204</v>
      </c>
      <c r="J6" t="s">
        <v>339</v>
      </c>
      <c r="K6" t="s">
        <v>1211</v>
      </c>
      <c r="L6" t="s">
        <v>415</v>
      </c>
      <c r="M6" t="s">
        <v>1216</v>
      </c>
      <c r="N6" s="131">
        <v>0.77800000000000002</v>
      </c>
      <c r="O6" s="132">
        <v>5.7500000000000002E-2</v>
      </c>
      <c r="P6" s="132">
        <v>4.956E-2</v>
      </c>
      <c r="Q6" s="131">
        <v>101.86</v>
      </c>
      <c r="R6" s="131">
        <v>3.71</v>
      </c>
      <c r="S6" s="131">
        <v>101.86</v>
      </c>
      <c r="T6" s="131">
        <v>377.90100000000001</v>
      </c>
      <c r="U6" s="132">
        <v>0.14982999999999999</v>
      </c>
      <c r="V6" s="132">
        <v>1.24E-3</v>
      </c>
      <c r="W6" s="151"/>
    </row>
    <row r="7" spans="1:23">
      <c r="A7" t="s">
        <v>1213</v>
      </c>
      <c r="B7" t="s">
        <v>1248</v>
      </c>
      <c r="C7" t="s">
        <v>1209</v>
      </c>
      <c r="D7" t="s">
        <v>1210</v>
      </c>
      <c r="E7" t="s">
        <v>315</v>
      </c>
      <c r="F7" t="s">
        <v>950</v>
      </c>
      <c r="G7" t="s">
        <v>5297</v>
      </c>
      <c r="H7" s="16" t="s">
        <v>204</v>
      </c>
      <c r="I7" t="s">
        <v>204</v>
      </c>
      <c r="J7" t="s">
        <v>339</v>
      </c>
      <c r="K7" t="s">
        <v>1211</v>
      </c>
      <c r="L7" t="s">
        <v>415</v>
      </c>
      <c r="M7" t="s">
        <v>1216</v>
      </c>
      <c r="N7" s="131">
        <v>0.871</v>
      </c>
      <c r="O7" s="132">
        <v>5.8500000000000003E-2</v>
      </c>
      <c r="P7" s="132">
        <v>4.9889999999999997E-2</v>
      </c>
      <c r="Q7" s="131">
        <v>608.82000000000005</v>
      </c>
      <c r="R7" s="131">
        <v>3.71</v>
      </c>
      <c r="S7" s="131">
        <v>101.47</v>
      </c>
      <c r="T7" s="131">
        <v>2258.7220000000002</v>
      </c>
      <c r="U7" s="132">
        <v>0.18296000000000001</v>
      </c>
      <c r="V7" s="132">
        <v>3.0999999999999999E-3</v>
      </c>
      <c r="W7" s="151"/>
    </row>
    <row r="8" spans="1:23">
      <c r="A8" t="s">
        <v>1213</v>
      </c>
      <c r="B8" t="s">
        <v>1248</v>
      </c>
      <c r="C8" t="s">
        <v>1209</v>
      </c>
      <c r="D8" t="s">
        <v>1210</v>
      </c>
      <c r="E8" t="s">
        <v>315</v>
      </c>
      <c r="F8" t="s">
        <v>951</v>
      </c>
      <c r="G8" t="s">
        <v>1296</v>
      </c>
      <c r="H8" t="s">
        <v>204</v>
      </c>
      <c r="I8" t="s">
        <v>204</v>
      </c>
      <c r="J8" t="s">
        <v>339</v>
      </c>
      <c r="K8" t="s">
        <v>1211</v>
      </c>
      <c r="L8" t="s">
        <v>415</v>
      </c>
      <c r="M8" t="s">
        <v>1212</v>
      </c>
      <c r="N8" s="131">
        <v>0.84899999999999998</v>
      </c>
      <c r="O8" s="132">
        <v>4.5499999999999999E-2</v>
      </c>
      <c r="P8" s="132">
        <v>4.888E-2</v>
      </c>
      <c r="Q8" s="131">
        <v>4016.4</v>
      </c>
      <c r="R8" s="131">
        <v>1</v>
      </c>
      <c r="S8" s="131">
        <v>100.41</v>
      </c>
      <c r="T8" s="131">
        <v>4016.4</v>
      </c>
      <c r="U8" s="132">
        <v>0.32533000000000001</v>
      </c>
      <c r="V8" s="132">
        <v>5.5199999999999997E-3</v>
      </c>
      <c r="W8" s="151"/>
    </row>
    <row r="9" spans="1:23">
      <c r="A9" t="s">
        <v>1213</v>
      </c>
      <c r="B9" t="s">
        <v>1248</v>
      </c>
      <c r="C9" t="s">
        <v>1209</v>
      </c>
      <c r="D9" t="s">
        <v>1210</v>
      </c>
      <c r="E9" t="s">
        <v>315</v>
      </c>
      <c r="F9" t="s">
        <v>950</v>
      </c>
      <c r="G9" t="s">
        <v>5299</v>
      </c>
      <c r="H9" t="s">
        <v>204</v>
      </c>
      <c r="I9" t="s">
        <v>204</v>
      </c>
      <c r="J9" t="s">
        <v>339</v>
      </c>
      <c r="K9" t="s">
        <v>1211</v>
      </c>
      <c r="L9" t="s">
        <v>415</v>
      </c>
      <c r="M9" t="s">
        <v>1216</v>
      </c>
      <c r="N9" s="131">
        <v>0.77800000000000002</v>
      </c>
      <c r="O9" s="132">
        <v>5.7500000000000002E-2</v>
      </c>
      <c r="P9" s="132">
        <v>4.956E-2</v>
      </c>
      <c r="Q9" s="131">
        <v>916.74</v>
      </c>
      <c r="R9" s="131">
        <v>3.71</v>
      </c>
      <c r="S9" s="131">
        <v>101.86</v>
      </c>
      <c r="T9" s="131">
        <v>3401.105</v>
      </c>
      <c r="U9" s="132">
        <v>0.27549000000000001</v>
      </c>
      <c r="V9" s="132">
        <v>4.6699999999999997E-3</v>
      </c>
      <c r="W9" s="151"/>
    </row>
    <row r="10" spans="1:23">
      <c r="A10" t="s">
        <v>1213</v>
      </c>
      <c r="B10" t="s">
        <v>1248</v>
      </c>
      <c r="C10" t="s">
        <v>1209</v>
      </c>
      <c r="D10" t="s">
        <v>1210</v>
      </c>
      <c r="E10" t="s">
        <v>315</v>
      </c>
      <c r="F10" t="s">
        <v>950</v>
      </c>
      <c r="G10" t="s">
        <v>5298</v>
      </c>
      <c r="H10" t="s">
        <v>204</v>
      </c>
      <c r="I10" t="s">
        <v>204</v>
      </c>
      <c r="J10" t="s">
        <v>339</v>
      </c>
      <c r="K10" t="s">
        <v>1211</v>
      </c>
      <c r="L10" t="s">
        <v>415</v>
      </c>
      <c r="M10" t="s">
        <v>1216</v>
      </c>
      <c r="N10" s="131">
        <v>0.625</v>
      </c>
      <c r="O10" s="132">
        <v>5.8500000000000003E-2</v>
      </c>
      <c r="P10" s="132">
        <v>4.9500000000000002E-2</v>
      </c>
      <c r="Q10" s="131">
        <v>616.32000000000005</v>
      </c>
      <c r="R10" s="131">
        <v>3.71</v>
      </c>
      <c r="S10" s="131">
        <v>102.72</v>
      </c>
      <c r="T10" s="131">
        <v>2286.547</v>
      </c>
      <c r="U10" s="132">
        <v>0.18521000000000001</v>
      </c>
      <c r="V10" s="132">
        <v>3.14E-3</v>
      </c>
      <c r="W10" s="151"/>
    </row>
    <row r="11" spans="1:23">
      <c r="A11" t="s">
        <v>1213</v>
      </c>
      <c r="B11" t="s">
        <v>1248</v>
      </c>
      <c r="C11" t="s">
        <v>1209</v>
      </c>
      <c r="D11" t="s">
        <v>1210</v>
      </c>
      <c r="E11" t="s">
        <v>315</v>
      </c>
      <c r="F11" t="s">
        <v>950</v>
      </c>
      <c r="G11" t="s">
        <v>1317</v>
      </c>
      <c r="H11" t="s">
        <v>204</v>
      </c>
      <c r="I11" t="s">
        <v>204</v>
      </c>
      <c r="J11" t="s">
        <v>339</v>
      </c>
      <c r="K11" t="s">
        <v>1211</v>
      </c>
      <c r="L11" t="s">
        <v>415</v>
      </c>
      <c r="M11" t="s">
        <v>1216</v>
      </c>
      <c r="N11" s="131">
        <v>0.504</v>
      </c>
      <c r="O11" s="132">
        <v>5.7500000000000002E-2</v>
      </c>
      <c r="P11" s="132">
        <v>5.0750000000000003E-2</v>
      </c>
      <c r="Q11" s="131">
        <v>103.16</v>
      </c>
      <c r="R11" s="131">
        <v>3.71</v>
      </c>
      <c r="S11" s="131">
        <v>103.16</v>
      </c>
      <c r="T11" s="131">
        <v>382.72399999999999</v>
      </c>
      <c r="U11" s="132">
        <v>3.1E-2</v>
      </c>
      <c r="V11" s="132">
        <v>5.2999999999999998E-4</v>
      </c>
      <c r="W11" s="151"/>
    </row>
    <row r="12" spans="1:23">
      <c r="A12" t="s">
        <v>1213</v>
      </c>
      <c r="B12" t="s">
        <v>1250</v>
      </c>
      <c r="C12" t="s">
        <v>1209</v>
      </c>
      <c r="D12" t="s">
        <v>1210</v>
      </c>
      <c r="E12" t="s">
        <v>315</v>
      </c>
      <c r="F12" t="s">
        <v>950</v>
      </c>
      <c r="G12" t="s">
        <v>5297</v>
      </c>
      <c r="H12" s="16" t="s">
        <v>204</v>
      </c>
      <c r="I12" t="s">
        <v>204</v>
      </c>
      <c r="J12" t="s">
        <v>339</v>
      </c>
      <c r="K12" t="s">
        <v>1211</v>
      </c>
      <c r="L12" t="s">
        <v>415</v>
      </c>
      <c r="M12" t="s">
        <v>1216</v>
      </c>
      <c r="N12" s="131">
        <v>0.871</v>
      </c>
      <c r="O12" s="132">
        <v>5.8500000000000003E-2</v>
      </c>
      <c r="P12" s="132">
        <v>4.9889999999999997E-2</v>
      </c>
      <c r="Q12" s="131">
        <v>608.82000000000005</v>
      </c>
      <c r="R12" s="131">
        <v>3.71</v>
      </c>
      <c r="S12" s="131">
        <v>101.47</v>
      </c>
      <c r="T12" s="131">
        <v>2258.7220000000002</v>
      </c>
      <c r="U12" s="132">
        <v>0.13766999999999999</v>
      </c>
      <c r="V12" s="132">
        <v>6.8000000000000005E-4</v>
      </c>
      <c r="W12" s="151"/>
    </row>
    <row r="13" spans="1:23">
      <c r="A13" t="s">
        <v>1213</v>
      </c>
      <c r="B13" t="s">
        <v>1250</v>
      </c>
      <c r="C13" t="s">
        <v>1209</v>
      </c>
      <c r="D13" t="s">
        <v>1210</v>
      </c>
      <c r="E13" t="s">
        <v>315</v>
      </c>
      <c r="F13" t="s">
        <v>951</v>
      </c>
      <c r="G13" t="s">
        <v>1296</v>
      </c>
      <c r="H13" t="s">
        <v>204</v>
      </c>
      <c r="I13" t="s">
        <v>204</v>
      </c>
      <c r="J13" t="s">
        <v>339</v>
      </c>
      <c r="K13" t="s">
        <v>1211</v>
      </c>
      <c r="L13" t="s">
        <v>415</v>
      </c>
      <c r="M13" t="s">
        <v>1212</v>
      </c>
      <c r="N13" s="131">
        <v>0.84899999999999998</v>
      </c>
      <c r="O13" s="132">
        <v>4.5499999999999999E-2</v>
      </c>
      <c r="P13" s="132">
        <v>4.888E-2</v>
      </c>
      <c r="Q13" s="131">
        <v>5020.5</v>
      </c>
      <c r="R13" s="131">
        <v>1</v>
      </c>
      <c r="S13" s="131">
        <v>100.41</v>
      </c>
      <c r="T13" s="131">
        <v>5020.5</v>
      </c>
      <c r="U13" s="132">
        <v>0.30601</v>
      </c>
      <c r="V13" s="132">
        <v>1.5E-3</v>
      </c>
      <c r="W13" s="151"/>
    </row>
    <row r="14" spans="1:23">
      <c r="A14" t="s">
        <v>1213</v>
      </c>
      <c r="B14" t="s">
        <v>1250</v>
      </c>
      <c r="C14" t="s">
        <v>1209</v>
      </c>
      <c r="D14" t="s">
        <v>1210</v>
      </c>
      <c r="E14" t="s">
        <v>315</v>
      </c>
      <c r="F14" t="s">
        <v>950</v>
      </c>
      <c r="G14" t="s">
        <v>5299</v>
      </c>
      <c r="H14" t="s">
        <v>204</v>
      </c>
      <c r="I14" t="s">
        <v>204</v>
      </c>
      <c r="J14" t="s">
        <v>339</v>
      </c>
      <c r="K14" t="s">
        <v>1211</v>
      </c>
      <c r="L14" t="s">
        <v>415</v>
      </c>
      <c r="M14" t="s">
        <v>1216</v>
      </c>
      <c r="N14" s="131">
        <v>0.77800000000000002</v>
      </c>
      <c r="O14" s="132">
        <v>5.7500000000000002E-2</v>
      </c>
      <c r="P14" s="132">
        <v>4.956E-2</v>
      </c>
      <c r="Q14" s="131">
        <v>1018.6</v>
      </c>
      <c r="R14" s="131">
        <v>3.71</v>
      </c>
      <c r="S14" s="131">
        <v>101.86</v>
      </c>
      <c r="T14" s="131">
        <v>3779.0059999999999</v>
      </c>
      <c r="U14" s="132">
        <v>0.23033999999999999</v>
      </c>
      <c r="V14" s="132">
        <v>1.1299999999999999E-3</v>
      </c>
      <c r="W14" s="151"/>
    </row>
    <row r="15" spans="1:23">
      <c r="A15" t="s">
        <v>1213</v>
      </c>
      <c r="B15" t="s">
        <v>1250</v>
      </c>
      <c r="C15" t="s">
        <v>1209</v>
      </c>
      <c r="D15" t="s">
        <v>1210</v>
      </c>
      <c r="E15" t="s">
        <v>315</v>
      </c>
      <c r="F15" t="s">
        <v>950</v>
      </c>
      <c r="G15" t="s">
        <v>1317</v>
      </c>
      <c r="H15" t="s">
        <v>204</v>
      </c>
      <c r="I15" t="s">
        <v>204</v>
      </c>
      <c r="J15" t="s">
        <v>339</v>
      </c>
      <c r="K15" t="s">
        <v>1211</v>
      </c>
      <c r="L15" t="s">
        <v>415</v>
      </c>
      <c r="M15" t="s">
        <v>1216</v>
      </c>
      <c r="N15" s="131">
        <v>0.504</v>
      </c>
      <c r="O15" s="132">
        <v>5.7500000000000002E-2</v>
      </c>
      <c r="P15" s="132">
        <v>5.0750000000000003E-2</v>
      </c>
      <c r="Q15" s="131">
        <v>825.28</v>
      </c>
      <c r="R15" s="131">
        <v>3.71</v>
      </c>
      <c r="S15" s="131">
        <v>103.16</v>
      </c>
      <c r="T15" s="131">
        <v>3061.7890000000002</v>
      </c>
      <c r="U15" s="132">
        <v>0.18662000000000001</v>
      </c>
      <c r="V15" s="132">
        <v>9.2000000000000003E-4</v>
      </c>
      <c r="W15" s="151"/>
    </row>
    <row r="16" spans="1:23">
      <c r="A16" t="s">
        <v>1213</v>
      </c>
      <c r="B16" t="s">
        <v>1250</v>
      </c>
      <c r="C16" t="s">
        <v>1209</v>
      </c>
      <c r="D16" t="s">
        <v>1210</v>
      </c>
      <c r="E16" t="s">
        <v>315</v>
      </c>
      <c r="F16" t="s">
        <v>950</v>
      </c>
      <c r="G16" t="s">
        <v>5298</v>
      </c>
      <c r="H16" t="s">
        <v>204</v>
      </c>
      <c r="I16" t="s">
        <v>204</v>
      </c>
      <c r="J16" t="s">
        <v>339</v>
      </c>
      <c r="K16" t="s">
        <v>1211</v>
      </c>
      <c r="L16" t="s">
        <v>415</v>
      </c>
      <c r="M16" t="s">
        <v>1216</v>
      </c>
      <c r="N16" s="131">
        <v>0.625</v>
      </c>
      <c r="O16" s="132">
        <v>5.8500000000000003E-2</v>
      </c>
      <c r="P16" s="132">
        <v>4.9500000000000002E-2</v>
      </c>
      <c r="Q16" s="131">
        <v>616.32000000000005</v>
      </c>
      <c r="R16" s="131">
        <v>3.71</v>
      </c>
      <c r="S16" s="131">
        <v>102.72</v>
      </c>
      <c r="T16" s="131">
        <v>2286.547</v>
      </c>
      <c r="U16" s="132">
        <v>0.13936999999999999</v>
      </c>
      <c r="V16" s="132">
        <v>6.8000000000000005E-4</v>
      </c>
      <c r="W16" s="151"/>
    </row>
    <row r="17" spans="1:22">
      <c r="A17" t="s">
        <v>1213</v>
      </c>
      <c r="B17" t="s">
        <v>1214</v>
      </c>
      <c r="C17" s="109"/>
      <c r="D17" s="108"/>
      <c r="E17" s="16"/>
      <c r="F17" s="109"/>
      <c r="G17" s="109"/>
      <c r="H17" s="16"/>
      <c r="I17" s="16"/>
      <c r="J17" s="109"/>
      <c r="K17" s="109"/>
      <c r="L17" s="108"/>
      <c r="M17" s="16"/>
      <c r="N17" s="109"/>
      <c r="O17" s="109"/>
      <c r="P17" s="109"/>
      <c r="Q17" s="108"/>
      <c r="R17" s="109"/>
      <c r="S17" s="109"/>
      <c r="T17" s="109"/>
      <c r="U17" s="109"/>
      <c r="V17" s="109"/>
    </row>
    <row r="18" spans="1:22">
      <c r="A18" t="s">
        <v>1213</v>
      </c>
      <c r="B18" t="s">
        <v>1217</v>
      </c>
      <c r="C18" s="109"/>
      <c r="D18" s="108"/>
      <c r="E18" s="16"/>
      <c r="F18" s="109"/>
      <c r="G18" s="109"/>
      <c r="H18" s="16"/>
      <c r="I18" s="16"/>
      <c r="J18" s="109"/>
      <c r="K18" s="109"/>
      <c r="L18" s="108"/>
      <c r="M18" s="16"/>
      <c r="N18" s="109"/>
      <c r="O18" s="109"/>
      <c r="P18" s="109"/>
      <c r="Q18" s="108"/>
      <c r="R18" s="109"/>
      <c r="S18" s="109"/>
      <c r="T18" s="109"/>
      <c r="U18" s="109"/>
      <c r="V18" s="109"/>
    </row>
    <row r="19" spans="1:22">
      <c r="A19" t="s">
        <v>1213</v>
      </c>
      <c r="B19" t="s">
        <v>1220</v>
      </c>
      <c r="C19" s="108"/>
      <c r="D19" s="108"/>
      <c r="E19" s="16"/>
      <c r="F19" s="109"/>
      <c r="G19" s="108"/>
      <c r="H19" s="16"/>
      <c r="I19" s="16"/>
      <c r="J19" s="109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</row>
    <row r="20" spans="1:22">
      <c r="A20" t="s">
        <v>1213</v>
      </c>
      <c r="B20" t="s">
        <v>1221</v>
      </c>
      <c r="C20" s="108"/>
      <c r="D20" s="108"/>
      <c r="F20" s="108"/>
      <c r="G20" s="108"/>
      <c r="H20" s="108"/>
      <c r="I20" s="108"/>
      <c r="J20" s="108"/>
      <c r="K20" s="108"/>
      <c r="L20"/>
      <c r="M20" s="108"/>
      <c r="N20" s="108"/>
      <c r="O20" s="108"/>
      <c r="P20" s="108"/>
      <c r="Q20" s="108"/>
      <c r="R20" s="108"/>
      <c r="S20" s="108"/>
      <c r="T20" s="108"/>
      <c r="U20" s="108"/>
      <c r="V20" s="108"/>
    </row>
    <row r="21" spans="1:22">
      <c r="A21" t="s">
        <v>1213</v>
      </c>
      <c r="B21" t="s">
        <v>1222</v>
      </c>
    </row>
    <row r="22" spans="1:22">
      <c r="A22" t="s">
        <v>1213</v>
      </c>
      <c r="B22" t="s">
        <v>1223</v>
      </c>
    </row>
    <row r="23" spans="1:22">
      <c r="A23" t="s">
        <v>1213</v>
      </c>
      <c r="B23" t="s">
        <v>1224</v>
      </c>
    </row>
    <row r="24" spans="1:22">
      <c r="A24" t="s">
        <v>1213</v>
      </c>
      <c r="B24" t="s">
        <v>1225</v>
      </c>
    </row>
    <row r="25" spans="1:22">
      <c r="A25" t="s">
        <v>1213</v>
      </c>
      <c r="B25" t="s">
        <v>1230</v>
      </c>
    </row>
    <row r="26" spans="1:22">
      <c r="A26" t="s">
        <v>1213</v>
      </c>
      <c r="B26" t="s">
        <v>1231</v>
      </c>
    </row>
    <row r="27" spans="1:22">
      <c r="A27" t="s">
        <v>1213</v>
      </c>
      <c r="B27" t="s">
        <v>1232</v>
      </c>
    </row>
    <row r="28" spans="1:22">
      <c r="A28" t="s">
        <v>1213</v>
      </c>
      <c r="B28" t="s">
        <v>1233</v>
      </c>
    </row>
    <row r="29" spans="1:22">
      <c r="A29" t="s">
        <v>1213</v>
      </c>
      <c r="B29" t="s">
        <v>1234</v>
      </c>
    </row>
    <row r="30" spans="1:22">
      <c r="A30" t="s">
        <v>1213</v>
      </c>
      <c r="B30" t="s">
        <v>1235</v>
      </c>
    </row>
    <row r="31" spans="1:22">
      <c r="A31" t="s">
        <v>1213</v>
      </c>
      <c r="B31" t="s">
        <v>1238</v>
      </c>
    </row>
    <row r="32" spans="1:22">
      <c r="A32" t="s">
        <v>1213</v>
      </c>
      <c r="B32" t="s">
        <v>1241</v>
      </c>
    </row>
    <row r="33" spans="1:2">
      <c r="A33" t="s">
        <v>1213</v>
      </c>
      <c r="B33" t="s">
        <v>1242</v>
      </c>
    </row>
    <row r="34" spans="1:2">
      <c r="A34" t="s">
        <v>1213</v>
      </c>
      <c r="B34" t="s">
        <v>1243</v>
      </c>
    </row>
    <row r="35" spans="1:2">
      <c r="A35" t="s">
        <v>1213</v>
      </c>
      <c r="B35" t="s">
        <v>1244</v>
      </c>
    </row>
    <row r="36" spans="1:2">
      <c r="A36" t="s">
        <v>1213</v>
      </c>
      <c r="B36">
        <v>15108</v>
      </c>
    </row>
    <row r="37" spans="1:2">
      <c r="A37" t="s">
        <v>1213</v>
      </c>
      <c r="B37" t="s">
        <v>1251</v>
      </c>
    </row>
    <row r="38" spans="1:2">
      <c r="A38" t="s">
        <v>1213</v>
      </c>
      <c r="B38" t="s">
        <v>1252</v>
      </c>
    </row>
    <row r="39" spans="1:2">
      <c r="A39" t="s">
        <v>1213</v>
      </c>
      <c r="B39" t="s">
        <v>1253</v>
      </c>
    </row>
    <row r="40" spans="1:2">
      <c r="A40" t="s">
        <v>1213</v>
      </c>
      <c r="B40" t="s">
        <v>1254</v>
      </c>
    </row>
    <row r="41" spans="1:2">
      <c r="A41" t="s">
        <v>1213</v>
      </c>
      <c r="B41" t="s">
        <v>1255</v>
      </c>
    </row>
    <row r="42" spans="1:2">
      <c r="A42" t="s">
        <v>1213</v>
      </c>
      <c r="B42" t="s">
        <v>1256</v>
      </c>
    </row>
    <row r="43" spans="1:2">
      <c r="A43" t="s">
        <v>1213</v>
      </c>
      <c r="B43" t="s">
        <v>1257</v>
      </c>
    </row>
  </sheetData>
  <sheetProtection formatColumns="0"/>
  <autoFilter ref="A1:W43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H2:H19">
      <formula1>israel_abroad</formula1>
    </dataValidation>
    <dataValidation type="list" allowBlank="1" showInputMessage="1" showErrorMessage="1" sqref="J2:J19">
      <formula1>Holding_interest</formula1>
    </dataValidation>
    <dataValidation type="list" allowBlank="1" showInputMessage="1" showErrorMessage="1" sqref="I2:I19">
      <formula1>Country_list</formula1>
    </dataValidation>
    <dataValidation type="list" allowBlank="1" showInputMessage="1" showErrorMessage="1" sqref="E2:E19">
      <formula1>Issuer_Number_Banks</formula1>
    </dataValidation>
    <dataValidation type="list" allowBlank="1" showInputMessage="1" showErrorMessage="1" sqref="L2:L19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F2:F19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33"/>
  <sheetViews>
    <sheetView rightToLeft="1" topLeftCell="J1" workbookViewId="0">
      <selection activeCell="N24" sqref="N24"/>
    </sheetView>
  </sheetViews>
  <sheetFormatPr defaultColWidth="9" defaultRowHeight="14.25"/>
  <cols>
    <col min="1" max="12" width="11.625" style="2" customWidth="1"/>
    <col min="13" max="13" width="13.25" style="2" bestFit="1" customWidth="1"/>
    <col min="14" max="14" width="21.375" style="2" bestFit="1" customWidth="1"/>
    <col min="15" max="17" width="11.625" style="2" customWidth="1"/>
    <col min="18" max="18" width="14.5" style="2" bestFit="1" customWidth="1"/>
    <col min="19" max="20" width="11.625" style="2" customWidth="1"/>
    <col min="21" max="21" width="14.5" style="2" bestFit="1" customWidth="1"/>
    <col min="22" max="24" width="11.625" style="2" customWidth="1"/>
    <col min="25" max="16384" width="9" style="2"/>
  </cols>
  <sheetData>
    <row r="1" spans="1:24" ht="66.75" customHeight="1">
      <c r="A1" s="17" t="s">
        <v>49</v>
      </c>
      <c r="B1" s="17" t="s">
        <v>50</v>
      </c>
      <c r="C1" s="17" t="s">
        <v>175</v>
      </c>
      <c r="D1" s="17" t="s">
        <v>54</v>
      </c>
      <c r="E1" s="17" t="s">
        <v>176</v>
      </c>
      <c r="F1" s="17" t="s">
        <v>56</v>
      </c>
      <c r="G1" s="17" t="s">
        <v>97</v>
      </c>
      <c r="H1" s="17" t="s">
        <v>177</v>
      </c>
      <c r="I1" s="17" t="s">
        <v>178</v>
      </c>
      <c r="J1" s="17" t="s">
        <v>179</v>
      </c>
      <c r="K1" s="17" t="s">
        <v>180</v>
      </c>
      <c r="L1" s="17" t="s">
        <v>181</v>
      </c>
      <c r="M1" s="17" t="s">
        <v>103</v>
      </c>
      <c r="N1" s="17" t="s">
        <v>105</v>
      </c>
      <c r="O1" s="17" t="s">
        <v>104</v>
      </c>
      <c r="P1" s="17" t="s">
        <v>106</v>
      </c>
      <c r="Q1" s="17" t="s">
        <v>59</v>
      </c>
      <c r="R1" s="17" t="s">
        <v>172</v>
      </c>
      <c r="S1" s="17" t="s">
        <v>63</v>
      </c>
      <c r="T1" s="17" t="s">
        <v>78</v>
      </c>
      <c r="U1" s="17" t="s">
        <v>88</v>
      </c>
      <c r="V1" s="17" t="s">
        <v>17</v>
      </c>
      <c r="W1" s="17" t="s">
        <v>64</v>
      </c>
      <c r="X1" s="17" t="s">
        <v>65</v>
      </c>
    </row>
    <row r="2" spans="1:24">
      <c r="A2" t="s">
        <v>1213</v>
      </c>
      <c r="B2" t="s">
        <v>1238</v>
      </c>
      <c r="C2" t="s">
        <v>5300</v>
      </c>
      <c r="D2" t="s">
        <v>1030</v>
      </c>
      <c r="E2" t="s">
        <v>204</v>
      </c>
      <c r="F2" t="s">
        <v>339</v>
      </c>
      <c r="G2" t="s">
        <v>5301</v>
      </c>
      <c r="H2" t="s">
        <v>462</v>
      </c>
      <c r="I2" t="s">
        <v>867</v>
      </c>
      <c r="J2" t="s">
        <v>5302</v>
      </c>
      <c r="K2" s="170">
        <v>4.4799999999999996E-3</v>
      </c>
      <c r="L2" t="s">
        <v>883</v>
      </c>
      <c r="M2" t="s">
        <v>887</v>
      </c>
      <c r="N2" t="s">
        <v>5303</v>
      </c>
      <c r="O2" t="s">
        <v>889</v>
      </c>
      <c r="P2" s="172" t="s">
        <v>5361</v>
      </c>
      <c r="Q2" t="s">
        <v>1212</v>
      </c>
      <c r="R2" s="131">
        <v>144880000.06099999</v>
      </c>
      <c r="S2" s="131">
        <v>144880</v>
      </c>
      <c r="T2" s="176">
        <v>42295</v>
      </c>
      <c r="U2" s="176">
        <v>42295000</v>
      </c>
      <c r="V2" s="172" t="s">
        <v>15</v>
      </c>
      <c r="W2" s="132">
        <v>0.79005000000000003</v>
      </c>
      <c r="X2" s="132">
        <v>8.0100000000000005E-2</v>
      </c>
    </row>
    <row r="3" spans="1:24">
      <c r="A3" t="s">
        <v>1213</v>
      </c>
      <c r="B3" t="s">
        <v>1238</v>
      </c>
      <c r="C3" t="s">
        <v>5304</v>
      </c>
      <c r="D3" t="s">
        <v>1030</v>
      </c>
      <c r="E3" t="s">
        <v>204</v>
      </c>
      <c r="F3" t="s">
        <v>339</v>
      </c>
      <c r="G3" t="s">
        <v>5301</v>
      </c>
      <c r="H3" t="s">
        <v>856</v>
      </c>
      <c r="I3" t="s">
        <v>867</v>
      </c>
      <c r="J3" t="s">
        <v>5305</v>
      </c>
      <c r="K3" s="170">
        <v>8.94E-3</v>
      </c>
      <c r="L3" t="s">
        <v>883</v>
      </c>
      <c r="M3" t="s">
        <v>887</v>
      </c>
      <c r="N3" t="s">
        <v>5303</v>
      </c>
      <c r="O3" t="s">
        <v>889</v>
      </c>
      <c r="P3" s="172" t="s">
        <v>5361</v>
      </c>
      <c r="Q3" t="s">
        <v>1212</v>
      </c>
      <c r="R3" s="131">
        <v>38500000.402999997</v>
      </c>
      <c r="S3" s="131">
        <v>38500</v>
      </c>
      <c r="T3" s="176">
        <v>30401</v>
      </c>
      <c r="U3" s="176">
        <v>30401000</v>
      </c>
      <c r="V3" s="172" t="s">
        <v>15</v>
      </c>
      <c r="W3" s="132">
        <v>0.20995</v>
      </c>
      <c r="X3" s="132">
        <v>2.129E-2</v>
      </c>
    </row>
    <row r="4" spans="1:24">
      <c r="A4" t="s">
        <v>1213</v>
      </c>
      <c r="B4" t="s">
        <v>1243</v>
      </c>
      <c r="C4" t="s">
        <v>5300</v>
      </c>
      <c r="D4" t="s">
        <v>1030</v>
      </c>
      <c r="E4" t="s">
        <v>204</v>
      </c>
      <c r="F4" t="s">
        <v>339</v>
      </c>
      <c r="G4" t="s">
        <v>5301</v>
      </c>
      <c r="H4" t="s">
        <v>462</v>
      </c>
      <c r="I4" t="s">
        <v>867</v>
      </c>
      <c r="J4" t="s">
        <v>5302</v>
      </c>
      <c r="K4" s="170">
        <v>4.4799999999999996E-3</v>
      </c>
      <c r="L4" t="s">
        <v>883</v>
      </c>
      <c r="M4" t="s">
        <v>887</v>
      </c>
      <c r="N4" t="s">
        <v>5303</v>
      </c>
      <c r="O4" t="s">
        <v>889</v>
      </c>
      <c r="P4" s="172" t="s">
        <v>5361</v>
      </c>
      <c r="Q4" t="s">
        <v>1212</v>
      </c>
      <c r="R4" s="131">
        <v>144880000.06099999</v>
      </c>
      <c r="S4" s="131">
        <v>144880</v>
      </c>
      <c r="T4" s="176">
        <v>42295</v>
      </c>
      <c r="U4" s="176">
        <v>42295000</v>
      </c>
      <c r="V4" s="172" t="s">
        <v>15</v>
      </c>
      <c r="W4" s="132">
        <v>0.79005000000000003</v>
      </c>
      <c r="X4" s="132">
        <v>3.2539999999999999E-2</v>
      </c>
    </row>
    <row r="5" spans="1:24">
      <c r="A5" t="s">
        <v>1213</v>
      </c>
      <c r="B5" t="s">
        <v>1243</v>
      </c>
      <c r="C5" t="s">
        <v>5304</v>
      </c>
      <c r="D5" t="s">
        <v>1030</v>
      </c>
      <c r="E5" t="s">
        <v>204</v>
      </c>
      <c r="F5" t="s">
        <v>339</v>
      </c>
      <c r="G5" t="s">
        <v>5301</v>
      </c>
      <c r="H5" t="s">
        <v>856</v>
      </c>
      <c r="I5" t="s">
        <v>867</v>
      </c>
      <c r="J5" t="s">
        <v>5305</v>
      </c>
      <c r="K5" s="170">
        <v>8.94E-3</v>
      </c>
      <c r="L5" t="s">
        <v>883</v>
      </c>
      <c r="M5" t="s">
        <v>887</v>
      </c>
      <c r="N5" t="s">
        <v>5303</v>
      </c>
      <c r="O5" t="s">
        <v>889</v>
      </c>
      <c r="P5" s="172" t="s">
        <v>5361</v>
      </c>
      <c r="Q5" t="s">
        <v>1212</v>
      </c>
      <c r="R5" s="131">
        <v>38500000.402999997</v>
      </c>
      <c r="S5" s="131">
        <v>38500</v>
      </c>
      <c r="T5" s="176">
        <v>30401</v>
      </c>
      <c r="U5" s="176">
        <v>30401000</v>
      </c>
      <c r="V5" s="172" t="s">
        <v>15</v>
      </c>
      <c r="W5" s="132">
        <v>0.20995</v>
      </c>
      <c r="X5" s="132">
        <v>8.6499999999999997E-3</v>
      </c>
    </row>
    <row r="6" spans="1:24">
      <c r="A6" t="s">
        <v>1213</v>
      </c>
      <c r="B6" t="s">
        <v>1214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6"/>
      <c r="R6" s="109"/>
      <c r="S6" s="109"/>
      <c r="T6" s="109"/>
      <c r="U6" s="109"/>
      <c r="V6" s="109"/>
      <c r="W6" s="109"/>
      <c r="X6" s="109"/>
    </row>
    <row r="7" spans="1:24">
      <c r="A7" t="s">
        <v>1213</v>
      </c>
      <c r="B7" t="s">
        <v>1217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6"/>
      <c r="R7" s="109"/>
      <c r="S7" s="109"/>
      <c r="T7" s="109"/>
      <c r="U7" s="109"/>
      <c r="V7" s="109"/>
      <c r="W7" s="109"/>
      <c r="X7" s="109"/>
    </row>
    <row r="8" spans="1:24">
      <c r="A8" t="s">
        <v>1213</v>
      </c>
      <c r="B8" t="s">
        <v>1220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6"/>
      <c r="R8" s="109"/>
      <c r="S8" s="109"/>
      <c r="T8" s="109"/>
      <c r="U8" s="109"/>
      <c r="V8" s="109"/>
      <c r="W8" s="109"/>
      <c r="X8" s="109"/>
    </row>
    <row r="9" spans="1:24">
      <c r="A9" t="s">
        <v>1213</v>
      </c>
      <c r="B9" t="s">
        <v>1221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6"/>
      <c r="R9" s="109"/>
      <c r="S9" s="109"/>
      <c r="T9" s="109"/>
      <c r="U9" s="109"/>
      <c r="V9" s="109"/>
      <c r="W9" s="109"/>
      <c r="X9" s="109"/>
    </row>
    <row r="10" spans="1:24">
      <c r="A10" t="s">
        <v>1213</v>
      </c>
      <c r="B10" t="s">
        <v>1222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6"/>
      <c r="R10" s="109"/>
      <c r="S10" s="109"/>
      <c r="T10" s="109"/>
      <c r="U10" s="109"/>
      <c r="V10" s="109"/>
      <c r="W10" s="109"/>
      <c r="X10" s="109"/>
    </row>
    <row r="11" spans="1:24">
      <c r="A11" t="s">
        <v>1213</v>
      </c>
      <c r="B11" t="s">
        <v>1223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6"/>
      <c r="R11" s="109"/>
      <c r="S11" s="109"/>
      <c r="T11" s="109"/>
      <c r="U11" s="109"/>
      <c r="V11" s="109"/>
      <c r="W11" s="109"/>
      <c r="X11" s="109"/>
    </row>
    <row r="12" spans="1:24">
      <c r="A12" t="s">
        <v>1213</v>
      </c>
      <c r="B12" t="s">
        <v>1224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6"/>
      <c r="R12" s="109"/>
      <c r="S12" s="109"/>
      <c r="T12" s="109"/>
      <c r="U12" s="109"/>
      <c r="V12" s="109"/>
      <c r="W12" s="109"/>
      <c r="X12" s="109"/>
    </row>
    <row r="13" spans="1:24">
      <c r="A13" t="s">
        <v>1213</v>
      </c>
      <c r="B13" t="s">
        <v>1225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6"/>
      <c r="R13" s="109"/>
      <c r="S13" s="109"/>
      <c r="T13" s="109"/>
      <c r="U13" s="109"/>
      <c r="V13" s="109"/>
      <c r="W13" s="109"/>
      <c r="X13" s="109"/>
    </row>
    <row r="14" spans="1:24">
      <c r="A14" t="s">
        <v>1213</v>
      </c>
      <c r="B14" t="s">
        <v>1230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6"/>
      <c r="R14" s="109"/>
      <c r="S14" s="109"/>
      <c r="T14" s="109"/>
      <c r="U14" s="109"/>
      <c r="V14" s="109"/>
      <c r="W14" s="109"/>
      <c r="X14" s="109"/>
    </row>
    <row r="15" spans="1:24">
      <c r="A15" t="s">
        <v>1213</v>
      </c>
      <c r="B15" t="s">
        <v>1231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6"/>
      <c r="R15" s="109"/>
      <c r="S15" s="109"/>
      <c r="T15" s="109"/>
      <c r="U15" s="109"/>
      <c r="V15" s="109"/>
      <c r="W15" s="109"/>
      <c r="X15" s="109"/>
    </row>
    <row r="16" spans="1:24">
      <c r="A16" t="s">
        <v>1213</v>
      </c>
      <c r="B16" t="s">
        <v>1232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6"/>
      <c r="R16" s="109"/>
      <c r="S16" s="109"/>
      <c r="T16" s="109"/>
      <c r="U16" s="109"/>
      <c r="V16" s="109"/>
      <c r="W16" s="109"/>
      <c r="X16" s="109"/>
    </row>
    <row r="17" spans="1:24">
      <c r="A17" t="s">
        <v>1213</v>
      </c>
      <c r="B17" t="s">
        <v>1233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6"/>
      <c r="R17" s="109"/>
      <c r="S17" s="109"/>
      <c r="T17" s="109"/>
      <c r="U17" s="109"/>
      <c r="V17" s="109"/>
      <c r="W17" s="109"/>
      <c r="X17" s="109"/>
    </row>
    <row r="18" spans="1:24">
      <c r="A18" t="s">
        <v>1213</v>
      </c>
      <c r="B18" t="s">
        <v>1234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6"/>
      <c r="R18" s="109"/>
      <c r="S18" s="109"/>
      <c r="T18" s="109"/>
      <c r="U18" s="109"/>
      <c r="V18" s="109"/>
      <c r="W18" s="109"/>
      <c r="X18" s="109"/>
    </row>
    <row r="19" spans="1:24">
      <c r="A19" t="s">
        <v>1213</v>
      </c>
      <c r="B19" t="s">
        <v>1235</v>
      </c>
      <c r="C19" s="108"/>
      <c r="D19" s="109"/>
      <c r="E19" s="109"/>
      <c r="F19" s="109"/>
      <c r="G19" s="108"/>
      <c r="H19" s="109"/>
      <c r="I19" s="109"/>
      <c r="J19" s="108"/>
      <c r="K19" s="108"/>
      <c r="L19" s="109"/>
      <c r="M19" s="109"/>
      <c r="N19" s="108"/>
      <c r="O19" s="109"/>
      <c r="P19" s="108"/>
      <c r="Q19" s="108"/>
      <c r="R19" s="108"/>
      <c r="S19" s="108"/>
      <c r="T19" s="108"/>
      <c r="U19" s="108"/>
      <c r="V19" s="109"/>
      <c r="W19" s="108"/>
      <c r="X19" s="108"/>
    </row>
    <row r="20" spans="1:24">
      <c r="A20" t="s">
        <v>1213</v>
      </c>
      <c r="B20" t="s">
        <v>1241</v>
      </c>
      <c r="C20" s="108"/>
      <c r="D20" s="109"/>
      <c r="E20" s="109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</row>
    <row r="21" spans="1:24">
      <c r="A21" t="s">
        <v>1213</v>
      </c>
      <c r="B21" t="s">
        <v>1242</v>
      </c>
      <c r="C21" s="108"/>
      <c r="D21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</row>
    <row r="22" spans="1:24">
      <c r="A22" t="s">
        <v>1213</v>
      </c>
      <c r="B22" t="s">
        <v>1244</v>
      </c>
    </row>
    <row r="23" spans="1:24">
      <c r="A23" t="s">
        <v>1213</v>
      </c>
      <c r="B23">
        <v>15108</v>
      </c>
    </row>
    <row r="24" spans="1:24">
      <c r="A24" t="s">
        <v>1213</v>
      </c>
      <c r="B24" t="s">
        <v>1247</v>
      </c>
    </row>
    <row r="25" spans="1:24">
      <c r="A25" t="s">
        <v>1213</v>
      </c>
      <c r="B25" t="s">
        <v>1248</v>
      </c>
    </row>
    <row r="26" spans="1:24">
      <c r="A26" t="s">
        <v>1213</v>
      </c>
      <c r="B26" t="s">
        <v>1250</v>
      </c>
    </row>
    <row r="27" spans="1:24">
      <c r="A27" t="s">
        <v>1213</v>
      </c>
      <c r="B27" t="s">
        <v>1251</v>
      </c>
    </row>
    <row r="28" spans="1:24">
      <c r="A28" t="s">
        <v>1213</v>
      </c>
      <c r="B28" t="s">
        <v>1252</v>
      </c>
    </row>
    <row r="29" spans="1:24">
      <c r="A29" t="s">
        <v>1213</v>
      </c>
      <c r="B29" t="s">
        <v>1253</v>
      </c>
    </row>
    <row r="30" spans="1:24">
      <c r="A30" t="s">
        <v>1213</v>
      </c>
      <c r="B30" t="s">
        <v>1254</v>
      </c>
    </row>
    <row r="31" spans="1:24">
      <c r="A31" t="s">
        <v>1213</v>
      </c>
      <c r="B31" t="s">
        <v>1255</v>
      </c>
    </row>
    <row r="32" spans="1:24">
      <c r="A32" t="s">
        <v>1213</v>
      </c>
      <c r="B32" t="s">
        <v>1256</v>
      </c>
    </row>
    <row r="33" spans="1:2">
      <c r="A33" t="s">
        <v>1213</v>
      </c>
      <c r="B33" t="s">
        <v>1257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dataValidations count="8">
    <dataValidation type="list" allowBlank="1" showInputMessage="1" showErrorMessage="1" sqref="F2:F19">
      <formula1>Holding_interest</formula1>
    </dataValidation>
    <dataValidation type="list" allowBlank="1" showInputMessage="1" showErrorMessage="1" sqref="V2:V19">
      <formula1>In_the_books</formula1>
    </dataValidation>
    <dataValidation type="list" allowBlank="1" showInputMessage="1" showErrorMessage="1" sqref="L2:L19">
      <formula1>Valuation_Method</formula1>
    </dataValidation>
    <dataValidation type="list" allowBlank="1" showInputMessage="1" showErrorMessage="1" sqref="O2:O19">
      <formula1>Dependence_Independence</formula1>
    </dataValidation>
    <dataValidation type="list" allowBlank="1" showInputMessage="1" showErrorMessage="1" sqref="E2:E20">
      <formula1>Country_list</formula1>
    </dataValidation>
    <dataValidation type="list" allowBlank="1" showInputMessage="1" showErrorMessage="1" sqref="I2:I19">
      <formula1>real_estate_lifestage</formula1>
    </dataValidation>
    <dataValidation type="list" allowBlank="1" showInputMessage="1" showErrorMessage="1" sqref="M2:M19">
      <formula1>Valuation_Realestate</formula1>
    </dataValidation>
    <dataValidation type="list" allowBlank="1" showInputMessage="1" showErrorMessage="1" sqref="H2:H19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31"/>
  <sheetViews>
    <sheetView rightToLeft="1" workbookViewId="0">
      <selection activeCell="A32" sqref="A32"/>
    </sheetView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16384" width="9" style="2"/>
  </cols>
  <sheetData>
    <row r="1" spans="1:23" ht="66.75" customHeight="1">
      <c r="A1" s="17" t="s">
        <v>49</v>
      </c>
      <c r="B1" s="17" t="s">
        <v>50</v>
      </c>
      <c r="C1" s="17" t="s">
        <v>66</v>
      </c>
      <c r="D1" s="17" t="s">
        <v>80</v>
      </c>
      <c r="E1" s="17" t="s">
        <v>81</v>
      </c>
      <c r="F1" s="17" t="s">
        <v>67</v>
      </c>
      <c r="G1" s="17" t="s">
        <v>68</v>
      </c>
      <c r="H1" s="17" t="s">
        <v>82</v>
      </c>
      <c r="I1" s="17" t="s">
        <v>54</v>
      </c>
      <c r="J1" s="17" t="s">
        <v>55</v>
      </c>
      <c r="K1" s="17" t="s">
        <v>69</v>
      </c>
      <c r="L1" s="17" t="s">
        <v>83</v>
      </c>
      <c r="M1" s="17" t="s">
        <v>56</v>
      </c>
      <c r="N1" s="17" t="s">
        <v>59</v>
      </c>
      <c r="O1" s="17" t="s">
        <v>103</v>
      </c>
      <c r="P1" s="17" t="s">
        <v>104</v>
      </c>
      <c r="Q1" s="17" t="s">
        <v>106</v>
      </c>
      <c r="R1" s="17" t="s">
        <v>107</v>
      </c>
      <c r="S1" s="17" t="s">
        <v>182</v>
      </c>
      <c r="T1" s="17" t="s">
        <v>183</v>
      </c>
      <c r="U1" s="17" t="s">
        <v>63</v>
      </c>
      <c r="V1" s="17" t="s">
        <v>64</v>
      </c>
      <c r="W1" s="17" t="s">
        <v>65</v>
      </c>
    </row>
    <row r="2" spans="1:23">
      <c r="A2" t="s">
        <v>1213</v>
      </c>
      <c r="B2" t="s">
        <v>1214</v>
      </c>
      <c r="C2" s="109"/>
      <c r="D2" s="109"/>
      <c r="E2" s="16"/>
      <c r="F2" s="109"/>
      <c r="G2" s="109"/>
      <c r="H2" s="109"/>
      <c r="I2" s="109"/>
      <c r="J2" s="16"/>
      <c r="K2" s="16"/>
      <c r="L2" s="109"/>
      <c r="M2" s="109"/>
      <c r="N2" s="16"/>
      <c r="O2" s="109"/>
      <c r="P2" s="109"/>
      <c r="Q2" s="109"/>
      <c r="R2" s="109"/>
      <c r="S2" s="109"/>
      <c r="T2" s="109"/>
      <c r="U2" s="109"/>
      <c r="V2" s="109"/>
      <c r="W2" s="109"/>
    </row>
    <row r="3" spans="1:23">
      <c r="A3" t="s">
        <v>1213</v>
      </c>
      <c r="B3" t="s">
        <v>1217</v>
      </c>
      <c r="C3" s="109"/>
      <c r="D3" s="109"/>
      <c r="E3" s="16"/>
      <c r="F3" s="109"/>
      <c r="G3" s="109"/>
      <c r="H3" s="109"/>
      <c r="I3" s="109"/>
      <c r="J3" s="16"/>
      <c r="K3" s="16"/>
      <c r="L3" s="109"/>
      <c r="M3" s="109"/>
      <c r="N3" s="16"/>
      <c r="O3" s="109"/>
      <c r="P3" s="109"/>
      <c r="Q3" s="109"/>
      <c r="R3" s="109"/>
      <c r="S3" s="109"/>
      <c r="T3" s="109"/>
      <c r="U3" s="109"/>
      <c r="V3" s="109"/>
      <c r="W3" s="109"/>
    </row>
    <row r="4" spans="1:23">
      <c r="A4" t="s">
        <v>1213</v>
      </c>
      <c r="B4" t="s">
        <v>1220</v>
      </c>
      <c r="C4" s="109"/>
      <c r="D4" s="109"/>
      <c r="E4" s="16"/>
      <c r="F4" s="109"/>
      <c r="G4" s="109"/>
      <c r="H4" s="109"/>
      <c r="I4" s="109"/>
      <c r="J4" s="16"/>
      <c r="K4" s="16"/>
      <c r="L4" s="109"/>
      <c r="M4" s="109"/>
      <c r="N4" s="16"/>
      <c r="O4" s="109"/>
      <c r="P4" s="109"/>
      <c r="Q4" s="109"/>
      <c r="R4" s="109"/>
      <c r="S4" s="109"/>
      <c r="T4" s="109"/>
      <c r="U4" s="109"/>
      <c r="V4" s="109"/>
      <c r="W4" s="109"/>
    </row>
    <row r="5" spans="1:23">
      <c r="A5" t="s">
        <v>1213</v>
      </c>
      <c r="B5" t="s">
        <v>1221</v>
      </c>
      <c r="C5" s="109"/>
      <c r="D5" s="109"/>
      <c r="E5" s="16"/>
      <c r="F5" s="109"/>
      <c r="G5" s="109"/>
      <c r="H5" s="109"/>
      <c r="I5" s="109"/>
      <c r="J5" s="16"/>
      <c r="K5" s="16"/>
      <c r="L5" s="109"/>
      <c r="M5" s="109"/>
      <c r="N5" s="16"/>
      <c r="O5" s="109"/>
      <c r="P5" s="109"/>
      <c r="Q5" s="109"/>
      <c r="R5" s="109"/>
      <c r="S5" s="109"/>
      <c r="T5" s="109"/>
      <c r="U5" s="109"/>
      <c r="V5" s="109"/>
      <c r="W5" s="109"/>
    </row>
    <row r="6" spans="1:23">
      <c r="A6" t="s">
        <v>1213</v>
      </c>
      <c r="B6" t="s">
        <v>1222</v>
      </c>
      <c r="C6" s="109"/>
      <c r="D6" s="109"/>
      <c r="E6" s="16"/>
      <c r="F6" s="109"/>
      <c r="G6" s="109"/>
      <c r="H6" s="109"/>
      <c r="I6" s="109"/>
      <c r="J6" s="16"/>
      <c r="K6" s="16"/>
      <c r="L6" s="109"/>
      <c r="M6" s="109"/>
      <c r="N6" s="16"/>
      <c r="O6" s="109"/>
      <c r="P6" s="109"/>
      <c r="Q6" s="109"/>
      <c r="R6" s="109"/>
      <c r="S6" s="109"/>
      <c r="T6" s="109"/>
      <c r="U6" s="109"/>
      <c r="V6" s="109"/>
      <c r="W6" s="109"/>
    </row>
    <row r="7" spans="1:23">
      <c r="A7" t="s">
        <v>1213</v>
      </c>
      <c r="B7" t="s">
        <v>1223</v>
      </c>
      <c r="C7" s="109"/>
      <c r="D7" s="109"/>
      <c r="E7" s="16"/>
      <c r="F7" s="109"/>
      <c r="G7" s="109"/>
      <c r="H7" s="109"/>
      <c r="I7" s="109"/>
      <c r="J7" s="16"/>
      <c r="K7" s="16"/>
      <c r="L7" s="109"/>
      <c r="M7" s="109"/>
      <c r="N7" s="16"/>
      <c r="O7" s="109"/>
      <c r="P7" s="109"/>
      <c r="Q7" s="109"/>
      <c r="R7" s="109"/>
      <c r="S7" s="109"/>
      <c r="T7" s="109"/>
      <c r="U7" s="109"/>
      <c r="V7" s="109"/>
      <c r="W7" s="109"/>
    </row>
    <row r="8" spans="1:23">
      <c r="A8" t="s">
        <v>1213</v>
      </c>
      <c r="B8" t="s">
        <v>1224</v>
      </c>
      <c r="C8" s="109"/>
      <c r="D8" s="109"/>
      <c r="E8" s="16"/>
      <c r="F8" s="109"/>
      <c r="G8" s="109"/>
      <c r="H8" s="109"/>
      <c r="I8" s="109"/>
      <c r="J8" s="16"/>
      <c r="K8" s="16"/>
      <c r="L8" s="109"/>
      <c r="M8" s="109"/>
      <c r="N8" s="16"/>
      <c r="O8" s="109"/>
      <c r="P8" s="109"/>
      <c r="Q8" s="109"/>
      <c r="R8" s="109"/>
      <c r="S8" s="109"/>
      <c r="T8" s="109"/>
      <c r="U8" s="109"/>
      <c r="V8" s="109"/>
      <c r="W8" s="109"/>
    </row>
    <row r="9" spans="1:23">
      <c r="A9" t="s">
        <v>1213</v>
      </c>
      <c r="B9" t="s">
        <v>1225</v>
      </c>
      <c r="C9" s="109"/>
      <c r="D9" s="109"/>
      <c r="E9" s="16"/>
      <c r="F9" s="109"/>
      <c r="G9" s="109"/>
      <c r="H9" s="109"/>
      <c r="I9" s="109"/>
      <c r="J9" s="16"/>
      <c r="K9" s="16"/>
      <c r="L9" s="109"/>
      <c r="M9" s="109"/>
      <c r="N9" s="16"/>
      <c r="O9" s="109"/>
      <c r="P9" s="109"/>
      <c r="Q9" s="109"/>
      <c r="R9" s="109"/>
      <c r="S9" s="109"/>
      <c r="T9" s="109"/>
      <c r="U9" s="109"/>
      <c r="V9" s="109"/>
      <c r="W9" s="109"/>
    </row>
    <row r="10" spans="1:23">
      <c r="A10" t="s">
        <v>1213</v>
      </c>
      <c r="B10" t="s">
        <v>1230</v>
      </c>
      <c r="C10" s="109"/>
      <c r="D10" s="109"/>
      <c r="E10" s="16"/>
      <c r="F10" s="109"/>
      <c r="G10" s="109"/>
      <c r="H10" s="109"/>
      <c r="I10" s="109"/>
      <c r="J10" s="16"/>
      <c r="K10" s="16"/>
      <c r="L10" s="109"/>
      <c r="M10" s="109"/>
      <c r="N10" s="16"/>
      <c r="O10" s="109"/>
      <c r="P10" s="109"/>
      <c r="Q10" s="109"/>
      <c r="R10" s="109"/>
      <c r="S10" s="109"/>
      <c r="T10" s="109"/>
      <c r="U10" s="109"/>
      <c r="V10" s="109"/>
      <c r="W10" s="109"/>
    </row>
    <row r="11" spans="1:23">
      <c r="A11" t="s">
        <v>1213</v>
      </c>
      <c r="B11" t="s">
        <v>1231</v>
      </c>
      <c r="C11" s="109"/>
      <c r="D11" s="109"/>
      <c r="E11" s="16"/>
      <c r="F11" s="109"/>
      <c r="G11" s="109"/>
      <c r="H11" s="109"/>
      <c r="I11" s="109"/>
      <c r="J11" s="16"/>
      <c r="K11" s="16"/>
      <c r="L11" s="109"/>
      <c r="M11" s="109"/>
      <c r="N11" s="16"/>
      <c r="O11" s="109"/>
      <c r="P11" s="109"/>
      <c r="Q11" s="109"/>
      <c r="R11" s="109"/>
      <c r="S11" s="109"/>
      <c r="T11" s="109"/>
      <c r="U11" s="109"/>
      <c r="V11" s="109"/>
      <c r="W11" s="109"/>
    </row>
    <row r="12" spans="1:23">
      <c r="A12" t="s">
        <v>1213</v>
      </c>
      <c r="B12" t="s">
        <v>1232</v>
      </c>
      <c r="C12" s="109"/>
      <c r="D12" s="109"/>
      <c r="E12" s="16"/>
      <c r="F12" s="109"/>
      <c r="G12" s="109"/>
      <c r="H12" s="109"/>
      <c r="I12" s="109"/>
      <c r="J12" s="16"/>
      <c r="K12" s="16"/>
      <c r="L12" s="109"/>
      <c r="M12" s="109"/>
      <c r="N12" s="16"/>
      <c r="O12" s="109"/>
      <c r="P12" s="109"/>
      <c r="Q12" s="109"/>
      <c r="R12" s="109"/>
      <c r="S12" s="109"/>
      <c r="T12" s="109"/>
      <c r="U12" s="109"/>
      <c r="V12" s="109"/>
      <c r="W12" s="109"/>
    </row>
    <row r="13" spans="1:23">
      <c r="A13" t="s">
        <v>1213</v>
      </c>
      <c r="B13" t="s">
        <v>1233</v>
      </c>
      <c r="C13" s="109"/>
      <c r="D13" s="109"/>
      <c r="E13" s="16"/>
      <c r="F13" s="109"/>
      <c r="G13" s="109"/>
      <c r="H13" s="109"/>
      <c r="I13" s="109"/>
      <c r="J13" s="16"/>
      <c r="K13" s="16"/>
      <c r="L13" s="109"/>
      <c r="M13" s="109"/>
      <c r="N13" s="16"/>
      <c r="O13" s="109"/>
      <c r="P13" s="109"/>
      <c r="Q13" s="109"/>
      <c r="R13" s="109"/>
      <c r="S13" s="109"/>
      <c r="T13" s="109"/>
      <c r="U13" s="109"/>
      <c r="V13" s="109"/>
      <c r="W13" s="109"/>
    </row>
    <row r="14" spans="1:23">
      <c r="A14" t="s">
        <v>1213</v>
      </c>
      <c r="B14" t="s">
        <v>1234</v>
      </c>
      <c r="C14" s="109"/>
      <c r="D14" s="109"/>
      <c r="E14" s="16"/>
      <c r="F14" s="109"/>
      <c r="G14" s="109"/>
      <c r="H14" s="109"/>
      <c r="I14" s="109"/>
      <c r="J14" s="16"/>
      <c r="K14" s="16"/>
      <c r="L14" s="109"/>
      <c r="M14" s="109"/>
      <c r="N14" s="16"/>
      <c r="O14" s="109"/>
      <c r="P14" s="109"/>
      <c r="Q14" s="109"/>
      <c r="R14" s="109"/>
      <c r="S14" s="109"/>
      <c r="T14" s="109"/>
      <c r="U14" s="109"/>
      <c r="V14" s="109"/>
      <c r="W14" s="109"/>
    </row>
    <row r="15" spans="1:23">
      <c r="A15" t="s">
        <v>1213</v>
      </c>
      <c r="B15" t="s">
        <v>1235</v>
      </c>
      <c r="C15" s="109"/>
      <c r="D15" s="109"/>
      <c r="E15" s="16"/>
      <c r="F15" s="109"/>
      <c r="G15" s="109"/>
      <c r="H15" s="109"/>
      <c r="I15" s="109"/>
      <c r="J15" s="16"/>
      <c r="K15" s="16"/>
      <c r="L15" s="109"/>
      <c r="M15" s="109"/>
      <c r="N15" s="16"/>
      <c r="O15" s="109"/>
      <c r="P15" s="109"/>
      <c r="Q15" s="109"/>
      <c r="R15" s="109"/>
      <c r="S15" s="109"/>
      <c r="T15" s="109"/>
      <c r="U15" s="109"/>
      <c r="V15" s="109"/>
      <c r="W15" s="109"/>
    </row>
    <row r="16" spans="1:23">
      <c r="A16" t="s">
        <v>1213</v>
      </c>
      <c r="B16" t="s">
        <v>1238</v>
      </c>
      <c r="C16" s="109"/>
      <c r="D16" s="109"/>
      <c r="E16" s="16"/>
      <c r="F16" s="109"/>
      <c r="G16" s="109"/>
      <c r="H16" s="109"/>
      <c r="I16" s="109"/>
      <c r="J16" s="16"/>
      <c r="K16" s="16"/>
      <c r="L16" s="109"/>
      <c r="M16" s="109"/>
      <c r="N16" s="16"/>
      <c r="O16" s="109"/>
      <c r="P16" s="109"/>
      <c r="Q16" s="109"/>
      <c r="R16" s="109"/>
      <c r="S16" s="109"/>
      <c r="T16" s="109"/>
      <c r="U16" s="109"/>
      <c r="V16" s="109"/>
      <c r="W16" s="109"/>
    </row>
    <row r="17" spans="1:23">
      <c r="A17" t="s">
        <v>1213</v>
      </c>
      <c r="B17" t="s">
        <v>1241</v>
      </c>
      <c r="C17" s="109"/>
      <c r="D17" s="109"/>
      <c r="E17" s="16"/>
      <c r="F17" s="109"/>
      <c r="G17" s="109"/>
      <c r="H17" s="109"/>
      <c r="I17" s="109"/>
      <c r="J17" s="16"/>
      <c r="K17" s="16"/>
      <c r="L17" s="109"/>
      <c r="M17" s="109"/>
      <c r="N17" s="16"/>
      <c r="O17" s="109"/>
      <c r="P17" s="109"/>
      <c r="Q17" s="109"/>
      <c r="R17" s="109"/>
      <c r="S17" s="109"/>
      <c r="T17" s="109"/>
      <c r="U17" s="109"/>
      <c r="V17" s="109"/>
      <c r="W17" s="109"/>
    </row>
    <row r="18" spans="1:23">
      <c r="A18" t="s">
        <v>1213</v>
      </c>
      <c r="B18" t="s">
        <v>1242</v>
      </c>
      <c r="C18" s="109"/>
      <c r="D18" s="109"/>
      <c r="E18" s="16"/>
      <c r="F18" s="109"/>
      <c r="G18" s="109"/>
      <c r="H18" s="109"/>
      <c r="I18" s="108"/>
      <c r="J18" s="16"/>
      <c r="K18" s="16"/>
      <c r="L18" s="109"/>
      <c r="M18" s="109"/>
      <c r="N18" s="16"/>
      <c r="O18" s="109"/>
      <c r="P18" s="109"/>
      <c r="Q18" s="109"/>
      <c r="R18" s="109"/>
      <c r="S18" s="109"/>
      <c r="T18" s="109"/>
      <c r="U18" s="109"/>
      <c r="V18" s="109"/>
      <c r="W18" s="109"/>
    </row>
    <row r="19" spans="1:23">
      <c r="A19" t="s">
        <v>1213</v>
      </c>
      <c r="B19" t="s">
        <v>1243</v>
      </c>
      <c r="C19" s="108"/>
      <c r="D19" s="108"/>
      <c r="E19" s="16"/>
      <c r="F19" s="108"/>
      <c r="G19" s="108"/>
      <c r="H19" s="109"/>
      <c r="I19" s="109"/>
      <c r="J19" s="16"/>
      <c r="K19" s="16"/>
      <c r="L19" s="109"/>
      <c r="M19" s="109"/>
      <c r="N19" s="108"/>
      <c r="O19" s="109"/>
      <c r="P19" s="109"/>
      <c r="Q19" s="108"/>
      <c r="R19" s="108"/>
      <c r="S19" s="108"/>
      <c r="T19" s="108"/>
      <c r="U19" s="108"/>
      <c r="V19" s="108"/>
      <c r="W19" s="108"/>
    </row>
    <row r="20" spans="1:23" customFormat="1">
      <c r="A20" t="s">
        <v>1213</v>
      </c>
      <c r="B20" t="s">
        <v>1244</v>
      </c>
    </row>
    <row r="21" spans="1:23">
      <c r="A21" t="s">
        <v>1213</v>
      </c>
      <c r="B21">
        <v>15108</v>
      </c>
      <c r="C21" s="108"/>
      <c r="D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</row>
    <row r="22" spans="1:23">
      <c r="A22" t="s">
        <v>1213</v>
      </c>
      <c r="B22" t="s">
        <v>1247</v>
      </c>
    </row>
    <row r="23" spans="1:23">
      <c r="A23" t="s">
        <v>1213</v>
      </c>
      <c r="B23" t="s">
        <v>1248</v>
      </c>
    </row>
    <row r="24" spans="1:23">
      <c r="A24" t="s">
        <v>1213</v>
      </c>
      <c r="B24" t="s">
        <v>1250</v>
      </c>
    </row>
    <row r="25" spans="1:23">
      <c r="A25" t="s">
        <v>1213</v>
      </c>
      <c r="B25" t="s">
        <v>1251</v>
      </c>
    </row>
    <row r="26" spans="1:23">
      <c r="A26" t="s">
        <v>1213</v>
      </c>
      <c r="B26" t="s">
        <v>1252</v>
      </c>
    </row>
    <row r="27" spans="1:23">
      <c r="A27" t="s">
        <v>1213</v>
      </c>
      <c r="B27" t="s">
        <v>1253</v>
      </c>
    </row>
    <row r="28" spans="1:23">
      <c r="A28" t="s">
        <v>1213</v>
      </c>
      <c r="B28" t="s">
        <v>1254</v>
      </c>
    </row>
    <row r="29" spans="1:23">
      <c r="A29" t="s">
        <v>1213</v>
      </c>
      <c r="B29" t="s">
        <v>1255</v>
      </c>
    </row>
    <row r="30" spans="1:23">
      <c r="A30" t="s">
        <v>1213</v>
      </c>
      <c r="B30" t="s">
        <v>1256</v>
      </c>
    </row>
    <row r="31" spans="1:23">
      <c r="A31" t="s">
        <v>1213</v>
      </c>
      <c r="B31" t="s">
        <v>1257</v>
      </c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dataValidations count="9">
    <dataValidation type="list" allowBlank="1" showInputMessage="1" showErrorMessage="1" sqref="E2:E19">
      <formula1>Issuer_Number_Type_2</formula1>
    </dataValidation>
    <dataValidation type="list" allowBlank="1" showInputMessage="1" showErrorMessage="1" sqref="I19">
      <formula1>$C$861:$C$863</formula1>
    </dataValidation>
    <dataValidation type="list" allowBlank="1" showInputMessage="1" showErrorMessage="1" sqref="J2:J19">
      <formula1>israel_abroad</formula1>
    </dataValidation>
    <dataValidation type="list" allowBlank="1" showInputMessage="1" showErrorMessage="1" sqref="M2:M19">
      <formula1>Holding_interest</formula1>
    </dataValidation>
    <dataValidation type="list" allowBlank="1" showInputMessage="1" showErrorMessage="1" sqref="O2:O19">
      <formula1>Valuation</formula1>
    </dataValidation>
    <dataValidation type="list" allowBlank="1" showInputMessage="1" showErrorMessage="1" sqref="P2:P19">
      <formula1>Dependence_Independence</formula1>
    </dataValidation>
    <dataValidation type="list" allowBlank="1" showInputMessage="1" showErrorMessage="1" sqref="K2:K19">
      <formula1>Country_list</formula1>
    </dataValidation>
    <dataValidation type="list" allowBlank="1" showInputMessage="1" showErrorMessage="1" sqref="H2:H19">
      <formula1>Type_of_Security_ID_Fund</formula1>
    </dataValidation>
    <dataValidation type="list" allowBlank="1" showInputMessage="1" showErrorMessage="1" sqref="L2:L19">
      <formula1>Industry_Sector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31"/>
  <sheetViews>
    <sheetView rightToLeft="1" topLeftCell="J1" workbookViewId="0">
      <selection activeCell="N22" sqref="N22"/>
    </sheetView>
  </sheetViews>
  <sheetFormatPr defaultColWidth="9" defaultRowHeight="14.25"/>
  <cols>
    <col min="1" max="18" width="11.625" style="2" customWidth="1"/>
    <col min="19" max="16384" width="9" style="2"/>
  </cols>
  <sheetData>
    <row r="1" spans="1:18" ht="66.75" customHeight="1">
      <c r="A1" s="17" t="s">
        <v>49</v>
      </c>
      <c r="B1" s="17" t="s">
        <v>50</v>
      </c>
      <c r="C1" s="17" t="s">
        <v>184</v>
      </c>
      <c r="D1" s="17" t="s">
        <v>185</v>
      </c>
      <c r="E1" s="17" t="s">
        <v>54</v>
      </c>
      <c r="F1" s="17" t="s">
        <v>55</v>
      </c>
      <c r="G1" s="17" t="s">
        <v>69</v>
      </c>
      <c r="H1" s="17" t="s">
        <v>56</v>
      </c>
      <c r="I1" s="17" t="s">
        <v>186</v>
      </c>
      <c r="J1" s="17" t="s">
        <v>59</v>
      </c>
      <c r="K1" s="17" t="s">
        <v>106</v>
      </c>
      <c r="L1" s="17" t="s">
        <v>60</v>
      </c>
      <c r="M1" s="17" t="s">
        <v>61</v>
      </c>
      <c r="N1" s="17" t="s">
        <v>63</v>
      </c>
      <c r="O1" s="17" t="s">
        <v>78</v>
      </c>
      <c r="P1" s="17" t="s">
        <v>17</v>
      </c>
      <c r="Q1" s="17" t="s">
        <v>64</v>
      </c>
      <c r="R1" s="17" t="s">
        <v>65</v>
      </c>
    </row>
    <row r="2" spans="1:18">
      <c r="A2" t="s">
        <v>1213</v>
      </c>
      <c r="B2" t="s">
        <v>1214</v>
      </c>
      <c r="C2" s="109"/>
      <c r="D2" s="109"/>
      <c r="E2" s="109"/>
      <c r="F2" s="16"/>
      <c r="G2" s="16"/>
      <c r="H2" s="109"/>
      <c r="I2"/>
      <c r="J2" s="16"/>
      <c r="K2" s="109"/>
      <c r="L2" s="108"/>
      <c r="M2" s="109"/>
      <c r="N2" s="109"/>
      <c r="O2" s="109"/>
      <c r="P2" s="16"/>
      <c r="Q2" s="109"/>
      <c r="R2" s="109"/>
    </row>
    <row r="3" spans="1:18">
      <c r="A3" t="s">
        <v>1213</v>
      </c>
      <c r="B3" t="s">
        <v>1217</v>
      </c>
      <c r="C3" s="109"/>
      <c r="D3" s="109"/>
      <c r="E3" s="109"/>
      <c r="F3" s="16"/>
      <c r="G3" s="16"/>
      <c r="H3" s="109"/>
      <c r="I3"/>
      <c r="J3" s="16"/>
      <c r="K3" s="109"/>
      <c r="L3" s="108"/>
      <c r="M3" s="109"/>
      <c r="N3" s="109"/>
      <c r="O3" s="109"/>
      <c r="P3" s="16"/>
      <c r="Q3" s="109"/>
      <c r="R3" s="109"/>
    </row>
    <row r="4" spans="1:18">
      <c r="A4" t="s">
        <v>1213</v>
      </c>
      <c r="B4" t="s">
        <v>1220</v>
      </c>
      <c r="C4" s="109"/>
      <c r="D4" s="109"/>
      <c r="E4" s="109"/>
      <c r="F4" s="16"/>
      <c r="G4" s="16"/>
      <c r="H4" s="109"/>
      <c r="I4"/>
      <c r="J4" s="16"/>
      <c r="K4" s="109"/>
      <c r="L4" s="108"/>
      <c r="M4" s="109"/>
      <c r="N4" s="109"/>
      <c r="O4" s="109"/>
      <c r="P4" s="16"/>
      <c r="Q4" s="109"/>
      <c r="R4" s="109"/>
    </row>
    <row r="5" spans="1:18">
      <c r="A5" t="s">
        <v>1213</v>
      </c>
      <c r="B5" t="s">
        <v>1221</v>
      </c>
      <c r="C5" s="109"/>
      <c r="D5" s="109"/>
      <c r="E5" s="109"/>
      <c r="F5" s="16"/>
      <c r="G5" s="16"/>
      <c r="H5" s="109"/>
      <c r="I5"/>
      <c r="J5" s="16"/>
      <c r="K5" s="109"/>
      <c r="L5" s="108"/>
      <c r="M5" s="109"/>
      <c r="N5" s="109"/>
      <c r="O5" s="109"/>
      <c r="P5" s="16"/>
      <c r="Q5" s="109"/>
      <c r="R5" s="109"/>
    </row>
    <row r="6" spans="1:18">
      <c r="A6" t="s">
        <v>1213</v>
      </c>
      <c r="B6" t="s">
        <v>1222</v>
      </c>
      <c r="C6" s="109"/>
      <c r="D6" s="109"/>
      <c r="E6" s="109"/>
      <c r="F6" s="16"/>
      <c r="G6" s="16"/>
      <c r="H6" s="109"/>
      <c r="I6"/>
      <c r="J6" s="16"/>
      <c r="K6" s="109"/>
      <c r="L6" s="108"/>
      <c r="M6" s="109"/>
      <c r="N6" s="109"/>
      <c r="O6" s="109"/>
      <c r="P6" s="16"/>
      <c r="Q6" s="109"/>
      <c r="R6" s="109"/>
    </row>
    <row r="7" spans="1:18">
      <c r="A7" t="s">
        <v>1213</v>
      </c>
      <c r="B7" t="s">
        <v>1223</v>
      </c>
      <c r="C7" s="109"/>
      <c r="D7" s="109"/>
      <c r="E7" s="109"/>
      <c r="F7" s="16"/>
      <c r="G7" s="16"/>
      <c r="H7" s="109"/>
      <c r="I7"/>
      <c r="J7" s="16"/>
      <c r="K7" s="109"/>
      <c r="L7" s="108"/>
      <c r="M7" s="109"/>
      <c r="N7" s="109"/>
      <c r="O7" s="109"/>
      <c r="P7" s="16"/>
      <c r="Q7" s="109"/>
      <c r="R7" s="109"/>
    </row>
    <row r="8" spans="1:18">
      <c r="A8" t="s">
        <v>1213</v>
      </c>
      <c r="B8" t="s">
        <v>1224</v>
      </c>
      <c r="C8" s="109"/>
      <c r="D8" s="109"/>
      <c r="E8" s="109"/>
      <c r="F8" s="16"/>
      <c r="G8" s="16"/>
      <c r="H8" s="109"/>
      <c r="I8"/>
      <c r="J8" s="16"/>
      <c r="K8" s="109"/>
      <c r="L8" s="108"/>
      <c r="M8" s="109"/>
      <c r="N8" s="109"/>
      <c r="O8" s="109"/>
      <c r="P8" s="16"/>
      <c r="Q8" s="109"/>
      <c r="R8" s="109"/>
    </row>
    <row r="9" spans="1:18">
      <c r="A9" t="s">
        <v>1213</v>
      </c>
      <c r="B9" t="s">
        <v>1225</v>
      </c>
      <c r="C9" s="109"/>
      <c r="D9" s="109"/>
      <c r="E9" s="109"/>
      <c r="F9" s="16"/>
      <c r="G9" s="16"/>
      <c r="H9" s="109"/>
      <c r="I9"/>
      <c r="J9" s="16"/>
      <c r="K9" s="109"/>
      <c r="L9" s="108"/>
      <c r="M9" s="109"/>
      <c r="N9" s="109"/>
      <c r="O9" s="109"/>
      <c r="P9" s="16"/>
      <c r="Q9" s="109"/>
      <c r="R9" s="109"/>
    </row>
    <row r="10" spans="1:18">
      <c r="A10" t="s">
        <v>1213</v>
      </c>
      <c r="B10" t="s">
        <v>1230</v>
      </c>
      <c r="C10" s="109"/>
      <c r="D10" s="109"/>
      <c r="E10" s="109"/>
      <c r="F10" s="16"/>
      <c r="G10" s="16"/>
      <c r="H10" s="109"/>
      <c r="I10"/>
      <c r="J10" s="16"/>
      <c r="K10" s="109"/>
      <c r="L10" s="108"/>
      <c r="M10" s="109"/>
      <c r="N10" s="109"/>
      <c r="O10" s="109"/>
      <c r="P10" s="16"/>
      <c r="Q10" s="109"/>
      <c r="R10" s="109"/>
    </row>
    <row r="11" spans="1:18">
      <c r="A11" t="s">
        <v>1213</v>
      </c>
      <c r="B11" t="s">
        <v>1231</v>
      </c>
      <c r="C11" s="109"/>
      <c r="D11" s="109"/>
      <c r="E11" s="109"/>
      <c r="F11" s="16"/>
      <c r="G11" s="16"/>
      <c r="H11" s="109"/>
      <c r="I11"/>
      <c r="J11" s="16"/>
      <c r="K11" s="109"/>
      <c r="L11" s="108"/>
      <c r="M11" s="109"/>
      <c r="N11" s="109"/>
      <c r="O11" s="109"/>
      <c r="P11" s="16"/>
      <c r="Q11" s="109"/>
      <c r="R11" s="109"/>
    </row>
    <row r="12" spans="1:18">
      <c r="A12" t="s">
        <v>1213</v>
      </c>
      <c r="B12" t="s">
        <v>1232</v>
      </c>
      <c r="C12" s="109"/>
      <c r="D12" s="109"/>
      <c r="E12" s="109"/>
      <c r="F12" s="16"/>
      <c r="G12" s="16"/>
      <c r="H12" s="109"/>
      <c r="I12"/>
      <c r="J12" s="16"/>
      <c r="K12" s="109"/>
      <c r="L12" s="108"/>
      <c r="M12" s="109"/>
      <c r="N12" s="109"/>
      <c r="O12" s="109"/>
      <c r="P12" s="16"/>
      <c r="Q12" s="109"/>
      <c r="R12" s="109"/>
    </row>
    <row r="13" spans="1:18">
      <c r="A13" t="s">
        <v>1213</v>
      </c>
      <c r="B13" t="s">
        <v>1233</v>
      </c>
      <c r="C13" s="109"/>
      <c r="D13" s="109"/>
      <c r="E13" s="109"/>
      <c r="F13" s="16"/>
      <c r="G13" s="16"/>
      <c r="H13" s="109"/>
      <c r="I13"/>
      <c r="J13" s="16"/>
      <c r="K13" s="109"/>
      <c r="L13" s="108"/>
      <c r="M13" s="109"/>
      <c r="N13" s="109"/>
      <c r="O13" s="109"/>
      <c r="P13" s="16"/>
      <c r="Q13" s="109"/>
      <c r="R13" s="109"/>
    </row>
    <row r="14" spans="1:18">
      <c r="A14" t="s">
        <v>1213</v>
      </c>
      <c r="B14" t="s">
        <v>1234</v>
      </c>
      <c r="C14" s="109"/>
      <c r="D14" s="109"/>
      <c r="E14" s="109"/>
      <c r="F14" s="16"/>
      <c r="G14" s="16"/>
      <c r="H14" s="109"/>
      <c r="I14"/>
      <c r="J14" s="16"/>
      <c r="K14" s="109"/>
      <c r="L14" s="108"/>
      <c r="M14" s="109"/>
      <c r="N14" s="109"/>
      <c r="O14" s="109"/>
      <c r="P14" s="16"/>
      <c r="Q14" s="109"/>
      <c r="R14" s="109"/>
    </row>
    <row r="15" spans="1:18">
      <c r="A15" t="s">
        <v>1213</v>
      </c>
      <c r="B15" t="s">
        <v>1235</v>
      </c>
      <c r="C15" s="109"/>
      <c r="D15" s="109"/>
      <c r="E15" s="109"/>
      <c r="F15" s="16"/>
      <c r="G15" s="16"/>
      <c r="H15" s="109"/>
      <c r="I15"/>
      <c r="J15" s="16"/>
      <c r="K15" s="109"/>
      <c r="L15" s="108"/>
      <c r="M15" s="109"/>
      <c r="N15" s="109"/>
      <c r="O15" s="109"/>
      <c r="P15" s="16"/>
      <c r="Q15" s="109"/>
      <c r="R15" s="109"/>
    </row>
    <row r="16" spans="1:18">
      <c r="A16" t="s">
        <v>1213</v>
      </c>
      <c r="B16" t="s">
        <v>1238</v>
      </c>
      <c r="C16" s="109"/>
      <c r="D16" s="109"/>
      <c r="E16" s="109"/>
      <c r="F16" s="16"/>
      <c r="G16" s="16"/>
      <c r="H16" s="109"/>
      <c r="I16"/>
      <c r="J16" s="16"/>
      <c r="K16" s="109"/>
      <c r="L16" s="108"/>
      <c r="M16" s="109"/>
      <c r="N16" s="109"/>
      <c r="O16" s="109"/>
      <c r="P16" s="16"/>
      <c r="Q16" s="109"/>
      <c r="R16" s="109"/>
    </row>
    <row r="17" spans="1:18">
      <c r="A17" t="s">
        <v>1213</v>
      </c>
      <c r="B17" t="s">
        <v>1241</v>
      </c>
      <c r="C17" s="109"/>
      <c r="D17" s="109"/>
      <c r="E17" s="109"/>
      <c r="F17" s="16"/>
      <c r="G17" s="16"/>
      <c r="H17" s="109"/>
      <c r="I17"/>
      <c r="J17" s="16"/>
      <c r="K17" s="109"/>
      <c r="L17" s="108"/>
      <c r="M17" s="109"/>
      <c r="N17" s="109"/>
      <c r="O17" s="109"/>
      <c r="P17" s="16"/>
      <c r="Q17" s="109"/>
      <c r="R17" s="109"/>
    </row>
    <row r="18" spans="1:18">
      <c r="A18" t="s">
        <v>1213</v>
      </c>
      <c r="B18" t="s">
        <v>1242</v>
      </c>
      <c r="C18" s="109"/>
      <c r="D18" s="109"/>
      <c r="E18" s="109"/>
      <c r="F18" s="16"/>
      <c r="G18" s="16"/>
      <c r="H18" s="109"/>
      <c r="I18"/>
      <c r="J18" s="16"/>
      <c r="K18" s="109"/>
      <c r="L18" s="108"/>
      <c r="M18" s="109"/>
      <c r="N18" s="109"/>
      <c r="O18" s="109"/>
      <c r="P18" s="16"/>
      <c r="Q18" s="109"/>
      <c r="R18" s="109"/>
    </row>
    <row r="19" spans="1:18">
      <c r="A19" t="s">
        <v>1213</v>
      </c>
      <c r="B19" t="s">
        <v>1243</v>
      </c>
      <c r="C19" s="108"/>
      <c r="D19" s="108"/>
      <c r="E19" s="109"/>
      <c r="F19" s="16"/>
      <c r="G19" s="16"/>
      <c r="H19" s="109"/>
      <c r="I19"/>
      <c r="J19" s="108"/>
      <c r="K19" s="108"/>
      <c r="L19" s="108"/>
      <c r="M19" s="108"/>
      <c r="N19" s="108"/>
      <c r="O19" s="108"/>
      <c r="P19" s="16"/>
      <c r="Q19" s="108"/>
      <c r="R19" s="108"/>
    </row>
    <row r="20" spans="1:18">
      <c r="A20" t="s">
        <v>1213</v>
      </c>
      <c r="B20" t="s">
        <v>1244</v>
      </c>
      <c r="I20"/>
    </row>
    <row r="21" spans="1:18">
      <c r="A21" t="s">
        <v>1213</v>
      </c>
      <c r="B21">
        <v>15108</v>
      </c>
      <c r="I21"/>
    </row>
    <row r="22" spans="1:18">
      <c r="A22" t="s">
        <v>1213</v>
      </c>
      <c r="B22" t="s">
        <v>1247</v>
      </c>
      <c r="I22"/>
    </row>
    <row r="23" spans="1:18">
      <c r="A23" t="s">
        <v>1213</v>
      </c>
      <c r="B23" t="s">
        <v>1248</v>
      </c>
      <c r="I23"/>
    </row>
    <row r="24" spans="1:18">
      <c r="A24" t="s">
        <v>1213</v>
      </c>
      <c r="B24" t="s">
        <v>1250</v>
      </c>
      <c r="I24"/>
    </row>
    <row r="25" spans="1:18">
      <c r="A25" t="s">
        <v>1213</v>
      </c>
      <c r="B25" t="s">
        <v>1251</v>
      </c>
      <c r="I25"/>
    </row>
    <row r="26" spans="1:18">
      <c r="A26" t="s">
        <v>1213</v>
      </c>
      <c r="B26" t="s">
        <v>1252</v>
      </c>
      <c r="I26"/>
    </row>
    <row r="27" spans="1:18">
      <c r="A27" t="s">
        <v>1213</v>
      </c>
      <c r="B27" t="s">
        <v>1253</v>
      </c>
      <c r="I27"/>
    </row>
    <row r="28" spans="1:18">
      <c r="A28" t="s">
        <v>1213</v>
      </c>
      <c r="B28" t="s">
        <v>1254</v>
      </c>
      <c r="I28"/>
    </row>
    <row r="29" spans="1:18">
      <c r="A29" t="s">
        <v>1213</v>
      </c>
      <c r="B29" t="s">
        <v>1255</v>
      </c>
      <c r="I29"/>
    </row>
    <row r="30" spans="1:18">
      <c r="A30" t="s">
        <v>1213</v>
      </c>
      <c r="B30" t="s">
        <v>1256</v>
      </c>
      <c r="I30"/>
    </row>
    <row r="31" spans="1:18">
      <c r="A31" t="s">
        <v>1213</v>
      </c>
      <c r="B31" t="s">
        <v>1257</v>
      </c>
      <c r="I31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dataValidations count="5">
    <dataValidation type="list" allowBlank="1" showInputMessage="1" showErrorMessage="1" sqref="F2:F19">
      <formula1>israel_abroad</formula1>
    </dataValidation>
    <dataValidation type="list" allowBlank="1" showInputMessage="1" showErrorMessage="1" sqref="H2:H19">
      <formula1>Holding_interest</formula1>
    </dataValidation>
    <dataValidation type="list" allowBlank="1" showInputMessage="1" showErrorMessage="1" sqref="P2:P19">
      <formula1>In_the_books</formula1>
    </dataValidation>
    <dataValidation type="list" allowBlank="1" showInputMessage="1" showErrorMessage="1" sqref="G2:G19">
      <formula1>Country_list</formula1>
    </dataValidation>
    <dataValidation type="list" allowBlank="1" showInputMessage="1" showErrorMessage="1" sqref="E2:E19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31"/>
  <sheetViews>
    <sheetView rightToLeft="1" topLeftCell="M1" workbookViewId="0">
      <selection activeCell="AC12" sqref="AC12"/>
    </sheetView>
  </sheetViews>
  <sheetFormatPr defaultColWidth="11.625" defaultRowHeight="14.1" customHeight="1"/>
  <cols>
    <col min="1" max="19" width="11.625" style="2" customWidth="1"/>
    <col min="20" max="16384" width="11.625" style="2"/>
  </cols>
  <sheetData>
    <row r="1" spans="1:22" ht="66.75" customHeight="1">
      <c r="A1" s="17" t="s">
        <v>49</v>
      </c>
      <c r="B1" s="17" t="s">
        <v>50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187</v>
      </c>
      <c r="H1" s="17" t="s">
        <v>55</v>
      </c>
      <c r="I1" s="17" t="s">
        <v>69</v>
      </c>
      <c r="J1" s="17" t="s">
        <v>56</v>
      </c>
      <c r="K1" s="17" t="s">
        <v>71</v>
      </c>
      <c r="L1" s="17" t="s">
        <v>58</v>
      </c>
      <c r="M1" s="17" t="s">
        <v>158</v>
      </c>
      <c r="N1" s="17" t="s">
        <v>59</v>
      </c>
      <c r="O1" s="17" t="s">
        <v>61</v>
      </c>
      <c r="P1" s="17" t="s">
        <v>62</v>
      </c>
      <c r="Q1" s="17" t="s">
        <v>159</v>
      </c>
      <c r="R1" s="17" t="s">
        <v>188</v>
      </c>
      <c r="S1" s="17" t="s">
        <v>189</v>
      </c>
      <c r="T1" s="17" t="s">
        <v>190</v>
      </c>
      <c r="U1" s="108"/>
      <c r="V1" s="108"/>
    </row>
    <row r="2" spans="1:22" ht="14.1" customHeight="1">
      <c r="A2" t="s">
        <v>1213</v>
      </c>
      <c r="B2" t="s">
        <v>1214</v>
      </c>
      <c r="C2" s="108"/>
      <c r="D2" s="109"/>
      <c r="E2" s="108"/>
      <c r="F2" s="108"/>
      <c r="G2"/>
      <c r="H2" s="16"/>
      <c r="I2" s="16"/>
      <c r="J2" s="109"/>
      <c r="K2" s="109"/>
      <c r="L2" s="109"/>
      <c r="M2" s="109"/>
      <c r="N2" s="108"/>
      <c r="O2" s="108"/>
      <c r="P2" s="108"/>
      <c r="Q2" s="109"/>
      <c r="R2" s="108"/>
      <c r="S2" s="108"/>
      <c r="T2" s="108"/>
      <c r="U2" s="108"/>
      <c r="V2" s="108"/>
    </row>
    <row r="3" spans="1:22" ht="14.1" customHeight="1">
      <c r="A3" t="s">
        <v>1213</v>
      </c>
      <c r="B3" t="s">
        <v>1217</v>
      </c>
      <c r="C3" s="108"/>
      <c r="D3" s="109"/>
      <c r="E3" s="108"/>
      <c r="F3" s="108"/>
      <c r="G3"/>
      <c r="H3" s="16"/>
      <c r="I3" s="16"/>
      <c r="J3" s="109"/>
      <c r="K3" s="109"/>
      <c r="L3" s="109"/>
      <c r="M3" s="109"/>
      <c r="N3" s="108"/>
      <c r="O3" s="108"/>
      <c r="P3" s="108"/>
      <c r="Q3" s="109"/>
      <c r="R3" s="108"/>
      <c r="S3" s="108"/>
      <c r="T3" s="108"/>
      <c r="U3" s="108"/>
      <c r="V3" s="108"/>
    </row>
    <row r="4" spans="1:22" ht="14.1" customHeight="1">
      <c r="A4" t="s">
        <v>1213</v>
      </c>
      <c r="B4" t="s">
        <v>1220</v>
      </c>
      <c r="C4" s="108"/>
      <c r="D4" s="109"/>
      <c r="E4" s="108"/>
      <c r="F4" s="108"/>
      <c r="G4"/>
      <c r="H4" s="16"/>
      <c r="I4" s="16"/>
      <c r="J4" s="109"/>
      <c r="K4" s="109"/>
      <c r="L4" s="109"/>
      <c r="M4" s="109"/>
      <c r="N4" s="108"/>
      <c r="O4" s="108"/>
      <c r="P4" s="108"/>
      <c r="Q4" s="109"/>
      <c r="R4" s="108"/>
      <c r="S4" s="108"/>
      <c r="T4" s="108"/>
      <c r="U4" s="108"/>
      <c r="V4" s="108"/>
    </row>
    <row r="5" spans="1:22" ht="14.1" customHeight="1">
      <c r="A5" t="s">
        <v>1213</v>
      </c>
      <c r="B5" t="s">
        <v>1221</v>
      </c>
      <c r="C5" s="108"/>
      <c r="D5" s="109"/>
      <c r="E5" s="108"/>
      <c r="F5" s="108"/>
      <c r="G5"/>
      <c r="H5" s="16"/>
      <c r="I5" s="16"/>
      <c r="J5" s="109"/>
      <c r="K5" s="109"/>
      <c r="L5" s="109"/>
      <c r="M5" s="109"/>
      <c r="N5" s="108"/>
      <c r="O5" s="108"/>
      <c r="P5" s="108"/>
      <c r="Q5" s="109"/>
      <c r="R5" s="108"/>
      <c r="S5" s="108"/>
      <c r="T5" s="108"/>
      <c r="U5" s="108"/>
      <c r="V5" s="108"/>
    </row>
    <row r="6" spans="1:22" ht="14.1" customHeight="1">
      <c r="A6" t="s">
        <v>1213</v>
      </c>
      <c r="B6" t="s">
        <v>1222</v>
      </c>
      <c r="C6" s="108"/>
      <c r="D6" s="109"/>
      <c r="E6" s="108"/>
      <c r="F6" s="108"/>
      <c r="G6"/>
      <c r="H6" s="16"/>
      <c r="I6" s="16"/>
      <c r="J6" s="109"/>
      <c r="K6" s="109"/>
      <c r="L6" s="109"/>
      <c r="M6" s="109"/>
      <c r="N6" s="108"/>
      <c r="O6" s="108"/>
      <c r="P6" s="108"/>
      <c r="Q6" s="109"/>
      <c r="R6" s="108"/>
      <c r="S6" s="108"/>
      <c r="T6" s="108"/>
      <c r="U6" s="108"/>
      <c r="V6" s="108"/>
    </row>
    <row r="7" spans="1:22" ht="14.1" customHeight="1">
      <c r="A7" t="s">
        <v>1213</v>
      </c>
      <c r="B7" t="s">
        <v>1223</v>
      </c>
      <c r="C7" s="108"/>
      <c r="D7" s="109"/>
      <c r="E7" s="108"/>
      <c r="F7" s="108"/>
      <c r="G7"/>
      <c r="H7" s="16"/>
      <c r="I7" s="16"/>
      <c r="J7" s="109"/>
      <c r="K7" s="109"/>
      <c r="L7" s="109"/>
      <c r="M7" s="109"/>
      <c r="N7" s="108"/>
      <c r="O7" s="108"/>
      <c r="P7" s="108"/>
      <c r="Q7" s="109"/>
      <c r="R7" s="108"/>
      <c r="S7" s="108"/>
      <c r="T7" s="108"/>
      <c r="U7" s="108"/>
      <c r="V7" s="108"/>
    </row>
    <row r="8" spans="1:22" ht="14.1" customHeight="1">
      <c r="A8" t="s">
        <v>1213</v>
      </c>
      <c r="B8" t="s">
        <v>1224</v>
      </c>
      <c r="C8" s="108"/>
      <c r="D8" s="109"/>
      <c r="E8" s="108"/>
      <c r="F8" s="108"/>
      <c r="G8"/>
      <c r="H8" s="16"/>
      <c r="I8" s="16"/>
      <c r="J8" s="109"/>
      <c r="K8" s="109"/>
      <c r="L8" s="109"/>
      <c r="M8" s="109"/>
      <c r="N8" s="108"/>
      <c r="O8" s="108"/>
      <c r="P8" s="108"/>
      <c r="Q8" s="109"/>
      <c r="R8" s="108"/>
      <c r="S8" s="108"/>
      <c r="T8" s="108"/>
      <c r="U8" s="108"/>
      <c r="V8" s="108"/>
    </row>
    <row r="9" spans="1:22" ht="13.5" customHeight="1">
      <c r="A9" t="s">
        <v>1213</v>
      </c>
      <c r="B9" t="s">
        <v>1225</v>
      </c>
      <c r="C9" s="108"/>
      <c r="D9" s="109"/>
      <c r="E9" s="108"/>
      <c r="F9" s="108"/>
      <c r="G9"/>
      <c r="H9" s="16"/>
      <c r="I9" s="16"/>
      <c r="J9" s="109"/>
      <c r="K9" s="109"/>
      <c r="L9" s="109"/>
      <c r="M9" s="109"/>
      <c r="N9" s="108"/>
      <c r="O9" s="108"/>
      <c r="P9" s="108"/>
      <c r="Q9" s="109"/>
      <c r="R9" s="108"/>
      <c r="S9" s="108"/>
      <c r="T9" s="108"/>
      <c r="U9" s="108"/>
      <c r="V9" s="108"/>
    </row>
    <row r="10" spans="1:22" ht="13.5" customHeight="1">
      <c r="A10" t="s">
        <v>1213</v>
      </c>
      <c r="B10" t="s">
        <v>1230</v>
      </c>
      <c r="C10" s="108"/>
      <c r="D10" s="109"/>
      <c r="E10" s="108"/>
      <c r="F10" s="108"/>
      <c r="G10"/>
      <c r="H10" s="16"/>
      <c r="I10" s="16"/>
      <c r="J10" s="109"/>
      <c r="K10" s="109"/>
      <c r="L10" s="109"/>
      <c r="M10" s="109"/>
      <c r="N10" s="108"/>
      <c r="O10" s="108"/>
      <c r="P10" s="108"/>
      <c r="Q10" s="109"/>
      <c r="R10" s="108"/>
      <c r="S10" s="108"/>
      <c r="T10" s="108"/>
      <c r="U10" s="108"/>
      <c r="V10" s="108"/>
    </row>
    <row r="11" spans="1:22" ht="14.1" customHeight="1">
      <c r="A11" t="s">
        <v>1213</v>
      </c>
      <c r="B11" t="s">
        <v>1231</v>
      </c>
      <c r="C11" s="108"/>
      <c r="D11" s="109"/>
      <c r="E11" s="108"/>
      <c r="F11" s="108"/>
      <c r="G11"/>
      <c r="H11" s="16"/>
      <c r="I11" s="16"/>
      <c r="J11" s="109"/>
      <c r="K11" s="109"/>
      <c r="L11" s="109"/>
      <c r="M11" s="109"/>
      <c r="N11" s="108"/>
      <c r="O11" s="108"/>
      <c r="P11" s="108"/>
      <c r="Q11" s="109"/>
      <c r="R11" s="108"/>
      <c r="S11" s="108"/>
      <c r="T11" s="108"/>
      <c r="U11" s="108"/>
      <c r="V11" s="108"/>
    </row>
    <row r="12" spans="1:22" ht="14.1" customHeight="1">
      <c r="A12" t="s">
        <v>1213</v>
      </c>
      <c r="B12" t="s">
        <v>1232</v>
      </c>
      <c r="C12" s="108"/>
      <c r="D12" s="109"/>
      <c r="E12" s="108"/>
      <c r="F12" s="108"/>
      <c r="G12"/>
      <c r="H12" s="16"/>
      <c r="I12" s="16"/>
      <c r="J12" s="109"/>
      <c r="K12" s="109"/>
      <c r="L12" s="109"/>
      <c r="M12" s="109"/>
      <c r="N12" s="108"/>
      <c r="O12" s="108"/>
      <c r="P12" s="108"/>
      <c r="Q12" s="109"/>
      <c r="R12" s="108"/>
      <c r="S12" s="108"/>
      <c r="T12" s="108"/>
      <c r="U12" s="108"/>
      <c r="V12" s="108"/>
    </row>
    <row r="13" spans="1:22" ht="14.1" customHeight="1">
      <c r="A13" t="s">
        <v>1213</v>
      </c>
      <c r="B13" t="s">
        <v>1233</v>
      </c>
      <c r="C13" s="108"/>
      <c r="D13" s="109"/>
      <c r="E13" s="108"/>
      <c r="F13" s="108"/>
      <c r="G13"/>
      <c r="H13" s="16"/>
      <c r="I13" s="16"/>
      <c r="J13" s="109"/>
      <c r="K13" s="109"/>
      <c r="L13" s="109"/>
      <c r="M13" s="109"/>
      <c r="N13" s="108"/>
      <c r="O13" s="108"/>
      <c r="P13" s="108"/>
      <c r="Q13" s="109"/>
      <c r="R13" s="108"/>
      <c r="S13" s="108"/>
      <c r="T13" s="108"/>
      <c r="U13" s="108"/>
      <c r="V13" s="108"/>
    </row>
    <row r="14" spans="1:22" ht="14.1" customHeight="1">
      <c r="A14" t="s">
        <v>1213</v>
      </c>
      <c r="B14" t="s">
        <v>1234</v>
      </c>
      <c r="C14" s="108"/>
      <c r="D14" s="109"/>
      <c r="E14" s="108"/>
      <c r="F14" s="108"/>
      <c r="G14"/>
      <c r="H14" s="16"/>
      <c r="I14" s="16"/>
      <c r="J14" s="109"/>
      <c r="K14" s="109"/>
      <c r="L14" s="109"/>
      <c r="M14" s="109"/>
      <c r="N14" s="108"/>
      <c r="O14" s="108"/>
      <c r="P14" s="108"/>
      <c r="Q14" s="109"/>
      <c r="R14" s="108"/>
      <c r="S14" s="108"/>
      <c r="T14" s="108"/>
      <c r="U14" s="108"/>
      <c r="V14" s="108"/>
    </row>
    <row r="15" spans="1:22" ht="14.1" customHeight="1">
      <c r="A15" t="s">
        <v>1213</v>
      </c>
      <c r="B15" t="s">
        <v>1235</v>
      </c>
      <c r="C15" s="108"/>
      <c r="D15" s="109"/>
      <c r="E15" s="108"/>
      <c r="F15" s="108"/>
      <c r="G15"/>
      <c r="H15" s="16"/>
      <c r="I15" s="16"/>
      <c r="J15" s="109"/>
      <c r="K15" s="109"/>
      <c r="L15" s="109"/>
      <c r="M15" s="109"/>
      <c r="N15" s="108"/>
      <c r="O15" s="108"/>
      <c r="P15" s="108"/>
      <c r="Q15" s="109"/>
      <c r="R15" s="108"/>
      <c r="S15" s="108"/>
      <c r="T15" s="108"/>
      <c r="U15" s="108"/>
      <c r="V15" s="108"/>
    </row>
    <row r="16" spans="1:22" ht="14.1" customHeight="1">
      <c r="A16" t="s">
        <v>1213</v>
      </c>
      <c r="B16" t="s">
        <v>1238</v>
      </c>
      <c r="D16" s="109"/>
      <c r="E16" s="108"/>
      <c r="F16" s="108"/>
      <c r="G16"/>
      <c r="H16" s="16"/>
      <c r="I16" s="16"/>
      <c r="J16" s="109"/>
      <c r="K16" s="109"/>
      <c r="L16" s="109"/>
      <c r="M16" s="109"/>
      <c r="N16" s="108"/>
      <c r="O16" s="108"/>
      <c r="P16" s="108"/>
      <c r="Q16" s="109"/>
    </row>
    <row r="17" spans="1:17" ht="14.1" customHeight="1">
      <c r="A17" t="s">
        <v>1213</v>
      </c>
      <c r="B17" t="s">
        <v>1241</v>
      </c>
      <c r="D17" s="109"/>
      <c r="E17" s="108"/>
      <c r="F17" s="108"/>
      <c r="G17"/>
      <c r="H17" s="16"/>
      <c r="I17" s="16"/>
      <c r="J17" s="109"/>
      <c r="K17" s="109"/>
      <c r="L17" s="109"/>
      <c r="M17" s="109"/>
      <c r="N17" s="108"/>
      <c r="O17" s="108"/>
      <c r="P17" s="108"/>
      <c r="Q17" s="109"/>
    </row>
    <row r="18" spans="1:17" ht="14.1" customHeight="1">
      <c r="A18" t="s">
        <v>1213</v>
      </c>
      <c r="B18" t="s">
        <v>1242</v>
      </c>
      <c r="D18" s="109"/>
      <c r="E18" s="108"/>
      <c r="F18" s="108"/>
      <c r="G18"/>
      <c r="H18" s="16"/>
      <c r="I18" s="16"/>
      <c r="J18" s="109"/>
      <c r="K18" s="109"/>
      <c r="L18" s="109"/>
      <c r="M18" s="109"/>
      <c r="N18" s="108"/>
      <c r="O18" s="108"/>
      <c r="P18" s="108"/>
      <c r="Q18" s="109"/>
    </row>
    <row r="19" spans="1:17" ht="14.1" customHeight="1">
      <c r="A19" t="s">
        <v>1213</v>
      </c>
      <c r="B19" t="s">
        <v>1243</v>
      </c>
      <c r="D19" s="109"/>
      <c r="E19" s="108"/>
      <c r="F19" s="108"/>
      <c r="G19"/>
      <c r="H19" s="16"/>
      <c r="I19" s="16"/>
      <c r="J19" s="109"/>
      <c r="K19" s="108"/>
      <c r="L19" s="109"/>
      <c r="M19" s="109"/>
      <c r="N19" s="108"/>
      <c r="O19" s="108"/>
      <c r="P19" s="108"/>
      <c r="Q19" s="109"/>
    </row>
    <row r="20" spans="1:17" ht="14.1" customHeight="1">
      <c r="A20" t="s">
        <v>1213</v>
      </c>
      <c r="B20" t="s">
        <v>1244</v>
      </c>
      <c r="D20" s="4"/>
      <c r="E20" s="108"/>
      <c r="F20" s="108"/>
      <c r="G20" s="108"/>
      <c r="H20" s="108"/>
      <c r="I20" s="108"/>
      <c r="J20"/>
      <c r="K20" s="108"/>
      <c r="L20" s="108"/>
      <c r="M20" s="108"/>
      <c r="N20" s="108"/>
      <c r="O20" s="108"/>
      <c r="P20" s="108"/>
      <c r="Q20" s="108"/>
    </row>
    <row r="21" spans="1:17" ht="14.1" customHeight="1">
      <c r="A21" t="s">
        <v>1213</v>
      </c>
      <c r="B21">
        <v>15108</v>
      </c>
      <c r="D21" s="4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</row>
    <row r="22" spans="1:17" ht="14.25">
      <c r="A22" t="s">
        <v>1213</v>
      </c>
      <c r="B22" t="s">
        <v>1247</v>
      </c>
    </row>
    <row r="23" spans="1:17" ht="14.25">
      <c r="A23" t="s">
        <v>1213</v>
      </c>
      <c r="B23" t="s">
        <v>1248</v>
      </c>
    </row>
    <row r="24" spans="1:17" ht="14.25">
      <c r="A24" t="s">
        <v>1213</v>
      </c>
      <c r="B24" t="s">
        <v>1250</v>
      </c>
    </row>
    <row r="25" spans="1:17" ht="14.25">
      <c r="A25" t="s">
        <v>1213</v>
      </c>
      <c r="B25" t="s">
        <v>1251</v>
      </c>
    </row>
    <row r="26" spans="1:17" ht="14.25">
      <c r="A26" t="s">
        <v>1213</v>
      </c>
      <c r="B26" t="s">
        <v>1252</v>
      </c>
    </row>
    <row r="27" spans="1:17" ht="14.25">
      <c r="A27" t="s">
        <v>1213</v>
      </c>
      <c r="B27" t="s">
        <v>1253</v>
      </c>
    </row>
    <row r="28" spans="1:17" ht="14.25">
      <c r="A28" t="s">
        <v>1213</v>
      </c>
      <c r="B28" t="s">
        <v>1254</v>
      </c>
    </row>
    <row r="29" spans="1:17" ht="14.25">
      <c r="A29" t="s">
        <v>1213</v>
      </c>
      <c r="B29" t="s">
        <v>1255</v>
      </c>
    </row>
    <row r="30" spans="1:17" ht="14.25">
      <c r="A30" t="s">
        <v>1213</v>
      </c>
      <c r="B30" t="s">
        <v>1256</v>
      </c>
    </row>
    <row r="31" spans="1:17" ht="14.25">
      <c r="A31" t="s">
        <v>1213</v>
      </c>
      <c r="B31" t="s">
        <v>1257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dataValidations count="8">
    <dataValidation type="list" allowBlank="1" showInputMessage="1" showErrorMessage="1" sqref="C7">
      <formula1>#REF!</formula1>
    </dataValidation>
    <dataValidation type="list" allowBlank="1" showInputMessage="1" showErrorMessage="1" sqref="H2:H19">
      <formula1>israel_abroad</formula1>
    </dataValidation>
    <dataValidation type="list" allowBlank="1" showInputMessage="1" showErrorMessage="1" sqref="I2:I19">
      <formula1>Country_list</formula1>
    </dataValidation>
    <dataValidation type="list" allowBlank="1" showInputMessage="1" showErrorMessage="1" sqref="D2:D19">
      <formula1>issuer_number_loan</formula1>
    </dataValidation>
    <dataValidation type="list" allowBlank="1" showInputMessage="1" showErrorMessage="1" sqref="L2:L19">
      <formula1>Rating_Agency</formula1>
    </dataValidation>
    <dataValidation type="list" allowBlank="1" showInputMessage="1" showErrorMessage="1" sqref="Q2:Q19">
      <formula1>Type_of_Interest_Rate</formula1>
    </dataValidation>
    <dataValidation type="list" allowBlank="1" showInputMessage="1" showErrorMessage="1" sqref="J2:J19">
      <formula1>Holding_interest</formula1>
    </dataValidation>
    <dataValidation type="list" allowBlank="1" showInputMessage="1" showErrorMessage="1" sqref="M2:M19">
      <formula1>what_is_rated_loans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437"/>
  <sheetViews>
    <sheetView rightToLeft="1" workbookViewId="0">
      <selection activeCell="C2" sqref="C2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6.125" style="2" customWidth="1"/>
    <col min="13" max="13" width="11.625" style="2" customWidth="1"/>
    <col min="14" max="14" width="16" style="2" bestFit="1" customWidth="1"/>
    <col min="15" max="15" width="14.875" style="2" bestFit="1" customWidth="1"/>
    <col min="16" max="18" width="11.625" style="2" customWidth="1"/>
    <col min="19" max="16384" width="11.625" style="2"/>
  </cols>
  <sheetData>
    <row r="1" spans="1:18" ht="66.75" customHeight="1">
      <c r="A1" s="17" t="s">
        <v>49</v>
      </c>
      <c r="B1" s="17" t="s">
        <v>50</v>
      </c>
      <c r="C1" s="17" t="s">
        <v>54</v>
      </c>
      <c r="D1" s="17" t="s">
        <v>108</v>
      </c>
      <c r="E1" s="17" t="s">
        <v>109</v>
      </c>
      <c r="F1" s="17" t="s">
        <v>110</v>
      </c>
      <c r="G1" s="17" t="s">
        <v>111</v>
      </c>
      <c r="H1" s="17" t="s">
        <v>112</v>
      </c>
      <c r="I1" s="17" t="s">
        <v>113</v>
      </c>
      <c r="J1" s="17" t="s">
        <v>59</v>
      </c>
      <c r="K1" s="17" t="s">
        <v>191</v>
      </c>
      <c r="L1" s="17" t="s">
        <v>192</v>
      </c>
      <c r="M1" s="17" t="s">
        <v>193</v>
      </c>
      <c r="N1" s="17" t="s">
        <v>194</v>
      </c>
      <c r="O1" s="17" t="s">
        <v>195</v>
      </c>
      <c r="P1" s="17" t="s">
        <v>196</v>
      </c>
      <c r="Q1" s="17" t="s">
        <v>197</v>
      </c>
      <c r="R1" s="108"/>
    </row>
    <row r="2" spans="1:18" ht="14.1" customHeight="1">
      <c r="A2" t="s">
        <v>1213</v>
      </c>
      <c r="B2" t="s">
        <v>1214</v>
      </c>
      <c r="C2" s="108" t="s">
        <v>1068</v>
      </c>
      <c r="D2" t="s">
        <v>4939</v>
      </c>
      <c r="E2" t="s">
        <v>4940</v>
      </c>
      <c r="F2" t="s">
        <v>309</v>
      </c>
      <c r="G2" t="s">
        <v>4941</v>
      </c>
      <c r="H2" s="108">
        <v>742521</v>
      </c>
      <c r="I2" t="s">
        <v>314</v>
      </c>
      <c r="J2" t="s">
        <v>1212</v>
      </c>
      <c r="K2" s="168">
        <v>45036</v>
      </c>
      <c r="L2" s="131">
        <v>62150000</v>
      </c>
      <c r="M2" s="131">
        <f>L2/1000</f>
        <v>62150</v>
      </c>
      <c r="N2" s="131">
        <f>O2</f>
        <v>1609.9999848186401</v>
      </c>
      <c r="O2" s="171">
        <v>1609.9999848186401</v>
      </c>
      <c r="P2" s="170">
        <f>O2/M2</f>
        <v>2.5905068138674821E-2</v>
      </c>
      <c r="Q2" s="168">
        <v>48689</v>
      </c>
      <c r="R2" s="108"/>
    </row>
    <row r="3" spans="1:18" ht="14.1" customHeight="1">
      <c r="A3" t="s">
        <v>1213</v>
      </c>
      <c r="B3" t="s">
        <v>1217</v>
      </c>
      <c r="C3" s="108" t="s">
        <v>1068</v>
      </c>
      <c r="D3" t="s">
        <v>5306</v>
      </c>
      <c r="E3" t="s">
        <v>4946</v>
      </c>
      <c r="F3" t="s">
        <v>311</v>
      </c>
      <c r="G3" t="s">
        <v>4947</v>
      </c>
      <c r="H3" s="108">
        <v>74253</v>
      </c>
      <c r="I3" t="s">
        <v>314</v>
      </c>
      <c r="J3" t="s">
        <v>1216</v>
      </c>
      <c r="K3" s="168">
        <v>45098</v>
      </c>
      <c r="L3" s="131">
        <v>1430000</v>
      </c>
      <c r="M3" s="131">
        <f>L3/1000*3.71</f>
        <v>5305.3</v>
      </c>
      <c r="N3" s="131">
        <f>O3/3.71</f>
        <v>1183</v>
      </c>
      <c r="O3" s="171">
        <v>4388.93</v>
      </c>
      <c r="P3" s="170">
        <f t="shared" ref="P3:P8" si="0">O3/M3</f>
        <v>0.82727272727272727</v>
      </c>
      <c r="Q3" s="168">
        <v>48434</v>
      </c>
      <c r="R3" s="108"/>
    </row>
    <row r="4" spans="1:18" ht="13.5" customHeight="1">
      <c r="A4" t="s">
        <v>1213</v>
      </c>
      <c r="B4" t="s">
        <v>1217</v>
      </c>
      <c r="C4" s="108" t="s">
        <v>1068</v>
      </c>
      <c r="D4" s="108"/>
      <c r="E4" t="s">
        <v>4943</v>
      </c>
      <c r="F4" t="s">
        <v>309</v>
      </c>
      <c r="G4" t="s">
        <v>4944</v>
      </c>
      <c r="H4" s="108">
        <v>74254</v>
      </c>
      <c r="I4" t="s">
        <v>314</v>
      </c>
      <c r="J4" t="s">
        <v>1216</v>
      </c>
      <c r="K4" s="168">
        <v>45124</v>
      </c>
      <c r="L4" s="131">
        <v>2431962.9415170802</v>
      </c>
      <c r="M4" s="131">
        <f>L4/1000*3.71</f>
        <v>9022.5825130283683</v>
      </c>
      <c r="N4" s="131">
        <f>O4/3.71</f>
        <v>2124.7587737210379</v>
      </c>
      <c r="O4" s="171">
        <v>7882.8550505050498</v>
      </c>
      <c r="P4" s="170">
        <f t="shared" si="0"/>
        <v>0.87368057195624615</v>
      </c>
      <c r="Q4" s="168">
        <v>46220</v>
      </c>
      <c r="R4" s="108"/>
    </row>
    <row r="5" spans="1:18" ht="13.5" customHeight="1">
      <c r="A5" t="s">
        <v>1213</v>
      </c>
      <c r="B5" t="s">
        <v>1217</v>
      </c>
      <c r="C5" s="108" t="s">
        <v>1068</v>
      </c>
      <c r="D5" t="s">
        <v>4939</v>
      </c>
      <c r="E5" t="s">
        <v>4940</v>
      </c>
      <c r="F5" t="s">
        <v>309</v>
      </c>
      <c r="G5" t="s">
        <v>4941</v>
      </c>
      <c r="H5" s="108">
        <v>742521</v>
      </c>
      <c r="I5" t="s">
        <v>314</v>
      </c>
      <c r="J5" t="s">
        <v>1212</v>
      </c>
      <c r="K5" s="168">
        <v>45036</v>
      </c>
      <c r="L5" s="131">
        <v>62150000</v>
      </c>
      <c r="M5" s="131">
        <f>L5/1000</f>
        <v>62150</v>
      </c>
      <c r="N5" s="131">
        <f>O5</f>
        <v>7875.0000266924999</v>
      </c>
      <c r="O5" s="171">
        <v>7875.0000266924999</v>
      </c>
      <c r="P5" s="170">
        <f t="shared" si="0"/>
        <v>0.1267095740417136</v>
      </c>
      <c r="Q5" s="168">
        <v>48689</v>
      </c>
      <c r="R5" s="108"/>
    </row>
    <row r="6" spans="1:18" ht="14.1" customHeight="1">
      <c r="A6" t="s">
        <v>1213</v>
      </c>
      <c r="B6" t="s">
        <v>1220</v>
      </c>
      <c r="C6" s="108" t="s">
        <v>1068</v>
      </c>
      <c r="D6" t="s">
        <v>5306</v>
      </c>
      <c r="E6" t="s">
        <v>4946</v>
      </c>
      <c r="F6" t="s">
        <v>311</v>
      </c>
      <c r="G6" t="s">
        <v>4947</v>
      </c>
      <c r="H6" s="108">
        <v>74253</v>
      </c>
      <c r="I6" t="s">
        <v>314</v>
      </c>
      <c r="J6" t="s">
        <v>1216</v>
      </c>
      <c r="K6" s="168">
        <v>45098</v>
      </c>
      <c r="L6" s="131">
        <v>302500</v>
      </c>
      <c r="M6" s="131">
        <f t="shared" ref="M6:M7" si="1">L6/1000*3.71</f>
        <v>1122.2750000000001</v>
      </c>
      <c r="N6" s="131">
        <f t="shared" ref="N6:N7" si="2">O6/3.71</f>
        <v>250.25</v>
      </c>
      <c r="O6" s="171">
        <v>928.42750000000001</v>
      </c>
      <c r="P6" s="170">
        <f t="shared" si="0"/>
        <v>0.82727272727272716</v>
      </c>
      <c r="Q6" s="168">
        <v>48434</v>
      </c>
      <c r="R6" s="108"/>
    </row>
    <row r="7" spans="1:18" ht="14.1" customHeight="1">
      <c r="A7" t="s">
        <v>1213</v>
      </c>
      <c r="B7" t="s">
        <v>1220</v>
      </c>
      <c r="C7" s="108" t="s">
        <v>1068</v>
      </c>
      <c r="D7" s="108"/>
      <c r="E7" t="s">
        <v>4943</v>
      </c>
      <c r="F7" t="s">
        <v>309</v>
      </c>
      <c r="G7" t="s">
        <v>4944</v>
      </c>
      <c r="H7" s="108">
        <v>74254</v>
      </c>
      <c r="I7" t="s">
        <v>314</v>
      </c>
      <c r="J7" t="s">
        <v>1216</v>
      </c>
      <c r="K7" s="168">
        <v>45124</v>
      </c>
      <c r="L7" s="131">
        <v>1074116.9658367101</v>
      </c>
      <c r="M7" s="131">
        <f t="shared" si="1"/>
        <v>3984.9739432541942</v>
      </c>
      <c r="N7" s="131">
        <f t="shared" si="2"/>
        <v>938.43589188297847</v>
      </c>
      <c r="O7" s="171">
        <v>3481.5971588858501</v>
      </c>
      <c r="P7" s="170">
        <f t="shared" si="0"/>
        <v>0.87368128586625626</v>
      </c>
      <c r="Q7" s="168">
        <v>46220</v>
      </c>
      <c r="R7" s="108"/>
    </row>
    <row r="8" spans="1:18" ht="14.1" customHeight="1">
      <c r="A8" t="s">
        <v>1213</v>
      </c>
      <c r="B8" t="s">
        <v>1220</v>
      </c>
      <c r="C8" s="108" t="s">
        <v>1068</v>
      </c>
      <c r="D8" t="s">
        <v>4939</v>
      </c>
      <c r="E8" t="s">
        <v>4940</v>
      </c>
      <c r="F8" t="s">
        <v>309</v>
      </c>
      <c r="G8" t="s">
        <v>4941</v>
      </c>
      <c r="H8" s="108">
        <v>742521</v>
      </c>
      <c r="I8" t="s">
        <v>314</v>
      </c>
      <c r="J8" t="s">
        <v>1212</v>
      </c>
      <c r="K8" s="168">
        <v>45036</v>
      </c>
      <c r="L8" s="131">
        <v>62150000</v>
      </c>
      <c r="M8" s="131">
        <f>L8/1000</f>
        <v>62150</v>
      </c>
      <c r="N8" s="131">
        <f>O8</f>
        <v>769.99998848886003</v>
      </c>
      <c r="O8" s="171">
        <v>769.99998848886003</v>
      </c>
      <c r="P8" s="170">
        <f t="shared" si="0"/>
        <v>1.2389380345758006E-2</v>
      </c>
      <c r="Q8" s="168">
        <v>48689</v>
      </c>
      <c r="R8" s="108"/>
    </row>
    <row r="9" spans="1:18" ht="14.1" customHeight="1">
      <c r="A9" t="s">
        <v>1213</v>
      </c>
      <c r="B9" t="s">
        <v>1233</v>
      </c>
      <c r="C9" s="108" t="s">
        <v>1068</v>
      </c>
      <c r="D9" t="s">
        <v>4960</v>
      </c>
      <c r="E9" t="s">
        <v>4961</v>
      </c>
      <c r="F9" t="s">
        <v>309</v>
      </c>
      <c r="G9" t="s">
        <v>4962</v>
      </c>
      <c r="H9" s="108" t="s">
        <v>4963</v>
      </c>
      <c r="I9" t="s">
        <v>321</v>
      </c>
      <c r="J9" t="s">
        <v>1216</v>
      </c>
      <c r="K9" s="168">
        <v>45168</v>
      </c>
      <c r="L9" s="131">
        <v>1500000</v>
      </c>
      <c r="M9" s="131">
        <f>L9/1000*3.71</f>
        <v>5565</v>
      </c>
      <c r="N9" s="131"/>
      <c r="O9" s="171"/>
      <c r="P9" s="109"/>
      <c r="Q9"/>
      <c r="R9" s="108"/>
    </row>
    <row r="10" spans="1:18" ht="14.1" customHeight="1">
      <c r="A10" t="s">
        <v>1213</v>
      </c>
      <c r="B10" t="s">
        <v>1233</v>
      </c>
      <c r="C10" s="108" t="s">
        <v>1068</v>
      </c>
      <c r="D10" t="s">
        <v>4956</v>
      </c>
      <c r="E10" t="s">
        <v>4957</v>
      </c>
      <c r="F10" t="s">
        <v>313</v>
      </c>
      <c r="G10" t="s">
        <v>4958</v>
      </c>
      <c r="H10" s="108" t="s">
        <v>4959</v>
      </c>
      <c r="I10" t="s">
        <v>321</v>
      </c>
      <c r="J10" t="s">
        <v>1218</v>
      </c>
      <c r="K10" s="168">
        <v>45259</v>
      </c>
      <c r="L10" s="131">
        <v>2500000</v>
      </c>
      <c r="M10" s="131">
        <f>L10/1000*4.1524</f>
        <v>10381</v>
      </c>
      <c r="N10" s="131"/>
      <c r="O10" s="171"/>
      <c r="P10" s="109"/>
      <c r="Q10"/>
      <c r="R10" s="108"/>
    </row>
    <row r="11" spans="1:18" ht="14.1" customHeight="1">
      <c r="A11" t="s">
        <v>1213</v>
      </c>
      <c r="B11" t="s">
        <v>1233</v>
      </c>
      <c r="C11" s="108" t="s">
        <v>1068</v>
      </c>
      <c r="D11" s="108"/>
      <c r="E11" t="s">
        <v>4982</v>
      </c>
      <c r="F11" t="s">
        <v>311</v>
      </c>
      <c r="G11" t="s">
        <v>4983</v>
      </c>
      <c r="H11" s="108">
        <v>74203</v>
      </c>
      <c r="I11" t="s">
        <v>314</v>
      </c>
      <c r="J11" t="s">
        <v>1216</v>
      </c>
      <c r="K11" s="168">
        <v>43770</v>
      </c>
      <c r="L11" s="131">
        <v>11500000</v>
      </c>
      <c r="M11" s="131">
        <f>L11/1000*3.71</f>
        <v>42665</v>
      </c>
      <c r="N11" s="131"/>
      <c r="O11" s="171"/>
      <c r="P11" s="108"/>
      <c r="Q11"/>
      <c r="R11" s="108"/>
    </row>
    <row r="12" spans="1:18" ht="14.1" customHeight="1">
      <c r="A12" t="s">
        <v>1213</v>
      </c>
      <c r="B12" t="s">
        <v>1233</v>
      </c>
      <c r="C12" s="108" t="s">
        <v>1068</v>
      </c>
      <c r="D12" t="s">
        <v>4939</v>
      </c>
      <c r="E12" t="s">
        <v>4940</v>
      </c>
      <c r="F12" t="s">
        <v>309</v>
      </c>
      <c r="G12" t="s">
        <v>4955</v>
      </c>
      <c r="H12" s="108">
        <v>74252</v>
      </c>
      <c r="I12" t="s">
        <v>314</v>
      </c>
      <c r="J12" t="s">
        <v>1212</v>
      </c>
      <c r="K12" s="168">
        <v>45036</v>
      </c>
      <c r="L12" s="131">
        <v>62150000</v>
      </c>
      <c r="M12" s="131">
        <f>L12/1000</f>
        <v>62150</v>
      </c>
      <c r="N12" s="131">
        <f>O12</f>
        <v>5250</v>
      </c>
      <c r="O12" s="171">
        <v>5250</v>
      </c>
      <c r="P12" s="170">
        <f t="shared" ref="P12:P13" si="3">O12/M12</f>
        <v>8.4473049074818993E-2</v>
      </c>
      <c r="Q12" s="168">
        <v>48689</v>
      </c>
      <c r="R12" s="108"/>
    </row>
    <row r="13" spans="1:18" ht="14.1" customHeight="1">
      <c r="A13" t="s">
        <v>1213</v>
      </c>
      <c r="B13" t="s">
        <v>1233</v>
      </c>
      <c r="C13" s="108" t="s">
        <v>1068</v>
      </c>
      <c r="D13" t="s">
        <v>4988</v>
      </c>
      <c r="E13" t="s">
        <v>4989</v>
      </c>
      <c r="F13" t="s">
        <v>309</v>
      </c>
      <c r="G13" t="s">
        <v>4990</v>
      </c>
      <c r="H13" s="108">
        <v>74255</v>
      </c>
      <c r="I13" t="s">
        <v>314</v>
      </c>
      <c r="J13" t="s">
        <v>1227</v>
      </c>
      <c r="K13" s="168">
        <v>45208</v>
      </c>
      <c r="L13" s="131">
        <v>5000000</v>
      </c>
      <c r="M13" s="131">
        <f>L13/1000*4.9748</f>
        <v>24874</v>
      </c>
      <c r="N13" s="131">
        <f>O13/4.9748</f>
        <v>147.166</v>
      </c>
      <c r="O13" s="171">
        <v>732.12141680000002</v>
      </c>
      <c r="P13" s="170">
        <f t="shared" si="3"/>
        <v>2.94332E-2</v>
      </c>
      <c r="Q13" s="168">
        <v>46235</v>
      </c>
      <c r="R13" s="108"/>
    </row>
    <row r="14" spans="1:18" ht="14.1" customHeight="1">
      <c r="A14" t="s">
        <v>1213</v>
      </c>
      <c r="B14" t="s">
        <v>1233</v>
      </c>
      <c r="C14" s="108" t="s">
        <v>1068</v>
      </c>
      <c r="D14" t="s">
        <v>4984</v>
      </c>
      <c r="E14" t="s">
        <v>4985</v>
      </c>
      <c r="F14" t="s">
        <v>309</v>
      </c>
      <c r="G14" t="s">
        <v>4986</v>
      </c>
      <c r="H14" s="108">
        <v>74257</v>
      </c>
      <c r="I14" t="s">
        <v>314</v>
      </c>
      <c r="J14" t="s">
        <v>1216</v>
      </c>
      <c r="K14" s="168">
        <v>45167</v>
      </c>
      <c r="L14" s="131">
        <v>1500000</v>
      </c>
      <c r="M14" s="131">
        <f t="shared" ref="M14:M20" si="4">L14/1000*3.71</f>
        <v>5565</v>
      </c>
      <c r="N14" s="131"/>
      <c r="O14" s="171"/>
      <c r="P14" s="108"/>
      <c r="Q14" s="168"/>
      <c r="R14" s="108"/>
    </row>
    <row r="15" spans="1:18" ht="14.1" customHeight="1">
      <c r="A15" t="s">
        <v>1213</v>
      </c>
      <c r="B15" t="s">
        <v>1233</v>
      </c>
      <c r="C15" s="108" t="s">
        <v>1068</v>
      </c>
      <c r="D15" t="s">
        <v>4971</v>
      </c>
      <c r="E15" t="s">
        <v>4972</v>
      </c>
      <c r="F15" t="s">
        <v>309</v>
      </c>
      <c r="G15" t="s">
        <v>4973</v>
      </c>
      <c r="H15" s="108">
        <v>74258</v>
      </c>
      <c r="I15" t="s">
        <v>314</v>
      </c>
      <c r="J15" t="s">
        <v>1216</v>
      </c>
      <c r="K15" s="168">
        <v>45168</v>
      </c>
      <c r="L15" s="131">
        <v>1500000</v>
      </c>
      <c r="M15" s="131">
        <f t="shared" si="4"/>
        <v>5565</v>
      </c>
      <c r="N15" s="131"/>
      <c r="O15" s="171"/>
      <c r="P15" s="108"/>
      <c r="Q15" s="168"/>
      <c r="R15" s="108"/>
    </row>
    <row r="16" spans="1:18" ht="14.1" customHeight="1">
      <c r="A16" t="s">
        <v>1213</v>
      </c>
      <c r="B16" t="s">
        <v>1233</v>
      </c>
      <c r="C16" s="108" t="s">
        <v>1068</v>
      </c>
      <c r="D16" t="s">
        <v>4964</v>
      </c>
      <c r="E16" t="s">
        <v>4965</v>
      </c>
      <c r="F16" t="s">
        <v>309</v>
      </c>
      <c r="G16" t="s">
        <v>4966</v>
      </c>
      <c r="H16" s="108">
        <v>74260</v>
      </c>
      <c r="I16" t="s">
        <v>314</v>
      </c>
      <c r="J16" t="s">
        <v>1216</v>
      </c>
      <c r="K16" s="168">
        <v>45182</v>
      </c>
      <c r="L16" s="131">
        <v>2600000</v>
      </c>
      <c r="M16" s="131">
        <f t="shared" si="4"/>
        <v>9646</v>
      </c>
      <c r="N16" s="131"/>
      <c r="O16" s="171"/>
      <c r="P16" s="108"/>
      <c r="Q16" s="168"/>
      <c r="R16" s="108"/>
    </row>
    <row r="17" spans="1:17" ht="14.1" customHeight="1">
      <c r="A17" t="s">
        <v>1213</v>
      </c>
      <c r="B17" t="s">
        <v>1233</v>
      </c>
      <c r="C17" s="108" t="s">
        <v>1068</v>
      </c>
      <c r="D17" t="s">
        <v>4975</v>
      </c>
      <c r="E17" t="s">
        <v>4976</v>
      </c>
      <c r="F17" t="s">
        <v>309</v>
      </c>
      <c r="G17" t="s">
        <v>4977</v>
      </c>
      <c r="H17" s="108">
        <v>74261</v>
      </c>
      <c r="I17" t="s">
        <v>314</v>
      </c>
      <c r="J17" t="s">
        <v>1216</v>
      </c>
      <c r="K17" s="168">
        <v>45225</v>
      </c>
      <c r="L17" s="131">
        <v>1500000</v>
      </c>
      <c r="M17" s="131">
        <f t="shared" si="4"/>
        <v>5565</v>
      </c>
      <c r="N17" s="131"/>
      <c r="O17" s="171"/>
      <c r="P17" s="108"/>
      <c r="Q17" s="168"/>
    </row>
    <row r="18" spans="1:17" ht="14.1" customHeight="1">
      <c r="A18" t="s">
        <v>1213</v>
      </c>
      <c r="B18" t="s">
        <v>1233</v>
      </c>
      <c r="C18" s="108" t="s">
        <v>1068</v>
      </c>
      <c r="D18" t="s">
        <v>4979</v>
      </c>
      <c r="E18" t="s">
        <v>4980</v>
      </c>
      <c r="F18" t="s">
        <v>309</v>
      </c>
      <c r="G18" t="s">
        <v>4981</v>
      </c>
      <c r="H18" s="108">
        <v>74263</v>
      </c>
      <c r="I18" t="s">
        <v>314</v>
      </c>
      <c r="J18" t="s">
        <v>1216</v>
      </c>
      <c r="K18" s="168">
        <v>45288</v>
      </c>
      <c r="L18" s="131">
        <v>1500000</v>
      </c>
      <c r="M18" s="131">
        <f t="shared" si="4"/>
        <v>5565</v>
      </c>
      <c r="N18" s="131"/>
      <c r="O18" s="171"/>
      <c r="P18" s="108"/>
      <c r="Q18" s="168"/>
    </row>
    <row r="19" spans="1:17" ht="14.1" customHeight="1">
      <c r="A19" t="s">
        <v>1213</v>
      </c>
      <c r="B19" t="s">
        <v>1233</v>
      </c>
      <c r="C19" s="108" t="s">
        <v>1068</v>
      </c>
      <c r="D19" t="s">
        <v>4968</v>
      </c>
      <c r="E19" t="s">
        <v>2129</v>
      </c>
      <c r="F19" t="s">
        <v>309</v>
      </c>
      <c r="G19" t="s">
        <v>4969</v>
      </c>
      <c r="H19" s="108">
        <v>74264</v>
      </c>
      <c r="I19" t="s">
        <v>314</v>
      </c>
      <c r="J19" t="s">
        <v>1216</v>
      </c>
      <c r="K19" s="168">
        <v>45348</v>
      </c>
      <c r="L19" s="131">
        <v>2000000</v>
      </c>
      <c r="M19" s="131">
        <f t="shared" si="4"/>
        <v>7420</v>
      </c>
      <c r="N19" s="131"/>
      <c r="O19" s="171"/>
      <c r="P19" s="108"/>
      <c r="Q19" s="168"/>
    </row>
    <row r="20" spans="1:17" ht="14.1" customHeight="1">
      <c r="A20" t="s">
        <v>1213</v>
      </c>
      <c r="B20" t="s">
        <v>1233</v>
      </c>
      <c r="C20" s="108" t="s">
        <v>1068</v>
      </c>
      <c r="D20" t="s">
        <v>4992</v>
      </c>
      <c r="E20" t="s">
        <v>4993</v>
      </c>
      <c r="F20" t="s">
        <v>311</v>
      </c>
      <c r="G20" t="s">
        <v>4996</v>
      </c>
      <c r="H20" s="108">
        <v>74266</v>
      </c>
      <c r="I20" t="s">
        <v>314</v>
      </c>
      <c r="J20" t="s">
        <v>1216</v>
      </c>
      <c r="K20" s="168">
        <v>45400</v>
      </c>
      <c r="L20" s="131">
        <v>2500000</v>
      </c>
      <c r="M20" s="131">
        <f t="shared" si="4"/>
        <v>9275</v>
      </c>
      <c r="N20" s="131">
        <f>O20/3.71</f>
        <v>63.123999999999995</v>
      </c>
      <c r="O20" s="171">
        <v>234.19003999999998</v>
      </c>
      <c r="P20" s="170">
        <f>O20/M20</f>
        <v>2.5249599999999997E-2</v>
      </c>
      <c r="Q20" s="168">
        <v>46495</v>
      </c>
    </row>
    <row r="21" spans="1:17" ht="14.1" customHeight="1">
      <c r="A21" t="s">
        <v>1213</v>
      </c>
      <c r="B21" t="s">
        <v>1233</v>
      </c>
      <c r="C21" s="108" t="s">
        <v>1068</v>
      </c>
      <c r="D21" t="s">
        <v>4951</v>
      </c>
      <c r="E21" t="s">
        <v>4952</v>
      </c>
      <c r="F21" t="s">
        <v>309</v>
      </c>
      <c r="G21" t="s">
        <v>4953</v>
      </c>
      <c r="H21" s="108">
        <v>74268</v>
      </c>
      <c r="I21" t="s">
        <v>314</v>
      </c>
      <c r="J21" t="s">
        <v>1212</v>
      </c>
      <c r="K21" s="168">
        <v>45469</v>
      </c>
      <c r="L21" s="131">
        <v>5000000</v>
      </c>
      <c r="M21" s="131">
        <f>L21/1000</f>
        <v>5000</v>
      </c>
      <c r="N21" s="131"/>
      <c r="O21" s="171"/>
      <c r="P21" s="108"/>
      <c r="Q21" s="168"/>
    </row>
    <row r="22" spans="1:17" ht="14.1" customHeight="1">
      <c r="A22" t="s">
        <v>1213</v>
      </c>
      <c r="B22" t="s">
        <v>1233</v>
      </c>
      <c r="C22" s="108" t="s">
        <v>1068</v>
      </c>
      <c r="D22" t="s">
        <v>4997</v>
      </c>
      <c r="E22" t="s">
        <v>4998</v>
      </c>
      <c r="F22" t="s">
        <v>311</v>
      </c>
      <c r="G22" t="s">
        <v>4997</v>
      </c>
      <c r="H22" s="108">
        <v>74271</v>
      </c>
      <c r="I22" t="s">
        <v>314</v>
      </c>
      <c r="J22" t="s">
        <v>1227</v>
      </c>
      <c r="K22" s="168">
        <v>45495</v>
      </c>
      <c r="L22" s="131">
        <v>4000000</v>
      </c>
      <c r="M22" s="131">
        <f>L22/1000*4.9748</f>
        <v>19899.2</v>
      </c>
      <c r="N22" s="131">
        <f>O22/4.9748</f>
        <v>171.2</v>
      </c>
      <c r="O22" s="171">
        <v>851.68575999999996</v>
      </c>
      <c r="P22" s="170">
        <f t="shared" ref="P22:P23" si="5">O22/M22</f>
        <v>4.2799999999999998E-2</v>
      </c>
      <c r="Q22" s="168">
        <v>46295</v>
      </c>
    </row>
    <row r="23" spans="1:17" ht="14.1" customHeight="1">
      <c r="A23" t="s">
        <v>1213</v>
      </c>
      <c r="B23" t="s">
        <v>1233</v>
      </c>
      <c r="C23" s="108" t="s">
        <v>1068</v>
      </c>
      <c r="D23" t="s">
        <v>4992</v>
      </c>
      <c r="E23" t="s">
        <v>4993</v>
      </c>
      <c r="F23" t="s">
        <v>311</v>
      </c>
      <c r="G23" t="s">
        <v>4994</v>
      </c>
      <c r="H23" s="108">
        <v>74272</v>
      </c>
      <c r="I23" t="s">
        <v>314</v>
      </c>
      <c r="J23" t="s">
        <v>1216</v>
      </c>
      <c r="K23" s="168">
        <v>45505</v>
      </c>
      <c r="L23" s="131">
        <v>2500000</v>
      </c>
      <c r="M23" s="131">
        <f t="shared" ref="M23:M26" si="6">L23/1000*3.71</f>
        <v>9275</v>
      </c>
      <c r="N23" s="131">
        <f>O23/3.71</f>
        <v>64.334000000000003</v>
      </c>
      <c r="O23" s="171">
        <v>238.67914000000002</v>
      </c>
      <c r="P23" s="170">
        <f t="shared" si="5"/>
        <v>2.5733600000000002E-2</v>
      </c>
      <c r="Q23" s="168">
        <v>46295</v>
      </c>
    </row>
    <row r="24" spans="1:17" ht="14.1" customHeight="1">
      <c r="A24" t="s">
        <v>1213</v>
      </c>
      <c r="B24" t="s">
        <v>1233</v>
      </c>
      <c r="C24" s="108" t="s">
        <v>1068</v>
      </c>
      <c r="D24" t="s">
        <v>4948</v>
      </c>
      <c r="E24" t="s">
        <v>4949</v>
      </c>
      <c r="F24" t="s">
        <v>313</v>
      </c>
      <c r="G24" t="s">
        <v>4950</v>
      </c>
      <c r="H24" s="108">
        <v>74273</v>
      </c>
      <c r="I24" t="s">
        <v>314</v>
      </c>
      <c r="J24" t="s">
        <v>1216</v>
      </c>
      <c r="K24" s="168">
        <v>45565</v>
      </c>
      <c r="L24" s="131">
        <v>1500000</v>
      </c>
      <c r="M24" s="131">
        <f t="shared" si="6"/>
        <v>5565</v>
      </c>
      <c r="N24" s="131"/>
      <c r="O24" s="171"/>
      <c r="P24" s="108"/>
      <c r="Q24" s="168"/>
    </row>
    <row r="25" spans="1:17" ht="14.1" customHeight="1">
      <c r="A25" t="s">
        <v>1213</v>
      </c>
      <c r="B25" t="s">
        <v>1233</v>
      </c>
      <c r="C25" s="108" t="s">
        <v>1068</v>
      </c>
      <c r="D25" t="s">
        <v>4984</v>
      </c>
      <c r="E25" t="s">
        <v>4985</v>
      </c>
      <c r="F25" t="s">
        <v>309</v>
      </c>
      <c r="G25" t="s">
        <v>4987</v>
      </c>
      <c r="H25" s="108">
        <v>742572</v>
      </c>
      <c r="I25" t="s">
        <v>314</v>
      </c>
      <c r="J25" t="s">
        <v>1216</v>
      </c>
      <c r="K25" s="168">
        <v>45292</v>
      </c>
      <c r="L25" s="131">
        <v>1500000</v>
      </c>
      <c r="M25" s="131">
        <f t="shared" si="6"/>
        <v>5565</v>
      </c>
      <c r="N25" s="131">
        <f t="shared" ref="N25:N26" si="7">O25/3.71</f>
        <v>1141.79108</v>
      </c>
      <c r="O25" s="171">
        <v>4236.0449067999998</v>
      </c>
      <c r="P25" s="170">
        <f t="shared" ref="P25:P26" si="8">O25/M25</f>
        <v>0.76119405333333334</v>
      </c>
      <c r="Q25" s="168"/>
    </row>
    <row r="26" spans="1:17" ht="14.1" customHeight="1">
      <c r="A26" t="s">
        <v>1213</v>
      </c>
      <c r="B26" t="s">
        <v>1235</v>
      </c>
      <c r="C26" s="108" t="s">
        <v>1068</v>
      </c>
      <c r="D26" t="s">
        <v>5015</v>
      </c>
      <c r="E26" t="s">
        <v>5016</v>
      </c>
      <c r="F26" t="s">
        <v>309</v>
      </c>
      <c r="G26" t="s">
        <v>5017</v>
      </c>
      <c r="H26" s="108">
        <v>74173</v>
      </c>
      <c r="I26" t="s">
        <v>314</v>
      </c>
      <c r="J26" t="s">
        <v>1216</v>
      </c>
      <c r="K26" s="168">
        <v>43157</v>
      </c>
      <c r="L26" s="131">
        <v>5100000</v>
      </c>
      <c r="M26" s="131">
        <f t="shared" si="6"/>
        <v>18921</v>
      </c>
      <c r="N26" s="131">
        <f t="shared" si="7"/>
        <v>2.045000000000003</v>
      </c>
      <c r="O26" s="171">
        <v>7.5869500000000114</v>
      </c>
      <c r="P26" s="170">
        <f t="shared" si="8"/>
        <v>4.0098039215686335E-4</v>
      </c>
      <c r="Q26" s="168">
        <v>45347</v>
      </c>
    </row>
    <row r="27" spans="1:17" ht="14.1" customHeight="1">
      <c r="A27" t="s">
        <v>1213</v>
      </c>
      <c r="B27" t="s">
        <v>1235</v>
      </c>
      <c r="C27" s="108" t="s">
        <v>1068</v>
      </c>
      <c r="D27" t="s">
        <v>5011</v>
      </c>
      <c r="E27" t="s">
        <v>5012</v>
      </c>
      <c r="F27" t="s">
        <v>309</v>
      </c>
      <c r="G27" t="s">
        <v>5013</v>
      </c>
      <c r="H27" s="108">
        <v>74176</v>
      </c>
      <c r="I27" t="s">
        <v>314</v>
      </c>
      <c r="J27" t="s">
        <v>1212</v>
      </c>
      <c r="K27" s="168">
        <v>43306</v>
      </c>
      <c r="L27" s="131">
        <v>15000000</v>
      </c>
      <c r="M27" s="131">
        <f t="shared" ref="M27:M28" si="9">L27/1000</f>
        <v>15000</v>
      </c>
      <c r="N27" s="131"/>
      <c r="O27" s="171"/>
      <c r="P27" s="108"/>
      <c r="Q27" s="168"/>
    </row>
    <row r="28" spans="1:17" ht="14.1" customHeight="1">
      <c r="A28" t="s">
        <v>1213</v>
      </c>
      <c r="B28" t="s">
        <v>1235</v>
      </c>
      <c r="C28" s="108" t="s">
        <v>1068</v>
      </c>
      <c r="D28" t="s">
        <v>5019</v>
      </c>
      <c r="E28" t="s">
        <v>5020</v>
      </c>
      <c r="F28" t="s">
        <v>309</v>
      </c>
      <c r="G28" t="s">
        <v>5021</v>
      </c>
      <c r="H28" s="108">
        <v>74177</v>
      </c>
      <c r="I28" t="s">
        <v>314</v>
      </c>
      <c r="J28" t="s">
        <v>1212</v>
      </c>
      <c r="K28" s="168">
        <v>43312</v>
      </c>
      <c r="L28" s="131">
        <v>20000000</v>
      </c>
      <c r="M28" s="131">
        <f t="shared" si="9"/>
        <v>20000</v>
      </c>
      <c r="N28" s="131"/>
      <c r="O28" s="171"/>
      <c r="P28" s="108"/>
      <c r="Q28" s="168"/>
    </row>
    <row r="29" spans="1:17" ht="14.1" customHeight="1">
      <c r="A29" t="s">
        <v>1213</v>
      </c>
      <c r="B29" t="s">
        <v>1235</v>
      </c>
      <c r="C29" s="108" t="s">
        <v>1068</v>
      </c>
      <c r="D29" t="s">
        <v>5029</v>
      </c>
      <c r="E29" t="s">
        <v>5030</v>
      </c>
      <c r="F29" t="s">
        <v>311</v>
      </c>
      <c r="G29" t="s">
        <v>5031</v>
      </c>
      <c r="H29" s="108">
        <v>74178</v>
      </c>
      <c r="I29" t="s">
        <v>314</v>
      </c>
      <c r="J29" t="s">
        <v>1216</v>
      </c>
      <c r="K29" s="168">
        <v>43321</v>
      </c>
      <c r="L29" s="131">
        <v>16000000</v>
      </c>
      <c r="M29" s="131">
        <f t="shared" ref="M29:M32" si="10">L29/1000*3.71</f>
        <v>59360</v>
      </c>
      <c r="N29" s="131"/>
      <c r="O29" s="171"/>
      <c r="P29" s="108"/>
      <c r="Q29" s="168"/>
    </row>
    <row r="30" spans="1:17" ht="14.1" customHeight="1">
      <c r="A30" t="s">
        <v>1213</v>
      </c>
      <c r="B30" t="s">
        <v>1235</v>
      </c>
      <c r="C30" s="108" t="s">
        <v>1068</v>
      </c>
      <c r="E30" t="s">
        <v>5027</v>
      </c>
      <c r="F30" t="s">
        <v>311</v>
      </c>
      <c r="G30" t="s">
        <v>5028</v>
      </c>
      <c r="H30" s="108">
        <v>74180</v>
      </c>
      <c r="I30" t="s">
        <v>314</v>
      </c>
      <c r="J30" t="s">
        <v>1216</v>
      </c>
      <c r="K30" s="168">
        <v>43411</v>
      </c>
      <c r="L30" s="131">
        <v>4000000</v>
      </c>
      <c r="M30" s="131">
        <f t="shared" si="10"/>
        <v>14840</v>
      </c>
      <c r="N30" s="131"/>
      <c r="O30" s="171"/>
      <c r="P30" s="108"/>
      <c r="Q30" s="168"/>
    </row>
    <row r="31" spans="1:17" ht="14.1" customHeight="1">
      <c r="A31" t="s">
        <v>1213</v>
      </c>
      <c r="B31" t="s">
        <v>1235</v>
      </c>
      <c r="C31" s="108" t="s">
        <v>1068</v>
      </c>
      <c r="E31" t="s">
        <v>5032</v>
      </c>
      <c r="F31" t="s">
        <v>309</v>
      </c>
      <c r="G31" t="s">
        <v>5033</v>
      </c>
      <c r="H31" s="108">
        <v>74181</v>
      </c>
      <c r="I31" t="s">
        <v>314</v>
      </c>
      <c r="J31" t="s">
        <v>1216</v>
      </c>
      <c r="K31" s="168">
        <v>43412</v>
      </c>
      <c r="L31" s="131">
        <v>9000000</v>
      </c>
      <c r="M31" s="131">
        <f t="shared" si="10"/>
        <v>33390</v>
      </c>
      <c r="N31" s="131"/>
      <c r="O31" s="171"/>
      <c r="P31" s="108"/>
      <c r="Q31" s="168"/>
    </row>
    <row r="32" spans="1:17" ht="14.1" customHeight="1">
      <c r="A32" t="s">
        <v>1213</v>
      </c>
      <c r="B32" t="s">
        <v>1235</v>
      </c>
      <c r="C32" s="108" t="s">
        <v>1068</v>
      </c>
      <c r="E32" t="s">
        <v>5036</v>
      </c>
      <c r="F32" t="s">
        <v>311</v>
      </c>
      <c r="G32" t="s">
        <v>5037</v>
      </c>
      <c r="H32" s="108">
        <v>74183</v>
      </c>
      <c r="I32" t="s">
        <v>314</v>
      </c>
      <c r="J32" t="s">
        <v>1216</v>
      </c>
      <c r="K32" s="168">
        <v>43482</v>
      </c>
      <c r="L32" s="131">
        <v>8000000</v>
      </c>
      <c r="M32" s="131">
        <f t="shared" si="10"/>
        <v>29680</v>
      </c>
      <c r="N32" s="131"/>
      <c r="O32" s="171"/>
      <c r="P32" s="108"/>
      <c r="Q32" s="168"/>
    </row>
    <row r="33" spans="1:17" ht="14.25">
      <c r="A33" t="s">
        <v>1213</v>
      </c>
      <c r="B33" t="s">
        <v>1235</v>
      </c>
      <c r="C33" s="108" t="s">
        <v>1068</v>
      </c>
      <c r="D33" t="s">
        <v>5004</v>
      </c>
      <c r="E33" t="s">
        <v>5005</v>
      </c>
      <c r="F33" t="s">
        <v>309</v>
      </c>
      <c r="G33" t="s">
        <v>5006</v>
      </c>
      <c r="H33" s="108">
        <v>74185</v>
      </c>
      <c r="I33" t="s">
        <v>314</v>
      </c>
      <c r="J33" t="s">
        <v>1212</v>
      </c>
      <c r="K33" s="168">
        <v>43524</v>
      </c>
      <c r="L33" s="131">
        <v>53887168</v>
      </c>
      <c r="M33" s="131">
        <f t="shared" ref="M33:M34" si="11">L33/1000</f>
        <v>53887.167999999998</v>
      </c>
      <c r="N33" s="131"/>
      <c r="O33" s="171"/>
      <c r="Q33" s="168"/>
    </row>
    <row r="34" spans="1:17" ht="14.25">
      <c r="A34" t="s">
        <v>1213</v>
      </c>
      <c r="B34" t="s">
        <v>1235</v>
      </c>
      <c r="C34" s="108" t="s">
        <v>1068</v>
      </c>
      <c r="D34" t="s">
        <v>5000</v>
      </c>
      <c r="E34" t="s">
        <v>5001</v>
      </c>
      <c r="F34" t="s">
        <v>310</v>
      </c>
      <c r="G34" t="s">
        <v>5002</v>
      </c>
      <c r="H34" s="108">
        <v>74186</v>
      </c>
      <c r="I34" t="s">
        <v>314</v>
      </c>
      <c r="J34" t="s">
        <v>1212</v>
      </c>
      <c r="K34" s="168">
        <v>43542</v>
      </c>
      <c r="L34" s="131">
        <v>80000000</v>
      </c>
      <c r="M34" s="131">
        <f t="shared" si="11"/>
        <v>80000</v>
      </c>
      <c r="N34" s="131">
        <f>O34</f>
        <v>181.018</v>
      </c>
      <c r="O34" s="171">
        <v>181.018</v>
      </c>
      <c r="P34" s="170">
        <f t="shared" ref="P34:P35" si="12">O34/M34</f>
        <v>2.2627250000000002E-3</v>
      </c>
      <c r="Q34" s="168">
        <v>46462</v>
      </c>
    </row>
    <row r="35" spans="1:17" ht="14.25">
      <c r="A35" t="s">
        <v>1213</v>
      </c>
      <c r="B35" t="s">
        <v>1235</v>
      </c>
      <c r="C35" s="108" t="s">
        <v>1068</v>
      </c>
      <c r="D35" t="s">
        <v>5041</v>
      </c>
      <c r="E35" t="s">
        <v>5042</v>
      </c>
      <c r="F35" t="s">
        <v>310</v>
      </c>
      <c r="G35" t="s">
        <v>5043</v>
      </c>
      <c r="H35" s="108">
        <v>74187</v>
      </c>
      <c r="I35" t="s">
        <v>314</v>
      </c>
      <c r="J35" t="s">
        <v>1216</v>
      </c>
      <c r="K35" s="168">
        <v>43571</v>
      </c>
      <c r="L35" s="131">
        <v>5000000</v>
      </c>
      <c r="M35" s="131">
        <f t="shared" ref="M35:M39" si="13">L35/1000*3.71</f>
        <v>18550</v>
      </c>
      <c r="N35" s="131">
        <f>O35/3.71</f>
        <v>39.218000000000004</v>
      </c>
      <c r="O35" s="171">
        <v>145.49878000000001</v>
      </c>
      <c r="P35" s="170">
        <f t="shared" si="12"/>
        <v>7.8436000000000009E-3</v>
      </c>
      <c r="Q35" s="168">
        <v>46126</v>
      </c>
    </row>
    <row r="36" spans="1:17" ht="14.25">
      <c r="A36" t="s">
        <v>1213</v>
      </c>
      <c r="B36" t="s">
        <v>1235</v>
      </c>
      <c r="C36" s="108" t="s">
        <v>1068</v>
      </c>
      <c r="E36" t="s">
        <v>5044</v>
      </c>
      <c r="F36" t="s">
        <v>311</v>
      </c>
      <c r="G36" t="s">
        <v>5045</v>
      </c>
      <c r="H36" s="108">
        <v>74188</v>
      </c>
      <c r="I36" t="s">
        <v>314</v>
      </c>
      <c r="J36" t="s">
        <v>1216</v>
      </c>
      <c r="K36" s="168">
        <v>43578</v>
      </c>
      <c r="L36" s="131">
        <v>6000000</v>
      </c>
      <c r="M36" s="131">
        <f t="shared" si="13"/>
        <v>22260</v>
      </c>
      <c r="N36" s="131"/>
      <c r="O36" s="171"/>
      <c r="Q36" s="168"/>
    </row>
    <row r="37" spans="1:17" ht="14.25">
      <c r="A37" t="s">
        <v>1213</v>
      </c>
      <c r="B37" t="s">
        <v>1235</v>
      </c>
      <c r="C37" s="108" t="s">
        <v>1068</v>
      </c>
      <c r="D37" t="s">
        <v>5023</v>
      </c>
      <c r="E37" t="s">
        <v>5024</v>
      </c>
      <c r="F37" t="s">
        <v>309</v>
      </c>
      <c r="G37" t="s">
        <v>5025</v>
      </c>
      <c r="H37" s="108">
        <v>74189</v>
      </c>
      <c r="I37" t="s">
        <v>314</v>
      </c>
      <c r="J37" t="s">
        <v>1216</v>
      </c>
      <c r="K37" s="168">
        <v>43586</v>
      </c>
      <c r="L37" s="131">
        <v>6415000</v>
      </c>
      <c r="M37" s="131">
        <f t="shared" si="13"/>
        <v>23799.65</v>
      </c>
      <c r="N37" s="131"/>
      <c r="O37" s="171"/>
      <c r="Q37" s="168"/>
    </row>
    <row r="38" spans="1:17" ht="14.25">
      <c r="A38" t="s">
        <v>1213</v>
      </c>
      <c r="B38" t="s">
        <v>1235</v>
      </c>
      <c r="C38" s="108" t="s">
        <v>1068</v>
      </c>
      <c r="D38" t="s">
        <v>5007</v>
      </c>
      <c r="E38" t="s">
        <v>2129</v>
      </c>
      <c r="F38" t="s">
        <v>309</v>
      </c>
      <c r="G38" t="s">
        <v>5008</v>
      </c>
      <c r="H38" s="108">
        <v>74190</v>
      </c>
      <c r="I38" t="s">
        <v>314</v>
      </c>
      <c r="J38" t="s">
        <v>1216</v>
      </c>
      <c r="K38" s="168">
        <v>43691</v>
      </c>
      <c r="L38" s="131">
        <v>10700001</v>
      </c>
      <c r="M38" s="131">
        <f t="shared" si="13"/>
        <v>39697.003709999997</v>
      </c>
      <c r="N38" s="131">
        <f>O38/3.71</f>
        <v>29.315999999999995</v>
      </c>
      <c r="O38" s="171">
        <v>108.76235999999999</v>
      </c>
      <c r="P38" s="170">
        <f>O38/M38</f>
        <v>2.7398128280548759E-3</v>
      </c>
      <c r="Q38" s="168">
        <v>46248</v>
      </c>
    </row>
    <row r="39" spans="1:17" ht="14.25">
      <c r="A39" t="s">
        <v>1213</v>
      </c>
      <c r="B39" t="s">
        <v>1235</v>
      </c>
      <c r="C39" s="108" t="s">
        <v>1068</v>
      </c>
      <c r="E39" t="s">
        <v>5034</v>
      </c>
      <c r="F39" t="s">
        <v>311</v>
      </c>
      <c r="G39" t="s">
        <v>5035</v>
      </c>
      <c r="H39" s="108">
        <v>74197</v>
      </c>
      <c r="I39" t="s">
        <v>314</v>
      </c>
      <c r="J39" t="s">
        <v>1216</v>
      </c>
      <c r="K39" s="168">
        <v>43857</v>
      </c>
      <c r="L39" s="131">
        <v>5000000</v>
      </c>
      <c r="M39" s="131">
        <f t="shared" si="13"/>
        <v>18550</v>
      </c>
      <c r="N39" s="131"/>
      <c r="O39" s="171"/>
      <c r="Q39" s="168"/>
    </row>
    <row r="40" spans="1:17" ht="14.25">
      <c r="A40" t="s">
        <v>1213</v>
      </c>
      <c r="B40" t="s">
        <v>1235</v>
      </c>
      <c r="C40" s="108" t="s">
        <v>1068</v>
      </c>
      <c r="D40" t="s">
        <v>5004</v>
      </c>
      <c r="E40" t="s">
        <v>5009</v>
      </c>
      <c r="F40" t="s">
        <v>309</v>
      </c>
      <c r="G40" t="s">
        <v>5010</v>
      </c>
      <c r="H40" s="108">
        <v>74202</v>
      </c>
      <c r="I40" t="s">
        <v>314</v>
      </c>
      <c r="J40" t="s">
        <v>1212</v>
      </c>
      <c r="K40" s="168">
        <v>43913</v>
      </c>
      <c r="L40" s="131">
        <v>22160611</v>
      </c>
      <c r="M40" s="131">
        <f>L40/1000</f>
        <v>22160.611000000001</v>
      </c>
      <c r="N40" s="131"/>
      <c r="O40" s="171"/>
      <c r="Q40" s="168"/>
    </row>
    <row r="41" spans="1:17" ht="14.25">
      <c r="A41" t="s">
        <v>1213</v>
      </c>
      <c r="B41" t="s">
        <v>1235</v>
      </c>
      <c r="C41" s="108" t="s">
        <v>1068</v>
      </c>
      <c r="D41" t="s">
        <v>5038</v>
      </c>
      <c r="E41" t="s">
        <v>5039</v>
      </c>
      <c r="F41" t="s">
        <v>311</v>
      </c>
      <c r="G41" t="s">
        <v>5040</v>
      </c>
      <c r="H41" s="108">
        <v>74208</v>
      </c>
      <c r="I41" t="s">
        <v>314</v>
      </c>
      <c r="J41" t="s">
        <v>1216</v>
      </c>
      <c r="K41" s="168">
        <v>44186</v>
      </c>
      <c r="L41" s="131">
        <v>4600000</v>
      </c>
      <c r="M41" s="131">
        <f>L41/1000*3.71</f>
        <v>17066</v>
      </c>
      <c r="N41" s="131"/>
      <c r="O41" s="171"/>
      <c r="Q41" s="168"/>
    </row>
    <row r="42" spans="1:17" ht="14.25">
      <c r="A42" t="s">
        <v>1213</v>
      </c>
      <c r="B42" t="s">
        <v>1238</v>
      </c>
      <c r="C42" s="108" t="s">
        <v>1068</v>
      </c>
      <c r="D42" t="s">
        <v>5047</v>
      </c>
      <c r="E42" t="s">
        <v>5048</v>
      </c>
      <c r="F42" t="s">
        <v>309</v>
      </c>
      <c r="G42" t="s">
        <v>5049</v>
      </c>
      <c r="H42" s="108" t="s">
        <v>5050</v>
      </c>
      <c r="I42" t="s">
        <v>321</v>
      </c>
      <c r="J42" t="s">
        <v>1212</v>
      </c>
      <c r="K42" s="168">
        <v>45565</v>
      </c>
      <c r="L42" s="131">
        <v>15000000</v>
      </c>
      <c r="M42" s="131">
        <f>L42/1000</f>
        <v>15000</v>
      </c>
      <c r="N42" s="131"/>
      <c r="O42" s="171"/>
      <c r="Q42" s="168"/>
    </row>
    <row r="43" spans="1:17" ht="14.25">
      <c r="A43" t="s">
        <v>1213</v>
      </c>
      <c r="B43" t="s">
        <v>1238</v>
      </c>
      <c r="C43" s="108" t="s">
        <v>1068</v>
      </c>
      <c r="E43" t="s">
        <v>5108</v>
      </c>
      <c r="F43" t="s">
        <v>311</v>
      </c>
      <c r="G43" t="s">
        <v>5109</v>
      </c>
      <c r="H43" s="108">
        <v>74163</v>
      </c>
      <c r="I43" t="s">
        <v>312</v>
      </c>
      <c r="J43" t="s">
        <v>1216</v>
      </c>
      <c r="K43" s="168">
        <v>39569</v>
      </c>
      <c r="L43" s="131">
        <v>2030000</v>
      </c>
      <c r="M43" s="131">
        <f t="shared" ref="M43:M44" si="14">L43/1000*3.71</f>
        <v>7531.3</v>
      </c>
      <c r="N43" s="131"/>
      <c r="O43" s="171"/>
      <c r="Q43" s="168"/>
    </row>
    <row r="44" spans="1:17" ht="14.25">
      <c r="A44" t="s">
        <v>1213</v>
      </c>
      <c r="B44" t="s">
        <v>1238</v>
      </c>
      <c r="C44" s="108" t="s">
        <v>1068</v>
      </c>
      <c r="E44" t="s">
        <v>5108</v>
      </c>
      <c r="F44" t="s">
        <v>311</v>
      </c>
      <c r="G44" t="s">
        <v>5142</v>
      </c>
      <c r="H44" s="108">
        <v>74165</v>
      </c>
      <c r="I44" t="s">
        <v>314</v>
      </c>
      <c r="J44" t="s">
        <v>1216</v>
      </c>
      <c r="K44" s="168">
        <v>40940</v>
      </c>
      <c r="L44" s="131">
        <v>1018000</v>
      </c>
      <c r="M44" s="131">
        <f t="shared" si="14"/>
        <v>3776.7799999999997</v>
      </c>
      <c r="N44" s="131"/>
      <c r="O44" s="171"/>
      <c r="Q44" s="168"/>
    </row>
    <row r="45" spans="1:17" ht="14.25">
      <c r="A45" t="s">
        <v>1213</v>
      </c>
      <c r="B45" t="s">
        <v>1238</v>
      </c>
      <c r="C45" s="108" t="s">
        <v>1068</v>
      </c>
      <c r="D45" t="s">
        <v>5101</v>
      </c>
      <c r="E45" t="s">
        <v>5102</v>
      </c>
      <c r="F45" t="s">
        <v>309</v>
      </c>
      <c r="G45" t="s">
        <v>5103</v>
      </c>
      <c r="H45" s="108">
        <v>74166</v>
      </c>
      <c r="I45" t="s">
        <v>314</v>
      </c>
      <c r="J45" t="s">
        <v>1212</v>
      </c>
      <c r="K45" s="168">
        <v>41334</v>
      </c>
      <c r="L45" s="131">
        <v>20000000</v>
      </c>
      <c r="M45" s="131">
        <f t="shared" ref="M45:M46" si="15">L45/1000</f>
        <v>20000</v>
      </c>
      <c r="N45" s="131"/>
      <c r="O45" s="171"/>
      <c r="Q45" s="168"/>
    </row>
    <row r="46" spans="1:17" ht="14.25">
      <c r="A46" t="s">
        <v>1213</v>
      </c>
      <c r="B46" t="s">
        <v>1238</v>
      </c>
      <c r="C46" s="108" t="s">
        <v>1068</v>
      </c>
      <c r="D46" t="s">
        <v>5097</v>
      </c>
      <c r="E46" t="s">
        <v>5098</v>
      </c>
      <c r="F46" t="s">
        <v>309</v>
      </c>
      <c r="G46" t="s">
        <v>5099</v>
      </c>
      <c r="H46" s="108">
        <v>74167</v>
      </c>
      <c r="I46" t="s">
        <v>314</v>
      </c>
      <c r="J46" t="s">
        <v>1212</v>
      </c>
      <c r="K46" s="168">
        <v>42125</v>
      </c>
      <c r="L46" s="131">
        <v>100000000</v>
      </c>
      <c r="M46" s="131">
        <f t="shared" si="15"/>
        <v>100000</v>
      </c>
      <c r="N46" s="131"/>
      <c r="O46" s="171"/>
      <c r="Q46" s="168"/>
    </row>
    <row r="47" spans="1:17" ht="14.25">
      <c r="A47" t="s">
        <v>1213</v>
      </c>
      <c r="B47" t="s">
        <v>1238</v>
      </c>
      <c r="C47" s="108" t="s">
        <v>1068</v>
      </c>
      <c r="D47" t="s">
        <v>5055</v>
      </c>
      <c r="E47" t="s">
        <v>5056</v>
      </c>
      <c r="F47" t="s">
        <v>309</v>
      </c>
      <c r="G47" t="s">
        <v>5057</v>
      </c>
      <c r="H47" s="108">
        <v>74168</v>
      </c>
      <c r="I47" t="s">
        <v>314</v>
      </c>
      <c r="J47" t="s">
        <v>1216</v>
      </c>
      <c r="K47" s="168">
        <v>42565</v>
      </c>
      <c r="L47" s="131">
        <v>12000000</v>
      </c>
      <c r="M47" s="131">
        <f t="shared" ref="M47:M48" si="16">L47/1000*3.71</f>
        <v>44520</v>
      </c>
      <c r="N47" s="131">
        <f t="shared" ref="N47:N48" si="17">O47/3.71</f>
        <v>643.63649999999973</v>
      </c>
      <c r="O47" s="174">
        <v>2387.8914149999991</v>
      </c>
      <c r="P47" s="170">
        <f t="shared" ref="P47:P51" si="18">O47/M47</f>
        <v>5.3636374999999979E-2</v>
      </c>
      <c r="Q47" s="168">
        <v>45959</v>
      </c>
    </row>
    <row r="48" spans="1:17" ht="14.25">
      <c r="A48" t="s">
        <v>1213</v>
      </c>
      <c r="B48" t="s">
        <v>1238</v>
      </c>
      <c r="C48" s="108" t="s">
        <v>1068</v>
      </c>
      <c r="E48" t="s">
        <v>5111</v>
      </c>
      <c r="F48" t="s">
        <v>311</v>
      </c>
      <c r="G48" t="s">
        <v>5112</v>
      </c>
      <c r="H48" s="108">
        <v>74169</v>
      </c>
      <c r="I48" t="s">
        <v>314</v>
      </c>
      <c r="J48" t="s">
        <v>1216</v>
      </c>
      <c r="K48" s="168">
        <v>42583</v>
      </c>
      <c r="L48" s="131">
        <v>7000000</v>
      </c>
      <c r="M48" s="131">
        <f t="shared" si="16"/>
        <v>25970</v>
      </c>
      <c r="N48" s="131">
        <f t="shared" si="17"/>
        <v>76.651999999999987</v>
      </c>
      <c r="O48" s="174">
        <v>284.37891999999994</v>
      </c>
      <c r="P48" s="170">
        <f t="shared" si="18"/>
        <v>1.0950285714285711E-2</v>
      </c>
      <c r="Q48" s="168">
        <v>45503</v>
      </c>
    </row>
    <row r="49" spans="1:17" ht="14.25">
      <c r="A49" t="s">
        <v>1213</v>
      </c>
      <c r="B49" t="s">
        <v>1238</v>
      </c>
      <c r="C49" s="108" t="s">
        <v>1068</v>
      </c>
      <c r="D49" t="s">
        <v>5091</v>
      </c>
      <c r="E49" t="s">
        <v>5092</v>
      </c>
      <c r="F49" t="s">
        <v>309</v>
      </c>
      <c r="G49" t="s">
        <v>5093</v>
      </c>
      <c r="H49" s="108">
        <v>74170</v>
      </c>
      <c r="I49" t="s">
        <v>314</v>
      </c>
      <c r="J49" t="s">
        <v>1212</v>
      </c>
      <c r="K49" s="168">
        <v>42583</v>
      </c>
      <c r="L49" s="131">
        <v>25000000</v>
      </c>
      <c r="M49" s="131">
        <f t="shared" ref="M49:M50" si="19">L49/1000</f>
        <v>25000</v>
      </c>
      <c r="N49" s="131">
        <f t="shared" ref="N49:N50" si="20">O49</f>
        <v>937.74400000000003</v>
      </c>
      <c r="O49" s="174">
        <v>937.74400000000003</v>
      </c>
      <c r="P49" s="170">
        <f t="shared" si="18"/>
        <v>3.7509760000000003E-2</v>
      </c>
      <c r="Q49" s="168">
        <v>46054</v>
      </c>
    </row>
    <row r="50" spans="1:17" ht="14.25">
      <c r="A50" t="s">
        <v>1213</v>
      </c>
      <c r="B50" t="s">
        <v>1238</v>
      </c>
      <c r="C50" s="108" t="s">
        <v>1068</v>
      </c>
      <c r="D50" t="s">
        <v>5073</v>
      </c>
      <c r="E50" t="s">
        <v>5062</v>
      </c>
      <c r="F50" t="s">
        <v>310</v>
      </c>
      <c r="G50" t="s">
        <v>5074</v>
      </c>
      <c r="H50" s="108">
        <v>74171</v>
      </c>
      <c r="I50" t="s">
        <v>314</v>
      </c>
      <c r="J50" t="s">
        <v>1212</v>
      </c>
      <c r="K50" s="168">
        <v>42736</v>
      </c>
      <c r="L50" s="131">
        <v>30000000</v>
      </c>
      <c r="M50" s="131">
        <f t="shared" si="19"/>
        <v>30000</v>
      </c>
      <c r="N50" s="131">
        <f t="shared" si="20"/>
        <v>13052.348</v>
      </c>
      <c r="O50" s="171">
        <v>13052.348</v>
      </c>
      <c r="P50" s="170">
        <f t="shared" si="18"/>
        <v>0.43507826666666666</v>
      </c>
      <c r="Q50" s="168">
        <v>46760</v>
      </c>
    </row>
    <row r="51" spans="1:17" ht="14.25">
      <c r="A51" t="s">
        <v>1213</v>
      </c>
      <c r="B51" t="s">
        <v>1238</v>
      </c>
      <c r="C51" s="108" t="s">
        <v>1068</v>
      </c>
      <c r="D51" t="s">
        <v>5015</v>
      </c>
      <c r="E51" t="s">
        <v>5016</v>
      </c>
      <c r="F51" t="s">
        <v>309</v>
      </c>
      <c r="G51" t="s">
        <v>5017</v>
      </c>
      <c r="H51" s="108">
        <v>74173</v>
      </c>
      <c r="I51" t="s">
        <v>314</v>
      </c>
      <c r="J51" t="s">
        <v>1216</v>
      </c>
      <c r="K51" s="168">
        <v>43157</v>
      </c>
      <c r="L51" s="131">
        <v>5100000</v>
      </c>
      <c r="M51" s="131">
        <f>L51/1000*3.71</f>
        <v>18921</v>
      </c>
      <c r="N51" s="131">
        <f>O51/3.71</f>
        <v>48.279999999999951</v>
      </c>
      <c r="O51" s="171">
        <v>179.11879999999982</v>
      </c>
      <c r="P51" s="170">
        <f t="shared" si="18"/>
        <v>9.466666666666658E-3</v>
      </c>
      <c r="Q51" s="168">
        <v>45347</v>
      </c>
    </row>
    <row r="52" spans="1:17" ht="14.25">
      <c r="A52" t="s">
        <v>1213</v>
      </c>
      <c r="B52" t="s">
        <v>1238</v>
      </c>
      <c r="C52" s="108" t="s">
        <v>1068</v>
      </c>
      <c r="D52" t="s">
        <v>5011</v>
      </c>
      <c r="E52" t="s">
        <v>5012</v>
      </c>
      <c r="F52" t="s">
        <v>309</v>
      </c>
      <c r="G52" t="s">
        <v>5013</v>
      </c>
      <c r="H52" s="108">
        <v>74176</v>
      </c>
      <c r="I52" t="s">
        <v>314</v>
      </c>
      <c r="J52" t="s">
        <v>1212</v>
      </c>
      <c r="K52" s="168">
        <v>43306</v>
      </c>
      <c r="L52" s="131">
        <v>15000000</v>
      </c>
      <c r="M52" s="131">
        <f t="shared" ref="M52:M53" si="21">L52/1000</f>
        <v>15000</v>
      </c>
      <c r="N52" s="131"/>
      <c r="O52" s="171"/>
      <c r="Q52" s="168"/>
    </row>
    <row r="53" spans="1:17" ht="14.25">
      <c r="A53" t="s">
        <v>1213</v>
      </c>
      <c r="B53" t="s">
        <v>1238</v>
      </c>
      <c r="C53" s="108" t="s">
        <v>1068</v>
      </c>
      <c r="D53" t="s">
        <v>5019</v>
      </c>
      <c r="E53" t="s">
        <v>5020</v>
      </c>
      <c r="F53" t="s">
        <v>309</v>
      </c>
      <c r="G53" t="s">
        <v>5021</v>
      </c>
      <c r="H53" s="108">
        <v>74177</v>
      </c>
      <c r="I53" t="s">
        <v>314</v>
      </c>
      <c r="J53" t="s">
        <v>1212</v>
      </c>
      <c r="K53" s="168">
        <v>43312</v>
      </c>
      <c r="L53" s="131">
        <v>20000000</v>
      </c>
      <c r="M53" s="131">
        <f t="shared" si="21"/>
        <v>20000</v>
      </c>
      <c r="N53" s="131"/>
      <c r="O53" s="171"/>
      <c r="Q53" s="168"/>
    </row>
    <row r="54" spans="1:17" ht="14.25">
      <c r="A54" t="s">
        <v>1213</v>
      </c>
      <c r="B54" t="s">
        <v>1238</v>
      </c>
      <c r="C54" s="108" t="s">
        <v>1068</v>
      </c>
      <c r="D54" t="s">
        <v>5029</v>
      </c>
      <c r="E54" t="s">
        <v>5030</v>
      </c>
      <c r="F54" t="s">
        <v>311</v>
      </c>
      <c r="G54" t="s">
        <v>5031</v>
      </c>
      <c r="H54" s="108">
        <v>74178</v>
      </c>
      <c r="I54" t="s">
        <v>314</v>
      </c>
      <c r="J54" t="s">
        <v>1216</v>
      </c>
      <c r="K54" s="168">
        <v>43321</v>
      </c>
      <c r="L54" s="131">
        <v>16000000</v>
      </c>
      <c r="M54" s="131">
        <f>L54/1000*3.71</f>
        <v>59360</v>
      </c>
      <c r="N54" s="131"/>
      <c r="O54" s="171"/>
      <c r="Q54" s="168"/>
    </row>
    <row r="55" spans="1:17" ht="14.25">
      <c r="A55" t="s">
        <v>1213</v>
      </c>
      <c r="B55" t="s">
        <v>1238</v>
      </c>
      <c r="C55" s="108" t="s">
        <v>1068</v>
      </c>
      <c r="D55" t="s">
        <v>5094</v>
      </c>
      <c r="E55" t="s">
        <v>5095</v>
      </c>
      <c r="F55" t="s">
        <v>309</v>
      </c>
      <c r="G55" t="s">
        <v>5096</v>
      </c>
      <c r="H55" s="108">
        <v>74179</v>
      </c>
      <c r="I55" t="s">
        <v>314</v>
      </c>
      <c r="J55" t="s">
        <v>1212</v>
      </c>
      <c r="K55" s="168">
        <v>43394</v>
      </c>
      <c r="L55" s="131">
        <v>50000000</v>
      </c>
      <c r="M55" s="131">
        <f>L55/1000</f>
        <v>50000</v>
      </c>
      <c r="N55" s="131">
        <f>O55</f>
        <v>3538.6190000000001</v>
      </c>
      <c r="O55" s="171">
        <v>3538.6190000000001</v>
      </c>
      <c r="P55" s="170">
        <f>O55/M55</f>
        <v>7.077238000000001E-2</v>
      </c>
      <c r="Q55" s="168">
        <v>47044</v>
      </c>
    </row>
    <row r="56" spans="1:17" ht="14.25">
      <c r="A56" t="s">
        <v>1213</v>
      </c>
      <c r="B56" t="s">
        <v>1238</v>
      </c>
      <c r="C56" s="108" t="s">
        <v>1068</v>
      </c>
      <c r="E56" t="s">
        <v>5027</v>
      </c>
      <c r="F56" t="s">
        <v>311</v>
      </c>
      <c r="G56" t="s">
        <v>5028</v>
      </c>
      <c r="H56" s="108">
        <v>74180</v>
      </c>
      <c r="I56" t="s">
        <v>314</v>
      </c>
      <c r="J56" t="s">
        <v>1216</v>
      </c>
      <c r="K56" s="168">
        <v>43411</v>
      </c>
      <c r="L56" s="131">
        <v>4000000</v>
      </c>
      <c r="M56" s="131">
        <f t="shared" ref="M56:M58" si="22">L56/1000*3.71</f>
        <v>14840</v>
      </c>
      <c r="N56" s="131"/>
      <c r="O56" s="171"/>
      <c r="Q56" s="168"/>
    </row>
    <row r="57" spans="1:17" ht="14.25">
      <c r="A57" t="s">
        <v>1213</v>
      </c>
      <c r="B57" t="s">
        <v>1238</v>
      </c>
      <c r="C57" s="108" t="s">
        <v>1068</v>
      </c>
      <c r="E57" t="s">
        <v>5032</v>
      </c>
      <c r="F57" t="s">
        <v>309</v>
      </c>
      <c r="G57" t="s">
        <v>5033</v>
      </c>
      <c r="H57" s="108">
        <v>74181</v>
      </c>
      <c r="I57" t="s">
        <v>314</v>
      </c>
      <c r="J57" t="s">
        <v>1216</v>
      </c>
      <c r="K57" s="168">
        <v>43412</v>
      </c>
      <c r="L57" s="131">
        <v>9000000</v>
      </c>
      <c r="M57" s="131">
        <f t="shared" si="22"/>
        <v>33390</v>
      </c>
      <c r="N57" s="131"/>
      <c r="O57" s="171"/>
      <c r="Q57" s="168"/>
    </row>
    <row r="58" spans="1:17" ht="14.25">
      <c r="A58" t="s">
        <v>1213</v>
      </c>
      <c r="B58" t="s">
        <v>1238</v>
      </c>
      <c r="C58" s="108" t="s">
        <v>1068</v>
      </c>
      <c r="E58" t="s">
        <v>5036</v>
      </c>
      <c r="F58" t="s">
        <v>311</v>
      </c>
      <c r="G58" t="s">
        <v>5037</v>
      </c>
      <c r="H58" s="108">
        <v>74183</v>
      </c>
      <c r="I58" t="s">
        <v>314</v>
      </c>
      <c r="J58" t="s">
        <v>1216</v>
      </c>
      <c r="K58" s="168">
        <v>43482</v>
      </c>
      <c r="L58" s="131">
        <v>8000000</v>
      </c>
      <c r="M58" s="131">
        <f t="shared" si="22"/>
        <v>29680</v>
      </c>
      <c r="N58" s="131"/>
      <c r="O58" s="171"/>
      <c r="Q58" s="168"/>
    </row>
    <row r="59" spans="1:17" ht="14.25">
      <c r="A59" t="s">
        <v>1213</v>
      </c>
      <c r="B59" t="s">
        <v>1238</v>
      </c>
      <c r="C59" s="108" t="s">
        <v>1068</v>
      </c>
      <c r="D59" t="s">
        <v>5004</v>
      </c>
      <c r="E59" t="s">
        <v>5005</v>
      </c>
      <c r="F59" t="s">
        <v>309</v>
      </c>
      <c r="G59" t="s">
        <v>5006</v>
      </c>
      <c r="H59" s="108">
        <v>74185</v>
      </c>
      <c r="I59" t="s">
        <v>314</v>
      </c>
      <c r="J59" t="s">
        <v>1212</v>
      </c>
      <c r="K59" s="168">
        <v>43524</v>
      </c>
      <c r="L59" s="131">
        <v>53887168</v>
      </c>
      <c r="M59" s="131">
        <f t="shared" ref="M59:M60" si="23">L59/1000</f>
        <v>53887.167999999998</v>
      </c>
      <c r="N59" s="131"/>
      <c r="O59" s="171"/>
      <c r="Q59" s="168"/>
    </row>
    <row r="60" spans="1:17" ht="14.25">
      <c r="A60" t="s">
        <v>1213</v>
      </c>
      <c r="B60" t="s">
        <v>1238</v>
      </c>
      <c r="C60" s="108" t="s">
        <v>1068</v>
      </c>
      <c r="D60" t="s">
        <v>5000</v>
      </c>
      <c r="E60" t="s">
        <v>5001</v>
      </c>
      <c r="F60" t="s">
        <v>310</v>
      </c>
      <c r="G60" t="s">
        <v>5002</v>
      </c>
      <c r="H60" s="108">
        <v>74186</v>
      </c>
      <c r="I60" t="s">
        <v>314</v>
      </c>
      <c r="J60" t="s">
        <v>1212</v>
      </c>
      <c r="K60" s="168">
        <v>43542</v>
      </c>
      <c r="L60" s="131">
        <v>80000000</v>
      </c>
      <c r="M60" s="131">
        <f t="shared" si="23"/>
        <v>80000</v>
      </c>
      <c r="N60" s="131">
        <f>O60</f>
        <v>5069.0389999999998</v>
      </c>
      <c r="O60" s="171">
        <v>5069.0389999999998</v>
      </c>
      <c r="P60" s="170">
        <f t="shared" ref="P60:P61" si="24">O60/M60</f>
        <v>6.3362987499999995E-2</v>
      </c>
      <c r="Q60" s="168">
        <v>46462</v>
      </c>
    </row>
    <row r="61" spans="1:17" ht="14.25">
      <c r="A61" t="s">
        <v>1213</v>
      </c>
      <c r="B61" t="s">
        <v>1238</v>
      </c>
      <c r="C61" s="108" t="s">
        <v>1068</v>
      </c>
      <c r="D61" t="s">
        <v>5041</v>
      </c>
      <c r="E61" t="s">
        <v>5042</v>
      </c>
      <c r="F61" t="s">
        <v>310</v>
      </c>
      <c r="G61" t="s">
        <v>5043</v>
      </c>
      <c r="H61" s="108">
        <v>74187</v>
      </c>
      <c r="I61" t="s">
        <v>314</v>
      </c>
      <c r="J61" t="s">
        <v>1216</v>
      </c>
      <c r="K61" s="168">
        <v>43571</v>
      </c>
      <c r="L61" s="131">
        <v>5000000</v>
      </c>
      <c r="M61" s="131">
        <f t="shared" ref="M61:M66" si="25">L61/1000*3.71</f>
        <v>18550</v>
      </c>
      <c r="N61" s="131">
        <f>O61/3.71</f>
        <v>936.24199999999996</v>
      </c>
      <c r="O61" s="171">
        <v>3473.4578199999996</v>
      </c>
      <c r="P61" s="170">
        <f t="shared" si="24"/>
        <v>0.18724839999999998</v>
      </c>
      <c r="Q61" s="168">
        <v>46126</v>
      </c>
    </row>
    <row r="62" spans="1:17" ht="14.25">
      <c r="A62" t="s">
        <v>1213</v>
      </c>
      <c r="B62" t="s">
        <v>1238</v>
      </c>
      <c r="C62" s="108" t="s">
        <v>1068</v>
      </c>
      <c r="E62" t="s">
        <v>5044</v>
      </c>
      <c r="F62" t="s">
        <v>311</v>
      </c>
      <c r="G62" t="s">
        <v>5045</v>
      </c>
      <c r="H62" s="108">
        <v>74188</v>
      </c>
      <c r="I62" t="s">
        <v>314</v>
      </c>
      <c r="J62" t="s">
        <v>1216</v>
      </c>
      <c r="K62" s="168">
        <v>43578</v>
      </c>
      <c r="L62" s="131">
        <v>6000000</v>
      </c>
      <c r="M62" s="131">
        <f t="shared" si="25"/>
        <v>22260</v>
      </c>
      <c r="N62" s="131"/>
      <c r="O62" s="171"/>
      <c r="Q62" s="168"/>
    </row>
    <row r="63" spans="1:17" ht="14.25">
      <c r="A63" t="s">
        <v>1213</v>
      </c>
      <c r="B63" t="s">
        <v>1238</v>
      </c>
      <c r="C63" s="108" t="s">
        <v>1068</v>
      </c>
      <c r="D63" t="s">
        <v>5023</v>
      </c>
      <c r="E63" t="s">
        <v>5024</v>
      </c>
      <c r="F63" t="s">
        <v>309</v>
      </c>
      <c r="G63" t="s">
        <v>5025</v>
      </c>
      <c r="H63" s="108">
        <v>74189</v>
      </c>
      <c r="I63" t="s">
        <v>314</v>
      </c>
      <c r="J63" t="s">
        <v>1216</v>
      </c>
      <c r="K63" s="168">
        <v>43586</v>
      </c>
      <c r="L63" s="131">
        <v>6415000</v>
      </c>
      <c r="M63" s="131">
        <f t="shared" si="25"/>
        <v>23799.65</v>
      </c>
      <c r="N63" s="131"/>
      <c r="O63" s="171"/>
      <c r="Q63" s="168"/>
    </row>
    <row r="64" spans="1:17" ht="14.25">
      <c r="A64" t="s">
        <v>1213</v>
      </c>
      <c r="B64" t="s">
        <v>1238</v>
      </c>
      <c r="C64" s="108" t="s">
        <v>1068</v>
      </c>
      <c r="D64" t="s">
        <v>5007</v>
      </c>
      <c r="E64" t="s">
        <v>2129</v>
      </c>
      <c r="F64" t="s">
        <v>309</v>
      </c>
      <c r="G64" t="s">
        <v>5008</v>
      </c>
      <c r="H64" s="108">
        <v>74190</v>
      </c>
      <c r="I64" t="s">
        <v>314</v>
      </c>
      <c r="J64" t="s">
        <v>1216</v>
      </c>
      <c r="K64" s="168">
        <v>43691</v>
      </c>
      <c r="L64" s="131">
        <v>10700001</v>
      </c>
      <c r="M64" s="131">
        <f t="shared" si="25"/>
        <v>39697.003709999997</v>
      </c>
      <c r="N64" s="131">
        <f>O64/3.71</f>
        <v>701.1700000000003</v>
      </c>
      <c r="O64" s="171">
        <v>2601.3407000000011</v>
      </c>
      <c r="P64" s="170">
        <f>O64/M64</f>
        <v>6.5529900417766351E-2</v>
      </c>
      <c r="Q64" s="168">
        <v>46248</v>
      </c>
    </row>
    <row r="65" spans="1:17" ht="14.25">
      <c r="A65" t="s">
        <v>1213</v>
      </c>
      <c r="B65" t="s">
        <v>1238</v>
      </c>
      <c r="C65" s="108" t="s">
        <v>1068</v>
      </c>
      <c r="D65" t="s">
        <v>5144</v>
      </c>
      <c r="E65" t="s">
        <v>5145</v>
      </c>
      <c r="F65" t="s">
        <v>309</v>
      </c>
      <c r="G65" t="s">
        <v>5146</v>
      </c>
      <c r="H65" s="108">
        <v>74192</v>
      </c>
      <c r="I65" t="s">
        <v>314</v>
      </c>
      <c r="J65" t="s">
        <v>1216</v>
      </c>
      <c r="K65" s="168">
        <v>43761</v>
      </c>
      <c r="L65" s="131">
        <v>5000000</v>
      </c>
      <c r="M65" s="131">
        <f t="shared" si="25"/>
        <v>18550</v>
      </c>
      <c r="N65" s="131"/>
      <c r="O65" s="171"/>
      <c r="Q65" s="168"/>
    </row>
    <row r="66" spans="1:17" ht="14.25">
      <c r="A66" t="s">
        <v>1213</v>
      </c>
      <c r="B66" t="s">
        <v>1238</v>
      </c>
      <c r="C66" s="108" t="s">
        <v>1068</v>
      </c>
      <c r="E66" t="s">
        <v>5140</v>
      </c>
      <c r="F66" t="s">
        <v>311</v>
      </c>
      <c r="G66" t="s">
        <v>5141</v>
      </c>
      <c r="H66" s="108">
        <v>74193</v>
      </c>
      <c r="I66" t="s">
        <v>314</v>
      </c>
      <c r="J66" t="s">
        <v>1216</v>
      </c>
      <c r="K66" s="168">
        <v>43790</v>
      </c>
      <c r="L66" s="131">
        <v>5000000</v>
      </c>
      <c r="M66" s="131">
        <f t="shared" si="25"/>
        <v>18550</v>
      </c>
      <c r="N66" s="131">
        <f>O66/3.71</f>
        <v>889.39499999999998</v>
      </c>
      <c r="O66" s="171">
        <v>3299.6554499999997</v>
      </c>
      <c r="P66" s="170">
        <f>O66/M66</f>
        <v>0.17787899999999998</v>
      </c>
      <c r="Q66" s="168">
        <v>46347</v>
      </c>
    </row>
    <row r="67" spans="1:17" ht="14.25">
      <c r="A67" t="s">
        <v>1213</v>
      </c>
      <c r="B67" t="s">
        <v>1238</v>
      </c>
      <c r="C67" s="108" t="s">
        <v>1068</v>
      </c>
      <c r="D67" t="s">
        <v>5051</v>
      </c>
      <c r="E67" t="s">
        <v>5052</v>
      </c>
      <c r="F67" t="s">
        <v>309</v>
      </c>
      <c r="G67" t="s">
        <v>5053</v>
      </c>
      <c r="H67" s="108">
        <v>74196</v>
      </c>
      <c r="I67" t="s">
        <v>314</v>
      </c>
      <c r="J67" t="s">
        <v>1212</v>
      </c>
      <c r="K67" s="168">
        <v>43831</v>
      </c>
      <c r="L67" s="131">
        <v>46366453</v>
      </c>
      <c r="M67" s="131">
        <f>L67/1000</f>
        <v>46366.453000000001</v>
      </c>
      <c r="N67" s="131"/>
      <c r="O67" s="171"/>
      <c r="Q67" s="168"/>
    </row>
    <row r="68" spans="1:17" ht="14.25">
      <c r="A68" t="s">
        <v>1213</v>
      </c>
      <c r="B68" t="s">
        <v>1238</v>
      </c>
      <c r="C68" s="108" t="s">
        <v>1068</v>
      </c>
      <c r="E68" t="s">
        <v>5034</v>
      </c>
      <c r="F68" t="s">
        <v>311</v>
      </c>
      <c r="G68" t="s">
        <v>5035</v>
      </c>
      <c r="H68" s="108">
        <v>74197</v>
      </c>
      <c r="I68" t="s">
        <v>314</v>
      </c>
      <c r="J68" t="s">
        <v>1216</v>
      </c>
      <c r="K68" s="168">
        <v>43857</v>
      </c>
      <c r="L68" s="131">
        <v>5000000</v>
      </c>
      <c r="M68" s="131">
        <f t="shared" ref="M68:M70" si="26">L68/1000*3.71</f>
        <v>18550</v>
      </c>
      <c r="N68" s="131"/>
      <c r="O68" s="171"/>
      <c r="Q68" s="168"/>
    </row>
    <row r="69" spans="1:17" ht="14.25">
      <c r="A69" t="s">
        <v>1213</v>
      </c>
      <c r="B69" t="s">
        <v>1238</v>
      </c>
      <c r="C69" s="108" t="s">
        <v>1068</v>
      </c>
      <c r="D69" t="s">
        <v>5124</v>
      </c>
      <c r="E69" t="s">
        <v>5125</v>
      </c>
      <c r="F69" t="s">
        <v>311</v>
      </c>
      <c r="G69" t="s">
        <v>5126</v>
      </c>
      <c r="H69" s="108">
        <v>74199</v>
      </c>
      <c r="I69" t="s">
        <v>314</v>
      </c>
      <c r="J69" t="s">
        <v>1216</v>
      </c>
      <c r="K69" s="168">
        <v>43881</v>
      </c>
      <c r="L69" s="131">
        <v>7500000</v>
      </c>
      <c r="M69" s="131">
        <f t="shared" si="26"/>
        <v>27825</v>
      </c>
      <c r="N69" s="131"/>
      <c r="O69" s="171"/>
      <c r="Q69" s="168"/>
    </row>
    <row r="70" spans="1:17" ht="14.25">
      <c r="A70" t="s">
        <v>1213</v>
      </c>
      <c r="B70" t="s">
        <v>1238</v>
      </c>
      <c r="C70" s="108" t="s">
        <v>1068</v>
      </c>
      <c r="E70" t="s">
        <v>5027</v>
      </c>
      <c r="F70" t="s">
        <v>311</v>
      </c>
      <c r="G70" t="s">
        <v>5114</v>
      </c>
      <c r="H70" s="108">
        <v>74200</v>
      </c>
      <c r="I70" t="s">
        <v>314</v>
      </c>
      <c r="J70" t="s">
        <v>1216</v>
      </c>
      <c r="K70" s="168">
        <v>43891</v>
      </c>
      <c r="L70" s="131">
        <v>11000000</v>
      </c>
      <c r="M70" s="131">
        <f t="shared" si="26"/>
        <v>40810</v>
      </c>
      <c r="N70" s="131"/>
      <c r="O70" s="171"/>
      <c r="Q70" s="168"/>
    </row>
    <row r="71" spans="1:17" ht="14.25">
      <c r="A71" t="s">
        <v>1213</v>
      </c>
      <c r="B71" t="s">
        <v>1238</v>
      </c>
      <c r="C71" s="108" t="s">
        <v>1068</v>
      </c>
      <c r="D71" t="s">
        <v>5004</v>
      </c>
      <c r="E71" t="s">
        <v>5009</v>
      </c>
      <c r="F71" t="s">
        <v>309</v>
      </c>
      <c r="G71" t="s">
        <v>5010</v>
      </c>
      <c r="H71" s="108">
        <v>74202</v>
      </c>
      <c r="I71" t="s">
        <v>314</v>
      </c>
      <c r="J71" t="s">
        <v>1212</v>
      </c>
      <c r="K71" s="168">
        <v>43913</v>
      </c>
      <c r="L71" s="131">
        <v>22160611</v>
      </c>
      <c r="M71" s="131">
        <f>L71/1000</f>
        <v>22160.611000000001</v>
      </c>
      <c r="N71" s="131"/>
      <c r="O71" s="171"/>
      <c r="Q71" s="168"/>
    </row>
    <row r="72" spans="1:17" ht="14.25">
      <c r="A72" t="s">
        <v>1213</v>
      </c>
      <c r="B72" t="s">
        <v>1238</v>
      </c>
      <c r="C72" s="108" t="s">
        <v>1068</v>
      </c>
      <c r="E72" t="s">
        <v>4982</v>
      </c>
      <c r="F72" t="s">
        <v>311</v>
      </c>
      <c r="G72" t="s">
        <v>4983</v>
      </c>
      <c r="H72" s="108">
        <v>74203</v>
      </c>
      <c r="I72" t="s">
        <v>314</v>
      </c>
      <c r="J72" t="s">
        <v>1216</v>
      </c>
      <c r="K72" s="168">
        <v>43770</v>
      </c>
      <c r="L72" s="131">
        <v>11500000</v>
      </c>
      <c r="M72" s="131">
        <f>L72/1000*3.71</f>
        <v>42665</v>
      </c>
      <c r="N72" s="131"/>
      <c r="O72" s="171"/>
      <c r="Q72" s="168"/>
    </row>
    <row r="73" spans="1:17" ht="14.25">
      <c r="A73" t="s">
        <v>1213</v>
      </c>
      <c r="B73" t="s">
        <v>1238</v>
      </c>
      <c r="C73" s="108" t="s">
        <v>1068</v>
      </c>
      <c r="D73" t="s">
        <v>5000</v>
      </c>
      <c r="E73" t="s">
        <v>5001</v>
      </c>
      <c r="F73" t="s">
        <v>310</v>
      </c>
      <c r="G73" t="s">
        <v>5059</v>
      </c>
      <c r="H73" s="108">
        <v>74204</v>
      </c>
      <c r="I73" t="s">
        <v>314</v>
      </c>
      <c r="J73" t="s">
        <v>1212</v>
      </c>
      <c r="K73" s="168">
        <v>44084</v>
      </c>
      <c r="L73" s="131">
        <v>24960000</v>
      </c>
      <c r="M73" s="131">
        <f>L73/1000</f>
        <v>24960</v>
      </c>
      <c r="N73" s="131">
        <f>O73</f>
        <v>1171.5840000000001</v>
      </c>
      <c r="O73" s="171">
        <v>1171.5840000000001</v>
      </c>
      <c r="P73" s="170">
        <f>O73/M73</f>
        <v>4.693846153846154E-2</v>
      </c>
      <c r="Q73" s="168">
        <v>46462</v>
      </c>
    </row>
    <row r="74" spans="1:17" ht="14.25">
      <c r="A74" t="s">
        <v>1213</v>
      </c>
      <c r="B74" t="s">
        <v>1238</v>
      </c>
      <c r="C74" s="108" t="s">
        <v>1068</v>
      </c>
      <c r="D74" t="s">
        <v>5117</v>
      </c>
      <c r="E74" t="s">
        <v>5118</v>
      </c>
      <c r="F74" t="s">
        <v>310</v>
      </c>
      <c r="G74" t="s">
        <v>5119</v>
      </c>
      <c r="H74" s="108">
        <v>74205</v>
      </c>
      <c r="I74" t="s">
        <v>314</v>
      </c>
      <c r="J74" t="s">
        <v>1218</v>
      </c>
      <c r="K74" s="168">
        <v>44159</v>
      </c>
      <c r="L74" s="131">
        <v>4060000</v>
      </c>
      <c r="M74" s="131">
        <f>L74/1000*4.1524</f>
        <v>16858.743999999999</v>
      </c>
      <c r="N74" s="131"/>
      <c r="O74" s="171"/>
      <c r="Q74" s="168"/>
    </row>
    <row r="75" spans="1:17" ht="14.25">
      <c r="A75" t="s">
        <v>1213</v>
      </c>
      <c r="B75" t="s">
        <v>1238</v>
      </c>
      <c r="C75" s="108" t="s">
        <v>1068</v>
      </c>
      <c r="E75" t="s">
        <v>5121</v>
      </c>
      <c r="F75" t="s">
        <v>311</v>
      </c>
      <c r="G75" t="s">
        <v>5122</v>
      </c>
      <c r="H75" s="108">
        <v>74207</v>
      </c>
      <c r="I75" t="s">
        <v>314</v>
      </c>
      <c r="J75" t="s">
        <v>1216</v>
      </c>
      <c r="K75" s="168">
        <v>44166</v>
      </c>
      <c r="L75" s="131">
        <v>10000000</v>
      </c>
      <c r="M75" s="131">
        <f t="shared" ref="M75:M78" si="27">L75/1000*3.71</f>
        <v>37100</v>
      </c>
      <c r="N75" s="131">
        <f>O75/3.71</f>
        <v>1083.8304399999997</v>
      </c>
      <c r="O75" s="171">
        <v>4021.0109323999986</v>
      </c>
      <c r="P75" s="170">
        <f>O75/M75</f>
        <v>0.10838304399999997</v>
      </c>
      <c r="Q75" s="168">
        <v>45748</v>
      </c>
    </row>
    <row r="76" spans="1:17" ht="14.25">
      <c r="A76" t="s">
        <v>1213</v>
      </c>
      <c r="B76" t="s">
        <v>1238</v>
      </c>
      <c r="C76" s="108" t="s">
        <v>1068</v>
      </c>
      <c r="D76" t="s">
        <v>5038</v>
      </c>
      <c r="E76" t="s">
        <v>5039</v>
      </c>
      <c r="F76" t="s">
        <v>311</v>
      </c>
      <c r="G76" t="s">
        <v>5040</v>
      </c>
      <c r="H76" s="108">
        <v>74208</v>
      </c>
      <c r="I76" t="s">
        <v>314</v>
      </c>
      <c r="J76" t="s">
        <v>1216</v>
      </c>
      <c r="K76" s="168">
        <v>44186</v>
      </c>
      <c r="L76" s="131">
        <v>4600000</v>
      </c>
      <c r="M76" s="131">
        <f t="shared" si="27"/>
        <v>17066</v>
      </c>
      <c r="N76" s="131"/>
      <c r="O76" s="171"/>
      <c r="Q76" s="168"/>
    </row>
    <row r="77" spans="1:17" ht="14.25">
      <c r="A77" t="s">
        <v>1213</v>
      </c>
      <c r="B77" t="s">
        <v>1238</v>
      </c>
      <c r="C77" s="108" t="s">
        <v>1068</v>
      </c>
      <c r="E77" t="s">
        <v>5027</v>
      </c>
      <c r="F77" t="s">
        <v>311</v>
      </c>
      <c r="G77" t="s">
        <v>5134</v>
      </c>
      <c r="H77" s="108">
        <v>74215</v>
      </c>
      <c r="I77" t="s">
        <v>314</v>
      </c>
      <c r="J77" t="s">
        <v>1216</v>
      </c>
      <c r="K77" s="168">
        <v>44308</v>
      </c>
      <c r="L77" s="131">
        <v>7000000</v>
      </c>
      <c r="M77" s="131">
        <f t="shared" si="27"/>
        <v>25970</v>
      </c>
      <c r="N77" s="131"/>
      <c r="O77" s="171"/>
      <c r="Q77" s="168"/>
    </row>
    <row r="78" spans="1:17" ht="14.25">
      <c r="A78" t="s">
        <v>1213</v>
      </c>
      <c r="B78" t="s">
        <v>1238</v>
      </c>
      <c r="C78" s="108" t="s">
        <v>1068</v>
      </c>
      <c r="E78" t="s">
        <v>5036</v>
      </c>
      <c r="F78" t="s">
        <v>311</v>
      </c>
      <c r="G78" t="s">
        <v>5136</v>
      </c>
      <c r="H78" s="108">
        <v>74216</v>
      </c>
      <c r="I78" t="s">
        <v>314</v>
      </c>
      <c r="J78" t="s">
        <v>1216</v>
      </c>
      <c r="K78" s="168">
        <v>44371</v>
      </c>
      <c r="L78" s="131">
        <v>8000000</v>
      </c>
      <c r="M78" s="131">
        <f t="shared" si="27"/>
        <v>29680</v>
      </c>
      <c r="N78" s="131">
        <f>O78/3.71</f>
        <v>825.86399999999992</v>
      </c>
      <c r="O78" s="171">
        <v>3063.9554399999997</v>
      </c>
      <c r="P78" s="170">
        <f t="shared" ref="P78:P82" si="28">O78/M78</f>
        <v>0.10323299999999999</v>
      </c>
      <c r="Q78" s="168">
        <v>46197</v>
      </c>
    </row>
    <row r="79" spans="1:17" ht="14.25">
      <c r="A79" t="s">
        <v>1213</v>
      </c>
      <c r="B79" t="s">
        <v>1238</v>
      </c>
      <c r="C79" s="108" t="s">
        <v>1068</v>
      </c>
      <c r="D79" t="s">
        <v>5064</v>
      </c>
      <c r="E79" t="s">
        <v>5065</v>
      </c>
      <c r="F79" t="s">
        <v>309</v>
      </c>
      <c r="G79" t="s">
        <v>5066</v>
      </c>
      <c r="H79" s="108">
        <v>74217</v>
      </c>
      <c r="I79" t="s">
        <v>314</v>
      </c>
      <c r="J79" t="s">
        <v>1212</v>
      </c>
      <c r="K79" s="168">
        <v>44370</v>
      </c>
      <c r="L79" s="131">
        <v>80000000</v>
      </c>
      <c r="M79" s="131">
        <f>L79/1000</f>
        <v>80000</v>
      </c>
      <c r="N79" s="131">
        <f>O79</f>
        <v>1946.3209999999999</v>
      </c>
      <c r="O79" s="171">
        <v>1946.3209999999999</v>
      </c>
      <c r="P79" s="170">
        <f t="shared" si="28"/>
        <v>2.43290125E-2</v>
      </c>
      <c r="Q79" s="168">
        <v>46196</v>
      </c>
    </row>
    <row r="80" spans="1:17" ht="14.25">
      <c r="A80" t="s">
        <v>1213</v>
      </c>
      <c r="B80" t="s">
        <v>1238</v>
      </c>
      <c r="C80" s="108" t="s">
        <v>1068</v>
      </c>
      <c r="D80" t="s">
        <v>5088</v>
      </c>
      <c r="E80" t="s">
        <v>5089</v>
      </c>
      <c r="F80" t="s">
        <v>309</v>
      </c>
      <c r="G80" t="s">
        <v>5090</v>
      </c>
      <c r="H80" s="108">
        <v>74221</v>
      </c>
      <c r="I80" t="s">
        <v>314</v>
      </c>
      <c r="J80" t="s">
        <v>1216</v>
      </c>
      <c r="K80" s="168">
        <v>44409</v>
      </c>
      <c r="L80" s="131">
        <v>8000000</v>
      </c>
      <c r="M80" s="131">
        <f t="shared" ref="M80:M81" si="29">L80/1000*3.71</f>
        <v>29680</v>
      </c>
      <c r="N80" s="131">
        <f t="shared" ref="N80:N81" si="30">O80/3.71</f>
        <v>709.72399999999993</v>
      </c>
      <c r="O80" s="171">
        <v>2633.0760399999999</v>
      </c>
      <c r="P80" s="170">
        <f t="shared" si="28"/>
        <v>8.8715500000000003E-2</v>
      </c>
      <c r="Q80" s="168">
        <v>47150</v>
      </c>
    </row>
    <row r="81" spans="1:17" ht="14.25">
      <c r="A81" t="s">
        <v>1213</v>
      </c>
      <c r="B81" t="s">
        <v>1238</v>
      </c>
      <c r="C81" s="108" t="s">
        <v>1068</v>
      </c>
      <c r="D81" t="s">
        <v>5076</v>
      </c>
      <c r="E81" t="s">
        <v>5077</v>
      </c>
      <c r="F81" t="s">
        <v>309</v>
      </c>
      <c r="G81" t="s">
        <v>5078</v>
      </c>
      <c r="H81" s="108">
        <v>74228</v>
      </c>
      <c r="I81" t="s">
        <v>314</v>
      </c>
      <c r="J81" t="s">
        <v>1216</v>
      </c>
      <c r="K81" s="168">
        <v>44560</v>
      </c>
      <c r="L81" s="131">
        <v>10000000</v>
      </c>
      <c r="M81" s="131">
        <f t="shared" si="29"/>
        <v>37100</v>
      </c>
      <c r="N81" s="131">
        <f t="shared" si="30"/>
        <v>418.87200000000001</v>
      </c>
      <c r="O81" s="171">
        <v>1554.01512</v>
      </c>
      <c r="P81" s="170">
        <f t="shared" si="28"/>
        <v>4.1887199999999999E-2</v>
      </c>
      <c r="Q81" s="168">
        <v>46751</v>
      </c>
    </row>
    <row r="82" spans="1:17" ht="14.25">
      <c r="A82" t="s">
        <v>1213</v>
      </c>
      <c r="B82" t="s">
        <v>1238</v>
      </c>
      <c r="C82" s="108" t="s">
        <v>1068</v>
      </c>
      <c r="D82" t="s">
        <v>5061</v>
      </c>
      <c r="E82" t="s">
        <v>5062</v>
      </c>
      <c r="F82" t="s">
        <v>309</v>
      </c>
      <c r="G82" t="s">
        <v>5063</v>
      </c>
      <c r="H82" s="108">
        <v>74231</v>
      </c>
      <c r="I82" t="s">
        <v>314</v>
      </c>
      <c r="J82" t="s">
        <v>1212</v>
      </c>
      <c r="K82" s="168">
        <v>44591</v>
      </c>
      <c r="L82" s="131">
        <v>50000000</v>
      </c>
      <c r="M82" s="131">
        <f t="shared" ref="M82:M83" si="31">L82/1000</f>
        <v>50000</v>
      </c>
      <c r="N82" s="131">
        <f>O82</f>
        <v>3956.3722599999996</v>
      </c>
      <c r="O82" s="171">
        <v>3956.3722599999996</v>
      </c>
      <c r="P82" s="170">
        <f t="shared" si="28"/>
        <v>7.9127445199999993E-2</v>
      </c>
      <c r="Q82" s="168">
        <v>46204</v>
      </c>
    </row>
    <row r="83" spans="1:17" ht="14.25">
      <c r="A83" t="s">
        <v>1213</v>
      </c>
      <c r="B83" t="s">
        <v>1238</v>
      </c>
      <c r="C83" s="108" t="s">
        <v>1068</v>
      </c>
      <c r="D83" t="s">
        <v>5079</v>
      </c>
      <c r="E83" t="s">
        <v>5080</v>
      </c>
      <c r="F83" t="s">
        <v>309</v>
      </c>
      <c r="G83" t="s">
        <v>5081</v>
      </c>
      <c r="H83" s="108">
        <v>74233</v>
      </c>
      <c r="I83" t="s">
        <v>314</v>
      </c>
      <c r="J83" t="s">
        <v>1212</v>
      </c>
      <c r="K83" s="168">
        <v>44622</v>
      </c>
      <c r="L83" s="131">
        <v>45000000</v>
      </c>
      <c r="M83" s="131">
        <f t="shared" si="31"/>
        <v>45000</v>
      </c>
      <c r="N83" s="131"/>
      <c r="O83" s="171"/>
      <c r="Q83" s="168"/>
    </row>
    <row r="84" spans="1:17" ht="14.25">
      <c r="A84" t="s">
        <v>1213</v>
      </c>
      <c r="B84" t="s">
        <v>1238</v>
      </c>
      <c r="C84" s="108" t="s">
        <v>1068</v>
      </c>
      <c r="E84" t="s">
        <v>5027</v>
      </c>
      <c r="F84" t="s">
        <v>311</v>
      </c>
      <c r="G84" t="s">
        <v>5137</v>
      </c>
      <c r="H84" s="108">
        <v>74235</v>
      </c>
      <c r="I84" t="s">
        <v>314</v>
      </c>
      <c r="J84" t="s">
        <v>1216</v>
      </c>
      <c r="K84" s="168">
        <v>44712</v>
      </c>
      <c r="L84" s="131">
        <v>5000000</v>
      </c>
      <c r="M84" s="131">
        <f>L84/1000*3.71</f>
        <v>18550</v>
      </c>
      <c r="N84" s="131"/>
      <c r="O84" s="171"/>
      <c r="Q84" s="168"/>
    </row>
    <row r="85" spans="1:17" ht="14.25">
      <c r="A85" t="s">
        <v>1213</v>
      </c>
      <c r="B85" t="s">
        <v>1238</v>
      </c>
      <c r="C85" s="108" t="s">
        <v>1068</v>
      </c>
      <c r="D85" t="s">
        <v>5130</v>
      </c>
      <c r="E85" t="s">
        <v>5131</v>
      </c>
      <c r="F85" t="s">
        <v>311</v>
      </c>
      <c r="G85" t="s">
        <v>5132</v>
      </c>
      <c r="H85" s="108">
        <v>74237</v>
      </c>
      <c r="I85" t="s">
        <v>314</v>
      </c>
      <c r="J85" t="s">
        <v>1227</v>
      </c>
      <c r="K85" s="168">
        <v>44721</v>
      </c>
      <c r="L85" s="131">
        <v>7000000</v>
      </c>
      <c r="M85" s="131">
        <f>L85/1000*4.9748</f>
        <v>34823.599999999999</v>
      </c>
      <c r="N85" s="131">
        <f>O85/4.9748</f>
        <v>2.4240000000001261</v>
      </c>
      <c r="O85" s="171">
        <v>12.058915200000628</v>
      </c>
      <c r="P85" s="170">
        <f t="shared" ref="P85:P89" si="32">O85/M85</f>
        <v>3.4628571428573234E-4</v>
      </c>
      <c r="Q85" s="168">
        <v>47635</v>
      </c>
    </row>
    <row r="86" spans="1:17" ht="14.25">
      <c r="A86" t="s">
        <v>1213</v>
      </c>
      <c r="B86" t="s">
        <v>1238</v>
      </c>
      <c r="C86" s="108" t="s">
        <v>1068</v>
      </c>
      <c r="D86" t="s">
        <v>5070</v>
      </c>
      <c r="E86" t="s">
        <v>5071</v>
      </c>
      <c r="F86" t="s">
        <v>310</v>
      </c>
      <c r="G86" t="s">
        <v>5072</v>
      </c>
      <c r="H86" s="108">
        <v>74238</v>
      </c>
      <c r="I86" t="s">
        <v>314</v>
      </c>
      <c r="J86" t="s">
        <v>1212</v>
      </c>
      <c r="K86" s="168">
        <v>44721</v>
      </c>
      <c r="L86" s="131">
        <v>40000000</v>
      </c>
      <c r="M86" s="131">
        <f t="shared" ref="M86:M87" si="33">L86/1000</f>
        <v>40000</v>
      </c>
      <c r="N86" s="131">
        <f t="shared" ref="N86:N87" si="34">O86</f>
        <v>1142.808</v>
      </c>
      <c r="O86" s="171">
        <v>1142.808</v>
      </c>
      <c r="P86" s="170">
        <f t="shared" si="32"/>
        <v>2.85702E-2</v>
      </c>
      <c r="Q86" s="168">
        <v>46182</v>
      </c>
    </row>
    <row r="87" spans="1:17" ht="14.25">
      <c r="A87" t="s">
        <v>1213</v>
      </c>
      <c r="B87" t="s">
        <v>1238</v>
      </c>
      <c r="C87" s="108" t="s">
        <v>1068</v>
      </c>
      <c r="D87" t="s">
        <v>5085</v>
      </c>
      <c r="E87" t="s">
        <v>5086</v>
      </c>
      <c r="F87" t="s">
        <v>309</v>
      </c>
      <c r="G87" t="s">
        <v>5087</v>
      </c>
      <c r="H87" s="108">
        <v>74239</v>
      </c>
      <c r="I87" t="s">
        <v>314</v>
      </c>
      <c r="J87" t="s">
        <v>1212</v>
      </c>
      <c r="K87" s="168">
        <v>44741</v>
      </c>
      <c r="L87" s="131">
        <v>40000000</v>
      </c>
      <c r="M87" s="131">
        <f t="shared" si="33"/>
        <v>40000</v>
      </c>
      <c r="N87" s="131">
        <f t="shared" si="34"/>
        <v>1353.991</v>
      </c>
      <c r="O87" s="171">
        <v>1353.991</v>
      </c>
      <c r="P87" s="170">
        <f t="shared" si="32"/>
        <v>3.3849774999999999E-2</v>
      </c>
      <c r="Q87" s="168">
        <v>46202</v>
      </c>
    </row>
    <row r="88" spans="1:17" ht="14.25">
      <c r="A88" t="s">
        <v>1213</v>
      </c>
      <c r="B88" t="s">
        <v>1238</v>
      </c>
      <c r="C88" s="108" t="s">
        <v>1068</v>
      </c>
      <c r="E88" t="s">
        <v>5115</v>
      </c>
      <c r="F88" t="s">
        <v>309</v>
      </c>
      <c r="G88" t="s">
        <v>5116</v>
      </c>
      <c r="H88" s="108">
        <v>74240</v>
      </c>
      <c r="I88" t="s">
        <v>314</v>
      </c>
      <c r="J88" t="s">
        <v>1218</v>
      </c>
      <c r="K88" s="168">
        <v>44748</v>
      </c>
      <c r="L88" s="131">
        <v>10000000</v>
      </c>
      <c r="M88" s="131">
        <f>L88/1000*4.1524</f>
        <v>41524</v>
      </c>
      <c r="N88" s="131">
        <f>O88/4.1254</f>
        <v>110.48137877539148</v>
      </c>
      <c r="O88" s="171">
        <f>455779.88/1000</f>
        <v>455.77987999999999</v>
      </c>
      <c r="P88" s="170">
        <f t="shared" si="32"/>
        <v>1.097629997110105E-2</v>
      </c>
      <c r="Q88" s="168">
        <v>45844</v>
      </c>
    </row>
    <row r="89" spans="1:17" ht="14.25">
      <c r="A89" t="s">
        <v>1213</v>
      </c>
      <c r="B89" t="s">
        <v>1238</v>
      </c>
      <c r="C89" s="108" t="s">
        <v>1068</v>
      </c>
      <c r="D89" t="s">
        <v>5082</v>
      </c>
      <c r="E89" t="s">
        <v>5083</v>
      </c>
      <c r="F89" t="s">
        <v>309</v>
      </c>
      <c r="G89" t="s">
        <v>5084</v>
      </c>
      <c r="H89" s="108">
        <v>74241</v>
      </c>
      <c r="I89" t="s">
        <v>314</v>
      </c>
      <c r="J89" t="s">
        <v>1212</v>
      </c>
      <c r="K89" s="168">
        <v>44752</v>
      </c>
      <c r="L89" s="131">
        <v>50000000</v>
      </c>
      <c r="M89" s="131">
        <f>L89/1000</f>
        <v>50000</v>
      </c>
      <c r="N89" s="131">
        <f>O89</f>
        <v>1285.896</v>
      </c>
      <c r="O89" s="171">
        <v>1285.896</v>
      </c>
      <c r="P89" s="170">
        <f t="shared" si="32"/>
        <v>2.5717919999999998E-2</v>
      </c>
      <c r="Q89" s="168">
        <v>46213</v>
      </c>
    </row>
    <row r="90" spans="1:17" ht="14.25">
      <c r="A90" t="s">
        <v>1213</v>
      </c>
      <c r="B90" t="s">
        <v>1238</v>
      </c>
      <c r="C90" s="108" t="s">
        <v>1068</v>
      </c>
      <c r="E90" t="s">
        <v>3826</v>
      </c>
      <c r="F90" t="s">
        <v>311</v>
      </c>
      <c r="G90" t="s">
        <v>3825</v>
      </c>
      <c r="H90" s="108">
        <v>74242</v>
      </c>
      <c r="I90" t="s">
        <v>314</v>
      </c>
      <c r="J90" t="s">
        <v>1218</v>
      </c>
      <c r="K90" s="168">
        <v>44812</v>
      </c>
      <c r="L90" s="131">
        <v>5410840</v>
      </c>
      <c r="M90" s="131">
        <f>L90/1000*4.1524</f>
        <v>22467.972016</v>
      </c>
      <c r="N90" s="131"/>
      <c r="O90" s="171"/>
      <c r="Q90" s="168"/>
    </row>
    <row r="91" spans="1:17" ht="14.25">
      <c r="A91" t="s">
        <v>1213</v>
      </c>
      <c r="B91" t="s">
        <v>1238</v>
      </c>
      <c r="C91" s="108" t="s">
        <v>1068</v>
      </c>
      <c r="D91" t="s">
        <v>5105</v>
      </c>
      <c r="E91" t="s">
        <v>5106</v>
      </c>
      <c r="F91" t="s">
        <v>311</v>
      </c>
      <c r="G91" t="s">
        <v>5107</v>
      </c>
      <c r="H91" s="108">
        <v>74243</v>
      </c>
      <c r="I91" t="s">
        <v>314</v>
      </c>
      <c r="J91" t="s">
        <v>1216</v>
      </c>
      <c r="K91" s="168">
        <v>44823</v>
      </c>
      <c r="L91" s="131">
        <v>6000000</v>
      </c>
      <c r="M91" s="131">
        <f>L91/1000*3.71</f>
        <v>22260</v>
      </c>
      <c r="N91" s="131">
        <f>O91/3.71</f>
        <v>207.39800000000002</v>
      </c>
      <c r="O91" s="171">
        <v>769.44658000000004</v>
      </c>
      <c r="P91" s="170">
        <f t="shared" ref="P91:P92" si="35">O91/M91</f>
        <v>3.4566333333333338E-2</v>
      </c>
      <c r="Q91" s="168">
        <v>46284</v>
      </c>
    </row>
    <row r="92" spans="1:17" ht="14.25">
      <c r="A92" t="s">
        <v>1213</v>
      </c>
      <c r="B92" t="s">
        <v>1238</v>
      </c>
      <c r="C92" s="108" t="s">
        <v>1068</v>
      </c>
      <c r="E92" t="s">
        <v>5138</v>
      </c>
      <c r="F92" t="s">
        <v>311</v>
      </c>
      <c r="G92" t="s">
        <v>5139</v>
      </c>
      <c r="H92" s="108">
        <v>74247</v>
      </c>
      <c r="I92" t="s">
        <v>314</v>
      </c>
      <c r="J92" t="s">
        <v>1227</v>
      </c>
      <c r="K92" s="168">
        <v>44938</v>
      </c>
      <c r="L92" s="131">
        <v>7500000</v>
      </c>
      <c r="M92" s="131">
        <f>L92/1000*4.9748</f>
        <v>37311</v>
      </c>
      <c r="N92" s="131">
        <f>O92/4.9748</f>
        <v>766.09199999999998</v>
      </c>
      <c r="O92" s="171">
        <v>3811.1544816000001</v>
      </c>
      <c r="P92" s="170">
        <f t="shared" si="35"/>
        <v>0.1021456</v>
      </c>
      <c r="Q92" s="168">
        <v>46022</v>
      </c>
    </row>
    <row r="93" spans="1:17" ht="14.25">
      <c r="A93" t="s">
        <v>1213</v>
      </c>
      <c r="B93" t="s">
        <v>1238</v>
      </c>
      <c r="C93" s="108" t="s">
        <v>1068</v>
      </c>
      <c r="E93" t="s">
        <v>5067</v>
      </c>
      <c r="F93" t="s">
        <v>309</v>
      </c>
      <c r="G93" t="s">
        <v>5068</v>
      </c>
      <c r="H93" s="108">
        <v>74249</v>
      </c>
      <c r="I93" t="s">
        <v>314</v>
      </c>
      <c r="J93" t="s">
        <v>1212</v>
      </c>
      <c r="K93" s="168">
        <v>45006</v>
      </c>
      <c r="L93" s="131">
        <v>70000000</v>
      </c>
      <c r="M93" s="131">
        <f t="shared" ref="M93:M94" si="36">L93/1000</f>
        <v>70000</v>
      </c>
      <c r="N93" s="131"/>
      <c r="O93" s="171"/>
      <c r="Q93" s="168"/>
    </row>
    <row r="94" spans="1:17" ht="14.25">
      <c r="A94" t="s">
        <v>1213</v>
      </c>
      <c r="B94" t="s">
        <v>1238</v>
      </c>
      <c r="C94" s="108" t="s">
        <v>1068</v>
      </c>
      <c r="D94" t="s">
        <v>4939</v>
      </c>
      <c r="E94" t="s">
        <v>4940</v>
      </c>
      <c r="F94" t="s">
        <v>309</v>
      </c>
      <c r="G94" t="s">
        <v>4955</v>
      </c>
      <c r="H94" s="108">
        <v>74252</v>
      </c>
      <c r="I94" t="s">
        <v>314</v>
      </c>
      <c r="J94" t="s">
        <v>1212</v>
      </c>
      <c r="K94" s="168">
        <v>45036</v>
      </c>
      <c r="L94" s="131">
        <v>62150000</v>
      </c>
      <c r="M94" s="131">
        <f t="shared" si="36"/>
        <v>62150</v>
      </c>
      <c r="N94" s="131">
        <f>O94</f>
        <v>3484.9789999999998</v>
      </c>
      <c r="O94" s="171">
        <v>3484.9789999999998</v>
      </c>
      <c r="P94" s="170">
        <f t="shared" ref="P94:P96" si="37">O94/M94</f>
        <v>5.6073676588897822E-2</v>
      </c>
      <c r="Q94" s="168">
        <v>48689</v>
      </c>
    </row>
    <row r="95" spans="1:17" ht="14.25">
      <c r="A95" t="s">
        <v>1213</v>
      </c>
      <c r="B95" t="s">
        <v>1238</v>
      </c>
      <c r="C95" s="108" t="s">
        <v>1068</v>
      </c>
      <c r="E95" t="s">
        <v>4943</v>
      </c>
      <c r="F95" t="s">
        <v>309</v>
      </c>
      <c r="G95" t="s">
        <v>4944</v>
      </c>
      <c r="H95" s="108">
        <v>74254</v>
      </c>
      <c r="I95" t="s">
        <v>314</v>
      </c>
      <c r="J95" t="s">
        <v>1216</v>
      </c>
      <c r="K95" s="168">
        <v>45124</v>
      </c>
      <c r="L95" s="131">
        <v>7006080</v>
      </c>
      <c r="M95" s="131">
        <f>L95/1000*3.71</f>
        <v>25992.556799999998</v>
      </c>
      <c r="N95" s="131">
        <f>O95/3.71</f>
        <v>404.755</v>
      </c>
      <c r="O95" s="171">
        <v>1501.64105</v>
      </c>
      <c r="P95" s="170">
        <f t="shared" si="37"/>
        <v>5.7771963780031063E-2</v>
      </c>
      <c r="Q95" s="168">
        <v>46220</v>
      </c>
    </row>
    <row r="96" spans="1:17" ht="14.25">
      <c r="A96" t="s">
        <v>1213</v>
      </c>
      <c r="B96" t="s">
        <v>1238</v>
      </c>
      <c r="C96" s="108" t="s">
        <v>1068</v>
      </c>
      <c r="D96" t="s">
        <v>4988</v>
      </c>
      <c r="E96" t="s">
        <v>4989</v>
      </c>
      <c r="F96" t="s">
        <v>309</v>
      </c>
      <c r="G96" t="s">
        <v>4990</v>
      </c>
      <c r="H96" s="108">
        <v>74255</v>
      </c>
      <c r="I96" t="s">
        <v>314</v>
      </c>
      <c r="J96" t="s">
        <v>1227</v>
      </c>
      <c r="K96" s="168">
        <v>45208</v>
      </c>
      <c r="L96" s="131">
        <v>5000000</v>
      </c>
      <c r="M96" s="131">
        <f>L96/1000*4.9748</f>
        <v>24874</v>
      </c>
      <c r="N96" s="131">
        <f>O96/4.9748</f>
        <v>273.15999999999997</v>
      </c>
      <c r="O96" s="171">
        <v>1358.9163679999999</v>
      </c>
      <c r="P96" s="170">
        <f t="shared" si="37"/>
        <v>5.4632E-2</v>
      </c>
      <c r="Q96" s="168">
        <v>46235</v>
      </c>
    </row>
    <row r="97" spans="1:17" ht="14.25">
      <c r="A97" t="s">
        <v>1213</v>
      </c>
      <c r="B97" t="s">
        <v>1238</v>
      </c>
      <c r="C97" s="108" t="s">
        <v>1068</v>
      </c>
      <c r="D97" t="s">
        <v>5127</v>
      </c>
      <c r="E97" t="s">
        <v>5128</v>
      </c>
      <c r="F97" t="s">
        <v>310</v>
      </c>
      <c r="G97" t="s">
        <v>5129</v>
      </c>
      <c r="H97" s="108">
        <v>74256</v>
      </c>
      <c r="I97" t="s">
        <v>314</v>
      </c>
      <c r="J97" t="s">
        <v>1218</v>
      </c>
      <c r="K97" s="168">
        <v>45166</v>
      </c>
      <c r="L97" s="131">
        <v>8000000</v>
      </c>
      <c r="M97" s="131">
        <f>L97/1000*4.1524</f>
        <v>33219.199999999997</v>
      </c>
      <c r="N97" s="131"/>
      <c r="O97" s="171"/>
      <c r="Q97" s="168"/>
    </row>
    <row r="98" spans="1:17" ht="14.25">
      <c r="A98" t="s">
        <v>1213</v>
      </c>
      <c r="B98" t="s">
        <v>1238</v>
      </c>
      <c r="C98" s="108" t="s">
        <v>1068</v>
      </c>
      <c r="D98" t="s">
        <v>4992</v>
      </c>
      <c r="E98" t="s">
        <v>4993</v>
      </c>
      <c r="F98" t="s">
        <v>311</v>
      </c>
      <c r="G98" t="s">
        <v>4996</v>
      </c>
      <c r="H98" s="108">
        <v>74266</v>
      </c>
      <c r="I98" t="s">
        <v>314</v>
      </c>
      <c r="J98" t="s">
        <v>1216</v>
      </c>
      <c r="K98" s="168">
        <v>45400</v>
      </c>
      <c r="L98" s="131">
        <v>2500000</v>
      </c>
      <c r="M98" s="131">
        <f>L98/1000*3.71</f>
        <v>9275</v>
      </c>
      <c r="N98" s="131">
        <f>O98/3.71</f>
        <v>170.75599999999997</v>
      </c>
      <c r="O98" s="171">
        <v>633.50475999999992</v>
      </c>
      <c r="P98" s="170">
        <f t="shared" ref="P98:P101" si="38">O98/M98</f>
        <v>6.8302399999999985E-2</v>
      </c>
      <c r="Q98" s="168">
        <v>46495</v>
      </c>
    </row>
    <row r="99" spans="1:17" ht="14.25">
      <c r="A99" t="s">
        <v>1213</v>
      </c>
      <c r="B99" t="s">
        <v>1238</v>
      </c>
      <c r="C99" s="108" t="s">
        <v>1068</v>
      </c>
      <c r="D99" t="s">
        <v>5147</v>
      </c>
      <c r="E99" t="s">
        <v>5148</v>
      </c>
      <c r="F99" t="s">
        <v>311</v>
      </c>
      <c r="G99" t="s">
        <v>5149</v>
      </c>
      <c r="H99" s="108">
        <v>74270</v>
      </c>
      <c r="I99" t="s">
        <v>314</v>
      </c>
      <c r="J99" t="s">
        <v>1218</v>
      </c>
      <c r="K99" s="168">
        <v>45484</v>
      </c>
      <c r="L99" s="131">
        <v>3000000</v>
      </c>
      <c r="M99" s="131">
        <f>L99/1000*4.1524</f>
        <v>12457.2</v>
      </c>
      <c r="N99" s="131">
        <f>O99/4.1254</f>
        <v>302.37814243467301</v>
      </c>
      <c r="O99" s="171">
        <v>1247.4307888000001</v>
      </c>
      <c r="P99" s="170">
        <f t="shared" si="38"/>
        <v>0.10013733333333333</v>
      </c>
      <c r="Q99" s="168">
        <v>46295</v>
      </c>
    </row>
    <row r="100" spans="1:17" ht="14.25">
      <c r="A100" t="s">
        <v>1213</v>
      </c>
      <c r="B100" t="s">
        <v>1238</v>
      </c>
      <c r="C100" s="108" t="s">
        <v>1068</v>
      </c>
      <c r="D100" t="s">
        <v>4997</v>
      </c>
      <c r="E100" t="s">
        <v>4998</v>
      </c>
      <c r="F100" t="s">
        <v>311</v>
      </c>
      <c r="G100" t="s">
        <v>4997</v>
      </c>
      <c r="H100" s="108">
        <v>74271</v>
      </c>
      <c r="I100" t="s">
        <v>314</v>
      </c>
      <c r="J100" t="s">
        <v>1227</v>
      </c>
      <c r="K100" s="168">
        <v>45495</v>
      </c>
      <c r="L100" s="131">
        <v>4000000</v>
      </c>
      <c r="M100" s="131">
        <f>L100/1000*4.9748</f>
        <v>19899.2</v>
      </c>
      <c r="N100" s="131">
        <f>O100/4.9748</f>
        <v>439.99999999999994</v>
      </c>
      <c r="O100" s="171">
        <v>2188.9119999999998</v>
      </c>
      <c r="P100" s="170">
        <f t="shared" si="38"/>
        <v>0.10999999999999999</v>
      </c>
      <c r="Q100" s="168">
        <v>46295</v>
      </c>
    </row>
    <row r="101" spans="1:17" ht="14.25">
      <c r="A101" t="s">
        <v>1213</v>
      </c>
      <c r="B101" t="s">
        <v>1238</v>
      </c>
      <c r="C101" s="108" t="s">
        <v>1068</v>
      </c>
      <c r="D101" t="s">
        <v>4992</v>
      </c>
      <c r="E101" t="s">
        <v>4993</v>
      </c>
      <c r="F101" t="s">
        <v>311</v>
      </c>
      <c r="G101" t="s">
        <v>4994</v>
      </c>
      <c r="H101" s="108">
        <v>74272</v>
      </c>
      <c r="I101" t="s">
        <v>314</v>
      </c>
      <c r="J101" t="s">
        <v>1216</v>
      </c>
      <c r="K101" s="168">
        <v>45505</v>
      </c>
      <c r="L101" s="131">
        <v>2500000</v>
      </c>
      <c r="M101" s="131">
        <f t="shared" ref="M101:M103" si="39">L101/1000*3.71</f>
        <v>9275</v>
      </c>
      <c r="N101" s="131">
        <f>O101/3.71</f>
        <v>162.83300000000003</v>
      </c>
      <c r="O101" s="171">
        <v>604.11043000000006</v>
      </c>
      <c r="P101" s="170">
        <f t="shared" si="38"/>
        <v>6.5133200000000002E-2</v>
      </c>
      <c r="Q101" s="168">
        <v>46295</v>
      </c>
    </row>
    <row r="102" spans="1:17" ht="14.25">
      <c r="A102" t="s">
        <v>1213</v>
      </c>
      <c r="B102" t="s">
        <v>1241</v>
      </c>
      <c r="C102" s="108" t="s">
        <v>1068</v>
      </c>
      <c r="D102" t="s">
        <v>5144</v>
      </c>
      <c r="E102" t="s">
        <v>5145</v>
      </c>
      <c r="F102" t="s">
        <v>309</v>
      </c>
      <c r="G102" t="s">
        <v>5146</v>
      </c>
      <c r="H102" s="108">
        <v>74192</v>
      </c>
      <c r="I102" t="s">
        <v>314</v>
      </c>
      <c r="J102" t="s">
        <v>1216</v>
      </c>
      <c r="K102" s="168">
        <v>43761</v>
      </c>
      <c r="L102" s="131">
        <v>5000000</v>
      </c>
      <c r="M102" s="131">
        <f t="shared" si="39"/>
        <v>18550</v>
      </c>
      <c r="N102" s="131"/>
      <c r="O102" s="171"/>
      <c r="Q102" s="168"/>
    </row>
    <row r="103" spans="1:17" ht="14.25">
      <c r="A103" t="s">
        <v>1213</v>
      </c>
      <c r="B103" t="s">
        <v>1241</v>
      </c>
      <c r="C103" s="108" t="s">
        <v>1068</v>
      </c>
      <c r="E103" t="s">
        <v>5140</v>
      </c>
      <c r="F103" t="s">
        <v>311</v>
      </c>
      <c r="G103" t="s">
        <v>5141</v>
      </c>
      <c r="H103" s="108">
        <v>74193</v>
      </c>
      <c r="I103" t="s">
        <v>314</v>
      </c>
      <c r="J103" t="s">
        <v>1216</v>
      </c>
      <c r="K103" s="168">
        <v>43790</v>
      </c>
      <c r="L103" s="131">
        <v>5000000</v>
      </c>
      <c r="M103" s="131">
        <f t="shared" si="39"/>
        <v>18550</v>
      </c>
      <c r="N103" s="131">
        <f>O103/3.71</f>
        <v>131.24400000000003</v>
      </c>
      <c r="O103" s="171">
        <v>486.9152400000001</v>
      </c>
      <c r="P103" s="170">
        <f>O103/M103</f>
        <v>2.6248800000000006E-2</v>
      </c>
      <c r="Q103" s="168">
        <v>46347</v>
      </c>
    </row>
    <row r="104" spans="1:17" ht="14.25">
      <c r="A104" t="s">
        <v>1213</v>
      </c>
      <c r="B104" t="s">
        <v>1241</v>
      </c>
      <c r="C104" s="108" t="s">
        <v>1068</v>
      </c>
      <c r="D104" t="s">
        <v>5051</v>
      </c>
      <c r="E104" t="s">
        <v>5052</v>
      </c>
      <c r="F104" t="s">
        <v>309</v>
      </c>
      <c r="G104" t="s">
        <v>5053</v>
      </c>
      <c r="H104" s="108">
        <v>74196</v>
      </c>
      <c r="I104" t="s">
        <v>314</v>
      </c>
      <c r="J104" t="s">
        <v>1212</v>
      </c>
      <c r="K104" s="168">
        <v>43831</v>
      </c>
      <c r="L104" s="131">
        <v>46366453</v>
      </c>
      <c r="M104" s="131">
        <f>L104/1000</f>
        <v>46366.453000000001</v>
      </c>
      <c r="N104" s="131"/>
      <c r="O104" s="171"/>
      <c r="Q104" s="168"/>
    </row>
    <row r="105" spans="1:17" ht="14.25">
      <c r="A105" t="s">
        <v>1213</v>
      </c>
      <c r="B105" t="s">
        <v>1241</v>
      </c>
      <c r="C105" s="108" t="s">
        <v>1068</v>
      </c>
      <c r="E105" t="s">
        <v>5034</v>
      </c>
      <c r="F105" t="s">
        <v>311</v>
      </c>
      <c r="G105" t="s">
        <v>5035</v>
      </c>
      <c r="H105" s="108">
        <v>74197</v>
      </c>
      <c r="I105" t="s">
        <v>314</v>
      </c>
      <c r="J105" t="s">
        <v>1216</v>
      </c>
      <c r="K105" s="168">
        <v>43857</v>
      </c>
      <c r="L105" s="131">
        <v>5000000</v>
      </c>
      <c r="M105" s="131">
        <f>L105/1000*3.71</f>
        <v>18550</v>
      </c>
      <c r="N105" s="131"/>
      <c r="O105" s="171"/>
      <c r="Q105" s="168"/>
    </row>
    <row r="106" spans="1:17" ht="14.25">
      <c r="A106" t="s">
        <v>1213</v>
      </c>
      <c r="B106" t="s">
        <v>1241</v>
      </c>
      <c r="C106" s="108" t="s">
        <v>1068</v>
      </c>
      <c r="D106" t="s">
        <v>5000</v>
      </c>
      <c r="E106" t="s">
        <v>5001</v>
      </c>
      <c r="F106" t="s">
        <v>310</v>
      </c>
      <c r="G106" t="s">
        <v>5059</v>
      </c>
      <c r="H106" s="108">
        <v>74204</v>
      </c>
      <c r="I106" t="s">
        <v>314</v>
      </c>
      <c r="J106" t="s">
        <v>1212</v>
      </c>
      <c r="K106" s="168">
        <v>44084</v>
      </c>
      <c r="L106" s="131">
        <v>24960000</v>
      </c>
      <c r="M106" s="131">
        <f>L106/1000</f>
        <v>24960</v>
      </c>
      <c r="N106" s="131">
        <f>O106</f>
        <v>199.18299999999999</v>
      </c>
      <c r="O106" s="171">
        <v>199.18299999999999</v>
      </c>
      <c r="P106" s="170">
        <f>O106/M106</f>
        <v>7.9800881410256406E-3</v>
      </c>
      <c r="Q106" s="168">
        <v>46462</v>
      </c>
    </row>
    <row r="107" spans="1:17" ht="14.25">
      <c r="A107" t="s">
        <v>1213</v>
      </c>
      <c r="B107" t="s">
        <v>1241</v>
      </c>
      <c r="C107" s="108" t="s">
        <v>1068</v>
      </c>
      <c r="D107" t="s">
        <v>5117</v>
      </c>
      <c r="E107" t="s">
        <v>5118</v>
      </c>
      <c r="F107" t="s">
        <v>310</v>
      </c>
      <c r="G107" t="s">
        <v>5119</v>
      </c>
      <c r="H107" s="108">
        <v>74205</v>
      </c>
      <c r="I107" t="s">
        <v>314</v>
      </c>
      <c r="J107" t="s">
        <v>1218</v>
      </c>
      <c r="K107" s="168">
        <v>44159</v>
      </c>
      <c r="L107" s="131">
        <v>4060000</v>
      </c>
      <c r="M107" s="131">
        <f>L107/1000*4.1524</f>
        <v>16858.743999999999</v>
      </c>
      <c r="N107" s="131"/>
      <c r="O107" s="171"/>
      <c r="Q107" s="168"/>
    </row>
    <row r="108" spans="1:17" ht="14.25">
      <c r="A108" t="s">
        <v>1213</v>
      </c>
      <c r="B108" t="s">
        <v>1241</v>
      </c>
      <c r="C108" s="108" t="s">
        <v>1068</v>
      </c>
      <c r="E108" t="s">
        <v>5121</v>
      </c>
      <c r="F108" t="s">
        <v>311</v>
      </c>
      <c r="G108" t="s">
        <v>5122</v>
      </c>
      <c r="H108" s="108">
        <v>74207</v>
      </c>
      <c r="I108" t="s">
        <v>314</v>
      </c>
      <c r="J108" t="s">
        <v>1216</v>
      </c>
      <c r="K108" s="168">
        <v>44166</v>
      </c>
      <c r="L108" s="131">
        <v>10000000</v>
      </c>
      <c r="M108" s="131">
        <f t="shared" ref="M108:M109" si="40">L108/1000*3.71</f>
        <v>37100</v>
      </c>
      <c r="N108" s="131">
        <f>O108/3.71</f>
        <v>246.94882999999999</v>
      </c>
      <c r="O108" s="171">
        <v>916.1801592999999</v>
      </c>
      <c r="P108" s="170">
        <f>O108/M108</f>
        <v>2.4694882999999997E-2</v>
      </c>
      <c r="Q108" s="168">
        <v>45748</v>
      </c>
    </row>
    <row r="109" spans="1:17" ht="14.25">
      <c r="A109" t="s">
        <v>1213</v>
      </c>
      <c r="B109" t="s">
        <v>1241</v>
      </c>
      <c r="C109" s="108" t="s">
        <v>1068</v>
      </c>
      <c r="E109" t="s">
        <v>5027</v>
      </c>
      <c r="F109" t="s">
        <v>311</v>
      </c>
      <c r="G109" t="s">
        <v>5134</v>
      </c>
      <c r="H109" s="108">
        <v>74215</v>
      </c>
      <c r="I109" t="s">
        <v>314</v>
      </c>
      <c r="J109" t="s">
        <v>1216</v>
      </c>
      <c r="K109" s="168">
        <v>44308</v>
      </c>
      <c r="L109" s="131">
        <v>7000000</v>
      </c>
      <c r="M109" s="131">
        <f t="shared" si="40"/>
        <v>25970</v>
      </c>
      <c r="N109" s="131"/>
      <c r="O109" s="171"/>
      <c r="Q109" s="168"/>
    </row>
    <row r="110" spans="1:17" ht="14.25">
      <c r="A110" t="s">
        <v>1213</v>
      </c>
      <c r="B110" t="s">
        <v>1241</v>
      </c>
      <c r="C110" s="108" t="s">
        <v>1068</v>
      </c>
      <c r="D110" t="s">
        <v>5064</v>
      </c>
      <c r="E110" t="s">
        <v>5065</v>
      </c>
      <c r="F110" t="s">
        <v>309</v>
      </c>
      <c r="G110" t="s">
        <v>5066</v>
      </c>
      <c r="H110" s="108">
        <v>74217</v>
      </c>
      <c r="I110" t="s">
        <v>314</v>
      </c>
      <c r="J110" t="s">
        <v>1212</v>
      </c>
      <c r="K110" s="168">
        <v>44370</v>
      </c>
      <c r="L110" s="131">
        <v>80000000</v>
      </c>
      <c r="M110" s="131">
        <f t="shared" ref="M110:M114" si="41">L110/1000</f>
        <v>80000</v>
      </c>
      <c r="N110" s="131">
        <f t="shared" ref="N110:N111" si="42">O110</f>
        <v>909.80399999999997</v>
      </c>
      <c r="O110" s="171">
        <v>909.80399999999997</v>
      </c>
      <c r="P110" s="170">
        <f t="shared" ref="P110:P111" si="43">O110/M110</f>
        <v>1.137255E-2</v>
      </c>
      <c r="Q110" s="168">
        <v>46196</v>
      </c>
    </row>
    <row r="111" spans="1:17" ht="14.25">
      <c r="A111" t="s">
        <v>1213</v>
      </c>
      <c r="B111" t="s">
        <v>1241</v>
      </c>
      <c r="C111" s="108" t="s">
        <v>1068</v>
      </c>
      <c r="D111" t="s">
        <v>5061</v>
      </c>
      <c r="E111" t="s">
        <v>5062</v>
      </c>
      <c r="F111" t="s">
        <v>309</v>
      </c>
      <c r="G111" t="s">
        <v>5063</v>
      </c>
      <c r="H111" s="108">
        <v>74231</v>
      </c>
      <c r="I111" t="s">
        <v>314</v>
      </c>
      <c r="J111" t="s">
        <v>1212</v>
      </c>
      <c r="K111" s="168">
        <v>44591</v>
      </c>
      <c r="L111" s="131">
        <v>50000000</v>
      </c>
      <c r="M111" s="131">
        <f t="shared" si="41"/>
        <v>50000</v>
      </c>
      <c r="N111" s="131">
        <f t="shared" si="42"/>
        <v>1083.2448099999999</v>
      </c>
      <c r="O111" s="171">
        <v>1083.2448099999999</v>
      </c>
      <c r="P111" s="170">
        <f t="shared" si="43"/>
        <v>2.1664896199999999E-2</v>
      </c>
      <c r="Q111" s="168">
        <v>46204</v>
      </c>
    </row>
    <row r="112" spans="1:17" ht="14.25">
      <c r="A112" t="s">
        <v>1213</v>
      </c>
      <c r="B112" t="s">
        <v>1241</v>
      </c>
      <c r="C112" s="108" t="s">
        <v>1068</v>
      </c>
      <c r="D112" t="s">
        <v>5079</v>
      </c>
      <c r="E112" t="s">
        <v>5080</v>
      </c>
      <c r="F112" t="s">
        <v>309</v>
      </c>
      <c r="G112" t="s">
        <v>5081</v>
      </c>
      <c r="H112" s="108">
        <v>74233</v>
      </c>
      <c r="I112" t="s">
        <v>314</v>
      </c>
      <c r="J112" t="s">
        <v>1212</v>
      </c>
      <c r="K112" s="168">
        <v>44622</v>
      </c>
      <c r="L112" s="131">
        <v>45000000</v>
      </c>
      <c r="M112" s="131">
        <f t="shared" si="41"/>
        <v>45000</v>
      </c>
      <c r="N112" s="131"/>
      <c r="O112" s="171"/>
      <c r="Q112" s="168"/>
    </row>
    <row r="113" spans="1:17" ht="14.25">
      <c r="A113" t="s">
        <v>1213</v>
      </c>
      <c r="B113" t="s">
        <v>1241</v>
      </c>
      <c r="C113" s="108" t="s">
        <v>1068</v>
      </c>
      <c r="D113" t="s">
        <v>5085</v>
      </c>
      <c r="E113" t="s">
        <v>5086</v>
      </c>
      <c r="F113" t="s">
        <v>309</v>
      </c>
      <c r="G113" t="s">
        <v>5087</v>
      </c>
      <c r="H113" s="108">
        <v>74239</v>
      </c>
      <c r="I113" t="s">
        <v>314</v>
      </c>
      <c r="J113" t="s">
        <v>1212</v>
      </c>
      <c r="K113" s="168">
        <v>44741</v>
      </c>
      <c r="L113" s="131">
        <v>40000000</v>
      </c>
      <c r="M113" s="131">
        <f t="shared" si="41"/>
        <v>40000</v>
      </c>
      <c r="N113" s="131">
        <f t="shared" ref="N113:N114" si="44">O113</f>
        <v>712.93</v>
      </c>
      <c r="O113" s="171">
        <v>712.93</v>
      </c>
      <c r="P113" s="170">
        <f t="shared" ref="P113:P114" si="45">O113/M113</f>
        <v>1.7823249999999999E-2</v>
      </c>
      <c r="Q113" s="168">
        <v>46202</v>
      </c>
    </row>
    <row r="114" spans="1:17" ht="14.25">
      <c r="A114" t="s">
        <v>1213</v>
      </c>
      <c r="B114" t="s">
        <v>1241</v>
      </c>
      <c r="C114" s="108" t="s">
        <v>1068</v>
      </c>
      <c r="D114" t="s">
        <v>5082</v>
      </c>
      <c r="E114" t="s">
        <v>5083</v>
      </c>
      <c r="F114" t="s">
        <v>309</v>
      </c>
      <c r="G114" t="s">
        <v>5084</v>
      </c>
      <c r="H114" s="108">
        <v>74241</v>
      </c>
      <c r="I114" t="s">
        <v>314</v>
      </c>
      <c r="J114" t="s">
        <v>1212</v>
      </c>
      <c r="K114" s="168">
        <v>44752</v>
      </c>
      <c r="L114" s="131">
        <v>50000000</v>
      </c>
      <c r="M114" s="131">
        <f t="shared" si="41"/>
        <v>50000</v>
      </c>
      <c r="N114" s="131">
        <f t="shared" si="44"/>
        <v>685.49099999999999</v>
      </c>
      <c r="O114" s="171">
        <v>685.49099999999999</v>
      </c>
      <c r="P114" s="170">
        <f t="shared" si="45"/>
        <v>1.3709819999999999E-2</v>
      </c>
      <c r="Q114" s="168">
        <v>46213</v>
      </c>
    </row>
    <row r="115" spans="1:17" ht="14.25">
      <c r="A115" t="s">
        <v>1213</v>
      </c>
      <c r="B115" t="s">
        <v>1241</v>
      </c>
      <c r="C115" s="108" t="s">
        <v>1068</v>
      </c>
      <c r="E115" t="s">
        <v>3826</v>
      </c>
      <c r="F115" t="s">
        <v>311</v>
      </c>
      <c r="G115" t="s">
        <v>3825</v>
      </c>
      <c r="H115" s="108">
        <v>74242</v>
      </c>
      <c r="I115" t="s">
        <v>314</v>
      </c>
      <c r="J115" t="s">
        <v>1218</v>
      </c>
      <c r="K115" s="168">
        <v>44812</v>
      </c>
      <c r="L115" s="131">
        <v>5410840</v>
      </c>
      <c r="M115" s="131">
        <f>L115/1000*4.1524</f>
        <v>22467.972016</v>
      </c>
      <c r="N115" s="131"/>
      <c r="O115" s="171"/>
      <c r="Q115" s="168"/>
    </row>
    <row r="116" spans="1:17" ht="14.25">
      <c r="A116" t="s">
        <v>1213</v>
      </c>
      <c r="B116" t="s">
        <v>1241</v>
      </c>
      <c r="C116" s="108" t="s">
        <v>1068</v>
      </c>
      <c r="E116" t="s">
        <v>5138</v>
      </c>
      <c r="F116" t="s">
        <v>311</v>
      </c>
      <c r="G116" t="s">
        <v>5139</v>
      </c>
      <c r="H116" s="108">
        <v>74247</v>
      </c>
      <c r="I116" t="s">
        <v>314</v>
      </c>
      <c r="J116" t="s">
        <v>1227</v>
      </c>
      <c r="K116" s="168">
        <v>44938</v>
      </c>
      <c r="L116" s="131">
        <v>7500000</v>
      </c>
      <c r="M116" s="131">
        <f>L116/1000*4.9748</f>
        <v>37311</v>
      </c>
      <c r="N116" s="131">
        <f>O116/4.9748</f>
        <v>412.71500000000003</v>
      </c>
      <c r="O116" s="171">
        <v>2053.1745820000001</v>
      </c>
      <c r="P116" s="170">
        <f t="shared" ref="P116:P117" si="46">O116/M116</f>
        <v>5.502866666666667E-2</v>
      </c>
      <c r="Q116" s="168">
        <v>46022</v>
      </c>
    </row>
    <row r="117" spans="1:17" ht="14.25">
      <c r="A117" t="s">
        <v>1213</v>
      </c>
      <c r="B117" t="s">
        <v>1241</v>
      </c>
      <c r="C117" s="108" t="s">
        <v>1068</v>
      </c>
      <c r="D117" t="s">
        <v>4939</v>
      </c>
      <c r="E117" t="s">
        <v>4940</v>
      </c>
      <c r="F117" t="s">
        <v>309</v>
      </c>
      <c r="G117" t="s">
        <v>4955</v>
      </c>
      <c r="H117" s="108">
        <v>74252</v>
      </c>
      <c r="I117" t="s">
        <v>314</v>
      </c>
      <c r="J117" t="s">
        <v>1212</v>
      </c>
      <c r="K117" s="168">
        <v>45036</v>
      </c>
      <c r="L117" s="131">
        <v>62150000</v>
      </c>
      <c r="M117" s="131">
        <f t="shared" ref="M117:M118" si="47">L117/1000</f>
        <v>62150</v>
      </c>
      <c r="N117" s="131">
        <f>O117</f>
        <v>1342.607</v>
      </c>
      <c r="O117" s="171">
        <v>1342.607</v>
      </c>
      <c r="P117" s="170">
        <f t="shared" si="46"/>
        <v>2.1602687047465808E-2</v>
      </c>
      <c r="Q117" s="168">
        <v>48689</v>
      </c>
    </row>
    <row r="118" spans="1:17" ht="14.25">
      <c r="A118" t="s">
        <v>1213</v>
      </c>
      <c r="B118" t="s">
        <v>1242</v>
      </c>
      <c r="C118" s="108" t="s">
        <v>1068</v>
      </c>
      <c r="D118" t="s">
        <v>5047</v>
      </c>
      <c r="E118" t="s">
        <v>5048</v>
      </c>
      <c r="F118" t="s">
        <v>309</v>
      </c>
      <c r="G118" t="s">
        <v>5049</v>
      </c>
      <c r="H118" s="108" t="s">
        <v>5050</v>
      </c>
      <c r="I118" t="s">
        <v>321</v>
      </c>
      <c r="J118" t="s">
        <v>1212</v>
      </c>
      <c r="K118" s="168">
        <v>45565</v>
      </c>
      <c r="L118" s="131">
        <v>15000000</v>
      </c>
      <c r="M118" s="131">
        <f t="shared" si="47"/>
        <v>15000</v>
      </c>
      <c r="N118" s="131"/>
      <c r="O118" s="171"/>
      <c r="Q118" s="168"/>
    </row>
    <row r="119" spans="1:17" ht="14.25">
      <c r="A119" t="s">
        <v>1213</v>
      </c>
      <c r="B119" t="s">
        <v>1242</v>
      </c>
      <c r="C119" s="108" t="s">
        <v>1068</v>
      </c>
      <c r="D119" t="s">
        <v>5015</v>
      </c>
      <c r="E119" t="s">
        <v>5016</v>
      </c>
      <c r="F119" t="s">
        <v>309</v>
      </c>
      <c r="G119" t="s">
        <v>5017</v>
      </c>
      <c r="H119" s="108">
        <v>74173</v>
      </c>
      <c r="I119" t="s">
        <v>314</v>
      </c>
      <c r="J119" t="s">
        <v>1216</v>
      </c>
      <c r="K119" s="168">
        <v>43157</v>
      </c>
      <c r="L119" s="131">
        <v>5100000</v>
      </c>
      <c r="M119" s="131">
        <f>L119/1000*3.71</f>
        <v>18921</v>
      </c>
      <c r="N119" s="131">
        <f>O119/3.71</f>
        <v>1.3370000000000051</v>
      </c>
      <c r="O119" s="171">
        <v>4.9602700000000191</v>
      </c>
      <c r="P119" s="170">
        <f>O119/M119</f>
        <v>2.6215686274509904E-4</v>
      </c>
      <c r="Q119" s="168">
        <v>45347</v>
      </c>
    </row>
    <row r="120" spans="1:17" ht="14.25">
      <c r="A120" t="s">
        <v>1213</v>
      </c>
      <c r="B120" t="s">
        <v>1242</v>
      </c>
      <c r="C120" s="108" t="s">
        <v>1068</v>
      </c>
      <c r="D120" t="s">
        <v>5019</v>
      </c>
      <c r="E120" t="s">
        <v>5020</v>
      </c>
      <c r="F120" t="s">
        <v>309</v>
      </c>
      <c r="G120" t="s">
        <v>5021</v>
      </c>
      <c r="H120" s="108">
        <v>74177</v>
      </c>
      <c r="I120" t="s">
        <v>314</v>
      </c>
      <c r="J120" t="s">
        <v>1212</v>
      </c>
      <c r="K120" s="168">
        <v>43312</v>
      </c>
      <c r="L120" s="131">
        <v>20000000</v>
      </c>
      <c r="M120" s="131">
        <f>L120/1000</f>
        <v>20000</v>
      </c>
      <c r="N120" s="131"/>
      <c r="O120" s="171"/>
      <c r="Q120" s="168"/>
    </row>
    <row r="121" spans="1:17" ht="14.25">
      <c r="A121" t="s">
        <v>1213</v>
      </c>
      <c r="B121" t="s">
        <v>1242</v>
      </c>
      <c r="C121" s="108" t="s">
        <v>1068</v>
      </c>
      <c r="E121" t="s">
        <v>5044</v>
      </c>
      <c r="F121" t="s">
        <v>311</v>
      </c>
      <c r="G121" t="s">
        <v>5045</v>
      </c>
      <c r="H121" s="108">
        <v>74188</v>
      </c>
      <c r="I121" t="s">
        <v>314</v>
      </c>
      <c r="J121" t="s">
        <v>1216</v>
      </c>
      <c r="K121" s="168">
        <v>43578</v>
      </c>
      <c r="L121" s="131">
        <v>6000000</v>
      </c>
      <c r="M121" s="131">
        <f t="shared" ref="M121:M122" si="48">L121/1000*3.71</f>
        <v>22260</v>
      </c>
      <c r="N121" s="131"/>
      <c r="O121" s="171"/>
      <c r="Q121" s="168"/>
    </row>
    <row r="122" spans="1:17" ht="14.25">
      <c r="A122" t="s">
        <v>1213</v>
      </c>
      <c r="B122" t="s">
        <v>1242</v>
      </c>
      <c r="C122" s="108" t="s">
        <v>1068</v>
      </c>
      <c r="D122" t="s">
        <v>5023</v>
      </c>
      <c r="E122" t="s">
        <v>5024</v>
      </c>
      <c r="F122" t="s">
        <v>309</v>
      </c>
      <c r="G122" t="s">
        <v>5025</v>
      </c>
      <c r="H122" s="108">
        <v>74189</v>
      </c>
      <c r="I122" t="s">
        <v>314</v>
      </c>
      <c r="J122" t="s">
        <v>1216</v>
      </c>
      <c r="K122" s="168">
        <v>43586</v>
      </c>
      <c r="L122" s="131">
        <v>6415000</v>
      </c>
      <c r="M122" s="131">
        <f t="shared" si="48"/>
        <v>23799.65</v>
      </c>
      <c r="N122" s="131"/>
      <c r="O122" s="171"/>
      <c r="Q122" s="168"/>
    </row>
    <row r="123" spans="1:17" ht="14.25">
      <c r="A123" t="s">
        <v>1213</v>
      </c>
      <c r="B123" t="s">
        <v>1242</v>
      </c>
      <c r="C123" s="108" t="s">
        <v>1068</v>
      </c>
      <c r="D123" t="s">
        <v>5051</v>
      </c>
      <c r="E123" t="s">
        <v>5052</v>
      </c>
      <c r="F123" t="s">
        <v>309</v>
      </c>
      <c r="G123" t="s">
        <v>5053</v>
      </c>
      <c r="H123" s="108">
        <v>74196</v>
      </c>
      <c r="I123" t="s">
        <v>314</v>
      </c>
      <c r="J123" t="s">
        <v>1212</v>
      </c>
      <c r="K123" s="168">
        <v>43831</v>
      </c>
      <c r="L123" s="131">
        <v>46366453</v>
      </c>
      <c r="M123" s="131">
        <f t="shared" ref="M123:M124" si="49">L123/1000</f>
        <v>46366.453000000001</v>
      </c>
      <c r="N123" s="131"/>
      <c r="O123" s="171"/>
      <c r="Q123" s="168"/>
    </row>
    <row r="124" spans="1:17" ht="14.25">
      <c r="A124" t="s">
        <v>1213</v>
      </c>
      <c r="B124" t="s">
        <v>1242</v>
      </c>
      <c r="C124" s="108" t="s">
        <v>1068</v>
      </c>
      <c r="D124" t="s">
        <v>5000</v>
      </c>
      <c r="E124" t="s">
        <v>5001</v>
      </c>
      <c r="F124" t="s">
        <v>310</v>
      </c>
      <c r="G124" t="s">
        <v>5059</v>
      </c>
      <c r="H124" s="108">
        <v>74204</v>
      </c>
      <c r="I124" t="s">
        <v>314</v>
      </c>
      <c r="J124" t="s">
        <v>1212</v>
      </c>
      <c r="K124" s="168">
        <v>44084</v>
      </c>
      <c r="L124" s="131">
        <v>24960000</v>
      </c>
      <c r="M124" s="131">
        <f t="shared" si="49"/>
        <v>24960</v>
      </c>
      <c r="N124" s="131">
        <f>O124</f>
        <v>60.17</v>
      </c>
      <c r="O124" s="171">
        <v>60.17</v>
      </c>
      <c r="P124" s="170">
        <f>O124/M124</f>
        <v>2.4106570512820512E-3</v>
      </c>
      <c r="Q124" s="168">
        <v>46462</v>
      </c>
    </row>
    <row r="125" spans="1:17" ht="14.25">
      <c r="A125" t="s">
        <v>1213</v>
      </c>
      <c r="B125" t="s">
        <v>1242</v>
      </c>
      <c r="C125" s="108" t="s">
        <v>1068</v>
      </c>
      <c r="D125" t="s">
        <v>5117</v>
      </c>
      <c r="E125" t="s">
        <v>5118</v>
      </c>
      <c r="F125" t="s">
        <v>310</v>
      </c>
      <c r="G125" t="s">
        <v>5119</v>
      </c>
      <c r="H125" s="108">
        <v>74205</v>
      </c>
      <c r="I125" t="s">
        <v>314</v>
      </c>
      <c r="J125" t="s">
        <v>1218</v>
      </c>
      <c r="K125" s="168">
        <v>44159</v>
      </c>
      <c r="L125" s="131">
        <v>4060000</v>
      </c>
      <c r="M125" s="131">
        <f>L125/1000*4.1524</f>
        <v>16858.743999999999</v>
      </c>
      <c r="N125" s="131"/>
      <c r="O125" s="171"/>
      <c r="Q125" s="168"/>
    </row>
    <row r="126" spans="1:17" ht="14.25">
      <c r="A126" t="s">
        <v>1213</v>
      </c>
      <c r="B126" t="s">
        <v>1242</v>
      </c>
      <c r="C126" s="108" t="s">
        <v>1068</v>
      </c>
      <c r="E126" t="s">
        <v>5121</v>
      </c>
      <c r="F126" t="s">
        <v>311</v>
      </c>
      <c r="G126" t="s">
        <v>5122</v>
      </c>
      <c r="H126" s="108">
        <v>74207</v>
      </c>
      <c r="I126" t="s">
        <v>314</v>
      </c>
      <c r="J126" t="s">
        <v>1216</v>
      </c>
      <c r="K126" s="168">
        <v>44166</v>
      </c>
      <c r="L126" s="131">
        <v>10000000</v>
      </c>
      <c r="M126" s="131">
        <f t="shared" ref="M126:M130" si="50">L126/1000*3.71</f>
        <v>37100</v>
      </c>
      <c r="N126" s="131">
        <f>O126/3.71</f>
        <v>88.970400000000012</v>
      </c>
      <c r="O126" s="171">
        <v>330.08018400000003</v>
      </c>
      <c r="P126" s="170">
        <f>O126/M126</f>
        <v>8.8970400000000002E-3</v>
      </c>
      <c r="Q126" s="168">
        <v>45748</v>
      </c>
    </row>
    <row r="127" spans="1:17" ht="14.25">
      <c r="A127" t="s">
        <v>1213</v>
      </c>
      <c r="B127" t="s">
        <v>1242</v>
      </c>
      <c r="C127" s="108" t="s">
        <v>1068</v>
      </c>
      <c r="E127" t="s">
        <v>5027</v>
      </c>
      <c r="F127" t="s">
        <v>311</v>
      </c>
      <c r="G127" t="s">
        <v>5134</v>
      </c>
      <c r="H127" s="108">
        <v>74215</v>
      </c>
      <c r="I127" t="s">
        <v>314</v>
      </c>
      <c r="J127" t="s">
        <v>1216</v>
      </c>
      <c r="K127" s="168">
        <v>44308</v>
      </c>
      <c r="L127" s="131">
        <v>7000000</v>
      </c>
      <c r="M127" s="131">
        <f t="shared" si="50"/>
        <v>25970</v>
      </c>
      <c r="N127" s="131"/>
      <c r="O127" s="171"/>
      <c r="Q127" s="168"/>
    </row>
    <row r="128" spans="1:17" ht="14.25">
      <c r="A128" t="s">
        <v>1213</v>
      </c>
      <c r="B128" t="s">
        <v>1242</v>
      </c>
      <c r="C128" s="108" t="s">
        <v>1068</v>
      </c>
      <c r="E128" t="s">
        <v>5036</v>
      </c>
      <c r="F128" t="s">
        <v>311</v>
      </c>
      <c r="G128" t="s">
        <v>5136</v>
      </c>
      <c r="H128" s="108">
        <v>74216</v>
      </c>
      <c r="I128" t="s">
        <v>314</v>
      </c>
      <c r="J128" t="s">
        <v>1216</v>
      </c>
      <c r="K128" s="168">
        <v>44371</v>
      </c>
      <c r="L128" s="131">
        <v>8000000</v>
      </c>
      <c r="M128" s="131">
        <f t="shared" si="50"/>
        <v>29680</v>
      </c>
      <c r="N128" s="131">
        <f t="shared" ref="N128:N130" si="51">O128/3.71</f>
        <v>128.614</v>
      </c>
      <c r="O128" s="171">
        <v>477.15794000000005</v>
      </c>
      <c r="P128" s="170">
        <f t="shared" ref="P128:P130" si="52">O128/M128</f>
        <v>1.6076750000000001E-2</v>
      </c>
      <c r="Q128" s="168">
        <v>46197</v>
      </c>
    </row>
    <row r="129" spans="1:17" ht="14.25">
      <c r="A129" t="s">
        <v>1213</v>
      </c>
      <c r="B129" t="s">
        <v>1242</v>
      </c>
      <c r="C129" s="108" t="s">
        <v>1068</v>
      </c>
      <c r="D129" t="s">
        <v>5088</v>
      </c>
      <c r="E129" t="s">
        <v>5089</v>
      </c>
      <c r="F129" t="s">
        <v>309</v>
      </c>
      <c r="G129" t="s">
        <v>5090</v>
      </c>
      <c r="H129" s="108">
        <v>74221</v>
      </c>
      <c r="I129" t="s">
        <v>314</v>
      </c>
      <c r="J129" t="s">
        <v>1216</v>
      </c>
      <c r="K129" s="168">
        <v>44409</v>
      </c>
      <c r="L129" s="131">
        <v>8000000</v>
      </c>
      <c r="M129" s="131">
        <f t="shared" si="50"/>
        <v>29680</v>
      </c>
      <c r="N129" s="131">
        <f t="shared" si="51"/>
        <v>148.85099999999997</v>
      </c>
      <c r="O129" s="171">
        <v>552.23720999999989</v>
      </c>
      <c r="P129" s="170">
        <f t="shared" si="52"/>
        <v>1.8606374999999998E-2</v>
      </c>
      <c r="Q129" s="168">
        <v>47150</v>
      </c>
    </row>
    <row r="130" spans="1:17" ht="14.25">
      <c r="A130" t="s">
        <v>1213</v>
      </c>
      <c r="B130" t="s">
        <v>1242</v>
      </c>
      <c r="C130" s="108" t="s">
        <v>1068</v>
      </c>
      <c r="D130" t="s">
        <v>5076</v>
      </c>
      <c r="E130" t="s">
        <v>5077</v>
      </c>
      <c r="F130" t="s">
        <v>309</v>
      </c>
      <c r="G130" t="s">
        <v>5078</v>
      </c>
      <c r="H130" s="108">
        <v>74228</v>
      </c>
      <c r="I130" t="s">
        <v>314</v>
      </c>
      <c r="J130" t="s">
        <v>1216</v>
      </c>
      <c r="K130" s="168">
        <v>44560</v>
      </c>
      <c r="L130" s="131">
        <v>10000000</v>
      </c>
      <c r="M130" s="131">
        <f t="shared" si="50"/>
        <v>37100</v>
      </c>
      <c r="N130" s="131">
        <f t="shared" si="51"/>
        <v>115.79700000000004</v>
      </c>
      <c r="O130" s="171">
        <v>429.60687000000013</v>
      </c>
      <c r="P130" s="170">
        <f t="shared" si="52"/>
        <v>1.1579700000000004E-2</v>
      </c>
      <c r="Q130" s="168">
        <v>46751</v>
      </c>
    </row>
    <row r="131" spans="1:17" ht="14.25">
      <c r="A131" t="s">
        <v>1213</v>
      </c>
      <c r="B131" t="s">
        <v>1242</v>
      </c>
      <c r="C131" s="108" t="s">
        <v>1068</v>
      </c>
      <c r="D131" t="s">
        <v>5079</v>
      </c>
      <c r="E131" t="s">
        <v>5080</v>
      </c>
      <c r="F131" t="s">
        <v>309</v>
      </c>
      <c r="G131" t="s">
        <v>5081</v>
      </c>
      <c r="H131" s="108">
        <v>74233</v>
      </c>
      <c r="I131" t="s">
        <v>314</v>
      </c>
      <c r="J131" t="s">
        <v>1212</v>
      </c>
      <c r="K131" s="168">
        <v>44622</v>
      </c>
      <c r="L131" s="131">
        <v>30000000</v>
      </c>
      <c r="M131" s="131">
        <f>L131/1000</f>
        <v>30000</v>
      </c>
      <c r="N131" s="131"/>
      <c r="O131" s="171"/>
      <c r="Q131" s="168"/>
    </row>
    <row r="132" spans="1:17" ht="14.25">
      <c r="A132" t="s">
        <v>1213</v>
      </c>
      <c r="B132" t="s">
        <v>1242</v>
      </c>
      <c r="C132" s="108" t="s">
        <v>1068</v>
      </c>
      <c r="E132" t="s">
        <v>5027</v>
      </c>
      <c r="F132" t="s">
        <v>311</v>
      </c>
      <c r="G132" t="s">
        <v>5137</v>
      </c>
      <c r="H132" s="108">
        <v>74235</v>
      </c>
      <c r="I132" t="s">
        <v>314</v>
      </c>
      <c r="J132" t="s">
        <v>1216</v>
      </c>
      <c r="K132" s="168">
        <v>44712</v>
      </c>
      <c r="L132" s="131">
        <v>5000000</v>
      </c>
      <c r="M132" s="131">
        <f>L132/1000*3.71</f>
        <v>18550</v>
      </c>
      <c r="N132" s="131"/>
      <c r="O132" s="171"/>
      <c r="Q132" s="168"/>
    </row>
    <row r="133" spans="1:17" ht="14.25">
      <c r="A133" t="s">
        <v>1213</v>
      </c>
      <c r="B133" t="s">
        <v>1242</v>
      </c>
      <c r="C133" s="108" t="s">
        <v>1068</v>
      </c>
      <c r="D133" t="s">
        <v>5130</v>
      </c>
      <c r="E133" t="s">
        <v>5131</v>
      </c>
      <c r="F133" t="s">
        <v>311</v>
      </c>
      <c r="G133" t="s">
        <v>5132</v>
      </c>
      <c r="H133" s="108">
        <v>74237</v>
      </c>
      <c r="I133" t="s">
        <v>314</v>
      </c>
      <c r="J133" t="s">
        <v>1227</v>
      </c>
      <c r="K133" s="168">
        <v>44721</v>
      </c>
      <c r="L133" s="131">
        <v>7000000</v>
      </c>
      <c r="M133" s="131">
        <f>L133/1000*4.9748</f>
        <v>34823.599999999999</v>
      </c>
      <c r="N133" s="131">
        <f>O133/4.9748</f>
        <v>0.67399999999995786</v>
      </c>
      <c r="O133" s="171">
        <v>3.3530151999997906</v>
      </c>
      <c r="P133" s="170">
        <f t="shared" ref="P133:P137" si="53">O133/M133</f>
        <v>9.6285714285708276E-5</v>
      </c>
      <c r="Q133" s="168">
        <v>47635</v>
      </c>
    </row>
    <row r="134" spans="1:17" ht="14.25">
      <c r="A134" t="s">
        <v>1213</v>
      </c>
      <c r="B134" t="s">
        <v>1242</v>
      </c>
      <c r="C134" s="108" t="s">
        <v>1068</v>
      </c>
      <c r="D134" t="s">
        <v>5070</v>
      </c>
      <c r="E134" t="s">
        <v>5071</v>
      </c>
      <c r="F134" t="s">
        <v>310</v>
      </c>
      <c r="G134" t="s">
        <v>5072</v>
      </c>
      <c r="H134" s="108">
        <v>74238</v>
      </c>
      <c r="I134" t="s">
        <v>314</v>
      </c>
      <c r="J134" t="s">
        <v>1212</v>
      </c>
      <c r="K134" s="168">
        <v>44721</v>
      </c>
      <c r="L134" s="131">
        <v>40000000</v>
      </c>
      <c r="M134" s="131">
        <f t="shared" ref="M134:M135" si="54">L134/1000</f>
        <v>40000</v>
      </c>
      <c r="N134" s="131">
        <f t="shared" ref="N134:N135" si="55">O134</f>
        <v>316.714</v>
      </c>
      <c r="O134" s="171">
        <v>316.714</v>
      </c>
      <c r="P134" s="170">
        <f t="shared" si="53"/>
        <v>7.9178500000000006E-3</v>
      </c>
      <c r="Q134" s="168">
        <v>46182</v>
      </c>
    </row>
    <row r="135" spans="1:17" ht="14.25">
      <c r="A135" t="s">
        <v>1213</v>
      </c>
      <c r="B135" t="s">
        <v>1242</v>
      </c>
      <c r="C135" s="108" t="s">
        <v>1068</v>
      </c>
      <c r="D135" t="s">
        <v>5085</v>
      </c>
      <c r="E135" t="s">
        <v>5086</v>
      </c>
      <c r="F135" t="s">
        <v>309</v>
      </c>
      <c r="G135" t="s">
        <v>5087</v>
      </c>
      <c r="H135" s="108">
        <v>74239</v>
      </c>
      <c r="I135" t="s">
        <v>314</v>
      </c>
      <c r="J135" t="s">
        <v>1212</v>
      </c>
      <c r="K135" s="168">
        <v>44741</v>
      </c>
      <c r="L135" s="131">
        <v>40000000</v>
      </c>
      <c r="M135" s="131">
        <f t="shared" si="54"/>
        <v>40000</v>
      </c>
      <c r="N135" s="131">
        <f t="shared" si="55"/>
        <v>509.90800000000002</v>
      </c>
      <c r="O135" s="171">
        <v>509.90800000000002</v>
      </c>
      <c r="P135" s="170">
        <f t="shared" si="53"/>
        <v>1.2747700000000001E-2</v>
      </c>
      <c r="Q135" s="168">
        <v>46202</v>
      </c>
    </row>
    <row r="136" spans="1:17" ht="14.25">
      <c r="A136" t="s">
        <v>1213</v>
      </c>
      <c r="B136" t="s">
        <v>1242</v>
      </c>
      <c r="C136" s="108" t="s">
        <v>1068</v>
      </c>
      <c r="E136" t="s">
        <v>5115</v>
      </c>
      <c r="F136" t="s">
        <v>309</v>
      </c>
      <c r="G136" t="s">
        <v>5116</v>
      </c>
      <c r="H136" s="108">
        <v>74240</v>
      </c>
      <c r="I136" t="s">
        <v>314</v>
      </c>
      <c r="J136" t="s">
        <v>1218</v>
      </c>
      <c r="K136" s="168">
        <v>44748</v>
      </c>
      <c r="L136" s="131">
        <v>10000000</v>
      </c>
      <c r="M136" s="131">
        <f>L136/1000*4.1524</f>
        <v>41524</v>
      </c>
      <c r="N136" s="131">
        <f>O136/4.1254</f>
        <v>20.124858195568915</v>
      </c>
      <c r="O136" s="171">
        <f>83023.09/1000</f>
        <v>83.023089999999996</v>
      </c>
      <c r="P136" s="170">
        <f t="shared" si="53"/>
        <v>1.9994001059628168E-3</v>
      </c>
      <c r="Q136" s="168">
        <v>45844</v>
      </c>
    </row>
    <row r="137" spans="1:17" ht="14.25">
      <c r="A137" t="s">
        <v>1213</v>
      </c>
      <c r="B137" t="s">
        <v>1242</v>
      </c>
      <c r="C137" s="108" t="s">
        <v>1068</v>
      </c>
      <c r="D137" t="s">
        <v>5082</v>
      </c>
      <c r="E137" t="s">
        <v>5083</v>
      </c>
      <c r="F137" t="s">
        <v>309</v>
      </c>
      <c r="G137" t="s">
        <v>5084</v>
      </c>
      <c r="H137" s="108">
        <v>74241</v>
      </c>
      <c r="I137" t="s">
        <v>314</v>
      </c>
      <c r="J137" t="s">
        <v>1212</v>
      </c>
      <c r="K137" s="168">
        <v>44752</v>
      </c>
      <c r="L137" s="131">
        <v>50000000</v>
      </c>
      <c r="M137" s="131">
        <f>L137/1000</f>
        <v>50000</v>
      </c>
      <c r="N137" s="131">
        <f>O137</f>
        <v>488.255</v>
      </c>
      <c r="O137" s="171">
        <v>488.255</v>
      </c>
      <c r="P137" s="170">
        <f t="shared" si="53"/>
        <v>9.7651000000000005E-3</v>
      </c>
      <c r="Q137" s="168">
        <v>46213</v>
      </c>
    </row>
    <row r="138" spans="1:17" ht="14.25">
      <c r="A138" t="s">
        <v>1213</v>
      </c>
      <c r="B138" t="s">
        <v>1242</v>
      </c>
      <c r="C138" s="108" t="s">
        <v>1068</v>
      </c>
      <c r="E138" t="s">
        <v>3826</v>
      </c>
      <c r="F138" t="s">
        <v>311</v>
      </c>
      <c r="G138" t="s">
        <v>3825</v>
      </c>
      <c r="H138" s="108">
        <v>74242</v>
      </c>
      <c r="I138" t="s">
        <v>314</v>
      </c>
      <c r="J138" t="s">
        <v>1218</v>
      </c>
      <c r="K138" s="168">
        <v>44812</v>
      </c>
      <c r="L138" s="131">
        <v>5410840</v>
      </c>
      <c r="M138" s="131">
        <f>L138/1000*4.1524</f>
        <v>22467.972016</v>
      </c>
      <c r="N138" s="131"/>
      <c r="O138" s="171"/>
      <c r="Q138" s="168"/>
    </row>
    <row r="139" spans="1:17" ht="14.25">
      <c r="A139" t="s">
        <v>1213</v>
      </c>
      <c r="B139" t="s">
        <v>1242</v>
      </c>
      <c r="C139" s="108" t="s">
        <v>1068</v>
      </c>
      <c r="D139" t="s">
        <v>5105</v>
      </c>
      <c r="E139" t="s">
        <v>5106</v>
      </c>
      <c r="F139" t="s">
        <v>311</v>
      </c>
      <c r="G139" t="s">
        <v>5107</v>
      </c>
      <c r="H139" s="108">
        <v>74243</v>
      </c>
      <c r="I139" t="s">
        <v>314</v>
      </c>
      <c r="J139" t="s">
        <v>1216</v>
      </c>
      <c r="K139" s="168">
        <v>44823</v>
      </c>
      <c r="L139" s="131">
        <v>6000000</v>
      </c>
      <c r="M139" s="131">
        <f>L139/1000*3.71</f>
        <v>22260</v>
      </c>
      <c r="N139" s="131">
        <f>O139/3.71</f>
        <v>77.773999999999987</v>
      </c>
      <c r="O139" s="171">
        <v>288.54153999999994</v>
      </c>
      <c r="P139" s="170">
        <f t="shared" ref="P139:P140" si="56">O139/M139</f>
        <v>1.2962333333333331E-2</v>
      </c>
      <c r="Q139" s="168">
        <v>46284</v>
      </c>
    </row>
    <row r="140" spans="1:17" ht="14.25">
      <c r="A140" t="s">
        <v>1213</v>
      </c>
      <c r="B140" t="s">
        <v>1242</v>
      </c>
      <c r="C140" s="108" t="s">
        <v>1068</v>
      </c>
      <c r="E140" t="s">
        <v>5138</v>
      </c>
      <c r="F140" t="s">
        <v>311</v>
      </c>
      <c r="G140" t="s">
        <v>5139</v>
      </c>
      <c r="H140" s="108">
        <v>74247</v>
      </c>
      <c r="I140" t="s">
        <v>314</v>
      </c>
      <c r="J140" t="s">
        <v>1227</v>
      </c>
      <c r="K140" s="168">
        <v>44938</v>
      </c>
      <c r="L140" s="131">
        <v>7500000</v>
      </c>
      <c r="M140" s="131">
        <f>L140/1000*4.9748</f>
        <v>37311</v>
      </c>
      <c r="N140" s="131">
        <f>O140/4.9748</f>
        <v>299.351</v>
      </c>
      <c r="O140" s="171">
        <v>1489.2113548</v>
      </c>
      <c r="P140" s="170">
        <f t="shared" si="56"/>
        <v>3.9913466666666668E-2</v>
      </c>
      <c r="Q140" s="168">
        <v>46022</v>
      </c>
    </row>
    <row r="141" spans="1:17" ht="14.25">
      <c r="A141" t="s">
        <v>1213</v>
      </c>
      <c r="B141" t="s">
        <v>1242</v>
      </c>
      <c r="C141" s="108" t="s">
        <v>1068</v>
      </c>
      <c r="E141" t="s">
        <v>5067</v>
      </c>
      <c r="F141" t="s">
        <v>309</v>
      </c>
      <c r="G141" t="s">
        <v>5068</v>
      </c>
      <c r="H141" s="108">
        <v>74249</v>
      </c>
      <c r="I141" t="s">
        <v>314</v>
      </c>
      <c r="J141" t="s">
        <v>1212</v>
      </c>
      <c r="K141" s="168">
        <v>45006</v>
      </c>
      <c r="L141" s="131">
        <v>70000000</v>
      </c>
      <c r="M141" s="131">
        <f t="shared" ref="M141:M142" si="57">L141/1000</f>
        <v>70000</v>
      </c>
      <c r="N141" s="131"/>
      <c r="O141" s="171"/>
      <c r="Q141" s="168"/>
    </row>
    <row r="142" spans="1:17" ht="14.25">
      <c r="A142" t="s">
        <v>1213</v>
      </c>
      <c r="B142" t="s">
        <v>1242</v>
      </c>
      <c r="C142" s="108" t="s">
        <v>1068</v>
      </c>
      <c r="D142" t="s">
        <v>4939</v>
      </c>
      <c r="E142" t="s">
        <v>4940</v>
      </c>
      <c r="F142" t="s">
        <v>309</v>
      </c>
      <c r="G142" t="s">
        <v>4955</v>
      </c>
      <c r="H142" s="108">
        <v>74252</v>
      </c>
      <c r="I142" t="s">
        <v>314</v>
      </c>
      <c r="J142" t="s">
        <v>1212</v>
      </c>
      <c r="K142" s="168">
        <v>45036</v>
      </c>
      <c r="L142" s="131">
        <v>62150000</v>
      </c>
      <c r="M142" s="131">
        <f t="shared" si="57"/>
        <v>62150</v>
      </c>
      <c r="N142" s="131">
        <f>O142</f>
        <v>1338.4639999999999</v>
      </c>
      <c r="O142" s="171">
        <v>1338.4639999999999</v>
      </c>
      <c r="P142" s="170">
        <f t="shared" ref="P142:P144" si="58">O142/M142</f>
        <v>2.1536025744167336E-2</v>
      </c>
      <c r="Q142" s="168">
        <v>48689</v>
      </c>
    </row>
    <row r="143" spans="1:17" ht="14.25">
      <c r="A143" t="s">
        <v>1213</v>
      </c>
      <c r="B143" t="s">
        <v>1242</v>
      </c>
      <c r="C143" s="108" t="s">
        <v>1068</v>
      </c>
      <c r="E143" t="s">
        <v>4943</v>
      </c>
      <c r="F143" t="s">
        <v>309</v>
      </c>
      <c r="G143" t="s">
        <v>4944</v>
      </c>
      <c r="H143" s="108">
        <v>74254</v>
      </c>
      <c r="I143" t="s">
        <v>314</v>
      </c>
      <c r="J143" t="s">
        <v>1216</v>
      </c>
      <c r="K143" s="168">
        <v>45124</v>
      </c>
      <c r="L143" s="131">
        <v>7006080</v>
      </c>
      <c r="M143" s="131">
        <f>L143/1000*3.71</f>
        <v>25992.556799999998</v>
      </c>
      <c r="N143" s="131">
        <f>O143/3.71</f>
        <v>158.875</v>
      </c>
      <c r="O143" s="171">
        <v>589.42624999999998</v>
      </c>
      <c r="P143" s="170">
        <f t="shared" si="58"/>
        <v>2.2676732209737829E-2</v>
      </c>
      <c r="Q143" s="168">
        <v>46220</v>
      </c>
    </row>
    <row r="144" spans="1:17" ht="14.25">
      <c r="A144" t="s">
        <v>1213</v>
      </c>
      <c r="B144" t="s">
        <v>1242</v>
      </c>
      <c r="C144" s="108" t="s">
        <v>1068</v>
      </c>
      <c r="D144" t="s">
        <v>4988</v>
      </c>
      <c r="E144" t="s">
        <v>4989</v>
      </c>
      <c r="F144" t="s">
        <v>309</v>
      </c>
      <c r="G144" t="s">
        <v>4990</v>
      </c>
      <c r="H144" s="108">
        <v>74255</v>
      </c>
      <c r="I144" t="s">
        <v>314</v>
      </c>
      <c r="J144" t="s">
        <v>1227</v>
      </c>
      <c r="K144" s="168">
        <v>45208</v>
      </c>
      <c r="L144" s="131">
        <v>5000000</v>
      </c>
      <c r="M144" s="131">
        <f>L144/1000*4.9748</f>
        <v>24874</v>
      </c>
      <c r="N144" s="131">
        <f>O144/4.9748</f>
        <v>109.90699999999998</v>
      </c>
      <c r="O144" s="171">
        <v>546.76534359999994</v>
      </c>
      <c r="P144" s="170">
        <f t="shared" si="58"/>
        <v>2.1981399999999998E-2</v>
      </c>
      <c r="Q144" s="168">
        <v>46235</v>
      </c>
    </row>
    <row r="145" spans="1:17" ht="14.25">
      <c r="A145" t="s">
        <v>1213</v>
      </c>
      <c r="B145" t="s">
        <v>1242</v>
      </c>
      <c r="C145" s="108" t="s">
        <v>1068</v>
      </c>
      <c r="D145" t="s">
        <v>5127</v>
      </c>
      <c r="E145" t="s">
        <v>5128</v>
      </c>
      <c r="F145" t="s">
        <v>310</v>
      </c>
      <c r="G145" t="s">
        <v>5129</v>
      </c>
      <c r="H145" s="108">
        <v>74256</v>
      </c>
      <c r="I145" t="s">
        <v>314</v>
      </c>
      <c r="J145" t="s">
        <v>1218</v>
      </c>
      <c r="K145" s="168">
        <v>45166</v>
      </c>
      <c r="L145" s="131">
        <v>8000000</v>
      </c>
      <c r="M145" s="131">
        <f>L145/1000*4.1524</f>
        <v>33219.199999999997</v>
      </c>
      <c r="N145" s="131"/>
      <c r="O145" s="171"/>
      <c r="Q145" s="168"/>
    </row>
    <row r="146" spans="1:17" ht="14.25">
      <c r="A146" t="s">
        <v>1213</v>
      </c>
      <c r="B146" t="s">
        <v>1242</v>
      </c>
      <c r="C146" s="108" t="s">
        <v>1068</v>
      </c>
      <c r="D146" t="s">
        <v>4992</v>
      </c>
      <c r="E146" t="s">
        <v>4993</v>
      </c>
      <c r="F146" t="s">
        <v>311</v>
      </c>
      <c r="G146" t="s">
        <v>4996</v>
      </c>
      <c r="H146" s="108">
        <v>74266</v>
      </c>
      <c r="I146" t="s">
        <v>314</v>
      </c>
      <c r="J146" t="s">
        <v>1216</v>
      </c>
      <c r="K146" s="168">
        <v>45400</v>
      </c>
      <c r="L146" s="131">
        <v>2500000</v>
      </c>
      <c r="M146" s="131">
        <f>L146/1000*3.71</f>
        <v>9275</v>
      </c>
      <c r="N146" s="131">
        <f>O146/3.71</f>
        <v>68.983000000000004</v>
      </c>
      <c r="O146" s="171">
        <v>255.92693</v>
      </c>
      <c r="P146" s="170">
        <f t="shared" ref="P146:P148" si="59">O146/M146</f>
        <v>2.7593199999999998E-2</v>
      </c>
      <c r="Q146" s="168">
        <v>46495</v>
      </c>
    </row>
    <row r="147" spans="1:17" ht="14.25">
      <c r="A147" t="s">
        <v>1213</v>
      </c>
      <c r="B147" t="s">
        <v>1242</v>
      </c>
      <c r="C147" s="108" t="s">
        <v>1068</v>
      </c>
      <c r="D147" t="s">
        <v>5147</v>
      </c>
      <c r="E147" t="s">
        <v>5148</v>
      </c>
      <c r="F147" t="s">
        <v>311</v>
      </c>
      <c r="G147" t="s">
        <v>5149</v>
      </c>
      <c r="H147" s="108">
        <v>74270</v>
      </c>
      <c r="I147" t="s">
        <v>314</v>
      </c>
      <c r="J147" t="s">
        <v>1218</v>
      </c>
      <c r="K147" s="168">
        <v>45484</v>
      </c>
      <c r="L147" s="131">
        <v>3000000</v>
      </c>
      <c r="M147" s="131">
        <f>L147/1000*4.1524</f>
        <v>12457.2</v>
      </c>
      <c r="N147" s="131">
        <f>O147/4.1254</f>
        <v>117.89659475444807</v>
      </c>
      <c r="O147" s="171">
        <v>486.37061200000011</v>
      </c>
      <c r="P147" s="170">
        <f t="shared" si="59"/>
        <v>3.904333333333334E-2</v>
      </c>
      <c r="Q147" s="168">
        <v>46295</v>
      </c>
    </row>
    <row r="148" spans="1:17" ht="14.25">
      <c r="A148" t="s">
        <v>1213</v>
      </c>
      <c r="B148" t="s">
        <v>1242</v>
      </c>
      <c r="C148" s="108" t="s">
        <v>1068</v>
      </c>
      <c r="D148" t="s">
        <v>4992</v>
      </c>
      <c r="E148" t="s">
        <v>4993</v>
      </c>
      <c r="F148" t="s">
        <v>311</v>
      </c>
      <c r="G148" t="s">
        <v>4994</v>
      </c>
      <c r="H148" s="108">
        <v>74272</v>
      </c>
      <c r="I148" t="s">
        <v>314</v>
      </c>
      <c r="J148" t="s">
        <v>1216</v>
      </c>
      <c r="K148" s="168">
        <v>45505</v>
      </c>
      <c r="L148" s="131">
        <v>2500000</v>
      </c>
      <c r="M148" s="131">
        <f>L148/1000*3.71</f>
        <v>9275</v>
      </c>
      <c r="N148" s="131">
        <f>O148/3.71</f>
        <v>69.456000000000003</v>
      </c>
      <c r="O148" s="171">
        <v>257.68176</v>
      </c>
      <c r="P148" s="170">
        <f t="shared" si="59"/>
        <v>2.7782399999999999E-2</v>
      </c>
      <c r="Q148" s="168">
        <v>46295</v>
      </c>
    </row>
    <row r="149" spans="1:17" ht="14.25">
      <c r="A149" t="s">
        <v>1213</v>
      </c>
      <c r="B149" t="s">
        <v>1243</v>
      </c>
      <c r="C149" s="108" t="s">
        <v>1068</v>
      </c>
      <c r="D149" t="s">
        <v>5047</v>
      </c>
      <c r="E149" t="s">
        <v>5048</v>
      </c>
      <c r="F149" t="s">
        <v>309</v>
      </c>
      <c r="G149" t="s">
        <v>5049</v>
      </c>
      <c r="H149" s="108" t="s">
        <v>5050</v>
      </c>
      <c r="I149" t="s">
        <v>321</v>
      </c>
      <c r="J149" t="s">
        <v>1212</v>
      </c>
      <c r="K149" s="168">
        <v>45565</v>
      </c>
      <c r="L149" s="131">
        <v>15000000</v>
      </c>
      <c r="M149" s="131">
        <f t="shared" ref="M149:M151" si="60">L149/1000</f>
        <v>15000</v>
      </c>
      <c r="N149" s="131"/>
      <c r="O149" s="171"/>
      <c r="Q149" s="168"/>
    </row>
    <row r="150" spans="1:17" ht="14.25">
      <c r="A150" t="s">
        <v>1213</v>
      </c>
      <c r="B150" t="s">
        <v>1243</v>
      </c>
      <c r="C150" s="108" t="s">
        <v>1068</v>
      </c>
      <c r="D150" t="s">
        <v>5101</v>
      </c>
      <c r="E150" t="s">
        <v>5102</v>
      </c>
      <c r="F150" t="s">
        <v>309</v>
      </c>
      <c r="G150" t="s">
        <v>5103</v>
      </c>
      <c r="H150" s="108">
        <v>74166</v>
      </c>
      <c r="I150" t="s">
        <v>314</v>
      </c>
      <c r="J150" t="s">
        <v>1212</v>
      </c>
      <c r="K150" s="168">
        <v>41334</v>
      </c>
      <c r="L150" s="131">
        <v>20000000</v>
      </c>
      <c r="M150" s="131">
        <f t="shared" si="60"/>
        <v>20000</v>
      </c>
      <c r="N150" s="131"/>
      <c r="O150" s="171"/>
      <c r="Q150" s="168"/>
    </row>
    <row r="151" spans="1:17" ht="14.25">
      <c r="A151" t="s">
        <v>1213</v>
      </c>
      <c r="B151" t="s">
        <v>1243</v>
      </c>
      <c r="C151" s="108" t="s">
        <v>1068</v>
      </c>
      <c r="D151" t="s">
        <v>5097</v>
      </c>
      <c r="E151" t="s">
        <v>5098</v>
      </c>
      <c r="F151" t="s">
        <v>309</v>
      </c>
      <c r="G151" t="s">
        <v>5099</v>
      </c>
      <c r="H151" s="108">
        <v>74167</v>
      </c>
      <c r="I151" t="s">
        <v>314</v>
      </c>
      <c r="J151" t="s">
        <v>1212</v>
      </c>
      <c r="K151" s="168">
        <v>42125</v>
      </c>
      <c r="L151" s="131">
        <v>100000000</v>
      </c>
      <c r="M151" s="131">
        <f t="shared" si="60"/>
        <v>100000</v>
      </c>
      <c r="N151" s="131"/>
      <c r="O151" s="171"/>
      <c r="Q151" s="168"/>
    </row>
    <row r="152" spans="1:17" ht="14.25">
      <c r="A152" t="s">
        <v>1213</v>
      </c>
      <c r="B152" t="s">
        <v>1243</v>
      </c>
      <c r="C152" s="108" t="s">
        <v>1068</v>
      </c>
      <c r="D152" t="s">
        <v>5055</v>
      </c>
      <c r="E152" t="s">
        <v>5056</v>
      </c>
      <c r="F152" t="s">
        <v>309</v>
      </c>
      <c r="G152" t="s">
        <v>5057</v>
      </c>
      <c r="H152" s="108">
        <v>74168</v>
      </c>
      <c r="I152" t="s">
        <v>314</v>
      </c>
      <c r="J152" t="s">
        <v>1216</v>
      </c>
      <c r="K152" s="168">
        <v>42565</v>
      </c>
      <c r="L152" s="131">
        <v>12000000</v>
      </c>
      <c r="M152" s="131">
        <f t="shared" ref="M152:M153" si="61">L152/1000*3.71</f>
        <v>44520</v>
      </c>
      <c r="N152" s="131">
        <f t="shared" ref="N152:N153" si="62">O152/3.71</f>
        <v>643.63649999999973</v>
      </c>
      <c r="O152" s="171">
        <v>2387.8914149999991</v>
      </c>
      <c r="P152" s="170">
        <f t="shared" ref="P152:P156" si="63">O152/M152</f>
        <v>5.3636374999999979E-2</v>
      </c>
      <c r="Q152" s="168">
        <v>45959</v>
      </c>
    </row>
    <row r="153" spans="1:17" ht="14.25">
      <c r="A153" t="s">
        <v>1213</v>
      </c>
      <c r="B153" t="s">
        <v>1243</v>
      </c>
      <c r="C153" s="108" t="s">
        <v>1068</v>
      </c>
      <c r="E153" t="s">
        <v>5111</v>
      </c>
      <c r="F153" t="s">
        <v>311</v>
      </c>
      <c r="G153" t="s">
        <v>5112</v>
      </c>
      <c r="H153" s="108">
        <v>74169</v>
      </c>
      <c r="I153" t="s">
        <v>314</v>
      </c>
      <c r="J153" t="s">
        <v>1216</v>
      </c>
      <c r="K153" s="168">
        <v>42583</v>
      </c>
      <c r="L153" s="131">
        <v>7000000</v>
      </c>
      <c r="M153" s="131">
        <f t="shared" si="61"/>
        <v>25970</v>
      </c>
      <c r="N153" s="131">
        <f t="shared" si="62"/>
        <v>76.651999999999987</v>
      </c>
      <c r="O153" s="171">
        <v>284.37891999999994</v>
      </c>
      <c r="P153" s="170">
        <f t="shared" si="63"/>
        <v>1.0950285714285711E-2</v>
      </c>
      <c r="Q153" s="168">
        <v>45503</v>
      </c>
    </row>
    <row r="154" spans="1:17" ht="14.25">
      <c r="A154" t="s">
        <v>1213</v>
      </c>
      <c r="B154" t="s">
        <v>1243</v>
      </c>
      <c r="C154" s="108" t="s">
        <v>1068</v>
      </c>
      <c r="D154" t="s">
        <v>5091</v>
      </c>
      <c r="E154" t="s">
        <v>5092</v>
      </c>
      <c r="F154" t="s">
        <v>309</v>
      </c>
      <c r="G154" t="s">
        <v>5093</v>
      </c>
      <c r="H154" s="108">
        <v>74170</v>
      </c>
      <c r="I154" t="s">
        <v>314</v>
      </c>
      <c r="J154" t="s">
        <v>1212</v>
      </c>
      <c r="K154" s="168">
        <v>42583</v>
      </c>
      <c r="L154" s="131">
        <v>25000000</v>
      </c>
      <c r="M154" s="131">
        <f t="shared" ref="M154:M155" si="64">L154/1000</f>
        <v>25000</v>
      </c>
      <c r="N154" s="131">
        <f t="shared" ref="N154:N155" si="65">O154</f>
        <v>937.74400000000003</v>
      </c>
      <c r="O154" s="171">
        <v>937.74400000000003</v>
      </c>
      <c r="P154" s="170">
        <f t="shared" si="63"/>
        <v>3.7509760000000003E-2</v>
      </c>
      <c r="Q154" s="168">
        <v>46054</v>
      </c>
    </row>
    <row r="155" spans="1:17" ht="14.25">
      <c r="A155" t="s">
        <v>1213</v>
      </c>
      <c r="B155" t="s">
        <v>1243</v>
      </c>
      <c r="C155" s="108" t="s">
        <v>1068</v>
      </c>
      <c r="D155" t="s">
        <v>5073</v>
      </c>
      <c r="E155" t="s">
        <v>5062</v>
      </c>
      <c r="F155" t="s">
        <v>310</v>
      </c>
      <c r="G155" t="s">
        <v>5074</v>
      </c>
      <c r="H155" s="108">
        <v>74171</v>
      </c>
      <c r="I155" t="s">
        <v>314</v>
      </c>
      <c r="J155" t="s">
        <v>1212</v>
      </c>
      <c r="K155" s="168">
        <v>42736</v>
      </c>
      <c r="L155" s="131">
        <v>30000000</v>
      </c>
      <c r="M155" s="131">
        <f t="shared" si="64"/>
        <v>30000</v>
      </c>
      <c r="N155" s="131">
        <f t="shared" si="65"/>
        <v>13052.348</v>
      </c>
      <c r="O155" s="171">
        <v>13052.348</v>
      </c>
      <c r="P155" s="170">
        <f t="shared" si="63"/>
        <v>0.43507826666666666</v>
      </c>
      <c r="Q155" s="168">
        <v>46760</v>
      </c>
    </row>
    <row r="156" spans="1:17" ht="14.25">
      <c r="A156" t="s">
        <v>1213</v>
      </c>
      <c r="B156" t="s">
        <v>1243</v>
      </c>
      <c r="C156" s="108" t="s">
        <v>1068</v>
      </c>
      <c r="D156" t="s">
        <v>5015</v>
      </c>
      <c r="E156" t="s">
        <v>5016</v>
      </c>
      <c r="F156" t="s">
        <v>309</v>
      </c>
      <c r="G156" t="s">
        <v>5017</v>
      </c>
      <c r="H156" s="108">
        <v>74173</v>
      </c>
      <c r="I156" t="s">
        <v>314</v>
      </c>
      <c r="J156" t="s">
        <v>1216</v>
      </c>
      <c r="K156" s="168">
        <v>43157</v>
      </c>
      <c r="L156" s="131">
        <v>5100000</v>
      </c>
      <c r="M156" s="131">
        <f>L156/1000*3.71</f>
        <v>18921</v>
      </c>
      <c r="N156" s="131">
        <f>O156/3.71</f>
        <v>54.97300000000002</v>
      </c>
      <c r="O156" s="171">
        <v>203.94983000000008</v>
      </c>
      <c r="P156" s="170">
        <f t="shared" si="63"/>
        <v>1.0779019607843141E-2</v>
      </c>
      <c r="Q156" s="168">
        <v>45347</v>
      </c>
    </row>
    <row r="157" spans="1:17" ht="14.25">
      <c r="A157" t="s">
        <v>1213</v>
      </c>
      <c r="B157" t="s">
        <v>1243</v>
      </c>
      <c r="C157" s="108" t="s">
        <v>1068</v>
      </c>
      <c r="D157" t="s">
        <v>5011</v>
      </c>
      <c r="E157" t="s">
        <v>5012</v>
      </c>
      <c r="F157" t="s">
        <v>309</v>
      </c>
      <c r="G157" t="s">
        <v>5013</v>
      </c>
      <c r="H157" s="108">
        <v>74176</v>
      </c>
      <c r="I157" t="s">
        <v>314</v>
      </c>
      <c r="J157" t="s">
        <v>1212</v>
      </c>
      <c r="K157" s="168">
        <v>43306</v>
      </c>
      <c r="L157" s="131">
        <v>15000000</v>
      </c>
      <c r="M157" s="131">
        <f t="shared" ref="M157:M158" si="66">L157/1000</f>
        <v>15000</v>
      </c>
      <c r="N157" s="131"/>
      <c r="O157" s="171"/>
      <c r="Q157" s="168"/>
    </row>
    <row r="158" spans="1:17" ht="14.25">
      <c r="A158" t="s">
        <v>1213</v>
      </c>
      <c r="B158" t="s">
        <v>1243</v>
      </c>
      <c r="C158" s="108" t="s">
        <v>1068</v>
      </c>
      <c r="D158" t="s">
        <v>5019</v>
      </c>
      <c r="E158" t="s">
        <v>5020</v>
      </c>
      <c r="F158" t="s">
        <v>309</v>
      </c>
      <c r="G158" t="s">
        <v>5021</v>
      </c>
      <c r="H158" s="108">
        <v>74177</v>
      </c>
      <c r="I158" t="s">
        <v>314</v>
      </c>
      <c r="J158" t="s">
        <v>1212</v>
      </c>
      <c r="K158" s="168">
        <v>43312</v>
      </c>
      <c r="L158" s="131">
        <v>20000000</v>
      </c>
      <c r="M158" s="131">
        <f t="shared" si="66"/>
        <v>20000</v>
      </c>
      <c r="N158" s="131"/>
      <c r="O158" s="171"/>
      <c r="Q158" s="168"/>
    </row>
    <row r="159" spans="1:17" ht="14.25">
      <c r="A159" t="s">
        <v>1213</v>
      </c>
      <c r="B159" t="s">
        <v>1243</v>
      </c>
      <c r="C159" s="108" t="s">
        <v>1068</v>
      </c>
      <c r="D159" t="s">
        <v>5029</v>
      </c>
      <c r="E159" t="s">
        <v>5030</v>
      </c>
      <c r="F159" t="s">
        <v>311</v>
      </c>
      <c r="G159" t="s">
        <v>5031</v>
      </c>
      <c r="H159" s="108">
        <v>74178</v>
      </c>
      <c r="I159" t="s">
        <v>314</v>
      </c>
      <c r="J159" t="s">
        <v>1216</v>
      </c>
      <c r="K159" s="168">
        <v>43321</v>
      </c>
      <c r="L159" s="131">
        <v>16000000</v>
      </c>
      <c r="M159" s="131">
        <f>L159/1000*3.71</f>
        <v>59360</v>
      </c>
      <c r="N159" s="131"/>
      <c r="O159" s="171"/>
      <c r="Q159" s="168"/>
    </row>
    <row r="160" spans="1:17" ht="14.25">
      <c r="A160" t="s">
        <v>1213</v>
      </c>
      <c r="B160" t="s">
        <v>1243</v>
      </c>
      <c r="C160" s="108" t="s">
        <v>1068</v>
      </c>
      <c r="D160" t="s">
        <v>5094</v>
      </c>
      <c r="E160" t="s">
        <v>5095</v>
      </c>
      <c r="F160" t="s">
        <v>309</v>
      </c>
      <c r="G160" t="s">
        <v>5096</v>
      </c>
      <c r="H160" s="108">
        <v>74179</v>
      </c>
      <c r="I160" t="s">
        <v>314</v>
      </c>
      <c r="J160" t="s">
        <v>1212</v>
      </c>
      <c r="K160" s="168">
        <v>43394</v>
      </c>
      <c r="L160" s="131">
        <v>50000000</v>
      </c>
      <c r="M160" s="131">
        <f>L160/1000</f>
        <v>50000</v>
      </c>
      <c r="N160" s="131">
        <f>O160</f>
        <v>4078.373</v>
      </c>
      <c r="O160" s="171">
        <v>4078.373</v>
      </c>
      <c r="P160" s="170">
        <f>O160/M160</f>
        <v>8.1567459999999994E-2</v>
      </c>
      <c r="Q160" s="168">
        <v>47044</v>
      </c>
    </row>
    <row r="161" spans="1:17" ht="14.25">
      <c r="A161" t="s">
        <v>1213</v>
      </c>
      <c r="B161" t="s">
        <v>1243</v>
      </c>
      <c r="C161" s="108" t="s">
        <v>1068</v>
      </c>
      <c r="E161" t="s">
        <v>5027</v>
      </c>
      <c r="F161" t="s">
        <v>311</v>
      </c>
      <c r="G161" t="s">
        <v>5028</v>
      </c>
      <c r="H161" s="108">
        <v>74180</v>
      </c>
      <c r="I161" t="s">
        <v>314</v>
      </c>
      <c r="J161" t="s">
        <v>1216</v>
      </c>
      <c r="K161" s="168">
        <v>43411</v>
      </c>
      <c r="L161" s="131">
        <v>4000000</v>
      </c>
      <c r="M161" s="131">
        <f t="shared" ref="M161:M163" si="67">L161/1000*3.71</f>
        <v>14840</v>
      </c>
      <c r="N161" s="131"/>
      <c r="O161" s="171"/>
      <c r="Q161" s="168"/>
    </row>
    <row r="162" spans="1:17" ht="14.25">
      <c r="A162" t="s">
        <v>1213</v>
      </c>
      <c r="B162" t="s">
        <v>1243</v>
      </c>
      <c r="C162" s="108" t="s">
        <v>1068</v>
      </c>
      <c r="E162" t="s">
        <v>5032</v>
      </c>
      <c r="F162" t="s">
        <v>309</v>
      </c>
      <c r="G162" t="s">
        <v>5033</v>
      </c>
      <c r="H162" s="108">
        <v>74181</v>
      </c>
      <c r="I162" t="s">
        <v>314</v>
      </c>
      <c r="J162" t="s">
        <v>1216</v>
      </c>
      <c r="K162" s="168">
        <v>43412</v>
      </c>
      <c r="L162" s="131">
        <v>9000000</v>
      </c>
      <c r="M162" s="131">
        <f t="shared" si="67"/>
        <v>33390</v>
      </c>
      <c r="N162" s="131"/>
      <c r="O162" s="171"/>
      <c r="Q162" s="168"/>
    </row>
    <row r="163" spans="1:17" ht="14.25">
      <c r="A163" t="s">
        <v>1213</v>
      </c>
      <c r="B163" t="s">
        <v>1243</v>
      </c>
      <c r="C163" s="108" t="s">
        <v>1068</v>
      </c>
      <c r="E163" t="s">
        <v>5036</v>
      </c>
      <c r="F163" t="s">
        <v>311</v>
      </c>
      <c r="G163" t="s">
        <v>5037</v>
      </c>
      <c r="H163" s="108">
        <v>74183</v>
      </c>
      <c r="I163" t="s">
        <v>314</v>
      </c>
      <c r="J163" t="s">
        <v>1216</v>
      </c>
      <c r="K163" s="168">
        <v>43482</v>
      </c>
      <c r="L163" s="131">
        <v>8000000</v>
      </c>
      <c r="M163" s="131">
        <f t="shared" si="67"/>
        <v>29680</v>
      </c>
      <c r="N163" s="131"/>
      <c r="O163" s="171"/>
      <c r="Q163" s="168"/>
    </row>
    <row r="164" spans="1:17" ht="14.25">
      <c r="A164" t="s">
        <v>1213</v>
      </c>
      <c r="B164" t="s">
        <v>1243</v>
      </c>
      <c r="C164" s="108" t="s">
        <v>1068</v>
      </c>
      <c r="D164" t="s">
        <v>5004</v>
      </c>
      <c r="E164" t="s">
        <v>5005</v>
      </c>
      <c r="F164" t="s">
        <v>309</v>
      </c>
      <c r="G164" t="s">
        <v>5006</v>
      </c>
      <c r="H164" s="108">
        <v>74185</v>
      </c>
      <c r="I164" t="s">
        <v>314</v>
      </c>
      <c r="J164" t="s">
        <v>1212</v>
      </c>
      <c r="K164" s="168">
        <v>43524</v>
      </c>
      <c r="L164" s="131">
        <v>53887168</v>
      </c>
      <c r="M164" s="131">
        <f t="shared" ref="M164:M165" si="68">L164/1000</f>
        <v>53887.167999999998</v>
      </c>
      <c r="N164" s="131"/>
      <c r="O164" s="171"/>
      <c r="Q164" s="168"/>
    </row>
    <row r="165" spans="1:17" ht="14.25">
      <c r="A165" t="s">
        <v>1213</v>
      </c>
      <c r="B165" t="s">
        <v>1243</v>
      </c>
      <c r="C165" s="108" t="s">
        <v>1068</v>
      </c>
      <c r="D165" t="s">
        <v>5000</v>
      </c>
      <c r="E165" t="s">
        <v>5001</v>
      </c>
      <c r="F165" t="s">
        <v>310</v>
      </c>
      <c r="G165" t="s">
        <v>5002</v>
      </c>
      <c r="H165" s="108">
        <v>74186</v>
      </c>
      <c r="I165" t="s">
        <v>314</v>
      </c>
      <c r="J165" t="s">
        <v>1212</v>
      </c>
      <c r="K165" s="168">
        <v>43542</v>
      </c>
      <c r="L165" s="131">
        <v>80000000</v>
      </c>
      <c r="M165" s="131">
        <f t="shared" si="68"/>
        <v>80000</v>
      </c>
      <c r="N165" s="131">
        <f>O165</f>
        <v>5929.7160000000003</v>
      </c>
      <c r="O165" s="171">
        <v>5929.7160000000003</v>
      </c>
      <c r="P165" s="170">
        <f t="shared" ref="P165:P166" si="69">O165/M165</f>
        <v>7.4121450000000005E-2</v>
      </c>
      <c r="Q165" s="168">
        <v>46462</v>
      </c>
    </row>
    <row r="166" spans="1:17" ht="14.25">
      <c r="A166" t="s">
        <v>1213</v>
      </c>
      <c r="B166" t="s">
        <v>1243</v>
      </c>
      <c r="C166" s="108" t="s">
        <v>1068</v>
      </c>
      <c r="D166" t="s">
        <v>5041</v>
      </c>
      <c r="E166" t="s">
        <v>5042</v>
      </c>
      <c r="F166" t="s">
        <v>310</v>
      </c>
      <c r="G166" t="s">
        <v>5043</v>
      </c>
      <c r="H166" s="108">
        <v>74187</v>
      </c>
      <c r="I166" t="s">
        <v>314</v>
      </c>
      <c r="J166" t="s">
        <v>1216</v>
      </c>
      <c r="K166" s="168">
        <v>43571</v>
      </c>
      <c r="L166" s="131">
        <v>5000000</v>
      </c>
      <c r="M166" s="131">
        <f t="shared" ref="M166:M171" si="70">L166/1000*3.71</f>
        <v>18550</v>
      </c>
      <c r="N166" s="131">
        <f>O166/3.71</f>
        <v>1096.4180000000001</v>
      </c>
      <c r="O166" s="171">
        <v>4067.7107800000003</v>
      </c>
      <c r="P166" s="170">
        <f t="shared" si="69"/>
        <v>0.21928360000000002</v>
      </c>
      <c r="Q166" s="168">
        <v>46126</v>
      </c>
    </row>
    <row r="167" spans="1:17" ht="14.25">
      <c r="A167" t="s">
        <v>1213</v>
      </c>
      <c r="B167" t="s">
        <v>1243</v>
      </c>
      <c r="C167" s="108" t="s">
        <v>1068</v>
      </c>
      <c r="E167" t="s">
        <v>5044</v>
      </c>
      <c r="F167" t="s">
        <v>311</v>
      </c>
      <c r="G167" t="s">
        <v>5045</v>
      </c>
      <c r="H167" s="108">
        <v>74188</v>
      </c>
      <c r="I167" t="s">
        <v>314</v>
      </c>
      <c r="J167" t="s">
        <v>1216</v>
      </c>
      <c r="K167" s="168">
        <v>43578</v>
      </c>
      <c r="L167" s="131">
        <v>6000000</v>
      </c>
      <c r="M167" s="131">
        <f t="shared" si="70"/>
        <v>22260</v>
      </c>
      <c r="N167" s="131"/>
      <c r="O167" s="171"/>
      <c r="Q167" s="168"/>
    </row>
    <row r="168" spans="1:17" ht="14.25">
      <c r="A168" t="s">
        <v>1213</v>
      </c>
      <c r="B168" t="s">
        <v>1243</v>
      </c>
      <c r="C168" s="108" t="s">
        <v>1068</v>
      </c>
      <c r="D168" t="s">
        <v>5023</v>
      </c>
      <c r="E168" t="s">
        <v>5024</v>
      </c>
      <c r="F168" t="s">
        <v>309</v>
      </c>
      <c r="G168" t="s">
        <v>5025</v>
      </c>
      <c r="H168" s="108">
        <v>74189</v>
      </c>
      <c r="I168" t="s">
        <v>314</v>
      </c>
      <c r="J168" t="s">
        <v>1216</v>
      </c>
      <c r="K168" s="168">
        <v>43586</v>
      </c>
      <c r="L168" s="131">
        <v>6415000</v>
      </c>
      <c r="M168" s="131">
        <f t="shared" si="70"/>
        <v>23799.65</v>
      </c>
      <c r="N168" s="131"/>
      <c r="O168" s="171"/>
      <c r="Q168" s="168"/>
    </row>
    <row r="169" spans="1:17" ht="14.25">
      <c r="A169" t="s">
        <v>1213</v>
      </c>
      <c r="B169" t="s">
        <v>1243</v>
      </c>
      <c r="C169" s="108" t="s">
        <v>1068</v>
      </c>
      <c r="D169" t="s">
        <v>5007</v>
      </c>
      <c r="E169" t="s">
        <v>2129</v>
      </c>
      <c r="F169" t="s">
        <v>309</v>
      </c>
      <c r="G169" t="s">
        <v>5008</v>
      </c>
      <c r="H169" s="108">
        <v>74190</v>
      </c>
      <c r="I169" t="s">
        <v>314</v>
      </c>
      <c r="J169" t="s">
        <v>1216</v>
      </c>
      <c r="K169" s="168">
        <v>43691</v>
      </c>
      <c r="L169" s="131">
        <v>10700001</v>
      </c>
      <c r="M169" s="131">
        <f t="shared" si="70"/>
        <v>39697.003709999997</v>
      </c>
      <c r="N169" s="131">
        <f>O169/3.71</f>
        <v>819.70999999999992</v>
      </c>
      <c r="O169" s="171">
        <v>3041.1240999999995</v>
      </c>
      <c r="P169" s="170">
        <f>O169/M169</f>
        <v>7.6608404055289334E-2</v>
      </c>
      <c r="Q169" s="168">
        <v>46248</v>
      </c>
    </row>
    <row r="170" spans="1:17" ht="14.25">
      <c r="A170" t="s">
        <v>1213</v>
      </c>
      <c r="B170" t="s">
        <v>1243</v>
      </c>
      <c r="C170" s="108" t="s">
        <v>1068</v>
      </c>
      <c r="D170" t="s">
        <v>5144</v>
      </c>
      <c r="E170" t="s">
        <v>5145</v>
      </c>
      <c r="F170" t="s">
        <v>309</v>
      </c>
      <c r="G170" t="s">
        <v>5146</v>
      </c>
      <c r="H170" s="108">
        <v>74192</v>
      </c>
      <c r="I170" t="s">
        <v>314</v>
      </c>
      <c r="J170" t="s">
        <v>1216</v>
      </c>
      <c r="K170" s="168">
        <v>43761</v>
      </c>
      <c r="L170" s="131">
        <v>5000000</v>
      </c>
      <c r="M170" s="131">
        <f t="shared" si="70"/>
        <v>18550</v>
      </c>
      <c r="N170" s="131"/>
      <c r="O170" s="171"/>
      <c r="Q170" s="168"/>
    </row>
    <row r="171" spans="1:17" ht="14.25">
      <c r="A171" t="s">
        <v>1213</v>
      </c>
      <c r="B171" t="s">
        <v>1243</v>
      </c>
      <c r="C171" s="108" t="s">
        <v>1068</v>
      </c>
      <c r="E171" t="s">
        <v>5140</v>
      </c>
      <c r="F171" t="s">
        <v>311</v>
      </c>
      <c r="G171" t="s">
        <v>5141</v>
      </c>
      <c r="H171" s="108">
        <v>74193</v>
      </c>
      <c r="I171" t="s">
        <v>314</v>
      </c>
      <c r="J171" t="s">
        <v>1216</v>
      </c>
      <c r="K171" s="168">
        <v>43790</v>
      </c>
      <c r="L171" s="131">
        <v>5000000</v>
      </c>
      <c r="M171" s="131">
        <f t="shared" si="70"/>
        <v>18550</v>
      </c>
      <c r="N171" s="131">
        <f>O171/3.71</f>
        <v>1052.711</v>
      </c>
      <c r="O171" s="171">
        <v>3905.5578099999998</v>
      </c>
      <c r="P171" s="170">
        <f>O171/M171</f>
        <v>0.21054219999999998</v>
      </c>
      <c r="Q171" s="168">
        <v>46347</v>
      </c>
    </row>
    <row r="172" spans="1:17" ht="14.25">
      <c r="A172" t="s">
        <v>1213</v>
      </c>
      <c r="B172" t="s">
        <v>1243</v>
      </c>
      <c r="C172" s="108" t="s">
        <v>1068</v>
      </c>
      <c r="D172" t="s">
        <v>5051</v>
      </c>
      <c r="E172" t="s">
        <v>5052</v>
      </c>
      <c r="F172" t="s">
        <v>309</v>
      </c>
      <c r="G172" t="s">
        <v>5053</v>
      </c>
      <c r="H172" s="108">
        <v>74196</v>
      </c>
      <c r="I172" t="s">
        <v>314</v>
      </c>
      <c r="J172" t="s">
        <v>1212</v>
      </c>
      <c r="K172" s="168">
        <v>43831</v>
      </c>
      <c r="L172" s="131">
        <v>46366453</v>
      </c>
      <c r="M172" s="131">
        <f>L172/1000</f>
        <v>46366.453000000001</v>
      </c>
      <c r="N172" s="131"/>
      <c r="O172" s="171"/>
      <c r="Q172" s="168"/>
    </row>
    <row r="173" spans="1:17" ht="14.25">
      <c r="A173" t="s">
        <v>1213</v>
      </c>
      <c r="B173" t="s">
        <v>1243</v>
      </c>
      <c r="C173" s="108" t="s">
        <v>1068</v>
      </c>
      <c r="E173" t="s">
        <v>5034</v>
      </c>
      <c r="F173" t="s">
        <v>311</v>
      </c>
      <c r="G173" t="s">
        <v>5035</v>
      </c>
      <c r="H173" s="108">
        <v>74197</v>
      </c>
      <c r="I173" t="s">
        <v>314</v>
      </c>
      <c r="J173" t="s">
        <v>1216</v>
      </c>
      <c r="K173" s="168">
        <v>43857</v>
      </c>
      <c r="L173" s="131">
        <v>5000000</v>
      </c>
      <c r="M173" s="131">
        <f t="shared" ref="M173:M175" si="71">L173/1000*3.71</f>
        <v>18550</v>
      </c>
      <c r="N173" s="131"/>
      <c r="O173" s="171"/>
      <c r="Q173" s="168"/>
    </row>
    <row r="174" spans="1:17" ht="14.25">
      <c r="A174" t="s">
        <v>1213</v>
      </c>
      <c r="B174" t="s">
        <v>1243</v>
      </c>
      <c r="C174" s="108" t="s">
        <v>1068</v>
      </c>
      <c r="D174" t="s">
        <v>5124</v>
      </c>
      <c r="E174" t="s">
        <v>5125</v>
      </c>
      <c r="F174" t="s">
        <v>311</v>
      </c>
      <c r="G174" t="s">
        <v>5126</v>
      </c>
      <c r="H174" s="108">
        <v>74199</v>
      </c>
      <c r="I174" t="s">
        <v>314</v>
      </c>
      <c r="J174" t="s">
        <v>1216</v>
      </c>
      <c r="K174" s="168">
        <v>43881</v>
      </c>
      <c r="L174" s="131">
        <v>7500000</v>
      </c>
      <c r="M174" s="131">
        <f t="shared" si="71"/>
        <v>27825</v>
      </c>
      <c r="N174" s="131"/>
      <c r="O174" s="171"/>
      <c r="Q174" s="168"/>
    </row>
    <row r="175" spans="1:17" ht="14.25">
      <c r="A175" t="s">
        <v>1213</v>
      </c>
      <c r="B175" t="s">
        <v>1243</v>
      </c>
      <c r="C175" s="108" t="s">
        <v>1068</v>
      </c>
      <c r="E175" t="s">
        <v>5027</v>
      </c>
      <c r="F175" t="s">
        <v>311</v>
      </c>
      <c r="G175" t="s">
        <v>5114</v>
      </c>
      <c r="H175" s="108">
        <v>74200</v>
      </c>
      <c r="I175" t="s">
        <v>314</v>
      </c>
      <c r="J175" t="s">
        <v>1216</v>
      </c>
      <c r="K175" s="168">
        <v>43891</v>
      </c>
      <c r="L175" s="131">
        <v>11000000</v>
      </c>
      <c r="M175" s="131">
        <f t="shared" si="71"/>
        <v>40810</v>
      </c>
      <c r="N175" s="131"/>
      <c r="O175" s="171"/>
      <c r="Q175" s="168"/>
    </row>
    <row r="176" spans="1:17" ht="14.25">
      <c r="A176" t="s">
        <v>1213</v>
      </c>
      <c r="B176" t="s">
        <v>1243</v>
      </c>
      <c r="C176" s="108" t="s">
        <v>1068</v>
      </c>
      <c r="D176" t="s">
        <v>5004</v>
      </c>
      <c r="E176" t="s">
        <v>5009</v>
      </c>
      <c r="F176" t="s">
        <v>309</v>
      </c>
      <c r="G176" t="s">
        <v>5010</v>
      </c>
      <c r="H176" s="108">
        <v>74202</v>
      </c>
      <c r="I176" t="s">
        <v>314</v>
      </c>
      <c r="J176" t="s">
        <v>1212</v>
      </c>
      <c r="K176" s="168">
        <v>43913</v>
      </c>
      <c r="L176" s="131">
        <v>22160611</v>
      </c>
      <c r="M176" s="131">
        <f>L176/1000</f>
        <v>22160.611000000001</v>
      </c>
      <c r="N176" s="131"/>
      <c r="O176" s="171"/>
      <c r="Q176" s="168"/>
    </row>
    <row r="177" spans="1:17" ht="14.25">
      <c r="A177" t="s">
        <v>1213</v>
      </c>
      <c r="B177" t="s">
        <v>1243</v>
      </c>
      <c r="C177" s="108" t="s">
        <v>1068</v>
      </c>
      <c r="E177" t="s">
        <v>4982</v>
      </c>
      <c r="F177" t="s">
        <v>311</v>
      </c>
      <c r="G177" t="s">
        <v>4983</v>
      </c>
      <c r="H177" s="108">
        <v>74203</v>
      </c>
      <c r="I177" t="s">
        <v>314</v>
      </c>
      <c r="J177" t="s">
        <v>1216</v>
      </c>
      <c r="K177" s="168">
        <v>43770</v>
      </c>
      <c r="L177" s="131">
        <v>11500000</v>
      </c>
      <c r="M177" s="131">
        <f>L177/1000*3.71</f>
        <v>42665</v>
      </c>
      <c r="N177" s="131"/>
      <c r="O177" s="171"/>
      <c r="Q177" s="168"/>
    </row>
    <row r="178" spans="1:17" ht="14.25">
      <c r="A178" t="s">
        <v>1213</v>
      </c>
      <c r="B178" t="s">
        <v>1243</v>
      </c>
      <c r="C178" s="108" t="s">
        <v>1068</v>
      </c>
      <c r="D178" t="s">
        <v>5000</v>
      </c>
      <c r="E178" t="s">
        <v>5001</v>
      </c>
      <c r="F178" t="s">
        <v>310</v>
      </c>
      <c r="G178" t="s">
        <v>5059</v>
      </c>
      <c r="H178" s="108">
        <v>74204</v>
      </c>
      <c r="I178" t="s">
        <v>314</v>
      </c>
      <c r="J178" t="s">
        <v>1212</v>
      </c>
      <c r="K178" s="168">
        <v>44084</v>
      </c>
      <c r="L178" s="131">
        <v>24960000</v>
      </c>
      <c r="M178" s="131">
        <f>L178/1000</f>
        <v>24960</v>
      </c>
      <c r="N178" s="131">
        <f>O178</f>
        <v>1621.818</v>
      </c>
      <c r="O178" s="171">
        <v>1621.818</v>
      </c>
      <c r="P178" s="170">
        <f>O178/M178</f>
        <v>6.4976682692307691E-2</v>
      </c>
      <c r="Q178" s="168">
        <v>46462</v>
      </c>
    </row>
    <row r="179" spans="1:17" ht="14.25">
      <c r="A179" t="s">
        <v>1213</v>
      </c>
      <c r="B179" t="s">
        <v>1243</v>
      </c>
      <c r="C179" s="108" t="s">
        <v>1068</v>
      </c>
      <c r="D179" t="s">
        <v>5117</v>
      </c>
      <c r="E179" t="s">
        <v>5118</v>
      </c>
      <c r="F179" t="s">
        <v>310</v>
      </c>
      <c r="G179" t="s">
        <v>5119</v>
      </c>
      <c r="H179" s="108">
        <v>74205</v>
      </c>
      <c r="I179" t="s">
        <v>314</v>
      </c>
      <c r="J179" t="s">
        <v>1218</v>
      </c>
      <c r="K179" s="168">
        <v>44159</v>
      </c>
      <c r="L179" s="131">
        <v>4060000</v>
      </c>
      <c r="M179" s="131">
        <f>L179/1000*4.1524</f>
        <v>16858.743999999999</v>
      </c>
      <c r="N179" s="131"/>
      <c r="O179" s="171"/>
      <c r="Q179" s="168"/>
    </row>
    <row r="180" spans="1:17" ht="14.25">
      <c r="A180" t="s">
        <v>1213</v>
      </c>
      <c r="B180" t="s">
        <v>1243</v>
      </c>
      <c r="C180" s="108" t="s">
        <v>1068</v>
      </c>
      <c r="E180" t="s">
        <v>5121</v>
      </c>
      <c r="F180" t="s">
        <v>311</v>
      </c>
      <c r="G180" t="s">
        <v>5122</v>
      </c>
      <c r="H180" s="108">
        <v>74207</v>
      </c>
      <c r="I180" t="s">
        <v>314</v>
      </c>
      <c r="J180" t="s">
        <v>1216</v>
      </c>
      <c r="K180" s="168">
        <v>44166</v>
      </c>
      <c r="L180" s="131">
        <v>10000000</v>
      </c>
      <c r="M180" s="131">
        <f t="shared" ref="M180:M183" si="72">L180/1000*3.71</f>
        <v>37100</v>
      </c>
      <c r="N180" s="131">
        <f>O180/3.71</f>
        <v>2169.328320000001</v>
      </c>
      <c r="O180" s="171">
        <v>8048.2080672000029</v>
      </c>
      <c r="P180" s="170">
        <f>O180/M180</f>
        <v>0.21693283200000008</v>
      </c>
      <c r="Q180" s="168">
        <v>45748</v>
      </c>
    </row>
    <row r="181" spans="1:17" ht="14.25">
      <c r="A181" t="s">
        <v>1213</v>
      </c>
      <c r="B181" t="s">
        <v>1243</v>
      </c>
      <c r="C181" s="108" t="s">
        <v>1068</v>
      </c>
      <c r="D181" t="s">
        <v>5038</v>
      </c>
      <c r="E181" t="s">
        <v>5039</v>
      </c>
      <c r="F181" t="s">
        <v>311</v>
      </c>
      <c r="G181" t="s">
        <v>5040</v>
      </c>
      <c r="H181" s="108">
        <v>74208</v>
      </c>
      <c r="I181" t="s">
        <v>314</v>
      </c>
      <c r="J181" t="s">
        <v>1216</v>
      </c>
      <c r="K181" s="168">
        <v>44186</v>
      </c>
      <c r="L181" s="131">
        <v>4600000</v>
      </c>
      <c r="M181" s="131">
        <f t="shared" si="72"/>
        <v>17066</v>
      </c>
      <c r="N181" s="131"/>
      <c r="O181" s="171"/>
      <c r="Q181" s="168"/>
    </row>
    <row r="182" spans="1:17" ht="14.25">
      <c r="A182" t="s">
        <v>1213</v>
      </c>
      <c r="B182" t="s">
        <v>1243</v>
      </c>
      <c r="C182" s="108" t="s">
        <v>1068</v>
      </c>
      <c r="E182" t="s">
        <v>5027</v>
      </c>
      <c r="F182" t="s">
        <v>311</v>
      </c>
      <c r="G182" t="s">
        <v>5134</v>
      </c>
      <c r="H182" s="108">
        <v>74215</v>
      </c>
      <c r="I182" t="s">
        <v>314</v>
      </c>
      <c r="J182" t="s">
        <v>1216</v>
      </c>
      <c r="K182" s="168">
        <v>44308</v>
      </c>
      <c r="L182" s="131">
        <v>7000000</v>
      </c>
      <c r="M182" s="131">
        <f t="shared" si="72"/>
        <v>25970</v>
      </c>
      <c r="N182" s="131"/>
      <c r="O182" s="171"/>
      <c r="Q182" s="168"/>
    </row>
    <row r="183" spans="1:17" ht="14.25">
      <c r="A183" t="s">
        <v>1213</v>
      </c>
      <c r="B183" t="s">
        <v>1243</v>
      </c>
      <c r="C183" s="108" t="s">
        <v>1068</v>
      </c>
      <c r="E183" t="s">
        <v>5036</v>
      </c>
      <c r="F183" t="s">
        <v>311</v>
      </c>
      <c r="G183" t="s">
        <v>5136</v>
      </c>
      <c r="H183" s="108">
        <v>74216</v>
      </c>
      <c r="I183" t="s">
        <v>314</v>
      </c>
      <c r="J183" t="s">
        <v>1216</v>
      </c>
      <c r="K183" s="168">
        <v>44371</v>
      </c>
      <c r="L183" s="131">
        <v>8000000</v>
      </c>
      <c r="M183" s="131">
        <f t="shared" si="72"/>
        <v>29680</v>
      </c>
      <c r="N183" s="131">
        <f>O183/3.71</f>
        <v>2082.2629999999999</v>
      </c>
      <c r="O183" s="171">
        <v>7725.1957300000004</v>
      </c>
      <c r="P183" s="170">
        <f t="shared" ref="P183:P187" si="73">O183/M183</f>
        <v>0.26028287500000002</v>
      </c>
      <c r="Q183" s="168">
        <v>46197</v>
      </c>
    </row>
    <row r="184" spans="1:17" ht="14.25">
      <c r="A184" t="s">
        <v>1213</v>
      </c>
      <c r="B184" t="s">
        <v>1243</v>
      </c>
      <c r="C184" s="108" t="s">
        <v>1068</v>
      </c>
      <c r="D184" t="s">
        <v>5064</v>
      </c>
      <c r="E184" t="s">
        <v>5065</v>
      </c>
      <c r="F184" t="s">
        <v>309</v>
      </c>
      <c r="G184" t="s">
        <v>5066</v>
      </c>
      <c r="H184" s="108">
        <v>74217</v>
      </c>
      <c r="I184" t="s">
        <v>314</v>
      </c>
      <c r="J184" t="s">
        <v>1212</v>
      </c>
      <c r="K184" s="168">
        <v>44370</v>
      </c>
      <c r="L184" s="131">
        <v>80000000</v>
      </c>
      <c r="M184" s="131">
        <f>L184/1000</f>
        <v>80000</v>
      </c>
      <c r="N184" s="131">
        <f>O184</f>
        <v>9243.1550000000007</v>
      </c>
      <c r="O184" s="171">
        <v>9243.1550000000007</v>
      </c>
      <c r="P184" s="170">
        <f t="shared" si="73"/>
        <v>0.11553943750000001</v>
      </c>
      <c r="Q184" s="168">
        <v>46196</v>
      </c>
    </row>
    <row r="185" spans="1:17" ht="14.25">
      <c r="A185" t="s">
        <v>1213</v>
      </c>
      <c r="B185" t="s">
        <v>1243</v>
      </c>
      <c r="C185" s="108" t="s">
        <v>1068</v>
      </c>
      <c r="D185" t="s">
        <v>5088</v>
      </c>
      <c r="E185" t="s">
        <v>5089</v>
      </c>
      <c r="F185" t="s">
        <v>309</v>
      </c>
      <c r="G185" t="s">
        <v>5090</v>
      </c>
      <c r="H185" s="108">
        <v>74221</v>
      </c>
      <c r="I185" t="s">
        <v>314</v>
      </c>
      <c r="J185" t="s">
        <v>1216</v>
      </c>
      <c r="K185" s="168">
        <v>44409</v>
      </c>
      <c r="L185" s="131">
        <v>8000000</v>
      </c>
      <c r="M185" s="131">
        <f t="shared" ref="M185:M186" si="74">L185/1000*3.71</f>
        <v>29680</v>
      </c>
      <c r="N185" s="131">
        <f t="shared" ref="N185:N186" si="75">O185/3.71</f>
        <v>1933.0060000000001</v>
      </c>
      <c r="O185" s="171">
        <v>7171.45226</v>
      </c>
      <c r="P185" s="170">
        <f t="shared" si="73"/>
        <v>0.24162575</v>
      </c>
      <c r="Q185" s="168">
        <v>47150</v>
      </c>
    </row>
    <row r="186" spans="1:17" ht="14.25">
      <c r="A186" t="s">
        <v>1213</v>
      </c>
      <c r="B186" t="s">
        <v>1243</v>
      </c>
      <c r="C186" s="108" t="s">
        <v>1068</v>
      </c>
      <c r="D186" t="s">
        <v>5076</v>
      </c>
      <c r="E186" t="s">
        <v>5077</v>
      </c>
      <c r="F186" t="s">
        <v>309</v>
      </c>
      <c r="G186" t="s">
        <v>5078</v>
      </c>
      <c r="H186" s="108">
        <v>74228</v>
      </c>
      <c r="I186" t="s">
        <v>314</v>
      </c>
      <c r="J186" t="s">
        <v>1216</v>
      </c>
      <c r="K186" s="168">
        <v>44560</v>
      </c>
      <c r="L186" s="131">
        <v>10000000</v>
      </c>
      <c r="M186" s="131">
        <f t="shared" si="74"/>
        <v>37100</v>
      </c>
      <c r="N186" s="131">
        <f t="shared" si="75"/>
        <v>1348.2880000000002</v>
      </c>
      <c r="O186" s="171">
        <v>5002.1484800000007</v>
      </c>
      <c r="P186" s="170">
        <f t="shared" si="73"/>
        <v>0.13482880000000003</v>
      </c>
      <c r="Q186" s="168">
        <v>46751</v>
      </c>
    </row>
    <row r="187" spans="1:17" ht="14.25">
      <c r="A187" t="s">
        <v>1213</v>
      </c>
      <c r="B187" t="s">
        <v>1243</v>
      </c>
      <c r="C187" s="108" t="s">
        <v>1068</v>
      </c>
      <c r="D187" t="s">
        <v>5061</v>
      </c>
      <c r="E187" t="s">
        <v>5062</v>
      </c>
      <c r="F187" t="s">
        <v>309</v>
      </c>
      <c r="G187" t="s">
        <v>5063</v>
      </c>
      <c r="H187" s="108">
        <v>74231</v>
      </c>
      <c r="I187" t="s">
        <v>314</v>
      </c>
      <c r="J187" t="s">
        <v>1212</v>
      </c>
      <c r="K187" s="168">
        <v>44591</v>
      </c>
      <c r="L187" s="131">
        <v>50000000</v>
      </c>
      <c r="M187" s="131">
        <f t="shared" ref="M187:M188" si="76">L187/1000</f>
        <v>50000</v>
      </c>
      <c r="N187" s="131">
        <f>O187</f>
        <v>11565.875820000001</v>
      </c>
      <c r="O187" s="171">
        <v>11565.875820000001</v>
      </c>
      <c r="P187" s="170">
        <f t="shared" si="73"/>
        <v>0.23131751640000003</v>
      </c>
      <c r="Q187" s="168">
        <v>46204</v>
      </c>
    </row>
    <row r="188" spans="1:17" ht="14.25">
      <c r="A188" t="s">
        <v>1213</v>
      </c>
      <c r="B188" t="s">
        <v>1243</v>
      </c>
      <c r="C188" s="108" t="s">
        <v>1068</v>
      </c>
      <c r="D188" t="s">
        <v>5079</v>
      </c>
      <c r="E188" t="s">
        <v>5080</v>
      </c>
      <c r="F188" t="s">
        <v>309</v>
      </c>
      <c r="G188" t="s">
        <v>5081</v>
      </c>
      <c r="H188" s="108">
        <v>74233</v>
      </c>
      <c r="I188" t="s">
        <v>314</v>
      </c>
      <c r="J188" t="s">
        <v>1212</v>
      </c>
      <c r="K188" s="168">
        <v>44622</v>
      </c>
      <c r="L188" s="131">
        <v>45000000</v>
      </c>
      <c r="M188" s="131">
        <f t="shared" si="76"/>
        <v>45000</v>
      </c>
      <c r="N188" s="131"/>
      <c r="O188" s="171"/>
      <c r="Q188" s="168"/>
    </row>
    <row r="189" spans="1:17" ht="14.25">
      <c r="A189" t="s">
        <v>1213</v>
      </c>
      <c r="B189" t="s">
        <v>1243</v>
      </c>
      <c r="C189" s="108" t="s">
        <v>1068</v>
      </c>
      <c r="E189" t="s">
        <v>5027</v>
      </c>
      <c r="F189" t="s">
        <v>311</v>
      </c>
      <c r="G189" t="s">
        <v>5137</v>
      </c>
      <c r="H189" s="108">
        <v>74235</v>
      </c>
      <c r="I189" t="s">
        <v>314</v>
      </c>
      <c r="J189" t="s">
        <v>1216</v>
      </c>
      <c r="K189" s="168">
        <v>44712</v>
      </c>
      <c r="L189" s="131">
        <v>5000000</v>
      </c>
      <c r="M189" s="131">
        <f>L189/1000*3.71</f>
        <v>18550</v>
      </c>
      <c r="N189" s="131"/>
      <c r="O189" s="171"/>
      <c r="Q189" s="168"/>
    </row>
    <row r="190" spans="1:17" ht="14.25">
      <c r="A190" t="s">
        <v>1213</v>
      </c>
      <c r="B190" t="s">
        <v>1243</v>
      </c>
      <c r="C190" s="108" t="s">
        <v>1068</v>
      </c>
      <c r="D190" t="s">
        <v>5130</v>
      </c>
      <c r="E190" t="s">
        <v>5131</v>
      </c>
      <c r="F190" t="s">
        <v>311</v>
      </c>
      <c r="G190" t="s">
        <v>5132</v>
      </c>
      <c r="H190" s="108">
        <v>74237</v>
      </c>
      <c r="I190" t="s">
        <v>314</v>
      </c>
      <c r="J190" t="s">
        <v>1227</v>
      </c>
      <c r="K190" s="168">
        <v>44721</v>
      </c>
      <c r="L190" s="131">
        <v>7000000</v>
      </c>
      <c r="M190" s="131">
        <f>L190/1000*4.9748</f>
        <v>34823.599999999999</v>
      </c>
      <c r="N190" s="131">
        <f>O190/4.9748</f>
        <v>7.7849999999999939</v>
      </c>
      <c r="O190" s="171">
        <v>38.728817999999968</v>
      </c>
      <c r="P190" s="170">
        <f t="shared" ref="P190:P194" si="77">O190/M190</f>
        <v>1.1121428571428562E-3</v>
      </c>
      <c r="Q190" s="168">
        <v>47635</v>
      </c>
    </row>
    <row r="191" spans="1:17" ht="14.25">
      <c r="A191" t="s">
        <v>1213</v>
      </c>
      <c r="B191" t="s">
        <v>1243</v>
      </c>
      <c r="C191" s="108" t="s">
        <v>1068</v>
      </c>
      <c r="D191" t="s">
        <v>5070</v>
      </c>
      <c r="E191" t="s">
        <v>5071</v>
      </c>
      <c r="F191" t="s">
        <v>310</v>
      </c>
      <c r="G191" t="s">
        <v>5072</v>
      </c>
      <c r="H191" s="108">
        <v>74238</v>
      </c>
      <c r="I191" t="s">
        <v>314</v>
      </c>
      <c r="J191" t="s">
        <v>1212</v>
      </c>
      <c r="K191" s="168">
        <v>44721</v>
      </c>
      <c r="L191" s="131">
        <v>40000000</v>
      </c>
      <c r="M191" s="131">
        <f t="shared" ref="M191:M192" si="78">L191/1000</f>
        <v>40000</v>
      </c>
      <c r="N191" s="131">
        <f t="shared" ref="N191:N192" si="79">O191</f>
        <v>3701.346</v>
      </c>
      <c r="O191" s="171">
        <v>3701.346</v>
      </c>
      <c r="P191" s="170">
        <f t="shared" si="77"/>
        <v>9.2533649999999995E-2</v>
      </c>
      <c r="Q191" s="168">
        <v>46182</v>
      </c>
    </row>
    <row r="192" spans="1:17" ht="14.25">
      <c r="A192" t="s">
        <v>1213</v>
      </c>
      <c r="B192" t="s">
        <v>1243</v>
      </c>
      <c r="C192" s="108" t="s">
        <v>1068</v>
      </c>
      <c r="D192" t="s">
        <v>5085</v>
      </c>
      <c r="E192" t="s">
        <v>5086</v>
      </c>
      <c r="F192" t="s">
        <v>309</v>
      </c>
      <c r="G192" t="s">
        <v>5087</v>
      </c>
      <c r="H192" s="108">
        <v>74239</v>
      </c>
      <c r="I192" t="s">
        <v>314</v>
      </c>
      <c r="J192" t="s">
        <v>1212</v>
      </c>
      <c r="K192" s="168">
        <v>44741</v>
      </c>
      <c r="L192" s="131">
        <v>40000000</v>
      </c>
      <c r="M192" s="131">
        <f t="shared" si="78"/>
        <v>40000</v>
      </c>
      <c r="N192" s="131">
        <f t="shared" si="79"/>
        <v>6593.75</v>
      </c>
      <c r="O192" s="171">
        <v>6593.75</v>
      </c>
      <c r="P192" s="170">
        <f t="shared" si="77"/>
        <v>0.16484375000000001</v>
      </c>
      <c r="Q192" s="168">
        <v>46202</v>
      </c>
    </row>
    <row r="193" spans="1:17" ht="14.25">
      <c r="A193" t="s">
        <v>1213</v>
      </c>
      <c r="B193" t="s">
        <v>1243</v>
      </c>
      <c r="C193" s="108" t="s">
        <v>1068</v>
      </c>
      <c r="E193" t="s">
        <v>5115</v>
      </c>
      <c r="F193" t="s">
        <v>309</v>
      </c>
      <c r="G193" t="s">
        <v>5116</v>
      </c>
      <c r="H193" s="108">
        <v>74240</v>
      </c>
      <c r="I193" t="s">
        <v>314</v>
      </c>
      <c r="J193" t="s">
        <v>1218</v>
      </c>
      <c r="K193" s="168">
        <v>44748</v>
      </c>
      <c r="L193" s="131">
        <v>10000000</v>
      </c>
      <c r="M193" s="131">
        <f>L193/1000*4.1524</f>
        <v>41524</v>
      </c>
      <c r="N193" s="131">
        <f>O193/4.1254</f>
        <v>267.45204343821206</v>
      </c>
      <c r="O193" s="171">
        <f>1103346.66/1000</f>
        <v>1103.3466599999999</v>
      </c>
      <c r="P193" s="170">
        <f t="shared" si="77"/>
        <v>2.657129997110105E-2</v>
      </c>
      <c r="Q193" s="168">
        <v>45844</v>
      </c>
    </row>
    <row r="194" spans="1:17" ht="14.25">
      <c r="A194" t="s">
        <v>1213</v>
      </c>
      <c r="B194" t="s">
        <v>1243</v>
      </c>
      <c r="C194" s="108" t="s">
        <v>1068</v>
      </c>
      <c r="D194" t="s">
        <v>5082</v>
      </c>
      <c r="E194" t="s">
        <v>5083</v>
      </c>
      <c r="F194" t="s">
        <v>309</v>
      </c>
      <c r="G194" t="s">
        <v>5084</v>
      </c>
      <c r="H194" s="108">
        <v>74241</v>
      </c>
      <c r="I194" t="s">
        <v>314</v>
      </c>
      <c r="J194" t="s">
        <v>1212</v>
      </c>
      <c r="K194" s="168">
        <v>44752</v>
      </c>
      <c r="L194" s="131">
        <v>50000000</v>
      </c>
      <c r="M194" s="131">
        <f>L194/1000</f>
        <v>50000</v>
      </c>
      <c r="N194" s="131">
        <f>O194</f>
        <v>6281.991</v>
      </c>
      <c r="O194" s="171">
        <v>6281.991</v>
      </c>
      <c r="P194" s="170">
        <f t="shared" si="77"/>
        <v>0.12563982000000001</v>
      </c>
      <c r="Q194" s="168">
        <v>46213</v>
      </c>
    </row>
    <row r="195" spans="1:17" ht="14.25">
      <c r="A195" t="s">
        <v>1213</v>
      </c>
      <c r="B195" t="s">
        <v>1243</v>
      </c>
      <c r="C195" s="108" t="s">
        <v>1068</v>
      </c>
      <c r="E195" t="s">
        <v>3826</v>
      </c>
      <c r="F195" t="s">
        <v>311</v>
      </c>
      <c r="G195" t="s">
        <v>3825</v>
      </c>
      <c r="H195" s="108">
        <v>74242</v>
      </c>
      <c r="I195" t="s">
        <v>314</v>
      </c>
      <c r="J195" t="s">
        <v>1218</v>
      </c>
      <c r="K195" s="168">
        <v>44812</v>
      </c>
      <c r="L195" s="131">
        <v>5410840</v>
      </c>
      <c r="M195" s="131">
        <f>L195/1000*4.1524</f>
        <v>22467.972016</v>
      </c>
      <c r="N195" s="131"/>
      <c r="O195" s="171"/>
      <c r="Q195" s="168"/>
    </row>
    <row r="196" spans="1:17" ht="14.25">
      <c r="A196" t="s">
        <v>1213</v>
      </c>
      <c r="B196" t="s">
        <v>1243</v>
      </c>
      <c r="C196" s="108" t="s">
        <v>1068</v>
      </c>
      <c r="D196" t="s">
        <v>5105</v>
      </c>
      <c r="E196" t="s">
        <v>5106</v>
      </c>
      <c r="F196" t="s">
        <v>311</v>
      </c>
      <c r="G196" t="s">
        <v>5107</v>
      </c>
      <c r="H196" s="108">
        <v>74243</v>
      </c>
      <c r="I196" t="s">
        <v>314</v>
      </c>
      <c r="J196" t="s">
        <v>1216</v>
      </c>
      <c r="K196" s="168">
        <v>44823</v>
      </c>
      <c r="L196" s="131">
        <v>6000000</v>
      </c>
      <c r="M196" s="131">
        <f t="shared" ref="M196:M197" si="80">L196/1000*3.71</f>
        <v>22260</v>
      </c>
      <c r="N196" s="131">
        <f t="shared" ref="N196:N197" si="81">O196/3.71</f>
        <v>1045.954</v>
      </c>
      <c r="O196" s="171">
        <v>3880.4893399999996</v>
      </c>
      <c r="P196" s="170">
        <f t="shared" ref="P196:P198" si="82">O196/M196</f>
        <v>0.17432566666666666</v>
      </c>
      <c r="Q196" s="168">
        <v>46284</v>
      </c>
    </row>
    <row r="197" spans="1:17" ht="14.25">
      <c r="A197" t="s">
        <v>1213</v>
      </c>
      <c r="B197" t="s">
        <v>1243</v>
      </c>
      <c r="C197" s="108" t="s">
        <v>1068</v>
      </c>
      <c r="D197" t="s">
        <v>5150</v>
      </c>
      <c r="E197" t="s">
        <v>5151</v>
      </c>
      <c r="F197" t="s">
        <v>311</v>
      </c>
      <c r="G197" t="s">
        <v>5152</v>
      </c>
      <c r="H197" s="108">
        <v>74244</v>
      </c>
      <c r="I197" t="s">
        <v>314</v>
      </c>
      <c r="J197" t="s">
        <v>1216</v>
      </c>
      <c r="K197" s="168">
        <v>44881</v>
      </c>
      <c r="L197" s="131">
        <v>12465101</v>
      </c>
      <c r="M197" s="131">
        <f t="shared" si="80"/>
        <v>46245.524710000005</v>
      </c>
      <c r="N197" s="131">
        <f t="shared" si="81"/>
        <v>571.320999999999</v>
      </c>
      <c r="O197" s="171">
        <v>2119.6009099999965</v>
      </c>
      <c r="P197" s="170">
        <f t="shared" si="82"/>
        <v>4.5833643866985033E-2</v>
      </c>
      <c r="Q197" s="168">
        <v>46707</v>
      </c>
    </row>
    <row r="198" spans="1:17" ht="14.25">
      <c r="A198" t="s">
        <v>1213</v>
      </c>
      <c r="B198" t="s">
        <v>1243</v>
      </c>
      <c r="C198" s="108" t="s">
        <v>1068</v>
      </c>
      <c r="E198" t="s">
        <v>5138</v>
      </c>
      <c r="F198" t="s">
        <v>311</v>
      </c>
      <c r="G198" t="s">
        <v>5139</v>
      </c>
      <c r="H198" s="108">
        <v>74247</v>
      </c>
      <c r="I198" t="s">
        <v>314</v>
      </c>
      <c r="J198" t="s">
        <v>1227</v>
      </c>
      <c r="K198" s="168">
        <v>44938</v>
      </c>
      <c r="L198" s="131">
        <v>7500000</v>
      </c>
      <c r="M198" s="131">
        <f>L198/1000*4.9748</f>
        <v>37311</v>
      </c>
      <c r="N198" s="131">
        <f>O198/4.9748</f>
        <v>3919.9059999999999</v>
      </c>
      <c r="O198" s="171">
        <v>19500.748368799999</v>
      </c>
      <c r="P198" s="170">
        <f t="shared" si="82"/>
        <v>0.52265413333333333</v>
      </c>
      <c r="Q198" s="168">
        <v>46022</v>
      </c>
    </row>
    <row r="199" spans="1:17" ht="14.25">
      <c r="A199" t="s">
        <v>1213</v>
      </c>
      <c r="B199" t="s">
        <v>1243</v>
      </c>
      <c r="C199" s="108" t="s">
        <v>1068</v>
      </c>
      <c r="E199" t="s">
        <v>5067</v>
      </c>
      <c r="F199" t="s">
        <v>309</v>
      </c>
      <c r="G199" t="s">
        <v>5068</v>
      </c>
      <c r="H199" s="108">
        <v>74249</v>
      </c>
      <c r="I199" t="s">
        <v>314</v>
      </c>
      <c r="J199" t="s">
        <v>1212</v>
      </c>
      <c r="K199" s="168">
        <v>45006</v>
      </c>
      <c r="L199" s="131">
        <v>70000000</v>
      </c>
      <c r="M199" s="131">
        <f t="shared" ref="M199:M200" si="83">L199/1000</f>
        <v>70000</v>
      </c>
      <c r="N199" s="131"/>
      <c r="O199" s="171"/>
      <c r="Q199" s="168"/>
    </row>
    <row r="200" spans="1:17" ht="14.25">
      <c r="A200" t="s">
        <v>1213</v>
      </c>
      <c r="B200" t="s">
        <v>1243</v>
      </c>
      <c r="C200" s="108" t="s">
        <v>1068</v>
      </c>
      <c r="D200" t="s">
        <v>4939</v>
      </c>
      <c r="E200" t="s">
        <v>4940</v>
      </c>
      <c r="F200" t="s">
        <v>309</v>
      </c>
      <c r="G200" t="s">
        <v>4955</v>
      </c>
      <c r="H200" s="108">
        <v>74252</v>
      </c>
      <c r="I200" t="s">
        <v>314</v>
      </c>
      <c r="J200" t="s">
        <v>1212</v>
      </c>
      <c r="K200" s="168">
        <v>45036</v>
      </c>
      <c r="L200" s="131">
        <v>62150000</v>
      </c>
      <c r="M200" s="131">
        <f t="shared" si="83"/>
        <v>62150</v>
      </c>
      <c r="N200" s="131">
        <f>O200</f>
        <v>18726.062000000002</v>
      </c>
      <c r="O200" s="171">
        <v>18726.062000000002</v>
      </c>
      <c r="P200" s="170">
        <f t="shared" ref="P200:P202" si="84">O200/M200</f>
        <v>0.30130429605792441</v>
      </c>
      <c r="Q200" s="168">
        <v>48689</v>
      </c>
    </row>
    <row r="201" spans="1:17" ht="14.25">
      <c r="A201" t="s">
        <v>1213</v>
      </c>
      <c r="B201" t="s">
        <v>1243</v>
      </c>
      <c r="C201" s="108" t="s">
        <v>1068</v>
      </c>
      <c r="E201" t="s">
        <v>4943</v>
      </c>
      <c r="F201" t="s">
        <v>309</v>
      </c>
      <c r="G201" t="s">
        <v>4944</v>
      </c>
      <c r="H201" s="108">
        <v>74254</v>
      </c>
      <c r="I201" t="s">
        <v>314</v>
      </c>
      <c r="J201" t="s">
        <v>1216</v>
      </c>
      <c r="K201" s="168">
        <v>45124</v>
      </c>
      <c r="L201" s="131">
        <v>7006080</v>
      </c>
      <c r="M201" s="131">
        <f>L201/1000*3.71</f>
        <v>25992.556799999998</v>
      </c>
      <c r="N201" s="131">
        <f>O201/3.71</f>
        <v>2119.2889999999998</v>
      </c>
      <c r="O201" s="171">
        <v>7862.5621899999996</v>
      </c>
      <c r="P201" s="170">
        <f t="shared" si="84"/>
        <v>0.30249283479492101</v>
      </c>
      <c r="Q201" s="168">
        <v>46220</v>
      </c>
    </row>
    <row r="202" spans="1:17" ht="14.25">
      <c r="A202" t="s">
        <v>1213</v>
      </c>
      <c r="B202" t="s">
        <v>1243</v>
      </c>
      <c r="C202" s="108" t="s">
        <v>1068</v>
      </c>
      <c r="D202" t="s">
        <v>4988</v>
      </c>
      <c r="E202" t="s">
        <v>4989</v>
      </c>
      <c r="F202" t="s">
        <v>309</v>
      </c>
      <c r="G202" t="s">
        <v>4990</v>
      </c>
      <c r="H202" s="108">
        <v>74255</v>
      </c>
      <c r="I202" t="s">
        <v>314</v>
      </c>
      <c r="J202" t="s">
        <v>1227</v>
      </c>
      <c r="K202" s="168">
        <v>45208</v>
      </c>
      <c r="L202" s="131">
        <v>5000000</v>
      </c>
      <c r="M202" s="131">
        <f>L202/1000*4.9748</f>
        <v>24874</v>
      </c>
      <c r="N202" s="131">
        <f>O202/4.9748</f>
        <v>1449.6760000000004</v>
      </c>
      <c r="O202" s="171">
        <v>7211.8481648000015</v>
      </c>
      <c r="P202" s="170">
        <f t="shared" si="84"/>
        <v>0.28993520000000006</v>
      </c>
      <c r="Q202" s="168">
        <v>46235</v>
      </c>
    </row>
    <row r="203" spans="1:17" ht="14.25">
      <c r="A203" t="s">
        <v>1213</v>
      </c>
      <c r="B203" t="s">
        <v>1243</v>
      </c>
      <c r="C203" s="108" t="s">
        <v>1068</v>
      </c>
      <c r="D203" t="s">
        <v>5127</v>
      </c>
      <c r="E203" t="s">
        <v>5128</v>
      </c>
      <c r="F203" t="s">
        <v>310</v>
      </c>
      <c r="G203" t="s">
        <v>5129</v>
      </c>
      <c r="H203" s="108">
        <v>74256</v>
      </c>
      <c r="I203" t="s">
        <v>314</v>
      </c>
      <c r="J203" t="s">
        <v>1218</v>
      </c>
      <c r="K203" s="168">
        <v>45166</v>
      </c>
      <c r="L203" s="131">
        <v>8000000</v>
      </c>
      <c r="M203" s="131">
        <f>L203/1000*4.1524</f>
        <v>33219.199999999997</v>
      </c>
      <c r="N203" s="131"/>
      <c r="O203" s="171"/>
      <c r="Q203" s="168"/>
    </row>
    <row r="204" spans="1:17" ht="14.25">
      <c r="A204" t="s">
        <v>1213</v>
      </c>
      <c r="B204" t="s">
        <v>1243</v>
      </c>
      <c r="C204" s="108" t="s">
        <v>1068</v>
      </c>
      <c r="D204" t="s">
        <v>4992</v>
      </c>
      <c r="E204" t="s">
        <v>4993</v>
      </c>
      <c r="F204" t="s">
        <v>311</v>
      </c>
      <c r="G204" t="s">
        <v>4996</v>
      </c>
      <c r="H204" s="108">
        <v>74266</v>
      </c>
      <c r="I204" t="s">
        <v>314</v>
      </c>
      <c r="J204" t="s">
        <v>1216</v>
      </c>
      <c r="K204" s="168">
        <v>45400</v>
      </c>
      <c r="L204" s="131">
        <v>2500000</v>
      </c>
      <c r="M204" s="131">
        <f>L204/1000*3.71</f>
        <v>9275</v>
      </c>
      <c r="N204" s="131">
        <f>O204/3.71</f>
        <v>833.46600000000012</v>
      </c>
      <c r="O204" s="171">
        <v>3092.1588600000005</v>
      </c>
      <c r="P204" s="170">
        <f t="shared" ref="P204:P209" si="85">O204/M204</f>
        <v>0.33338640000000003</v>
      </c>
      <c r="Q204" s="168">
        <v>46495</v>
      </c>
    </row>
    <row r="205" spans="1:17" ht="14.25">
      <c r="A205" t="s">
        <v>1213</v>
      </c>
      <c r="B205" t="s">
        <v>1243</v>
      </c>
      <c r="C205" s="108" t="s">
        <v>1068</v>
      </c>
      <c r="D205" t="s">
        <v>5147</v>
      </c>
      <c r="E205" t="s">
        <v>5148</v>
      </c>
      <c r="F205" t="s">
        <v>311</v>
      </c>
      <c r="G205" t="s">
        <v>5149</v>
      </c>
      <c r="H205" s="108">
        <v>74270</v>
      </c>
      <c r="I205" t="s">
        <v>314</v>
      </c>
      <c r="J205" t="s">
        <v>1218</v>
      </c>
      <c r="K205" s="168">
        <v>45484</v>
      </c>
      <c r="L205" s="131">
        <v>3000000</v>
      </c>
      <c r="M205" s="131">
        <f>L205/1000*4.1524</f>
        <v>12457.2</v>
      </c>
      <c r="N205" s="131">
        <f>O205/4.1254</f>
        <v>1557.1650981722985</v>
      </c>
      <c r="O205" s="171">
        <v>6423.9288960000003</v>
      </c>
      <c r="P205" s="170">
        <f t="shared" si="85"/>
        <v>0.51568000000000003</v>
      </c>
      <c r="Q205" s="168">
        <v>46295</v>
      </c>
    </row>
    <row r="206" spans="1:17" ht="14.25">
      <c r="A206" t="s">
        <v>1213</v>
      </c>
      <c r="B206" t="s">
        <v>1243</v>
      </c>
      <c r="C206" s="108" t="s">
        <v>1068</v>
      </c>
      <c r="D206" t="s">
        <v>4997</v>
      </c>
      <c r="E206" t="s">
        <v>4998</v>
      </c>
      <c r="F206" t="s">
        <v>311</v>
      </c>
      <c r="G206" t="s">
        <v>4997</v>
      </c>
      <c r="H206" s="108">
        <v>74271</v>
      </c>
      <c r="I206" t="s">
        <v>314</v>
      </c>
      <c r="J206" t="s">
        <v>1227</v>
      </c>
      <c r="K206" s="168">
        <v>45495</v>
      </c>
      <c r="L206" s="131">
        <v>4000000</v>
      </c>
      <c r="M206" s="131">
        <f>L206/1000*4.9748</f>
        <v>19899.2</v>
      </c>
      <c r="N206" s="131">
        <f>O206/4.9748</f>
        <v>2168</v>
      </c>
      <c r="O206" s="171">
        <v>10785.366400000001</v>
      </c>
      <c r="P206" s="170">
        <f t="shared" si="85"/>
        <v>0.54200000000000004</v>
      </c>
      <c r="Q206" s="168">
        <v>46295</v>
      </c>
    </row>
    <row r="207" spans="1:17" ht="14.25">
      <c r="A207" t="s">
        <v>1213</v>
      </c>
      <c r="B207" t="s">
        <v>1243</v>
      </c>
      <c r="C207" s="108" t="s">
        <v>1068</v>
      </c>
      <c r="D207" t="s">
        <v>4992</v>
      </c>
      <c r="E207" t="s">
        <v>4993</v>
      </c>
      <c r="F207" t="s">
        <v>311</v>
      </c>
      <c r="G207" t="s">
        <v>4994</v>
      </c>
      <c r="H207" s="108">
        <v>74272</v>
      </c>
      <c r="I207" t="s">
        <v>314</v>
      </c>
      <c r="J207" t="s">
        <v>1216</v>
      </c>
      <c r="K207" s="168">
        <v>45505</v>
      </c>
      <c r="L207" s="131">
        <v>2500000</v>
      </c>
      <c r="M207" s="131">
        <f>L207/1000*3.71</f>
        <v>9275</v>
      </c>
      <c r="N207" s="131">
        <f>O207/3.71</f>
        <v>846.22899999999993</v>
      </c>
      <c r="O207" s="171">
        <v>3139.5095899999997</v>
      </c>
      <c r="P207" s="170">
        <f t="shared" si="85"/>
        <v>0.33849159999999995</v>
      </c>
      <c r="Q207" s="168">
        <v>46295</v>
      </c>
    </row>
    <row r="208" spans="1:17" ht="14.25">
      <c r="A208" t="s">
        <v>1213</v>
      </c>
      <c r="B208" t="s">
        <v>1247</v>
      </c>
      <c r="C208" s="108" t="s">
        <v>1068</v>
      </c>
      <c r="E208" t="s">
        <v>5153</v>
      </c>
      <c r="F208" t="s">
        <v>309</v>
      </c>
      <c r="G208" t="s">
        <v>5154</v>
      </c>
      <c r="H208" s="108">
        <v>74201</v>
      </c>
      <c r="I208" t="s">
        <v>314</v>
      </c>
      <c r="J208" t="s">
        <v>1212</v>
      </c>
      <c r="K208" s="168">
        <v>43858</v>
      </c>
      <c r="L208" s="131">
        <v>20000000</v>
      </c>
      <c r="M208" s="131">
        <f t="shared" ref="M208:M210" si="86">L208/1000</f>
        <v>20000</v>
      </c>
      <c r="N208" s="131">
        <f t="shared" ref="N208:N209" si="87">O208</f>
        <v>724.82</v>
      </c>
      <c r="O208" s="171">
        <v>724.82</v>
      </c>
      <c r="P208" s="170">
        <f t="shared" si="85"/>
        <v>3.6241000000000002E-2</v>
      </c>
      <c r="Q208" s="168">
        <v>46415</v>
      </c>
    </row>
    <row r="209" spans="1:17" ht="14.25">
      <c r="A209" t="s">
        <v>1213</v>
      </c>
      <c r="B209" t="s">
        <v>1250</v>
      </c>
      <c r="C209" s="108" t="s">
        <v>1068</v>
      </c>
      <c r="E209" t="s">
        <v>5153</v>
      </c>
      <c r="F209" t="s">
        <v>309</v>
      </c>
      <c r="G209" t="s">
        <v>5154</v>
      </c>
      <c r="H209" s="108">
        <v>74201</v>
      </c>
      <c r="I209" t="s">
        <v>314</v>
      </c>
      <c r="J209" t="s">
        <v>1212</v>
      </c>
      <c r="K209" s="168">
        <v>43858</v>
      </c>
      <c r="L209" s="131">
        <v>20000000</v>
      </c>
      <c r="M209" s="131">
        <f t="shared" si="86"/>
        <v>20000</v>
      </c>
      <c r="N209" s="131">
        <f t="shared" si="87"/>
        <v>7328.732</v>
      </c>
      <c r="O209" s="171">
        <v>7328.732</v>
      </c>
      <c r="P209" s="170">
        <f t="shared" si="85"/>
        <v>0.3664366</v>
      </c>
      <c r="Q209" s="168">
        <v>46415</v>
      </c>
    </row>
    <row r="210" spans="1:17" ht="14.25">
      <c r="A210" t="s">
        <v>1213</v>
      </c>
      <c r="B210" t="s">
        <v>1251</v>
      </c>
      <c r="C210" s="108" t="s">
        <v>1068</v>
      </c>
      <c r="D210" t="s">
        <v>5047</v>
      </c>
      <c r="E210" t="s">
        <v>5048</v>
      </c>
      <c r="F210" t="s">
        <v>309</v>
      </c>
      <c r="G210" t="s">
        <v>5049</v>
      </c>
      <c r="H210" s="108" t="s">
        <v>5050</v>
      </c>
      <c r="I210" t="s">
        <v>321</v>
      </c>
      <c r="J210" t="s">
        <v>1212</v>
      </c>
      <c r="K210" s="168">
        <v>45565</v>
      </c>
      <c r="L210" s="131">
        <v>15000000</v>
      </c>
      <c r="M210" s="131">
        <f t="shared" si="86"/>
        <v>15000</v>
      </c>
      <c r="N210" s="131"/>
      <c r="O210" s="171"/>
      <c r="Q210" s="168"/>
    </row>
    <row r="211" spans="1:17" ht="14.25">
      <c r="A211" t="s">
        <v>1213</v>
      </c>
      <c r="B211" t="s">
        <v>1251</v>
      </c>
      <c r="C211" s="108" t="s">
        <v>1068</v>
      </c>
      <c r="D211" t="s">
        <v>5015</v>
      </c>
      <c r="E211" t="s">
        <v>5016</v>
      </c>
      <c r="F211" t="s">
        <v>309</v>
      </c>
      <c r="G211" t="s">
        <v>5017</v>
      </c>
      <c r="H211" s="108">
        <v>74173</v>
      </c>
      <c r="I211" t="s">
        <v>314</v>
      </c>
      <c r="J211" t="s">
        <v>1216</v>
      </c>
      <c r="K211" s="168">
        <v>43157</v>
      </c>
      <c r="L211" s="131">
        <v>5100000</v>
      </c>
      <c r="M211" s="131">
        <f>L211/1000*3.71</f>
        <v>18921</v>
      </c>
      <c r="N211" s="131">
        <f>O211/3.71</f>
        <v>5.840000000000007</v>
      </c>
      <c r="O211" s="171">
        <v>21.666400000000024</v>
      </c>
      <c r="P211" s="170">
        <f>O211/M211</f>
        <v>1.1450980392156875E-3</v>
      </c>
      <c r="Q211" s="168">
        <v>45347</v>
      </c>
    </row>
    <row r="212" spans="1:17" ht="14.25">
      <c r="A212" t="s">
        <v>1213</v>
      </c>
      <c r="B212" t="s">
        <v>1251</v>
      </c>
      <c r="C212" s="108" t="s">
        <v>1068</v>
      </c>
      <c r="D212" t="s">
        <v>5011</v>
      </c>
      <c r="E212" t="s">
        <v>5012</v>
      </c>
      <c r="F212" t="s">
        <v>309</v>
      </c>
      <c r="G212" t="s">
        <v>5013</v>
      </c>
      <c r="H212" s="108">
        <v>74176</v>
      </c>
      <c r="I212" t="s">
        <v>314</v>
      </c>
      <c r="J212" t="s">
        <v>1212</v>
      </c>
      <c r="K212" s="168">
        <v>43306</v>
      </c>
      <c r="L212" s="131">
        <v>15000000</v>
      </c>
      <c r="M212" s="131">
        <f t="shared" ref="M212:M213" si="88">L212/1000</f>
        <v>15000</v>
      </c>
      <c r="N212" s="131"/>
      <c r="O212" s="171"/>
      <c r="Q212" s="168"/>
    </row>
    <row r="213" spans="1:17" ht="14.25">
      <c r="A213" t="s">
        <v>1213</v>
      </c>
      <c r="B213" t="s">
        <v>1251</v>
      </c>
      <c r="C213" s="108" t="s">
        <v>1068</v>
      </c>
      <c r="D213" t="s">
        <v>5019</v>
      </c>
      <c r="E213" t="s">
        <v>5020</v>
      </c>
      <c r="F213" t="s">
        <v>309</v>
      </c>
      <c r="G213" t="s">
        <v>5021</v>
      </c>
      <c r="H213" s="108">
        <v>74177</v>
      </c>
      <c r="I213" t="s">
        <v>314</v>
      </c>
      <c r="J213" t="s">
        <v>1212</v>
      </c>
      <c r="K213" s="168">
        <v>43312</v>
      </c>
      <c r="L213" s="131">
        <v>20000000</v>
      </c>
      <c r="M213" s="131">
        <f t="shared" si="88"/>
        <v>20000</v>
      </c>
      <c r="N213" s="131"/>
      <c r="O213" s="171"/>
      <c r="Q213" s="168"/>
    </row>
    <row r="214" spans="1:17" ht="14.25">
      <c r="A214" t="s">
        <v>1213</v>
      </c>
      <c r="B214" t="s">
        <v>1251</v>
      </c>
      <c r="C214" s="108" t="s">
        <v>1068</v>
      </c>
      <c r="D214" t="s">
        <v>5029</v>
      </c>
      <c r="E214" t="s">
        <v>5030</v>
      </c>
      <c r="F214" t="s">
        <v>311</v>
      </c>
      <c r="G214" t="s">
        <v>5031</v>
      </c>
      <c r="H214" s="108">
        <v>74178</v>
      </c>
      <c r="I214" t="s">
        <v>314</v>
      </c>
      <c r="J214" t="s">
        <v>1216</v>
      </c>
      <c r="K214" s="168">
        <v>43321</v>
      </c>
      <c r="L214" s="131">
        <v>16000000</v>
      </c>
      <c r="M214" s="131">
        <f>L214/1000*3.71</f>
        <v>59360</v>
      </c>
      <c r="N214" s="131"/>
      <c r="O214" s="171"/>
      <c r="Q214" s="168"/>
    </row>
    <row r="215" spans="1:17" ht="14.25">
      <c r="A215" t="s">
        <v>1213</v>
      </c>
      <c r="B215" t="s">
        <v>1251</v>
      </c>
      <c r="C215" s="108" t="s">
        <v>1068</v>
      </c>
      <c r="D215" t="s">
        <v>5094</v>
      </c>
      <c r="E215" t="s">
        <v>5095</v>
      </c>
      <c r="F215" t="s">
        <v>309</v>
      </c>
      <c r="G215" t="s">
        <v>5096</v>
      </c>
      <c r="H215" s="108">
        <v>74179</v>
      </c>
      <c r="I215" t="s">
        <v>314</v>
      </c>
      <c r="J215" t="s">
        <v>1212</v>
      </c>
      <c r="K215" s="168">
        <v>43394</v>
      </c>
      <c r="L215" s="131">
        <v>50000000</v>
      </c>
      <c r="M215" s="131">
        <f>L215/1000</f>
        <v>50000</v>
      </c>
      <c r="N215" s="131">
        <f>O215</f>
        <v>471.613</v>
      </c>
      <c r="O215" s="171">
        <v>471.613</v>
      </c>
      <c r="P215" s="170">
        <f>O215/M215</f>
        <v>9.4322599999999996E-3</v>
      </c>
      <c r="Q215" s="168">
        <v>47044</v>
      </c>
    </row>
    <row r="216" spans="1:17" ht="14.25">
      <c r="A216" t="s">
        <v>1213</v>
      </c>
      <c r="B216" t="s">
        <v>1251</v>
      </c>
      <c r="C216" s="108" t="s">
        <v>1068</v>
      </c>
      <c r="E216" t="s">
        <v>5027</v>
      </c>
      <c r="F216" t="s">
        <v>311</v>
      </c>
      <c r="G216" t="s">
        <v>5028</v>
      </c>
      <c r="H216" s="108">
        <v>74180</v>
      </c>
      <c r="I216" t="s">
        <v>314</v>
      </c>
      <c r="J216" t="s">
        <v>1216</v>
      </c>
      <c r="K216" s="168">
        <v>43411</v>
      </c>
      <c r="L216" s="131">
        <v>4000000</v>
      </c>
      <c r="M216" s="131">
        <f t="shared" ref="M216:M218" si="89">L216/1000*3.71</f>
        <v>14840</v>
      </c>
      <c r="N216" s="131"/>
      <c r="O216" s="171"/>
      <c r="Q216" s="168"/>
    </row>
    <row r="217" spans="1:17" ht="14.25">
      <c r="A217" t="s">
        <v>1213</v>
      </c>
      <c r="B217" t="s">
        <v>1251</v>
      </c>
      <c r="C217" s="108" t="s">
        <v>1068</v>
      </c>
      <c r="E217" t="s">
        <v>5032</v>
      </c>
      <c r="F217" t="s">
        <v>309</v>
      </c>
      <c r="G217" t="s">
        <v>5033</v>
      </c>
      <c r="H217" s="108">
        <v>74181</v>
      </c>
      <c r="I217" t="s">
        <v>314</v>
      </c>
      <c r="J217" t="s">
        <v>1216</v>
      </c>
      <c r="K217" s="168">
        <v>43412</v>
      </c>
      <c r="L217" s="131">
        <v>9000000</v>
      </c>
      <c r="M217" s="131">
        <f t="shared" si="89"/>
        <v>33390</v>
      </c>
      <c r="N217" s="131"/>
      <c r="O217" s="171"/>
      <c r="Q217" s="168"/>
    </row>
    <row r="218" spans="1:17" ht="14.25">
      <c r="A218" t="s">
        <v>1213</v>
      </c>
      <c r="B218" t="s">
        <v>1251</v>
      </c>
      <c r="C218" s="108" t="s">
        <v>1068</v>
      </c>
      <c r="E218" t="s">
        <v>5036</v>
      </c>
      <c r="F218" t="s">
        <v>311</v>
      </c>
      <c r="G218" t="s">
        <v>5037</v>
      </c>
      <c r="H218" s="108">
        <v>74183</v>
      </c>
      <c r="I218" t="s">
        <v>314</v>
      </c>
      <c r="J218" t="s">
        <v>1216</v>
      </c>
      <c r="K218" s="168">
        <v>43482</v>
      </c>
      <c r="L218" s="131">
        <v>8000000</v>
      </c>
      <c r="M218" s="131">
        <f t="shared" si="89"/>
        <v>29680</v>
      </c>
      <c r="N218" s="131"/>
      <c r="O218" s="171"/>
      <c r="Q218" s="168"/>
    </row>
    <row r="219" spans="1:17" ht="14.25">
      <c r="A219" t="s">
        <v>1213</v>
      </c>
      <c r="B219" t="s">
        <v>1251</v>
      </c>
      <c r="C219" s="108" t="s">
        <v>1068</v>
      </c>
      <c r="D219" t="s">
        <v>5004</v>
      </c>
      <c r="E219" t="s">
        <v>5005</v>
      </c>
      <c r="F219" t="s">
        <v>309</v>
      </c>
      <c r="G219" t="s">
        <v>5006</v>
      </c>
      <c r="H219" s="108">
        <v>74185</v>
      </c>
      <c r="I219" t="s">
        <v>314</v>
      </c>
      <c r="J219" t="s">
        <v>1212</v>
      </c>
      <c r="K219" s="168">
        <v>43524</v>
      </c>
      <c r="L219" s="131">
        <v>53887168</v>
      </c>
      <c r="M219" s="131">
        <f t="shared" ref="M219:M220" si="90">L219/1000</f>
        <v>53887.167999999998</v>
      </c>
      <c r="N219" s="131"/>
      <c r="O219" s="171"/>
      <c r="Q219" s="168"/>
    </row>
    <row r="220" spans="1:17" ht="14.25">
      <c r="A220" t="s">
        <v>1213</v>
      </c>
      <c r="B220" t="s">
        <v>1251</v>
      </c>
      <c r="C220" s="108" t="s">
        <v>1068</v>
      </c>
      <c r="D220" t="s">
        <v>5000</v>
      </c>
      <c r="E220" t="s">
        <v>5001</v>
      </c>
      <c r="F220" t="s">
        <v>310</v>
      </c>
      <c r="G220" t="s">
        <v>5002</v>
      </c>
      <c r="H220" s="108">
        <v>74186</v>
      </c>
      <c r="I220" t="s">
        <v>314</v>
      </c>
      <c r="J220" t="s">
        <v>1212</v>
      </c>
      <c r="K220" s="168">
        <v>43542</v>
      </c>
      <c r="L220" s="131">
        <v>80000000</v>
      </c>
      <c r="M220" s="131">
        <f t="shared" si="90"/>
        <v>80000</v>
      </c>
      <c r="N220" s="131">
        <f>O220</f>
        <v>712.72500000000002</v>
      </c>
      <c r="O220" s="171">
        <v>712.72500000000002</v>
      </c>
      <c r="P220" s="170">
        <f t="shared" ref="P220:P221" si="91">O220/M220</f>
        <v>8.9090625000000003E-3</v>
      </c>
      <c r="Q220" s="168">
        <v>46462</v>
      </c>
    </row>
    <row r="221" spans="1:17" ht="14.25">
      <c r="A221" t="s">
        <v>1213</v>
      </c>
      <c r="B221" t="s">
        <v>1251</v>
      </c>
      <c r="C221" s="108" t="s">
        <v>1068</v>
      </c>
      <c r="D221" t="s">
        <v>5041</v>
      </c>
      <c r="E221" t="s">
        <v>5042</v>
      </c>
      <c r="F221" t="s">
        <v>310</v>
      </c>
      <c r="G221" t="s">
        <v>5043</v>
      </c>
      <c r="H221" s="108">
        <v>74187</v>
      </c>
      <c r="I221" t="s">
        <v>314</v>
      </c>
      <c r="J221" t="s">
        <v>1216</v>
      </c>
      <c r="K221" s="168">
        <v>43571</v>
      </c>
      <c r="L221" s="131">
        <v>5000000</v>
      </c>
      <c r="M221" s="131">
        <f t="shared" ref="M221:M226" si="92">L221/1000*3.71</f>
        <v>18550</v>
      </c>
      <c r="N221" s="131">
        <f>O221/3.71</f>
        <v>135.87899999999999</v>
      </c>
      <c r="O221" s="171">
        <v>504.11108999999999</v>
      </c>
      <c r="P221" s="170">
        <f t="shared" si="91"/>
        <v>2.71758E-2</v>
      </c>
      <c r="Q221" s="168">
        <v>46126</v>
      </c>
    </row>
    <row r="222" spans="1:17" ht="14.25">
      <c r="A222" t="s">
        <v>1213</v>
      </c>
      <c r="B222" t="s">
        <v>1251</v>
      </c>
      <c r="C222" s="108" t="s">
        <v>1068</v>
      </c>
      <c r="E222" t="s">
        <v>5044</v>
      </c>
      <c r="F222" t="s">
        <v>311</v>
      </c>
      <c r="G222" t="s">
        <v>5045</v>
      </c>
      <c r="H222" s="108">
        <v>74188</v>
      </c>
      <c r="I222" t="s">
        <v>314</v>
      </c>
      <c r="J222" t="s">
        <v>1216</v>
      </c>
      <c r="K222" s="168">
        <v>43578</v>
      </c>
      <c r="L222" s="131">
        <v>6000000</v>
      </c>
      <c r="M222" s="131">
        <f t="shared" si="92"/>
        <v>22260</v>
      </c>
      <c r="N222" s="131"/>
      <c r="O222" s="171"/>
      <c r="Q222" s="168"/>
    </row>
    <row r="223" spans="1:17" ht="14.25">
      <c r="A223" t="s">
        <v>1213</v>
      </c>
      <c r="B223" t="s">
        <v>1251</v>
      </c>
      <c r="C223" s="108" t="s">
        <v>1068</v>
      </c>
      <c r="D223" t="s">
        <v>5023</v>
      </c>
      <c r="E223" t="s">
        <v>5024</v>
      </c>
      <c r="F223" t="s">
        <v>309</v>
      </c>
      <c r="G223" t="s">
        <v>5025</v>
      </c>
      <c r="H223" s="108">
        <v>74189</v>
      </c>
      <c r="I223" t="s">
        <v>314</v>
      </c>
      <c r="J223" t="s">
        <v>1216</v>
      </c>
      <c r="K223" s="168">
        <v>43586</v>
      </c>
      <c r="L223" s="131">
        <v>6415000</v>
      </c>
      <c r="M223" s="131">
        <f t="shared" si="92"/>
        <v>23799.65</v>
      </c>
      <c r="N223" s="131"/>
      <c r="O223" s="171"/>
      <c r="Q223" s="168"/>
    </row>
    <row r="224" spans="1:17" ht="14.25">
      <c r="A224" t="s">
        <v>1213</v>
      </c>
      <c r="B224" t="s">
        <v>1251</v>
      </c>
      <c r="C224" s="108" t="s">
        <v>1068</v>
      </c>
      <c r="D224" t="s">
        <v>5007</v>
      </c>
      <c r="E224" t="s">
        <v>2129</v>
      </c>
      <c r="F224" t="s">
        <v>309</v>
      </c>
      <c r="G224" t="s">
        <v>5008</v>
      </c>
      <c r="H224" s="108">
        <v>74190</v>
      </c>
      <c r="I224" t="s">
        <v>314</v>
      </c>
      <c r="J224" t="s">
        <v>1216</v>
      </c>
      <c r="K224" s="168">
        <v>43691</v>
      </c>
      <c r="L224" s="131">
        <v>10700001</v>
      </c>
      <c r="M224" s="131">
        <f t="shared" si="92"/>
        <v>39697.003709999997</v>
      </c>
      <c r="N224" s="131">
        <f>O224/3.71</f>
        <v>102.19600000000004</v>
      </c>
      <c r="O224" s="171">
        <v>379.14716000000016</v>
      </c>
      <c r="P224" s="170">
        <f>O224/M224</f>
        <v>9.5510271447638226E-3</v>
      </c>
      <c r="Q224" s="168">
        <v>46248</v>
      </c>
    </row>
    <row r="225" spans="1:17" ht="14.25">
      <c r="A225" t="s">
        <v>1213</v>
      </c>
      <c r="B225" t="s">
        <v>1251</v>
      </c>
      <c r="C225" s="108" t="s">
        <v>1068</v>
      </c>
      <c r="D225" t="s">
        <v>5144</v>
      </c>
      <c r="E225" t="s">
        <v>5145</v>
      </c>
      <c r="F225" t="s">
        <v>309</v>
      </c>
      <c r="G225" t="s">
        <v>5146</v>
      </c>
      <c r="H225" s="108">
        <v>74192</v>
      </c>
      <c r="I225" t="s">
        <v>314</v>
      </c>
      <c r="J225" t="s">
        <v>1216</v>
      </c>
      <c r="K225" s="168">
        <v>43761</v>
      </c>
      <c r="L225" s="131">
        <v>5000000</v>
      </c>
      <c r="M225" s="131">
        <f t="shared" si="92"/>
        <v>18550</v>
      </c>
      <c r="N225" s="131"/>
      <c r="O225" s="171"/>
      <c r="Q225" s="168"/>
    </row>
    <row r="226" spans="1:17" ht="14.25">
      <c r="A226" t="s">
        <v>1213</v>
      </c>
      <c r="B226" t="s">
        <v>1251</v>
      </c>
      <c r="C226" s="108" t="s">
        <v>1068</v>
      </c>
      <c r="E226" t="s">
        <v>5140</v>
      </c>
      <c r="F226" t="s">
        <v>311</v>
      </c>
      <c r="G226" t="s">
        <v>5141</v>
      </c>
      <c r="H226" s="108">
        <v>74193</v>
      </c>
      <c r="I226" t="s">
        <v>314</v>
      </c>
      <c r="J226" t="s">
        <v>1216</v>
      </c>
      <c r="K226" s="168">
        <v>43790</v>
      </c>
      <c r="L226" s="131">
        <v>5000000</v>
      </c>
      <c r="M226" s="131">
        <f t="shared" si="92"/>
        <v>18550</v>
      </c>
      <c r="N226" s="131">
        <f>O226/3.71</f>
        <v>130.26900000000003</v>
      </c>
      <c r="O226" s="171">
        <v>483.29799000000008</v>
      </c>
      <c r="P226" s="170">
        <f>O226/M226</f>
        <v>2.6053800000000005E-2</v>
      </c>
      <c r="Q226" s="168">
        <v>46347</v>
      </c>
    </row>
    <row r="227" spans="1:17" ht="14.25">
      <c r="A227" t="s">
        <v>1213</v>
      </c>
      <c r="B227" t="s">
        <v>1251</v>
      </c>
      <c r="C227" s="108" t="s">
        <v>1068</v>
      </c>
      <c r="D227" t="s">
        <v>5051</v>
      </c>
      <c r="E227" t="s">
        <v>5052</v>
      </c>
      <c r="F227" t="s">
        <v>309</v>
      </c>
      <c r="G227" t="s">
        <v>5053</v>
      </c>
      <c r="H227" s="108">
        <v>74196</v>
      </c>
      <c r="I227" t="s">
        <v>314</v>
      </c>
      <c r="J227" t="s">
        <v>1212</v>
      </c>
      <c r="K227" s="168">
        <v>43831</v>
      </c>
      <c r="L227" s="131">
        <v>46366453</v>
      </c>
      <c r="M227" s="131">
        <f>L227/1000</f>
        <v>46366.453000000001</v>
      </c>
      <c r="N227" s="131"/>
      <c r="O227" s="171"/>
      <c r="Q227" s="168"/>
    </row>
    <row r="228" spans="1:17" ht="14.25">
      <c r="A228" t="s">
        <v>1213</v>
      </c>
      <c r="B228" t="s">
        <v>1251</v>
      </c>
      <c r="C228" s="108" t="s">
        <v>1068</v>
      </c>
      <c r="E228" t="s">
        <v>5034</v>
      </c>
      <c r="F228" t="s">
        <v>311</v>
      </c>
      <c r="G228" t="s">
        <v>5035</v>
      </c>
      <c r="H228" s="108">
        <v>74197</v>
      </c>
      <c r="I228" t="s">
        <v>314</v>
      </c>
      <c r="J228" t="s">
        <v>1216</v>
      </c>
      <c r="K228" s="168">
        <v>43857</v>
      </c>
      <c r="L228" s="131">
        <v>5000000</v>
      </c>
      <c r="M228" s="131">
        <f t="shared" ref="M228:M230" si="93">L228/1000*3.71</f>
        <v>18550</v>
      </c>
      <c r="N228" s="131"/>
      <c r="O228" s="171"/>
      <c r="Q228" s="168"/>
    </row>
    <row r="229" spans="1:17" ht="14.25">
      <c r="A229" t="s">
        <v>1213</v>
      </c>
      <c r="B229" t="s">
        <v>1251</v>
      </c>
      <c r="C229" s="108" t="s">
        <v>1068</v>
      </c>
      <c r="D229" t="s">
        <v>5124</v>
      </c>
      <c r="E229" t="s">
        <v>5125</v>
      </c>
      <c r="F229" t="s">
        <v>311</v>
      </c>
      <c r="G229" t="s">
        <v>5126</v>
      </c>
      <c r="H229" s="108">
        <v>74199</v>
      </c>
      <c r="I229" t="s">
        <v>314</v>
      </c>
      <c r="J229" t="s">
        <v>1216</v>
      </c>
      <c r="K229" s="168">
        <v>43881</v>
      </c>
      <c r="L229" s="131">
        <v>7500000</v>
      </c>
      <c r="M229" s="131">
        <f t="shared" si="93"/>
        <v>27825</v>
      </c>
      <c r="N229" s="131"/>
      <c r="O229" s="171"/>
      <c r="Q229" s="168"/>
    </row>
    <row r="230" spans="1:17" ht="14.25">
      <c r="A230" t="s">
        <v>1213</v>
      </c>
      <c r="B230" t="s">
        <v>1251</v>
      </c>
      <c r="C230" s="108" t="s">
        <v>1068</v>
      </c>
      <c r="E230" t="s">
        <v>5027</v>
      </c>
      <c r="F230" t="s">
        <v>311</v>
      </c>
      <c r="G230" t="s">
        <v>5114</v>
      </c>
      <c r="H230" s="108">
        <v>74200</v>
      </c>
      <c r="I230" t="s">
        <v>314</v>
      </c>
      <c r="J230" t="s">
        <v>1216</v>
      </c>
      <c r="K230" s="168">
        <v>43891</v>
      </c>
      <c r="L230" s="131">
        <v>11000000</v>
      </c>
      <c r="M230" s="131">
        <f t="shared" si="93"/>
        <v>40810</v>
      </c>
      <c r="N230" s="131"/>
      <c r="O230" s="171"/>
      <c r="Q230" s="168"/>
    </row>
    <row r="231" spans="1:17" ht="14.25">
      <c r="A231" t="s">
        <v>1213</v>
      </c>
      <c r="B231" t="s">
        <v>1251</v>
      </c>
      <c r="C231" s="108" t="s">
        <v>1068</v>
      </c>
      <c r="D231" t="s">
        <v>5004</v>
      </c>
      <c r="E231" t="s">
        <v>5009</v>
      </c>
      <c r="F231" t="s">
        <v>309</v>
      </c>
      <c r="G231" t="s">
        <v>5010</v>
      </c>
      <c r="H231" s="108">
        <v>74202</v>
      </c>
      <c r="I231" t="s">
        <v>314</v>
      </c>
      <c r="J231" t="s">
        <v>1212</v>
      </c>
      <c r="K231" s="168">
        <v>43913</v>
      </c>
      <c r="L231" s="131">
        <v>22160611</v>
      </c>
      <c r="M231" s="131">
        <f>L231/1000</f>
        <v>22160.611000000001</v>
      </c>
      <c r="N231" s="131"/>
      <c r="O231" s="171"/>
      <c r="Q231" s="168"/>
    </row>
    <row r="232" spans="1:17" ht="14.25">
      <c r="A232" t="s">
        <v>1213</v>
      </c>
      <c r="B232" t="s">
        <v>1251</v>
      </c>
      <c r="C232" s="108" t="s">
        <v>1068</v>
      </c>
      <c r="E232" t="s">
        <v>4982</v>
      </c>
      <c r="F232" t="s">
        <v>311</v>
      </c>
      <c r="G232" t="s">
        <v>4983</v>
      </c>
      <c r="H232" s="108">
        <v>74203</v>
      </c>
      <c r="I232" t="s">
        <v>314</v>
      </c>
      <c r="J232" t="s">
        <v>1216</v>
      </c>
      <c r="K232" s="168">
        <v>43770</v>
      </c>
      <c r="L232" s="131">
        <v>11500000</v>
      </c>
      <c r="M232" s="131">
        <f>L232/1000*3.71</f>
        <v>42665</v>
      </c>
      <c r="N232" s="131"/>
      <c r="O232" s="171"/>
      <c r="Q232" s="168"/>
    </row>
    <row r="233" spans="1:17" ht="14.25">
      <c r="A233" t="s">
        <v>1213</v>
      </c>
      <c r="B233" t="s">
        <v>1251</v>
      </c>
      <c r="C233" s="108" t="s">
        <v>1068</v>
      </c>
      <c r="D233" t="s">
        <v>5000</v>
      </c>
      <c r="E233" t="s">
        <v>5001</v>
      </c>
      <c r="F233" t="s">
        <v>310</v>
      </c>
      <c r="G233" t="s">
        <v>5059</v>
      </c>
      <c r="H233" s="108">
        <v>74204</v>
      </c>
      <c r="I233" t="s">
        <v>314</v>
      </c>
      <c r="J233" t="s">
        <v>1212</v>
      </c>
      <c r="K233" s="168">
        <v>44084</v>
      </c>
      <c r="L233" s="131">
        <v>24960000</v>
      </c>
      <c r="M233" s="131">
        <f>L233/1000</f>
        <v>24960</v>
      </c>
      <c r="N233" s="131">
        <f>O233</f>
        <v>185.351</v>
      </c>
      <c r="O233" s="171">
        <v>185.351</v>
      </c>
      <c r="P233" s="170">
        <f>O233/M233</f>
        <v>7.4259214743589742E-3</v>
      </c>
      <c r="Q233" s="168">
        <v>46462</v>
      </c>
    </row>
    <row r="234" spans="1:17" ht="14.25">
      <c r="A234" t="s">
        <v>1213</v>
      </c>
      <c r="B234" t="s">
        <v>1251</v>
      </c>
      <c r="C234" s="108" t="s">
        <v>1068</v>
      </c>
      <c r="D234" t="s">
        <v>5117</v>
      </c>
      <c r="E234" t="s">
        <v>5118</v>
      </c>
      <c r="F234" t="s">
        <v>310</v>
      </c>
      <c r="G234" t="s">
        <v>5119</v>
      </c>
      <c r="H234" s="108">
        <v>74205</v>
      </c>
      <c r="I234" t="s">
        <v>314</v>
      </c>
      <c r="J234" t="s">
        <v>1218</v>
      </c>
      <c r="K234" s="168">
        <v>44159</v>
      </c>
      <c r="L234" s="131">
        <v>4060000</v>
      </c>
      <c r="M234" s="131">
        <f>L234/1000*4.1524</f>
        <v>16858.743999999999</v>
      </c>
      <c r="N234" s="131"/>
      <c r="O234" s="171"/>
      <c r="Q234" s="168"/>
    </row>
    <row r="235" spans="1:17" ht="14.25">
      <c r="A235" t="s">
        <v>1213</v>
      </c>
      <c r="B235" t="s">
        <v>1251</v>
      </c>
      <c r="C235" s="108" t="s">
        <v>1068</v>
      </c>
      <c r="E235" t="s">
        <v>5121</v>
      </c>
      <c r="F235" t="s">
        <v>311</v>
      </c>
      <c r="G235" t="s">
        <v>5122</v>
      </c>
      <c r="H235" s="108">
        <v>74207</v>
      </c>
      <c r="I235" t="s">
        <v>314</v>
      </c>
      <c r="J235" t="s">
        <v>1216</v>
      </c>
      <c r="K235" s="168">
        <v>44166</v>
      </c>
      <c r="L235" s="131">
        <v>10000000</v>
      </c>
      <c r="M235" s="131">
        <f t="shared" ref="M235:M238" si="94">L235/1000*3.71</f>
        <v>37100</v>
      </c>
      <c r="N235" s="131">
        <f>O235/3.71</f>
        <v>231.15109999999987</v>
      </c>
      <c r="O235" s="171">
        <v>857.57058099999949</v>
      </c>
      <c r="P235" s="170">
        <f>O235/M235</f>
        <v>2.3115109999999987E-2</v>
      </c>
      <c r="Q235" s="168">
        <v>45748</v>
      </c>
    </row>
    <row r="236" spans="1:17" ht="14.25">
      <c r="A236" t="s">
        <v>1213</v>
      </c>
      <c r="B236" t="s">
        <v>1251</v>
      </c>
      <c r="C236" s="108" t="s">
        <v>1068</v>
      </c>
      <c r="D236" t="s">
        <v>5038</v>
      </c>
      <c r="E236" t="s">
        <v>5039</v>
      </c>
      <c r="F236" t="s">
        <v>311</v>
      </c>
      <c r="G236" t="s">
        <v>5040</v>
      </c>
      <c r="H236" s="108">
        <v>74208</v>
      </c>
      <c r="I236" t="s">
        <v>314</v>
      </c>
      <c r="J236" t="s">
        <v>1216</v>
      </c>
      <c r="K236" s="168">
        <v>44186</v>
      </c>
      <c r="L236" s="131">
        <v>4600000</v>
      </c>
      <c r="M236" s="131">
        <f t="shared" si="94"/>
        <v>17066</v>
      </c>
      <c r="N236" s="131"/>
      <c r="O236" s="171"/>
      <c r="Q236" s="168"/>
    </row>
    <row r="237" spans="1:17" ht="14.25">
      <c r="A237" t="s">
        <v>1213</v>
      </c>
      <c r="B237" t="s">
        <v>1251</v>
      </c>
      <c r="C237" s="108" t="s">
        <v>1068</v>
      </c>
      <c r="E237" t="s">
        <v>5027</v>
      </c>
      <c r="F237" t="s">
        <v>311</v>
      </c>
      <c r="G237" t="s">
        <v>5134</v>
      </c>
      <c r="H237" s="108">
        <v>74215</v>
      </c>
      <c r="I237" t="s">
        <v>314</v>
      </c>
      <c r="J237" t="s">
        <v>1216</v>
      </c>
      <c r="K237" s="168">
        <v>44308</v>
      </c>
      <c r="L237" s="131">
        <v>7000000</v>
      </c>
      <c r="M237" s="131">
        <f t="shared" si="94"/>
        <v>25970</v>
      </c>
      <c r="N237" s="131"/>
      <c r="O237" s="171"/>
      <c r="Q237" s="168"/>
    </row>
    <row r="238" spans="1:17" ht="14.25">
      <c r="A238" t="s">
        <v>1213</v>
      </c>
      <c r="B238" t="s">
        <v>1251</v>
      </c>
      <c r="C238" s="108" t="s">
        <v>1068</v>
      </c>
      <c r="E238" t="s">
        <v>5036</v>
      </c>
      <c r="F238" t="s">
        <v>311</v>
      </c>
      <c r="G238" t="s">
        <v>5136</v>
      </c>
      <c r="H238" s="108">
        <v>74216</v>
      </c>
      <c r="I238" t="s">
        <v>314</v>
      </c>
      <c r="J238" t="s">
        <v>1216</v>
      </c>
      <c r="K238" s="168">
        <v>44371</v>
      </c>
      <c r="L238" s="131">
        <v>8000000</v>
      </c>
      <c r="M238" s="131">
        <f t="shared" si="94"/>
        <v>29680</v>
      </c>
      <c r="N238" s="131">
        <f>O238/3.71</f>
        <v>173.86600000000001</v>
      </c>
      <c r="O238" s="171">
        <v>645.04286000000002</v>
      </c>
      <c r="P238" s="170">
        <f t="shared" ref="P238:P242" si="95">O238/M238</f>
        <v>2.1733249999999999E-2</v>
      </c>
      <c r="Q238" s="168">
        <v>46197</v>
      </c>
    </row>
    <row r="239" spans="1:17" ht="14.25">
      <c r="A239" t="s">
        <v>1213</v>
      </c>
      <c r="B239" t="s">
        <v>1251</v>
      </c>
      <c r="C239" s="108" t="s">
        <v>1068</v>
      </c>
      <c r="D239" t="s">
        <v>5064</v>
      </c>
      <c r="E239" t="s">
        <v>5065</v>
      </c>
      <c r="F239" t="s">
        <v>309</v>
      </c>
      <c r="G239" t="s">
        <v>5066</v>
      </c>
      <c r="H239" s="108">
        <v>74217</v>
      </c>
      <c r="I239" t="s">
        <v>314</v>
      </c>
      <c r="J239" t="s">
        <v>1212</v>
      </c>
      <c r="K239" s="168">
        <v>44370</v>
      </c>
      <c r="L239" s="131">
        <v>80000000</v>
      </c>
      <c r="M239" s="131">
        <f>L239/1000</f>
        <v>80000</v>
      </c>
      <c r="N239" s="131">
        <f>O239</f>
        <v>809.33399999999995</v>
      </c>
      <c r="O239" s="171">
        <v>809.33399999999995</v>
      </c>
      <c r="P239" s="170">
        <f t="shared" si="95"/>
        <v>1.0116674999999999E-2</v>
      </c>
      <c r="Q239" s="168">
        <v>46196</v>
      </c>
    </row>
    <row r="240" spans="1:17" ht="14.25">
      <c r="A240" t="s">
        <v>1213</v>
      </c>
      <c r="B240" t="s">
        <v>1251</v>
      </c>
      <c r="C240" s="108" t="s">
        <v>1068</v>
      </c>
      <c r="D240" t="s">
        <v>5088</v>
      </c>
      <c r="E240" t="s">
        <v>5089</v>
      </c>
      <c r="F240" t="s">
        <v>309</v>
      </c>
      <c r="G240" t="s">
        <v>5090</v>
      </c>
      <c r="H240" s="108">
        <v>74221</v>
      </c>
      <c r="I240" t="s">
        <v>314</v>
      </c>
      <c r="J240" t="s">
        <v>1216</v>
      </c>
      <c r="K240" s="168">
        <v>44409</v>
      </c>
      <c r="L240" s="131">
        <v>8000000</v>
      </c>
      <c r="M240" s="131">
        <f t="shared" ref="M240:M241" si="96">L240/1000*3.71</f>
        <v>29680</v>
      </c>
      <c r="N240" s="131">
        <f t="shared" ref="N240:N241" si="97">O240/3.71</f>
        <v>149.36199999999999</v>
      </c>
      <c r="O240" s="171">
        <v>554.13301999999999</v>
      </c>
      <c r="P240" s="170">
        <f t="shared" si="95"/>
        <v>1.8670249999999999E-2</v>
      </c>
      <c r="Q240" s="168">
        <v>47150</v>
      </c>
    </row>
    <row r="241" spans="1:17" ht="14.25">
      <c r="A241" t="s">
        <v>1213</v>
      </c>
      <c r="B241" t="s">
        <v>1251</v>
      </c>
      <c r="C241" s="108" t="s">
        <v>1068</v>
      </c>
      <c r="D241" t="s">
        <v>5076</v>
      </c>
      <c r="E241" t="s">
        <v>5077</v>
      </c>
      <c r="F241" t="s">
        <v>309</v>
      </c>
      <c r="G241" t="s">
        <v>5078</v>
      </c>
      <c r="H241" s="108">
        <v>74228</v>
      </c>
      <c r="I241" t="s">
        <v>314</v>
      </c>
      <c r="J241" t="s">
        <v>1216</v>
      </c>
      <c r="K241" s="168">
        <v>44560</v>
      </c>
      <c r="L241" s="131">
        <v>10000000</v>
      </c>
      <c r="M241" s="131">
        <f t="shared" si="96"/>
        <v>37100</v>
      </c>
      <c r="N241" s="131">
        <f t="shared" si="97"/>
        <v>83.729000000000013</v>
      </c>
      <c r="O241" s="171">
        <v>310.63459000000006</v>
      </c>
      <c r="P241" s="170">
        <f t="shared" si="95"/>
        <v>8.3729000000000008E-3</v>
      </c>
      <c r="Q241" s="168">
        <v>46751</v>
      </c>
    </row>
    <row r="242" spans="1:17" ht="14.25">
      <c r="A242" t="s">
        <v>1213</v>
      </c>
      <c r="B242" t="s">
        <v>1251</v>
      </c>
      <c r="C242" s="108" t="s">
        <v>1068</v>
      </c>
      <c r="D242" t="s">
        <v>5061</v>
      </c>
      <c r="E242" t="s">
        <v>5062</v>
      </c>
      <c r="F242" t="s">
        <v>309</v>
      </c>
      <c r="G242" t="s">
        <v>5063</v>
      </c>
      <c r="H242" s="108">
        <v>74231</v>
      </c>
      <c r="I242" t="s">
        <v>314</v>
      </c>
      <c r="J242" t="s">
        <v>1212</v>
      </c>
      <c r="K242" s="168">
        <v>44591</v>
      </c>
      <c r="L242" s="131">
        <v>50000000</v>
      </c>
      <c r="M242" s="131">
        <f t="shared" ref="M242:M243" si="98">L242/1000</f>
        <v>50000</v>
      </c>
      <c r="N242" s="131">
        <f>O242</f>
        <v>818.07452999999998</v>
      </c>
      <c r="O242" s="171">
        <v>818.07452999999998</v>
      </c>
      <c r="P242" s="170">
        <f t="shared" si="95"/>
        <v>1.63614906E-2</v>
      </c>
      <c r="Q242" s="168">
        <v>46204</v>
      </c>
    </row>
    <row r="243" spans="1:17" ht="14.25">
      <c r="A243" t="s">
        <v>1213</v>
      </c>
      <c r="B243" t="s">
        <v>1251</v>
      </c>
      <c r="C243" s="108" t="s">
        <v>1068</v>
      </c>
      <c r="D243" t="s">
        <v>5079</v>
      </c>
      <c r="E243" t="s">
        <v>5080</v>
      </c>
      <c r="F243" t="s">
        <v>309</v>
      </c>
      <c r="G243" t="s">
        <v>5081</v>
      </c>
      <c r="H243" s="108">
        <v>74233</v>
      </c>
      <c r="I243" t="s">
        <v>314</v>
      </c>
      <c r="J243" t="s">
        <v>1212</v>
      </c>
      <c r="K243" s="168">
        <v>44622</v>
      </c>
      <c r="L243" s="131">
        <v>45000000</v>
      </c>
      <c r="M243" s="131">
        <f t="shared" si="98"/>
        <v>45000</v>
      </c>
      <c r="N243" s="131"/>
      <c r="O243" s="171"/>
      <c r="Q243" s="168"/>
    </row>
    <row r="244" spans="1:17" ht="14.25">
      <c r="A244" t="s">
        <v>1213</v>
      </c>
      <c r="B244" t="s">
        <v>1251</v>
      </c>
      <c r="C244" s="108" t="s">
        <v>1068</v>
      </c>
      <c r="E244" t="s">
        <v>5027</v>
      </c>
      <c r="F244" t="s">
        <v>311</v>
      </c>
      <c r="G244" t="s">
        <v>5137</v>
      </c>
      <c r="H244" s="108">
        <v>74235</v>
      </c>
      <c r="I244" t="s">
        <v>314</v>
      </c>
      <c r="J244" t="s">
        <v>1216</v>
      </c>
      <c r="K244" s="168">
        <v>44712</v>
      </c>
      <c r="L244" s="131">
        <v>5000000</v>
      </c>
      <c r="M244" s="131">
        <f>L244/1000*3.71</f>
        <v>18550</v>
      </c>
      <c r="N244" s="131"/>
      <c r="O244" s="171"/>
      <c r="Q244" s="168"/>
    </row>
    <row r="245" spans="1:17" ht="14.25">
      <c r="A245" t="s">
        <v>1213</v>
      </c>
      <c r="B245" t="s">
        <v>1251</v>
      </c>
      <c r="C245" s="108" t="s">
        <v>1068</v>
      </c>
      <c r="D245" t="s">
        <v>5130</v>
      </c>
      <c r="E245" t="s">
        <v>5131</v>
      </c>
      <c r="F245" t="s">
        <v>311</v>
      </c>
      <c r="G245" t="s">
        <v>5132</v>
      </c>
      <c r="H245" s="108">
        <v>74237</v>
      </c>
      <c r="I245" t="s">
        <v>314</v>
      </c>
      <c r="J245" t="s">
        <v>1227</v>
      </c>
      <c r="K245" s="168">
        <v>44721</v>
      </c>
      <c r="L245" s="131">
        <v>7000000</v>
      </c>
      <c r="M245" s="131">
        <f>L245/1000*4.9748</f>
        <v>34823.599999999999</v>
      </c>
      <c r="N245" s="131">
        <f>O245/4.9748</f>
        <v>0.4840000000000399</v>
      </c>
      <c r="O245" s="171">
        <v>2.4078032000001985</v>
      </c>
      <c r="P245" s="170">
        <f t="shared" ref="P245:P249" si="99">O245/M245</f>
        <v>6.9142857142862841E-5</v>
      </c>
      <c r="Q245" s="168">
        <v>47635</v>
      </c>
    </row>
    <row r="246" spans="1:17" ht="14.25">
      <c r="A246" t="s">
        <v>1213</v>
      </c>
      <c r="B246" t="s">
        <v>1251</v>
      </c>
      <c r="C246" s="108" t="s">
        <v>1068</v>
      </c>
      <c r="D246" t="s">
        <v>5070</v>
      </c>
      <c r="E246" t="s">
        <v>5071</v>
      </c>
      <c r="F246" t="s">
        <v>310</v>
      </c>
      <c r="G246" t="s">
        <v>5072</v>
      </c>
      <c r="H246" s="108">
        <v>74238</v>
      </c>
      <c r="I246" t="s">
        <v>314</v>
      </c>
      <c r="J246" t="s">
        <v>1212</v>
      </c>
      <c r="K246" s="168">
        <v>44721</v>
      </c>
      <c r="L246" s="131">
        <v>40000000</v>
      </c>
      <c r="M246" s="131">
        <f t="shared" ref="M246:M247" si="100">L246/1000</f>
        <v>40000</v>
      </c>
      <c r="N246" s="131">
        <f t="shared" ref="N246:N247" si="101">O246</f>
        <v>217.68199999999999</v>
      </c>
      <c r="O246" s="171">
        <v>217.68199999999999</v>
      </c>
      <c r="P246" s="170">
        <f t="shared" si="99"/>
        <v>5.4420499999999995E-3</v>
      </c>
      <c r="Q246" s="168">
        <v>46182</v>
      </c>
    </row>
    <row r="247" spans="1:17" ht="14.25">
      <c r="A247" t="s">
        <v>1213</v>
      </c>
      <c r="B247" t="s">
        <v>1251</v>
      </c>
      <c r="C247" s="108" t="s">
        <v>1068</v>
      </c>
      <c r="D247" t="s">
        <v>5085</v>
      </c>
      <c r="E247" t="s">
        <v>5086</v>
      </c>
      <c r="F247" t="s">
        <v>309</v>
      </c>
      <c r="G247" t="s">
        <v>5087</v>
      </c>
      <c r="H247" s="108">
        <v>74239</v>
      </c>
      <c r="I247" t="s">
        <v>314</v>
      </c>
      <c r="J247" t="s">
        <v>1212</v>
      </c>
      <c r="K247" s="168">
        <v>44741</v>
      </c>
      <c r="L247" s="131">
        <v>40000000</v>
      </c>
      <c r="M247" s="131">
        <f t="shared" si="100"/>
        <v>40000</v>
      </c>
      <c r="N247" s="131">
        <f t="shared" si="101"/>
        <v>196.553</v>
      </c>
      <c r="O247" s="171">
        <v>196.553</v>
      </c>
      <c r="P247" s="170">
        <f t="shared" si="99"/>
        <v>4.9138250000000001E-3</v>
      </c>
      <c r="Q247" s="168">
        <v>46202</v>
      </c>
    </row>
    <row r="248" spans="1:17" ht="14.25">
      <c r="A248" t="s">
        <v>1213</v>
      </c>
      <c r="B248" t="s">
        <v>1251</v>
      </c>
      <c r="C248" s="108" t="s">
        <v>1068</v>
      </c>
      <c r="E248" t="s">
        <v>5115</v>
      </c>
      <c r="F248" t="s">
        <v>309</v>
      </c>
      <c r="G248" t="s">
        <v>5116</v>
      </c>
      <c r="H248" s="108">
        <v>74240</v>
      </c>
      <c r="I248" t="s">
        <v>314</v>
      </c>
      <c r="J248" t="s">
        <v>1218</v>
      </c>
      <c r="K248" s="168">
        <v>44748</v>
      </c>
      <c r="L248" s="131">
        <v>10000000</v>
      </c>
      <c r="M248" s="131">
        <f>L248/1000*4.1524</f>
        <v>41524</v>
      </c>
      <c r="N248" s="131">
        <f>O248/4.1254</f>
        <v>15.459521500945364</v>
      </c>
      <c r="O248" s="171">
        <f>63776.71/1000</f>
        <v>63.776710000000001</v>
      </c>
      <c r="P248" s="170">
        <f t="shared" si="99"/>
        <v>1.5358999614680667E-3</v>
      </c>
      <c r="Q248" s="168">
        <v>45844</v>
      </c>
    </row>
    <row r="249" spans="1:17" ht="14.25">
      <c r="A249" t="s">
        <v>1213</v>
      </c>
      <c r="B249" t="s">
        <v>1251</v>
      </c>
      <c r="C249" s="108" t="s">
        <v>1068</v>
      </c>
      <c r="D249" t="s">
        <v>5082</v>
      </c>
      <c r="E249" t="s">
        <v>5083</v>
      </c>
      <c r="F249" t="s">
        <v>309</v>
      </c>
      <c r="G249" t="s">
        <v>5084</v>
      </c>
      <c r="H249" s="108">
        <v>74241</v>
      </c>
      <c r="I249" t="s">
        <v>314</v>
      </c>
      <c r="J249" t="s">
        <v>1212</v>
      </c>
      <c r="K249" s="168">
        <v>44752</v>
      </c>
      <c r="L249" s="131">
        <v>50000000</v>
      </c>
      <c r="M249" s="131">
        <f>L249/1000</f>
        <v>50000</v>
      </c>
      <c r="N249" s="131">
        <f>O249</f>
        <v>182.494</v>
      </c>
      <c r="O249" s="171">
        <v>182.494</v>
      </c>
      <c r="P249" s="170">
        <f t="shared" si="99"/>
        <v>3.6498799999999999E-3</v>
      </c>
      <c r="Q249" s="168">
        <v>46213</v>
      </c>
    </row>
    <row r="250" spans="1:17" ht="14.25">
      <c r="A250" t="s">
        <v>1213</v>
      </c>
      <c r="B250" t="s">
        <v>1251</v>
      </c>
      <c r="C250" s="108" t="s">
        <v>1068</v>
      </c>
      <c r="E250" t="s">
        <v>3826</v>
      </c>
      <c r="F250" t="s">
        <v>311</v>
      </c>
      <c r="G250" t="s">
        <v>3825</v>
      </c>
      <c r="H250" s="108">
        <v>74242</v>
      </c>
      <c r="I250" t="s">
        <v>314</v>
      </c>
      <c r="J250" t="s">
        <v>1218</v>
      </c>
      <c r="K250" s="168">
        <v>44812</v>
      </c>
      <c r="L250" s="131">
        <v>5410840</v>
      </c>
      <c r="M250" s="131">
        <f>L250/1000*4.1524</f>
        <v>22467.972016</v>
      </c>
      <c r="N250" s="131"/>
      <c r="O250" s="171"/>
      <c r="Q250" s="168"/>
    </row>
    <row r="251" spans="1:17" ht="14.25">
      <c r="A251" t="s">
        <v>1213</v>
      </c>
      <c r="B251" t="s">
        <v>1251</v>
      </c>
      <c r="C251" s="108" t="s">
        <v>1068</v>
      </c>
      <c r="D251" t="s">
        <v>5105</v>
      </c>
      <c r="E251" t="s">
        <v>5106</v>
      </c>
      <c r="F251" t="s">
        <v>311</v>
      </c>
      <c r="G251" t="s">
        <v>5107</v>
      </c>
      <c r="H251" s="108">
        <v>74243</v>
      </c>
      <c r="I251" t="s">
        <v>314</v>
      </c>
      <c r="J251" t="s">
        <v>1216</v>
      </c>
      <c r="K251" s="168">
        <v>44823</v>
      </c>
      <c r="L251" s="131">
        <v>6000000</v>
      </c>
      <c r="M251" s="131">
        <f t="shared" ref="M251:M252" si="102">L251/1000*3.71</f>
        <v>22260</v>
      </c>
      <c r="N251" s="131">
        <f t="shared" ref="N251:N252" si="103">O251/3.71</f>
        <v>59.118000000000002</v>
      </c>
      <c r="O251" s="171">
        <v>219.32778000000002</v>
      </c>
      <c r="P251" s="170">
        <f t="shared" ref="P251:P253" si="104">O251/M251</f>
        <v>9.8530000000000006E-3</v>
      </c>
      <c r="Q251" s="168">
        <v>46284</v>
      </c>
    </row>
    <row r="252" spans="1:17" ht="14.25">
      <c r="A252" t="s">
        <v>1213</v>
      </c>
      <c r="B252" t="s">
        <v>1251</v>
      </c>
      <c r="C252" s="108" t="s">
        <v>1068</v>
      </c>
      <c r="D252" t="s">
        <v>5150</v>
      </c>
      <c r="E252" t="s">
        <v>5151</v>
      </c>
      <c r="F252" t="s">
        <v>311</v>
      </c>
      <c r="G252" t="s">
        <v>5152</v>
      </c>
      <c r="H252" s="108">
        <v>74244</v>
      </c>
      <c r="I252" t="s">
        <v>314</v>
      </c>
      <c r="J252" t="s">
        <v>1216</v>
      </c>
      <c r="K252" s="168">
        <v>44881</v>
      </c>
      <c r="L252" s="131">
        <v>12465101</v>
      </c>
      <c r="M252" s="131">
        <f t="shared" si="102"/>
        <v>46245.524710000005</v>
      </c>
      <c r="N252" s="131">
        <f t="shared" si="103"/>
        <v>24.190999999999967</v>
      </c>
      <c r="O252" s="171">
        <v>89.748609999999871</v>
      </c>
      <c r="P252" s="170">
        <f t="shared" si="104"/>
        <v>1.9406982743260534E-3</v>
      </c>
      <c r="Q252" s="168">
        <v>46707</v>
      </c>
    </row>
    <row r="253" spans="1:17" ht="14.25">
      <c r="A253" t="s">
        <v>1213</v>
      </c>
      <c r="B253" t="s">
        <v>1251</v>
      </c>
      <c r="C253" s="108" t="s">
        <v>1068</v>
      </c>
      <c r="E253" t="s">
        <v>5138</v>
      </c>
      <c r="F253" t="s">
        <v>311</v>
      </c>
      <c r="G253" t="s">
        <v>5139</v>
      </c>
      <c r="H253" s="108">
        <v>74247</v>
      </c>
      <c r="I253" t="s">
        <v>314</v>
      </c>
      <c r="J253" t="s">
        <v>1227</v>
      </c>
      <c r="K253" s="168">
        <v>44938</v>
      </c>
      <c r="L253" s="131">
        <v>7500000</v>
      </c>
      <c r="M253" s="131">
        <f>L253/1000*4.9748</f>
        <v>37311</v>
      </c>
      <c r="N253" s="131">
        <f>O253/4.9748</f>
        <v>111.149</v>
      </c>
      <c r="O253" s="171">
        <v>552.94404520000001</v>
      </c>
      <c r="P253" s="170">
        <f t="shared" si="104"/>
        <v>1.4819866666666667E-2</v>
      </c>
      <c r="Q253" s="168">
        <v>46022</v>
      </c>
    </row>
    <row r="254" spans="1:17" ht="14.25">
      <c r="A254" t="s">
        <v>1213</v>
      </c>
      <c r="B254" t="s">
        <v>1251</v>
      </c>
      <c r="C254" s="108" t="s">
        <v>1068</v>
      </c>
      <c r="E254" t="s">
        <v>5067</v>
      </c>
      <c r="F254" t="s">
        <v>309</v>
      </c>
      <c r="G254" t="s">
        <v>5068</v>
      </c>
      <c r="H254" s="108">
        <v>74249</v>
      </c>
      <c r="I254" t="s">
        <v>314</v>
      </c>
      <c r="J254" t="s">
        <v>1212</v>
      </c>
      <c r="K254" s="168">
        <v>45006</v>
      </c>
      <c r="L254" s="131">
        <v>70000000</v>
      </c>
      <c r="M254" s="131">
        <f t="shared" ref="M254:M255" si="105">L254/1000</f>
        <v>70000</v>
      </c>
      <c r="N254" s="131"/>
      <c r="O254" s="171"/>
      <c r="Q254" s="168"/>
    </row>
    <row r="255" spans="1:17" ht="14.25">
      <c r="A255" t="s">
        <v>1213</v>
      </c>
      <c r="B255" t="s">
        <v>1251</v>
      </c>
      <c r="C255" s="108" t="s">
        <v>1068</v>
      </c>
      <c r="D255" t="s">
        <v>4939</v>
      </c>
      <c r="E255" t="s">
        <v>4940</v>
      </c>
      <c r="F255" t="s">
        <v>309</v>
      </c>
      <c r="G255" t="s">
        <v>4955</v>
      </c>
      <c r="H255" s="108">
        <v>74252</v>
      </c>
      <c r="I255" t="s">
        <v>314</v>
      </c>
      <c r="J255" t="s">
        <v>1212</v>
      </c>
      <c r="K255" s="168">
        <v>45036</v>
      </c>
      <c r="L255" s="131">
        <v>62150000</v>
      </c>
      <c r="M255" s="131">
        <f t="shared" si="105"/>
        <v>62150</v>
      </c>
      <c r="N255" s="131">
        <f>O255</f>
        <v>1060.825</v>
      </c>
      <c r="O255" s="171">
        <v>1060.825</v>
      </c>
      <c r="P255" s="170">
        <f t="shared" ref="P255:P257" si="106">O255/M255</f>
        <v>1.7068785197103781E-2</v>
      </c>
      <c r="Q255" s="168">
        <v>48689</v>
      </c>
    </row>
    <row r="256" spans="1:17" ht="14.25">
      <c r="A256" t="s">
        <v>1213</v>
      </c>
      <c r="B256" t="s">
        <v>1251</v>
      </c>
      <c r="C256" s="108" t="s">
        <v>1068</v>
      </c>
      <c r="E256" t="s">
        <v>4943</v>
      </c>
      <c r="F256" t="s">
        <v>309</v>
      </c>
      <c r="G256" t="s">
        <v>4944</v>
      </c>
      <c r="H256" s="108">
        <v>74254</v>
      </c>
      <c r="I256" t="s">
        <v>314</v>
      </c>
      <c r="J256" t="s">
        <v>1216</v>
      </c>
      <c r="K256" s="168">
        <v>45124</v>
      </c>
      <c r="L256" s="131">
        <v>7006080</v>
      </c>
      <c r="M256" s="131">
        <f>L256/1000*3.71</f>
        <v>25992.556799999998</v>
      </c>
      <c r="N256" s="131">
        <f>O256/3.71</f>
        <v>125.30299999999998</v>
      </c>
      <c r="O256" s="171">
        <v>464.87412999999992</v>
      </c>
      <c r="P256" s="170">
        <f t="shared" si="106"/>
        <v>1.7884894263268475E-2</v>
      </c>
      <c r="Q256" s="168">
        <v>46220</v>
      </c>
    </row>
    <row r="257" spans="1:17" ht="14.25">
      <c r="A257" t="s">
        <v>1213</v>
      </c>
      <c r="B257" t="s">
        <v>1251</v>
      </c>
      <c r="C257" s="108" t="s">
        <v>1068</v>
      </c>
      <c r="D257" t="s">
        <v>4988</v>
      </c>
      <c r="E257" t="s">
        <v>4989</v>
      </c>
      <c r="F257" t="s">
        <v>309</v>
      </c>
      <c r="G257" t="s">
        <v>4990</v>
      </c>
      <c r="H257" s="108">
        <v>74255</v>
      </c>
      <c r="I257" t="s">
        <v>314</v>
      </c>
      <c r="J257" t="s">
        <v>1227</v>
      </c>
      <c r="K257" s="168">
        <v>45208</v>
      </c>
      <c r="L257" s="131">
        <v>5000000</v>
      </c>
      <c r="M257" s="131">
        <f>L257/1000*4.9748</f>
        <v>24874</v>
      </c>
      <c r="N257" s="131">
        <f>O257/4.9748</f>
        <v>85.803999999999988</v>
      </c>
      <c r="O257" s="171">
        <v>426.85773919999997</v>
      </c>
      <c r="P257" s="170">
        <f t="shared" si="106"/>
        <v>1.71608E-2</v>
      </c>
      <c r="Q257" s="168">
        <v>46235</v>
      </c>
    </row>
    <row r="258" spans="1:17" ht="14.25">
      <c r="A258" t="s">
        <v>1213</v>
      </c>
      <c r="B258" t="s">
        <v>1251</v>
      </c>
      <c r="C258" s="108" t="s">
        <v>1068</v>
      </c>
      <c r="D258" t="s">
        <v>5127</v>
      </c>
      <c r="E258" t="s">
        <v>5128</v>
      </c>
      <c r="F258" t="s">
        <v>310</v>
      </c>
      <c r="G258" t="s">
        <v>5129</v>
      </c>
      <c r="H258" s="108">
        <v>74256</v>
      </c>
      <c r="I258" t="s">
        <v>314</v>
      </c>
      <c r="J258" t="s">
        <v>1218</v>
      </c>
      <c r="K258" s="168">
        <v>45166</v>
      </c>
      <c r="L258" s="131">
        <v>8000000</v>
      </c>
      <c r="M258" s="131">
        <f>L258/1000*4.1524</f>
        <v>33219.199999999997</v>
      </c>
      <c r="N258" s="131"/>
      <c r="O258" s="171"/>
      <c r="Q258" s="168"/>
    </row>
    <row r="259" spans="1:17" ht="14.25">
      <c r="A259" t="s">
        <v>1213</v>
      </c>
      <c r="B259" t="s">
        <v>1251</v>
      </c>
      <c r="C259" s="108" t="s">
        <v>1068</v>
      </c>
      <c r="D259" t="s">
        <v>4992</v>
      </c>
      <c r="E259" t="s">
        <v>4993</v>
      </c>
      <c r="F259" t="s">
        <v>311</v>
      </c>
      <c r="G259" t="s">
        <v>4996</v>
      </c>
      <c r="H259" s="108">
        <v>74266</v>
      </c>
      <c r="I259" t="s">
        <v>314</v>
      </c>
      <c r="J259" t="s">
        <v>1216</v>
      </c>
      <c r="K259" s="168">
        <v>45400</v>
      </c>
      <c r="L259" s="131">
        <v>2500000</v>
      </c>
      <c r="M259" s="131">
        <f>L259/1000*3.71</f>
        <v>9275</v>
      </c>
      <c r="N259" s="131">
        <f>O259/3.71</f>
        <v>52.162999999999997</v>
      </c>
      <c r="O259" s="171">
        <v>193.52472999999998</v>
      </c>
      <c r="P259" s="170">
        <f t="shared" ref="P259:P262" si="107">O259/M259</f>
        <v>2.0865199999999997E-2</v>
      </c>
      <c r="Q259" s="168">
        <v>46495</v>
      </c>
    </row>
    <row r="260" spans="1:17" ht="14.25">
      <c r="A260" t="s">
        <v>1213</v>
      </c>
      <c r="B260" t="s">
        <v>1251</v>
      </c>
      <c r="C260" s="108" t="s">
        <v>1068</v>
      </c>
      <c r="D260" t="s">
        <v>5147</v>
      </c>
      <c r="E260" t="s">
        <v>5148</v>
      </c>
      <c r="F260" t="s">
        <v>311</v>
      </c>
      <c r="G260" t="s">
        <v>5149</v>
      </c>
      <c r="H260" s="108">
        <v>74270</v>
      </c>
      <c r="I260" t="s">
        <v>314</v>
      </c>
      <c r="J260" t="s">
        <v>1218</v>
      </c>
      <c r="K260" s="168">
        <v>45484</v>
      </c>
      <c r="L260" s="131">
        <v>3000000</v>
      </c>
      <c r="M260" s="131">
        <f>L260/1000*4.1524</f>
        <v>12457.2</v>
      </c>
      <c r="N260" s="131">
        <f>O260/4.1254</f>
        <v>96.234743685460799</v>
      </c>
      <c r="O260" s="171">
        <v>397.00681159999999</v>
      </c>
      <c r="P260" s="170">
        <f t="shared" si="107"/>
        <v>3.1869666666666664E-2</v>
      </c>
      <c r="Q260" s="168">
        <v>46295</v>
      </c>
    </row>
    <row r="261" spans="1:17" ht="14.25">
      <c r="A261" t="s">
        <v>1213</v>
      </c>
      <c r="B261" t="s">
        <v>1251</v>
      </c>
      <c r="C261" s="108" t="s">
        <v>1068</v>
      </c>
      <c r="D261" t="s">
        <v>4997</v>
      </c>
      <c r="E261" t="s">
        <v>4998</v>
      </c>
      <c r="F261" t="s">
        <v>311</v>
      </c>
      <c r="G261" t="s">
        <v>4997</v>
      </c>
      <c r="H261" s="108">
        <v>74271</v>
      </c>
      <c r="I261" t="s">
        <v>314</v>
      </c>
      <c r="J261" t="s">
        <v>1227</v>
      </c>
      <c r="K261" s="168">
        <v>45495</v>
      </c>
      <c r="L261" s="131">
        <v>4000000</v>
      </c>
      <c r="M261" s="131">
        <f>L261/1000*4.9748</f>
        <v>19899.2</v>
      </c>
      <c r="N261" s="131">
        <f>O261/4.9748</f>
        <v>136</v>
      </c>
      <c r="O261" s="171">
        <v>676.57280000000003</v>
      </c>
      <c r="P261" s="170">
        <f t="shared" si="107"/>
        <v>3.4000000000000002E-2</v>
      </c>
      <c r="Q261" s="168">
        <v>46295</v>
      </c>
    </row>
    <row r="262" spans="1:17" ht="14.25">
      <c r="A262" t="s">
        <v>1213</v>
      </c>
      <c r="B262" t="s">
        <v>1251</v>
      </c>
      <c r="C262" s="108" t="s">
        <v>1068</v>
      </c>
      <c r="D262" t="s">
        <v>4992</v>
      </c>
      <c r="E262" t="s">
        <v>4993</v>
      </c>
      <c r="F262" t="s">
        <v>311</v>
      </c>
      <c r="G262" t="s">
        <v>4994</v>
      </c>
      <c r="H262" s="108">
        <v>74272</v>
      </c>
      <c r="I262" t="s">
        <v>314</v>
      </c>
      <c r="J262" t="s">
        <v>1216</v>
      </c>
      <c r="K262" s="168">
        <v>45505</v>
      </c>
      <c r="L262" s="131">
        <v>2500000</v>
      </c>
      <c r="M262" s="131">
        <f>L262/1000*3.71</f>
        <v>9275</v>
      </c>
      <c r="N262" s="131">
        <f>O262/3.71</f>
        <v>57.467000000000006</v>
      </c>
      <c r="O262" s="171">
        <v>213.20257000000001</v>
      </c>
      <c r="P262" s="170">
        <f t="shared" si="107"/>
        <v>2.2986800000000002E-2</v>
      </c>
      <c r="Q262" s="168">
        <v>46295</v>
      </c>
    </row>
    <row r="263" spans="1:17" ht="14.25">
      <c r="A263" t="s">
        <v>1213</v>
      </c>
      <c r="B263" t="s">
        <v>1252</v>
      </c>
      <c r="C263" s="108" t="s">
        <v>1068</v>
      </c>
      <c r="D263" t="s">
        <v>5047</v>
      </c>
      <c r="E263" t="s">
        <v>5048</v>
      </c>
      <c r="F263" t="s">
        <v>309</v>
      </c>
      <c r="G263" t="s">
        <v>5049</v>
      </c>
      <c r="H263" s="108" t="s">
        <v>5050</v>
      </c>
      <c r="I263" t="s">
        <v>321</v>
      </c>
      <c r="J263" t="s">
        <v>1212</v>
      </c>
      <c r="K263" s="168">
        <v>45565</v>
      </c>
      <c r="L263" s="131">
        <v>15000000</v>
      </c>
      <c r="M263" s="131">
        <f>L263/1000</f>
        <v>15000</v>
      </c>
      <c r="N263" s="131"/>
      <c r="O263" s="171"/>
      <c r="Q263" s="168"/>
    </row>
    <row r="264" spans="1:17" ht="14.25">
      <c r="A264" t="s">
        <v>1213</v>
      </c>
      <c r="B264" t="s">
        <v>1252</v>
      </c>
      <c r="C264" s="108" t="s">
        <v>1068</v>
      </c>
      <c r="D264" t="s">
        <v>5015</v>
      </c>
      <c r="E264" t="s">
        <v>5016</v>
      </c>
      <c r="F264" t="s">
        <v>309</v>
      </c>
      <c r="G264" t="s">
        <v>5017</v>
      </c>
      <c r="H264" s="108">
        <v>74173</v>
      </c>
      <c r="I264" t="s">
        <v>314</v>
      </c>
      <c r="J264" t="s">
        <v>1216</v>
      </c>
      <c r="K264" s="168">
        <v>43157</v>
      </c>
      <c r="L264" s="131">
        <v>5100000</v>
      </c>
      <c r="M264" s="131">
        <f>L264/1000*3.71</f>
        <v>18921</v>
      </c>
      <c r="N264" s="131">
        <f>O264/3.71</f>
        <v>1.7739999999999945</v>
      </c>
      <c r="O264" s="171">
        <v>6.5815399999999791</v>
      </c>
      <c r="P264" s="170">
        <f>O264/M264</f>
        <v>3.4784313725490083E-4</v>
      </c>
      <c r="Q264" s="168">
        <v>45347</v>
      </c>
    </row>
    <row r="265" spans="1:17" ht="14.25">
      <c r="A265" t="s">
        <v>1213</v>
      </c>
      <c r="B265" t="s">
        <v>1252</v>
      </c>
      <c r="C265" s="108" t="s">
        <v>1068</v>
      </c>
      <c r="D265" t="s">
        <v>5011</v>
      </c>
      <c r="E265" t="s">
        <v>5012</v>
      </c>
      <c r="F265" t="s">
        <v>309</v>
      </c>
      <c r="G265" t="s">
        <v>5013</v>
      </c>
      <c r="H265" s="108">
        <v>74176</v>
      </c>
      <c r="I265" t="s">
        <v>314</v>
      </c>
      <c r="J265" t="s">
        <v>1212</v>
      </c>
      <c r="K265" s="168">
        <v>43306</v>
      </c>
      <c r="L265" s="131">
        <v>15000000</v>
      </c>
      <c r="M265" s="131">
        <f t="shared" ref="M265:M266" si="108">L265/1000</f>
        <v>15000</v>
      </c>
      <c r="N265" s="131"/>
      <c r="O265" s="171"/>
      <c r="Q265" s="168"/>
    </row>
    <row r="266" spans="1:17" ht="14.25">
      <c r="A266" t="s">
        <v>1213</v>
      </c>
      <c r="B266" t="s">
        <v>1252</v>
      </c>
      <c r="C266" s="108" t="s">
        <v>1068</v>
      </c>
      <c r="D266" t="s">
        <v>5019</v>
      </c>
      <c r="E266" t="s">
        <v>5020</v>
      </c>
      <c r="F266" t="s">
        <v>309</v>
      </c>
      <c r="G266" t="s">
        <v>5021</v>
      </c>
      <c r="H266" s="108">
        <v>74177</v>
      </c>
      <c r="I266" t="s">
        <v>314</v>
      </c>
      <c r="J266" t="s">
        <v>1212</v>
      </c>
      <c r="K266" s="168">
        <v>43312</v>
      </c>
      <c r="L266" s="131">
        <v>20000000</v>
      </c>
      <c r="M266" s="131">
        <f t="shared" si="108"/>
        <v>20000</v>
      </c>
      <c r="N266" s="131"/>
      <c r="O266" s="171"/>
      <c r="Q266" s="168"/>
    </row>
    <row r="267" spans="1:17" ht="14.25">
      <c r="A267" t="s">
        <v>1213</v>
      </c>
      <c r="B267" t="s">
        <v>1252</v>
      </c>
      <c r="C267" s="108" t="s">
        <v>1068</v>
      </c>
      <c r="D267" t="s">
        <v>5029</v>
      </c>
      <c r="E267" t="s">
        <v>5030</v>
      </c>
      <c r="F267" t="s">
        <v>311</v>
      </c>
      <c r="G267" t="s">
        <v>5031</v>
      </c>
      <c r="H267" s="108">
        <v>74178</v>
      </c>
      <c r="I267" t="s">
        <v>314</v>
      </c>
      <c r="J267" t="s">
        <v>1216</v>
      </c>
      <c r="K267" s="168">
        <v>43321</v>
      </c>
      <c r="L267" s="131">
        <v>16000000</v>
      </c>
      <c r="M267" s="131">
        <f>L267/1000*3.71</f>
        <v>59360</v>
      </c>
      <c r="N267" s="131"/>
      <c r="O267" s="171"/>
      <c r="Q267" s="168"/>
    </row>
    <row r="268" spans="1:17" ht="14.25">
      <c r="A268" t="s">
        <v>1213</v>
      </c>
      <c r="B268" t="s">
        <v>1252</v>
      </c>
      <c r="C268" s="108" t="s">
        <v>1068</v>
      </c>
      <c r="D268" t="s">
        <v>5094</v>
      </c>
      <c r="E268" t="s">
        <v>5095</v>
      </c>
      <c r="F268" t="s">
        <v>309</v>
      </c>
      <c r="G268" t="s">
        <v>5096</v>
      </c>
      <c r="H268" s="108">
        <v>74179</v>
      </c>
      <c r="I268" t="s">
        <v>314</v>
      </c>
      <c r="J268" t="s">
        <v>1212</v>
      </c>
      <c r="K268" s="168">
        <v>43394</v>
      </c>
      <c r="L268" s="131">
        <v>50000000</v>
      </c>
      <c r="M268" s="131">
        <f>L268/1000</f>
        <v>50000</v>
      </c>
      <c r="N268" s="131">
        <f>O268</f>
        <v>134.77000000000001</v>
      </c>
      <c r="O268" s="171">
        <v>134.77000000000001</v>
      </c>
      <c r="P268" s="170">
        <f>O268/M268</f>
        <v>2.6954000000000001E-3</v>
      </c>
      <c r="Q268" s="168">
        <v>47044</v>
      </c>
    </row>
    <row r="269" spans="1:17" ht="14.25">
      <c r="A269" t="s">
        <v>1213</v>
      </c>
      <c r="B269" t="s">
        <v>1252</v>
      </c>
      <c r="C269" s="108" t="s">
        <v>1068</v>
      </c>
      <c r="E269" t="s">
        <v>5027</v>
      </c>
      <c r="F269" t="s">
        <v>311</v>
      </c>
      <c r="G269" t="s">
        <v>5028</v>
      </c>
      <c r="H269" s="108">
        <v>74180</v>
      </c>
      <c r="I269" t="s">
        <v>314</v>
      </c>
      <c r="J269" t="s">
        <v>1216</v>
      </c>
      <c r="K269" s="168">
        <v>43411</v>
      </c>
      <c r="L269" s="131">
        <v>4000000</v>
      </c>
      <c r="M269" s="131">
        <f t="shared" ref="M269:M271" si="109">L269/1000*3.71</f>
        <v>14840</v>
      </c>
      <c r="N269" s="131"/>
      <c r="O269" s="171"/>
      <c r="Q269" s="168"/>
    </row>
    <row r="270" spans="1:17" ht="14.25">
      <c r="A270" t="s">
        <v>1213</v>
      </c>
      <c r="B270" t="s">
        <v>1252</v>
      </c>
      <c r="C270" s="108" t="s">
        <v>1068</v>
      </c>
      <c r="E270" t="s">
        <v>5032</v>
      </c>
      <c r="F270" t="s">
        <v>309</v>
      </c>
      <c r="G270" t="s">
        <v>5033</v>
      </c>
      <c r="H270" s="108">
        <v>74181</v>
      </c>
      <c r="I270" t="s">
        <v>314</v>
      </c>
      <c r="J270" t="s">
        <v>1216</v>
      </c>
      <c r="K270" s="168">
        <v>43412</v>
      </c>
      <c r="L270" s="131">
        <v>9000000</v>
      </c>
      <c r="M270" s="131">
        <f t="shared" si="109"/>
        <v>33390</v>
      </c>
      <c r="N270" s="131"/>
      <c r="O270" s="171"/>
      <c r="Q270" s="168"/>
    </row>
    <row r="271" spans="1:17" ht="14.25">
      <c r="A271" t="s">
        <v>1213</v>
      </c>
      <c r="B271" t="s">
        <v>1252</v>
      </c>
      <c r="C271" s="108" t="s">
        <v>1068</v>
      </c>
      <c r="E271" t="s">
        <v>5036</v>
      </c>
      <c r="F271" t="s">
        <v>311</v>
      </c>
      <c r="G271" t="s">
        <v>5037</v>
      </c>
      <c r="H271" s="108">
        <v>74183</v>
      </c>
      <c r="I271" t="s">
        <v>314</v>
      </c>
      <c r="J271" t="s">
        <v>1216</v>
      </c>
      <c r="K271" s="168">
        <v>43482</v>
      </c>
      <c r="L271" s="131">
        <v>8000000</v>
      </c>
      <c r="M271" s="131">
        <f t="shared" si="109"/>
        <v>29680</v>
      </c>
      <c r="N271" s="131"/>
      <c r="O271" s="171"/>
      <c r="Q271" s="168"/>
    </row>
    <row r="272" spans="1:17" ht="14.25">
      <c r="A272" t="s">
        <v>1213</v>
      </c>
      <c r="B272" t="s">
        <v>1252</v>
      </c>
      <c r="C272" s="108" t="s">
        <v>1068</v>
      </c>
      <c r="D272" t="s">
        <v>5004</v>
      </c>
      <c r="E272" t="s">
        <v>5005</v>
      </c>
      <c r="F272" t="s">
        <v>309</v>
      </c>
      <c r="G272" t="s">
        <v>5006</v>
      </c>
      <c r="H272" s="108">
        <v>74185</v>
      </c>
      <c r="I272" t="s">
        <v>314</v>
      </c>
      <c r="J272" t="s">
        <v>1212</v>
      </c>
      <c r="K272" s="168">
        <v>43524</v>
      </c>
      <c r="L272" s="131">
        <v>53887168</v>
      </c>
      <c r="M272" s="131">
        <f t="shared" ref="M272:M273" si="110">L272/1000</f>
        <v>53887.167999999998</v>
      </c>
      <c r="N272" s="131"/>
      <c r="O272" s="171"/>
      <c r="Q272" s="168"/>
    </row>
    <row r="273" spans="1:17" ht="14.25">
      <c r="A273" t="s">
        <v>1213</v>
      </c>
      <c r="B273" t="s">
        <v>1252</v>
      </c>
      <c r="C273" s="108" t="s">
        <v>1068</v>
      </c>
      <c r="D273" t="s">
        <v>5000</v>
      </c>
      <c r="E273" t="s">
        <v>5001</v>
      </c>
      <c r="F273" t="s">
        <v>310</v>
      </c>
      <c r="G273" t="s">
        <v>5002</v>
      </c>
      <c r="H273" s="108">
        <v>74186</v>
      </c>
      <c r="I273" t="s">
        <v>314</v>
      </c>
      <c r="J273" t="s">
        <v>1212</v>
      </c>
      <c r="K273" s="168">
        <v>43542</v>
      </c>
      <c r="L273" s="131">
        <v>80000000</v>
      </c>
      <c r="M273" s="131">
        <f t="shared" si="110"/>
        <v>80000</v>
      </c>
      <c r="N273" s="131">
        <f>O273</f>
        <v>252.226</v>
      </c>
      <c r="O273" s="171">
        <v>252.226</v>
      </c>
      <c r="P273" s="170">
        <f t="shared" ref="P273:P274" si="111">O273/M273</f>
        <v>3.1528250000000002E-3</v>
      </c>
      <c r="Q273" s="168">
        <v>46462</v>
      </c>
    </row>
    <row r="274" spans="1:17" ht="14.25">
      <c r="A274" t="s">
        <v>1213</v>
      </c>
      <c r="B274" t="s">
        <v>1252</v>
      </c>
      <c r="C274" s="108" t="s">
        <v>1068</v>
      </c>
      <c r="D274" t="s">
        <v>5041</v>
      </c>
      <c r="E274" t="s">
        <v>5042</v>
      </c>
      <c r="F274" t="s">
        <v>310</v>
      </c>
      <c r="G274" t="s">
        <v>5043</v>
      </c>
      <c r="H274" s="108">
        <v>74187</v>
      </c>
      <c r="I274" t="s">
        <v>314</v>
      </c>
      <c r="J274" t="s">
        <v>1216</v>
      </c>
      <c r="K274" s="168">
        <v>43571</v>
      </c>
      <c r="L274" s="131">
        <v>5000000</v>
      </c>
      <c r="M274" s="131">
        <f t="shared" ref="M274:M279" si="112">L274/1000*3.71</f>
        <v>18550</v>
      </c>
      <c r="N274" s="131">
        <f>O274/3.71</f>
        <v>43.084999999999994</v>
      </c>
      <c r="O274" s="171">
        <v>159.84534999999997</v>
      </c>
      <c r="P274" s="170">
        <f t="shared" si="111"/>
        <v>8.6169999999999979E-3</v>
      </c>
      <c r="Q274" s="168">
        <v>46126</v>
      </c>
    </row>
    <row r="275" spans="1:17" ht="14.25">
      <c r="A275" t="s">
        <v>1213</v>
      </c>
      <c r="B275" t="s">
        <v>1252</v>
      </c>
      <c r="C275" s="108" t="s">
        <v>1068</v>
      </c>
      <c r="E275" t="s">
        <v>5044</v>
      </c>
      <c r="F275" t="s">
        <v>311</v>
      </c>
      <c r="G275" t="s">
        <v>5045</v>
      </c>
      <c r="H275" s="108">
        <v>74188</v>
      </c>
      <c r="I275" t="s">
        <v>314</v>
      </c>
      <c r="J275" t="s">
        <v>1216</v>
      </c>
      <c r="K275" s="168">
        <v>43578</v>
      </c>
      <c r="L275" s="131">
        <v>6000000</v>
      </c>
      <c r="M275" s="131">
        <f t="shared" si="112"/>
        <v>22260</v>
      </c>
      <c r="N275" s="131"/>
      <c r="O275" s="171"/>
      <c r="Q275" s="168"/>
    </row>
    <row r="276" spans="1:17" ht="14.25">
      <c r="A276" t="s">
        <v>1213</v>
      </c>
      <c r="B276" t="s">
        <v>1252</v>
      </c>
      <c r="C276" s="108" t="s">
        <v>1068</v>
      </c>
      <c r="D276" t="s">
        <v>5023</v>
      </c>
      <c r="E276" t="s">
        <v>5024</v>
      </c>
      <c r="F276" t="s">
        <v>309</v>
      </c>
      <c r="G276" t="s">
        <v>5025</v>
      </c>
      <c r="H276" s="108">
        <v>74189</v>
      </c>
      <c r="I276" t="s">
        <v>314</v>
      </c>
      <c r="J276" t="s">
        <v>1216</v>
      </c>
      <c r="K276" s="168">
        <v>43586</v>
      </c>
      <c r="L276" s="131">
        <v>6415000</v>
      </c>
      <c r="M276" s="131">
        <f t="shared" si="112"/>
        <v>23799.65</v>
      </c>
      <c r="N276" s="131"/>
      <c r="O276" s="171"/>
      <c r="Q276" s="168"/>
    </row>
    <row r="277" spans="1:17" ht="14.25">
      <c r="A277" t="s">
        <v>1213</v>
      </c>
      <c r="B277" t="s">
        <v>1252</v>
      </c>
      <c r="C277" s="108" t="s">
        <v>1068</v>
      </c>
      <c r="D277" t="s">
        <v>5007</v>
      </c>
      <c r="E277" t="s">
        <v>2129</v>
      </c>
      <c r="F277" t="s">
        <v>309</v>
      </c>
      <c r="G277" t="s">
        <v>5008</v>
      </c>
      <c r="H277" s="108">
        <v>74190</v>
      </c>
      <c r="I277" t="s">
        <v>314</v>
      </c>
      <c r="J277" t="s">
        <v>1216</v>
      </c>
      <c r="K277" s="168">
        <v>43691</v>
      </c>
      <c r="L277" s="131">
        <v>10700001</v>
      </c>
      <c r="M277" s="131">
        <f t="shared" si="112"/>
        <v>39697.003709999997</v>
      </c>
      <c r="N277" s="131">
        <f>O277/3.71</f>
        <v>32.256</v>
      </c>
      <c r="O277" s="171">
        <v>119.66976000000001</v>
      </c>
      <c r="P277" s="170">
        <f>O277/M277</f>
        <v>3.0145791575159672E-3</v>
      </c>
      <c r="Q277" s="168">
        <v>46248</v>
      </c>
    </row>
    <row r="278" spans="1:17" ht="14.25">
      <c r="A278" t="s">
        <v>1213</v>
      </c>
      <c r="B278" t="s">
        <v>1252</v>
      </c>
      <c r="C278" s="108" t="s">
        <v>1068</v>
      </c>
      <c r="D278" t="s">
        <v>5144</v>
      </c>
      <c r="E278" t="s">
        <v>5145</v>
      </c>
      <c r="F278" t="s">
        <v>309</v>
      </c>
      <c r="G278" t="s">
        <v>5146</v>
      </c>
      <c r="H278" s="108">
        <v>74192</v>
      </c>
      <c r="I278" t="s">
        <v>314</v>
      </c>
      <c r="J278" t="s">
        <v>1216</v>
      </c>
      <c r="K278" s="168">
        <v>43761</v>
      </c>
      <c r="L278" s="131">
        <v>5000000</v>
      </c>
      <c r="M278" s="131">
        <f t="shared" si="112"/>
        <v>18550</v>
      </c>
      <c r="N278" s="131"/>
      <c r="O278" s="171"/>
      <c r="Q278" s="168"/>
    </row>
    <row r="279" spans="1:17" ht="14.25">
      <c r="A279" t="s">
        <v>1213</v>
      </c>
      <c r="B279" t="s">
        <v>1252</v>
      </c>
      <c r="C279" s="108" t="s">
        <v>1068</v>
      </c>
      <c r="E279" t="s">
        <v>5140</v>
      </c>
      <c r="F279" t="s">
        <v>311</v>
      </c>
      <c r="G279" t="s">
        <v>5141</v>
      </c>
      <c r="H279" s="108">
        <v>74193</v>
      </c>
      <c r="I279" t="s">
        <v>314</v>
      </c>
      <c r="J279" t="s">
        <v>1216</v>
      </c>
      <c r="K279" s="168">
        <v>43790</v>
      </c>
      <c r="L279" s="131">
        <v>5000000</v>
      </c>
      <c r="M279" s="131">
        <f t="shared" si="112"/>
        <v>18550</v>
      </c>
      <c r="N279" s="131">
        <f>O279/3.71</f>
        <v>43.23</v>
      </c>
      <c r="O279" s="171">
        <v>160.38329999999999</v>
      </c>
      <c r="P279" s="170">
        <f>O279/M279</f>
        <v>8.6459999999999992E-3</v>
      </c>
      <c r="Q279" s="168">
        <v>46347</v>
      </c>
    </row>
    <row r="280" spans="1:17" ht="14.25">
      <c r="A280" t="s">
        <v>1213</v>
      </c>
      <c r="B280" t="s">
        <v>1252</v>
      </c>
      <c r="C280" s="108" t="s">
        <v>1068</v>
      </c>
      <c r="D280" t="s">
        <v>5051</v>
      </c>
      <c r="E280" t="s">
        <v>5052</v>
      </c>
      <c r="F280" t="s">
        <v>309</v>
      </c>
      <c r="G280" t="s">
        <v>5053</v>
      </c>
      <c r="H280" s="108">
        <v>74196</v>
      </c>
      <c r="I280" t="s">
        <v>314</v>
      </c>
      <c r="J280" t="s">
        <v>1212</v>
      </c>
      <c r="K280" s="168">
        <v>43831</v>
      </c>
      <c r="L280" s="131">
        <v>46366453</v>
      </c>
      <c r="M280" s="131">
        <f>L280/1000</f>
        <v>46366.453000000001</v>
      </c>
      <c r="N280" s="131"/>
      <c r="O280" s="171"/>
      <c r="Q280" s="168"/>
    </row>
    <row r="281" spans="1:17" ht="14.25">
      <c r="A281" t="s">
        <v>1213</v>
      </c>
      <c r="B281" t="s">
        <v>1252</v>
      </c>
      <c r="C281" s="108" t="s">
        <v>1068</v>
      </c>
      <c r="E281" t="s">
        <v>5034</v>
      </c>
      <c r="F281" t="s">
        <v>311</v>
      </c>
      <c r="G281" t="s">
        <v>5035</v>
      </c>
      <c r="H281" s="108">
        <v>74197</v>
      </c>
      <c r="I281" t="s">
        <v>314</v>
      </c>
      <c r="J281" t="s">
        <v>1216</v>
      </c>
      <c r="K281" s="168">
        <v>43857</v>
      </c>
      <c r="L281" s="131">
        <v>5000000</v>
      </c>
      <c r="M281" s="131">
        <f t="shared" ref="M281:M283" si="113">L281/1000*3.71</f>
        <v>18550</v>
      </c>
      <c r="N281" s="131"/>
      <c r="O281" s="171"/>
      <c r="Q281" s="168"/>
    </row>
    <row r="282" spans="1:17" ht="14.25">
      <c r="A282" t="s">
        <v>1213</v>
      </c>
      <c r="B282" t="s">
        <v>1252</v>
      </c>
      <c r="C282" s="108" t="s">
        <v>1068</v>
      </c>
      <c r="D282" t="s">
        <v>5124</v>
      </c>
      <c r="E282" t="s">
        <v>5125</v>
      </c>
      <c r="F282" t="s">
        <v>311</v>
      </c>
      <c r="G282" t="s">
        <v>5126</v>
      </c>
      <c r="H282" s="108">
        <v>74199</v>
      </c>
      <c r="I282" t="s">
        <v>314</v>
      </c>
      <c r="J282" t="s">
        <v>1216</v>
      </c>
      <c r="K282" s="168">
        <v>43881</v>
      </c>
      <c r="L282" s="131">
        <v>7500000</v>
      </c>
      <c r="M282" s="131">
        <f t="shared" si="113"/>
        <v>27825</v>
      </c>
      <c r="N282" s="131"/>
      <c r="O282" s="171"/>
      <c r="Q282" s="168"/>
    </row>
    <row r="283" spans="1:17" ht="14.25">
      <c r="A283" t="s">
        <v>1213</v>
      </c>
      <c r="B283" t="s">
        <v>1252</v>
      </c>
      <c r="C283" s="108" t="s">
        <v>1068</v>
      </c>
      <c r="E283" t="s">
        <v>5027</v>
      </c>
      <c r="F283" t="s">
        <v>311</v>
      </c>
      <c r="G283" t="s">
        <v>5114</v>
      </c>
      <c r="H283" s="108">
        <v>74200</v>
      </c>
      <c r="I283" t="s">
        <v>314</v>
      </c>
      <c r="J283" t="s">
        <v>1216</v>
      </c>
      <c r="K283" s="168">
        <v>43891</v>
      </c>
      <c r="L283" s="131">
        <v>11000000</v>
      </c>
      <c r="M283" s="131">
        <f t="shared" si="113"/>
        <v>40810</v>
      </c>
      <c r="N283" s="131"/>
      <c r="O283" s="171"/>
      <c r="Q283" s="168"/>
    </row>
    <row r="284" spans="1:17" ht="14.25">
      <c r="A284" t="s">
        <v>1213</v>
      </c>
      <c r="B284" t="s">
        <v>1252</v>
      </c>
      <c r="C284" s="108" t="s">
        <v>1068</v>
      </c>
      <c r="D284" t="s">
        <v>5004</v>
      </c>
      <c r="E284" t="s">
        <v>5009</v>
      </c>
      <c r="F284" t="s">
        <v>309</v>
      </c>
      <c r="G284" t="s">
        <v>5010</v>
      </c>
      <c r="H284" s="108">
        <v>74202</v>
      </c>
      <c r="I284" t="s">
        <v>314</v>
      </c>
      <c r="J284" t="s">
        <v>1212</v>
      </c>
      <c r="K284" s="168">
        <v>43913</v>
      </c>
      <c r="L284" s="131">
        <v>22160611</v>
      </c>
      <c r="M284" s="131">
        <f>L284/1000</f>
        <v>22160.611000000001</v>
      </c>
      <c r="N284" s="131"/>
      <c r="O284" s="171"/>
      <c r="Q284" s="168"/>
    </row>
    <row r="285" spans="1:17" ht="14.25">
      <c r="A285" t="s">
        <v>1213</v>
      </c>
      <c r="B285" t="s">
        <v>1252</v>
      </c>
      <c r="C285" s="108" t="s">
        <v>1068</v>
      </c>
      <c r="E285" t="s">
        <v>4982</v>
      </c>
      <c r="F285" t="s">
        <v>311</v>
      </c>
      <c r="G285" t="s">
        <v>4983</v>
      </c>
      <c r="H285" s="108">
        <v>74203</v>
      </c>
      <c r="I285" t="s">
        <v>314</v>
      </c>
      <c r="J285" t="s">
        <v>1216</v>
      </c>
      <c r="K285" s="168">
        <v>43770</v>
      </c>
      <c r="L285" s="131">
        <v>11500000</v>
      </c>
      <c r="M285" s="131">
        <f>L285/1000*3.71</f>
        <v>42665</v>
      </c>
      <c r="N285" s="131"/>
      <c r="O285" s="171"/>
      <c r="Q285" s="168"/>
    </row>
    <row r="286" spans="1:17" ht="14.25">
      <c r="A286" t="s">
        <v>1213</v>
      </c>
      <c r="B286" t="s">
        <v>1252</v>
      </c>
      <c r="C286" s="108" t="s">
        <v>1068</v>
      </c>
      <c r="D286" t="s">
        <v>5000</v>
      </c>
      <c r="E286" t="s">
        <v>5001</v>
      </c>
      <c r="F286" t="s">
        <v>310</v>
      </c>
      <c r="G286" t="s">
        <v>5059</v>
      </c>
      <c r="H286" s="108">
        <v>74204</v>
      </c>
      <c r="I286" t="s">
        <v>314</v>
      </c>
      <c r="J286" t="s">
        <v>1212</v>
      </c>
      <c r="K286" s="168">
        <v>44084</v>
      </c>
      <c r="L286" s="131">
        <v>24960000</v>
      </c>
      <c r="M286" s="131">
        <f>L286/1000</f>
        <v>24960</v>
      </c>
      <c r="N286" s="131">
        <f>O286</f>
        <v>69.852999999999994</v>
      </c>
      <c r="O286" s="171">
        <v>69.852999999999994</v>
      </c>
      <c r="P286" s="170">
        <f>O286/M286</f>
        <v>2.7985977564102564E-3</v>
      </c>
      <c r="Q286" s="168">
        <v>46462</v>
      </c>
    </row>
    <row r="287" spans="1:17" ht="14.25">
      <c r="A287" t="s">
        <v>1213</v>
      </c>
      <c r="B287" t="s">
        <v>1252</v>
      </c>
      <c r="C287" s="108" t="s">
        <v>1068</v>
      </c>
      <c r="D287" t="s">
        <v>5117</v>
      </c>
      <c r="E287" t="s">
        <v>5118</v>
      </c>
      <c r="F287" t="s">
        <v>310</v>
      </c>
      <c r="G287" t="s">
        <v>5119</v>
      </c>
      <c r="H287" s="108">
        <v>74205</v>
      </c>
      <c r="I287" t="s">
        <v>314</v>
      </c>
      <c r="J287" t="s">
        <v>1218</v>
      </c>
      <c r="K287" s="168">
        <v>44159</v>
      </c>
      <c r="L287" s="131">
        <v>4060000</v>
      </c>
      <c r="M287" s="131">
        <f>L287/1000*4.1524</f>
        <v>16858.743999999999</v>
      </c>
      <c r="N287" s="131"/>
      <c r="O287" s="171"/>
      <c r="Q287" s="168"/>
    </row>
    <row r="288" spans="1:17" ht="14.25">
      <c r="A288" t="s">
        <v>1213</v>
      </c>
      <c r="B288" t="s">
        <v>1252</v>
      </c>
      <c r="C288" s="108" t="s">
        <v>1068</v>
      </c>
      <c r="E288" t="s">
        <v>5121</v>
      </c>
      <c r="F288" t="s">
        <v>311</v>
      </c>
      <c r="G288" t="s">
        <v>5122</v>
      </c>
      <c r="H288" s="108">
        <v>74207</v>
      </c>
      <c r="I288" t="s">
        <v>314</v>
      </c>
      <c r="J288" t="s">
        <v>1216</v>
      </c>
      <c r="K288" s="168">
        <v>44166</v>
      </c>
      <c r="L288" s="131">
        <v>10000000</v>
      </c>
      <c r="M288" s="131">
        <f t="shared" ref="M288:M291" si="114">L288/1000*3.71</f>
        <v>37100</v>
      </c>
      <c r="N288" s="131">
        <f>O288/3.71</f>
        <v>85.64049999999996</v>
      </c>
      <c r="O288" s="171">
        <v>317.72625499999987</v>
      </c>
      <c r="P288" s="170">
        <f>O288/M288</f>
        <v>8.5640499999999967E-3</v>
      </c>
      <c r="Q288" s="168">
        <v>45748</v>
      </c>
    </row>
    <row r="289" spans="1:17" ht="14.25">
      <c r="A289" t="s">
        <v>1213</v>
      </c>
      <c r="B289" t="s">
        <v>1252</v>
      </c>
      <c r="C289" s="108" t="s">
        <v>1068</v>
      </c>
      <c r="D289" t="s">
        <v>5038</v>
      </c>
      <c r="E289" t="s">
        <v>5039</v>
      </c>
      <c r="F289" t="s">
        <v>311</v>
      </c>
      <c r="G289" t="s">
        <v>5040</v>
      </c>
      <c r="H289" s="108">
        <v>74208</v>
      </c>
      <c r="I289" t="s">
        <v>314</v>
      </c>
      <c r="J289" t="s">
        <v>1216</v>
      </c>
      <c r="K289" s="168">
        <v>44186</v>
      </c>
      <c r="L289" s="131">
        <v>4600000</v>
      </c>
      <c r="M289" s="131">
        <f t="shared" si="114"/>
        <v>17066</v>
      </c>
      <c r="N289" s="131"/>
      <c r="O289" s="171"/>
      <c r="Q289" s="168"/>
    </row>
    <row r="290" spans="1:17" ht="14.25">
      <c r="A290" t="s">
        <v>1213</v>
      </c>
      <c r="B290" t="s">
        <v>1252</v>
      </c>
      <c r="C290" s="108" t="s">
        <v>1068</v>
      </c>
      <c r="E290" t="s">
        <v>5027</v>
      </c>
      <c r="F290" t="s">
        <v>311</v>
      </c>
      <c r="G290" t="s">
        <v>5134</v>
      </c>
      <c r="H290" s="108">
        <v>74215</v>
      </c>
      <c r="I290" t="s">
        <v>314</v>
      </c>
      <c r="J290" t="s">
        <v>1216</v>
      </c>
      <c r="K290" s="168">
        <v>44308</v>
      </c>
      <c r="L290" s="131">
        <v>7000000</v>
      </c>
      <c r="M290" s="131">
        <f t="shared" si="114"/>
        <v>25970</v>
      </c>
      <c r="N290" s="131"/>
      <c r="O290" s="171"/>
      <c r="Q290" s="168"/>
    </row>
    <row r="291" spans="1:17" ht="14.25">
      <c r="A291" t="s">
        <v>1213</v>
      </c>
      <c r="B291" t="s">
        <v>1252</v>
      </c>
      <c r="C291" s="108" t="s">
        <v>1068</v>
      </c>
      <c r="E291" t="s">
        <v>5036</v>
      </c>
      <c r="F291" t="s">
        <v>311</v>
      </c>
      <c r="G291" t="s">
        <v>5136</v>
      </c>
      <c r="H291" s="108">
        <v>74216</v>
      </c>
      <c r="I291" t="s">
        <v>314</v>
      </c>
      <c r="J291" t="s">
        <v>1216</v>
      </c>
      <c r="K291" s="168">
        <v>44371</v>
      </c>
      <c r="L291" s="131">
        <v>8000000</v>
      </c>
      <c r="M291" s="131">
        <f t="shared" si="114"/>
        <v>29680</v>
      </c>
      <c r="N291" s="131">
        <f>O291/3.71</f>
        <v>71.13300000000001</v>
      </c>
      <c r="O291" s="171">
        <v>263.90343000000001</v>
      </c>
      <c r="P291" s="170">
        <f t="shared" ref="P291:P295" si="115">O291/M291</f>
        <v>8.8916250000000002E-3</v>
      </c>
      <c r="Q291" s="168">
        <v>46197</v>
      </c>
    </row>
    <row r="292" spans="1:17" ht="14.25">
      <c r="A292" t="s">
        <v>1213</v>
      </c>
      <c r="B292" t="s">
        <v>1252</v>
      </c>
      <c r="C292" s="108" t="s">
        <v>1068</v>
      </c>
      <c r="D292" t="s">
        <v>5064</v>
      </c>
      <c r="E292" t="s">
        <v>5065</v>
      </c>
      <c r="F292" t="s">
        <v>309</v>
      </c>
      <c r="G292" t="s">
        <v>5066</v>
      </c>
      <c r="H292" s="108">
        <v>74217</v>
      </c>
      <c r="I292" t="s">
        <v>314</v>
      </c>
      <c r="J292" t="s">
        <v>1212</v>
      </c>
      <c r="K292" s="168">
        <v>44370</v>
      </c>
      <c r="L292" s="131">
        <v>80000000</v>
      </c>
      <c r="M292" s="131">
        <f>L292/1000</f>
        <v>80000</v>
      </c>
      <c r="N292" s="131">
        <f>O292</f>
        <v>315.36099999999999</v>
      </c>
      <c r="O292" s="171">
        <v>315.36099999999999</v>
      </c>
      <c r="P292" s="170">
        <f t="shared" si="115"/>
        <v>3.9420124999999997E-3</v>
      </c>
      <c r="Q292" s="168">
        <v>46196</v>
      </c>
    </row>
    <row r="293" spans="1:17" ht="14.25">
      <c r="A293" t="s">
        <v>1213</v>
      </c>
      <c r="B293" t="s">
        <v>1252</v>
      </c>
      <c r="C293" s="108" t="s">
        <v>1068</v>
      </c>
      <c r="D293" t="s">
        <v>5088</v>
      </c>
      <c r="E293" t="s">
        <v>5089</v>
      </c>
      <c r="F293" t="s">
        <v>309</v>
      </c>
      <c r="G293" t="s">
        <v>5090</v>
      </c>
      <c r="H293" s="108">
        <v>74221</v>
      </c>
      <c r="I293" t="s">
        <v>314</v>
      </c>
      <c r="J293" t="s">
        <v>1216</v>
      </c>
      <c r="K293" s="168">
        <v>44409</v>
      </c>
      <c r="L293" s="131">
        <v>8000000</v>
      </c>
      <c r="M293" s="131">
        <f t="shared" ref="M293:M294" si="116">L293/1000*3.71</f>
        <v>29680</v>
      </c>
      <c r="N293" s="131">
        <f t="shared" ref="N293:N294" si="117">O293/3.71</f>
        <v>58.311999999999991</v>
      </c>
      <c r="O293" s="171">
        <v>216.33751999999996</v>
      </c>
      <c r="P293" s="170">
        <f t="shared" si="115"/>
        <v>7.2889999999999986E-3</v>
      </c>
      <c r="Q293" s="168">
        <v>47150</v>
      </c>
    </row>
    <row r="294" spans="1:17" ht="14.25">
      <c r="A294" t="s">
        <v>1213</v>
      </c>
      <c r="B294" t="s">
        <v>1252</v>
      </c>
      <c r="C294" s="108" t="s">
        <v>1068</v>
      </c>
      <c r="D294" t="s">
        <v>5076</v>
      </c>
      <c r="E294" t="s">
        <v>5077</v>
      </c>
      <c r="F294" t="s">
        <v>309</v>
      </c>
      <c r="G294" t="s">
        <v>5078</v>
      </c>
      <c r="H294" s="108">
        <v>74228</v>
      </c>
      <c r="I294" t="s">
        <v>314</v>
      </c>
      <c r="J294" t="s">
        <v>1216</v>
      </c>
      <c r="K294" s="168">
        <v>44560</v>
      </c>
      <c r="L294" s="131">
        <v>10000000</v>
      </c>
      <c r="M294" s="131">
        <f t="shared" si="116"/>
        <v>37100</v>
      </c>
      <c r="N294" s="131">
        <f t="shared" si="117"/>
        <v>33.847000000000001</v>
      </c>
      <c r="O294" s="171">
        <v>125.57236999999999</v>
      </c>
      <c r="P294" s="170">
        <f t="shared" si="115"/>
        <v>3.3846999999999996E-3</v>
      </c>
      <c r="Q294" s="168">
        <v>46751</v>
      </c>
    </row>
    <row r="295" spans="1:17" ht="14.25">
      <c r="A295" t="s">
        <v>1213</v>
      </c>
      <c r="B295" t="s">
        <v>1252</v>
      </c>
      <c r="C295" s="108" t="s">
        <v>1068</v>
      </c>
      <c r="D295" t="s">
        <v>5061</v>
      </c>
      <c r="E295" t="s">
        <v>5062</v>
      </c>
      <c r="F295" t="s">
        <v>309</v>
      </c>
      <c r="G295" t="s">
        <v>5063</v>
      </c>
      <c r="H295" s="108">
        <v>74231</v>
      </c>
      <c r="I295" t="s">
        <v>314</v>
      </c>
      <c r="J295" t="s">
        <v>1212</v>
      </c>
      <c r="K295" s="168">
        <v>44591</v>
      </c>
      <c r="L295" s="131">
        <v>50000000</v>
      </c>
      <c r="M295" s="131">
        <f t="shared" ref="M295:M296" si="118">L295/1000</f>
        <v>50000</v>
      </c>
      <c r="N295" s="131">
        <f>O295</f>
        <v>335.69180000000006</v>
      </c>
      <c r="O295" s="171">
        <v>335.69180000000006</v>
      </c>
      <c r="P295" s="170">
        <f t="shared" si="115"/>
        <v>6.7138360000000008E-3</v>
      </c>
      <c r="Q295" s="168">
        <v>46204</v>
      </c>
    </row>
    <row r="296" spans="1:17" ht="14.25">
      <c r="A296" t="s">
        <v>1213</v>
      </c>
      <c r="B296" t="s">
        <v>1252</v>
      </c>
      <c r="C296" s="108" t="s">
        <v>1068</v>
      </c>
      <c r="D296" t="s">
        <v>5079</v>
      </c>
      <c r="E296" t="s">
        <v>5080</v>
      </c>
      <c r="F296" t="s">
        <v>309</v>
      </c>
      <c r="G296" t="s">
        <v>5081</v>
      </c>
      <c r="H296" s="108">
        <v>74233</v>
      </c>
      <c r="I296" t="s">
        <v>314</v>
      </c>
      <c r="J296" t="s">
        <v>1212</v>
      </c>
      <c r="K296" s="168">
        <v>44622</v>
      </c>
      <c r="L296" s="131">
        <v>45000000</v>
      </c>
      <c r="M296" s="131">
        <f t="shared" si="118"/>
        <v>45000</v>
      </c>
      <c r="N296" s="131"/>
      <c r="O296" s="171"/>
      <c r="Q296" s="168"/>
    </row>
    <row r="297" spans="1:17" ht="14.25">
      <c r="A297" t="s">
        <v>1213</v>
      </c>
      <c r="B297" t="s">
        <v>1252</v>
      </c>
      <c r="C297" s="108" t="s">
        <v>1068</v>
      </c>
      <c r="E297" t="s">
        <v>5027</v>
      </c>
      <c r="F297" t="s">
        <v>311</v>
      </c>
      <c r="G297" t="s">
        <v>5137</v>
      </c>
      <c r="H297" s="108">
        <v>74235</v>
      </c>
      <c r="I297" t="s">
        <v>314</v>
      </c>
      <c r="J297" t="s">
        <v>1216</v>
      </c>
      <c r="K297" s="168">
        <v>44712</v>
      </c>
      <c r="L297" s="131">
        <v>5000000</v>
      </c>
      <c r="M297" s="131">
        <f>L297/1000*3.71</f>
        <v>18550</v>
      </c>
      <c r="N297" s="131"/>
      <c r="O297" s="171"/>
      <c r="Q297" s="168"/>
    </row>
    <row r="298" spans="1:17" ht="14.25">
      <c r="A298" t="s">
        <v>1213</v>
      </c>
      <c r="B298" t="s">
        <v>1252</v>
      </c>
      <c r="C298" s="108" t="s">
        <v>1068</v>
      </c>
      <c r="D298" t="s">
        <v>5130</v>
      </c>
      <c r="E298" t="s">
        <v>5131</v>
      </c>
      <c r="F298" t="s">
        <v>311</v>
      </c>
      <c r="G298" t="s">
        <v>5132</v>
      </c>
      <c r="H298" s="108">
        <v>74237</v>
      </c>
      <c r="I298" t="s">
        <v>314</v>
      </c>
      <c r="J298" t="s">
        <v>1227</v>
      </c>
      <c r="K298" s="168">
        <v>44721</v>
      </c>
      <c r="L298" s="131">
        <v>7000000</v>
      </c>
      <c r="M298" s="131">
        <f>L298/1000*4.9748</f>
        <v>34823.599999999999</v>
      </c>
      <c r="N298" s="131">
        <f>O298/4.9748</f>
        <v>0.1979999999999823</v>
      </c>
      <c r="O298" s="171">
        <v>0.98501039999991191</v>
      </c>
      <c r="P298" s="170">
        <f t="shared" ref="P298:P302" si="119">O298/M298</f>
        <v>2.8285714285711756E-5</v>
      </c>
      <c r="Q298" s="168">
        <v>47635</v>
      </c>
    </row>
    <row r="299" spans="1:17" ht="14.25">
      <c r="A299" t="s">
        <v>1213</v>
      </c>
      <c r="B299" t="s">
        <v>1252</v>
      </c>
      <c r="C299" s="108" t="s">
        <v>1068</v>
      </c>
      <c r="D299" t="s">
        <v>5070</v>
      </c>
      <c r="E299" t="s">
        <v>5071</v>
      </c>
      <c r="F299" t="s">
        <v>310</v>
      </c>
      <c r="G299" t="s">
        <v>5072</v>
      </c>
      <c r="H299" s="108">
        <v>74238</v>
      </c>
      <c r="I299" t="s">
        <v>314</v>
      </c>
      <c r="J299" t="s">
        <v>1212</v>
      </c>
      <c r="K299" s="168">
        <v>44721</v>
      </c>
      <c r="L299" s="131">
        <v>40000000</v>
      </c>
      <c r="M299" s="131">
        <f t="shared" ref="M299:M300" si="120">L299/1000</f>
        <v>40000</v>
      </c>
      <c r="N299" s="131">
        <f t="shared" ref="N299:N300" si="121">O299</f>
        <v>95.078999999999994</v>
      </c>
      <c r="O299" s="171">
        <v>95.078999999999994</v>
      </c>
      <c r="P299" s="170">
        <f t="shared" si="119"/>
        <v>2.3769749999999999E-3</v>
      </c>
      <c r="Q299" s="168">
        <v>46182</v>
      </c>
    </row>
    <row r="300" spans="1:17" ht="14.25">
      <c r="A300" t="s">
        <v>1213</v>
      </c>
      <c r="B300" t="s">
        <v>1252</v>
      </c>
      <c r="C300" s="108" t="s">
        <v>1068</v>
      </c>
      <c r="D300" t="s">
        <v>5085</v>
      </c>
      <c r="E300" t="s">
        <v>5086</v>
      </c>
      <c r="F300" t="s">
        <v>309</v>
      </c>
      <c r="G300" t="s">
        <v>5087</v>
      </c>
      <c r="H300" s="108">
        <v>74239</v>
      </c>
      <c r="I300" t="s">
        <v>314</v>
      </c>
      <c r="J300" t="s">
        <v>1212</v>
      </c>
      <c r="K300" s="168">
        <v>44741</v>
      </c>
      <c r="L300" s="131">
        <v>40000000</v>
      </c>
      <c r="M300" s="131">
        <f t="shared" si="120"/>
        <v>40000</v>
      </c>
      <c r="N300" s="131">
        <f t="shared" si="121"/>
        <v>175.85300000000001</v>
      </c>
      <c r="O300" s="171">
        <v>175.85300000000001</v>
      </c>
      <c r="P300" s="170">
        <f t="shared" si="119"/>
        <v>4.3963250000000004E-3</v>
      </c>
      <c r="Q300" s="168">
        <v>46202</v>
      </c>
    </row>
    <row r="301" spans="1:17" ht="14.25">
      <c r="A301" t="s">
        <v>1213</v>
      </c>
      <c r="B301" t="s">
        <v>1252</v>
      </c>
      <c r="C301" s="108" t="s">
        <v>1068</v>
      </c>
      <c r="E301" t="s">
        <v>5115</v>
      </c>
      <c r="F301" t="s">
        <v>309</v>
      </c>
      <c r="G301" t="s">
        <v>5116</v>
      </c>
      <c r="H301" s="108">
        <v>74240</v>
      </c>
      <c r="I301" t="s">
        <v>314</v>
      </c>
      <c r="J301" t="s">
        <v>1218</v>
      </c>
      <c r="K301" s="168">
        <v>44748</v>
      </c>
      <c r="L301" s="131">
        <v>10000000</v>
      </c>
      <c r="M301" s="131">
        <f>L301/1000*4.1524</f>
        <v>41524</v>
      </c>
      <c r="N301" s="131">
        <f>O301/4.1254</f>
        <v>6.9954864982789555</v>
      </c>
      <c r="O301" s="171">
        <f>28859.18/1000</f>
        <v>28.859180000000002</v>
      </c>
      <c r="P301" s="170">
        <f t="shared" si="119"/>
        <v>6.9500000000000009E-4</v>
      </c>
      <c r="Q301" s="168">
        <v>45844</v>
      </c>
    </row>
    <row r="302" spans="1:17" ht="14.25">
      <c r="A302" t="s">
        <v>1213</v>
      </c>
      <c r="B302" t="s">
        <v>1252</v>
      </c>
      <c r="C302" s="108" t="s">
        <v>1068</v>
      </c>
      <c r="D302" t="s">
        <v>5082</v>
      </c>
      <c r="E302" t="s">
        <v>5083</v>
      </c>
      <c r="F302" t="s">
        <v>309</v>
      </c>
      <c r="G302" t="s">
        <v>5084</v>
      </c>
      <c r="H302" s="108">
        <v>74241</v>
      </c>
      <c r="I302" t="s">
        <v>314</v>
      </c>
      <c r="J302" t="s">
        <v>1212</v>
      </c>
      <c r="K302" s="168">
        <v>44752</v>
      </c>
      <c r="L302" s="131">
        <v>50000000</v>
      </c>
      <c r="M302" s="131">
        <f>L302/1000</f>
        <v>50000</v>
      </c>
      <c r="N302" s="131">
        <f>O302</f>
        <v>166.029</v>
      </c>
      <c r="O302" s="171">
        <v>166.029</v>
      </c>
      <c r="P302" s="170">
        <f t="shared" si="119"/>
        <v>3.3205800000000001E-3</v>
      </c>
      <c r="Q302" s="168">
        <v>46213</v>
      </c>
    </row>
    <row r="303" spans="1:17" ht="14.25">
      <c r="A303" t="s">
        <v>1213</v>
      </c>
      <c r="B303" t="s">
        <v>1252</v>
      </c>
      <c r="C303" s="108" t="s">
        <v>1068</v>
      </c>
      <c r="E303" t="s">
        <v>3826</v>
      </c>
      <c r="F303" t="s">
        <v>311</v>
      </c>
      <c r="G303" t="s">
        <v>3825</v>
      </c>
      <c r="H303" s="108">
        <v>74242</v>
      </c>
      <c r="I303" t="s">
        <v>314</v>
      </c>
      <c r="J303" t="s">
        <v>1218</v>
      </c>
      <c r="K303" s="168">
        <v>44812</v>
      </c>
      <c r="L303" s="131">
        <v>5410840</v>
      </c>
      <c r="M303" s="131">
        <f>L303/1000*4.1524</f>
        <v>22467.972016</v>
      </c>
      <c r="N303" s="131"/>
      <c r="O303" s="171"/>
      <c r="Q303" s="168"/>
    </row>
    <row r="304" spans="1:17" ht="14.25">
      <c r="A304" t="s">
        <v>1213</v>
      </c>
      <c r="B304" t="s">
        <v>1252</v>
      </c>
      <c r="C304" s="108" t="s">
        <v>1068</v>
      </c>
      <c r="D304" t="s">
        <v>5105</v>
      </c>
      <c r="E304" t="s">
        <v>5106</v>
      </c>
      <c r="F304" t="s">
        <v>311</v>
      </c>
      <c r="G304" t="s">
        <v>5107</v>
      </c>
      <c r="H304" s="108">
        <v>74243</v>
      </c>
      <c r="I304" t="s">
        <v>314</v>
      </c>
      <c r="J304" t="s">
        <v>1216</v>
      </c>
      <c r="K304" s="168">
        <v>44823</v>
      </c>
      <c r="L304" s="131">
        <v>6000000</v>
      </c>
      <c r="M304" s="131">
        <f t="shared" ref="M304:M305" si="122">L304/1000*3.71</f>
        <v>22260</v>
      </c>
      <c r="N304" s="131">
        <f t="shared" ref="N304:N305" si="123">O304/3.71</f>
        <v>27.620999999999995</v>
      </c>
      <c r="O304" s="171">
        <v>102.47390999999998</v>
      </c>
      <c r="P304" s="170">
        <f t="shared" ref="P304:P306" si="124">O304/M304</f>
        <v>4.6034999999999991E-3</v>
      </c>
      <c r="Q304" s="168">
        <v>46284</v>
      </c>
    </row>
    <row r="305" spans="1:17" ht="14.25">
      <c r="A305" t="s">
        <v>1213</v>
      </c>
      <c r="B305" t="s">
        <v>1252</v>
      </c>
      <c r="C305" s="108" t="s">
        <v>1068</v>
      </c>
      <c r="D305" t="s">
        <v>5150</v>
      </c>
      <c r="E305" t="s">
        <v>5151</v>
      </c>
      <c r="F305" t="s">
        <v>311</v>
      </c>
      <c r="G305" t="s">
        <v>5152</v>
      </c>
      <c r="H305" s="108">
        <v>74244</v>
      </c>
      <c r="I305" t="s">
        <v>314</v>
      </c>
      <c r="J305" t="s">
        <v>1216</v>
      </c>
      <c r="K305" s="168">
        <v>44881</v>
      </c>
      <c r="L305" s="131">
        <v>12465101</v>
      </c>
      <c r="M305" s="131">
        <f t="shared" si="122"/>
        <v>46245.524710000005</v>
      </c>
      <c r="N305" s="131">
        <f t="shared" si="123"/>
        <v>11.799999999999999</v>
      </c>
      <c r="O305" s="171">
        <v>43.777999999999999</v>
      </c>
      <c r="P305" s="170">
        <f t="shared" si="124"/>
        <v>9.4664295138884144E-4</v>
      </c>
      <c r="Q305" s="168">
        <v>46707</v>
      </c>
    </row>
    <row r="306" spans="1:17" ht="14.25">
      <c r="A306" t="s">
        <v>1213</v>
      </c>
      <c r="B306" t="s">
        <v>1252</v>
      </c>
      <c r="C306" s="108" t="s">
        <v>1068</v>
      </c>
      <c r="E306" t="s">
        <v>5138</v>
      </c>
      <c r="F306" t="s">
        <v>311</v>
      </c>
      <c r="G306" t="s">
        <v>5139</v>
      </c>
      <c r="H306" s="108">
        <v>74247</v>
      </c>
      <c r="I306" t="s">
        <v>314</v>
      </c>
      <c r="J306" t="s">
        <v>1227</v>
      </c>
      <c r="K306" s="168">
        <v>44938</v>
      </c>
      <c r="L306" s="131">
        <v>7500000</v>
      </c>
      <c r="M306" s="131">
        <f>L306/1000*4.9748</f>
        <v>37311</v>
      </c>
      <c r="N306" s="131">
        <f>O306/4.9748</f>
        <v>104.50699999999998</v>
      </c>
      <c r="O306" s="171">
        <v>519.90142359999993</v>
      </c>
      <c r="P306" s="170">
        <f t="shared" si="124"/>
        <v>1.3934266666666665E-2</v>
      </c>
      <c r="Q306" s="168">
        <v>46022</v>
      </c>
    </row>
    <row r="307" spans="1:17" ht="14.25">
      <c r="A307" t="s">
        <v>1213</v>
      </c>
      <c r="B307" t="s">
        <v>1252</v>
      </c>
      <c r="C307" s="108" t="s">
        <v>1068</v>
      </c>
      <c r="E307" t="s">
        <v>5067</v>
      </c>
      <c r="F307" t="s">
        <v>309</v>
      </c>
      <c r="G307" t="s">
        <v>5068</v>
      </c>
      <c r="H307" s="108">
        <v>74249</v>
      </c>
      <c r="I307" t="s">
        <v>314</v>
      </c>
      <c r="J307" t="s">
        <v>1212</v>
      </c>
      <c r="K307" s="168">
        <v>45006</v>
      </c>
      <c r="L307" s="131">
        <v>70000000</v>
      </c>
      <c r="M307" s="131">
        <f t="shared" ref="M307:M308" si="125">L307/1000</f>
        <v>70000</v>
      </c>
      <c r="N307" s="131"/>
      <c r="O307" s="171"/>
      <c r="Q307" s="168"/>
    </row>
    <row r="308" spans="1:17" ht="14.25">
      <c r="A308" t="s">
        <v>1213</v>
      </c>
      <c r="B308" t="s">
        <v>1252</v>
      </c>
      <c r="C308" s="108" t="s">
        <v>1068</v>
      </c>
      <c r="D308" t="s">
        <v>4939</v>
      </c>
      <c r="E308" t="s">
        <v>4940</v>
      </c>
      <c r="F308" t="s">
        <v>309</v>
      </c>
      <c r="G308" t="s">
        <v>4955</v>
      </c>
      <c r="H308" s="108">
        <v>74252</v>
      </c>
      <c r="I308" t="s">
        <v>314</v>
      </c>
      <c r="J308" t="s">
        <v>1212</v>
      </c>
      <c r="K308" s="168">
        <v>45036</v>
      </c>
      <c r="L308" s="131">
        <v>62150000</v>
      </c>
      <c r="M308" s="131">
        <f t="shared" si="125"/>
        <v>62150</v>
      </c>
      <c r="N308" s="131">
        <f>O308</f>
        <v>555.27599999999995</v>
      </c>
      <c r="O308" s="171">
        <v>555.27599999999995</v>
      </c>
      <c r="P308" s="170">
        <f t="shared" ref="P308:P310" si="126">O308/M308</f>
        <v>8.9344489139179389E-3</v>
      </c>
      <c r="Q308" s="168">
        <v>48689</v>
      </c>
    </row>
    <row r="309" spans="1:17" ht="14.25">
      <c r="A309" t="s">
        <v>1213</v>
      </c>
      <c r="B309" t="s">
        <v>1252</v>
      </c>
      <c r="C309" s="108" t="s">
        <v>1068</v>
      </c>
      <c r="E309" t="s">
        <v>4943</v>
      </c>
      <c r="F309" t="s">
        <v>309</v>
      </c>
      <c r="G309" t="s">
        <v>4944</v>
      </c>
      <c r="H309" s="108">
        <v>74254</v>
      </c>
      <c r="I309" t="s">
        <v>314</v>
      </c>
      <c r="J309" t="s">
        <v>1216</v>
      </c>
      <c r="K309" s="168">
        <v>45124</v>
      </c>
      <c r="L309" s="131">
        <v>7006080</v>
      </c>
      <c r="M309" s="131">
        <f>L309/1000*3.71</f>
        <v>25992.556799999998</v>
      </c>
      <c r="N309" s="131">
        <f>O309/3.71</f>
        <v>73.76400000000001</v>
      </c>
      <c r="O309" s="171">
        <v>273.66444000000001</v>
      </c>
      <c r="P309" s="170">
        <f t="shared" si="126"/>
        <v>1.052856947108797E-2</v>
      </c>
      <c r="Q309" s="168">
        <v>46220</v>
      </c>
    </row>
    <row r="310" spans="1:17" ht="14.25">
      <c r="A310" t="s">
        <v>1213</v>
      </c>
      <c r="B310" t="s">
        <v>1252</v>
      </c>
      <c r="C310" s="108" t="s">
        <v>1068</v>
      </c>
      <c r="D310" t="s">
        <v>4988</v>
      </c>
      <c r="E310" t="s">
        <v>4989</v>
      </c>
      <c r="F310" t="s">
        <v>309</v>
      </c>
      <c r="G310" t="s">
        <v>4990</v>
      </c>
      <c r="H310" s="108">
        <v>74255</v>
      </c>
      <c r="I310" t="s">
        <v>314</v>
      </c>
      <c r="J310" t="s">
        <v>1227</v>
      </c>
      <c r="K310" s="168">
        <v>45208</v>
      </c>
      <c r="L310" s="131">
        <v>5000000</v>
      </c>
      <c r="M310" s="131">
        <f>L310/1000*4.9748</f>
        <v>24874</v>
      </c>
      <c r="N310" s="131">
        <f>O310/4.9748</f>
        <v>50.775999999999996</v>
      </c>
      <c r="O310" s="171">
        <v>252.60044479999999</v>
      </c>
      <c r="P310" s="170">
        <f t="shared" si="126"/>
        <v>1.01552E-2</v>
      </c>
      <c r="Q310" s="168">
        <v>46235</v>
      </c>
    </row>
    <row r="311" spans="1:17" ht="14.25">
      <c r="A311" t="s">
        <v>1213</v>
      </c>
      <c r="B311" t="s">
        <v>1252</v>
      </c>
      <c r="C311" s="108" t="s">
        <v>1068</v>
      </c>
      <c r="D311" t="s">
        <v>5127</v>
      </c>
      <c r="E311" t="s">
        <v>5128</v>
      </c>
      <c r="F311" t="s">
        <v>310</v>
      </c>
      <c r="G311" t="s">
        <v>5129</v>
      </c>
      <c r="H311" s="108">
        <v>74256</v>
      </c>
      <c r="I311" t="s">
        <v>314</v>
      </c>
      <c r="J311" t="s">
        <v>1218</v>
      </c>
      <c r="K311" s="168">
        <v>45166</v>
      </c>
      <c r="L311" s="131">
        <v>8000000</v>
      </c>
      <c r="M311" s="131">
        <f>L311/1000*4.1524</f>
        <v>33219.199999999997</v>
      </c>
      <c r="N311" s="131"/>
      <c r="O311" s="171"/>
      <c r="Q311" s="168"/>
    </row>
    <row r="312" spans="1:17" ht="14.25">
      <c r="A312" t="s">
        <v>1213</v>
      </c>
      <c r="B312" t="s">
        <v>1252</v>
      </c>
      <c r="C312" s="108" t="s">
        <v>1068</v>
      </c>
      <c r="D312" t="s">
        <v>4992</v>
      </c>
      <c r="E312" t="s">
        <v>4993</v>
      </c>
      <c r="F312" t="s">
        <v>311</v>
      </c>
      <c r="G312" t="s">
        <v>4996</v>
      </c>
      <c r="H312" s="108">
        <v>74266</v>
      </c>
      <c r="I312" t="s">
        <v>314</v>
      </c>
      <c r="J312" t="s">
        <v>1216</v>
      </c>
      <c r="K312" s="168">
        <v>45400</v>
      </c>
      <c r="L312" s="131">
        <v>2500000</v>
      </c>
      <c r="M312" s="131">
        <f>L312/1000*3.71</f>
        <v>9275</v>
      </c>
      <c r="N312" s="131">
        <f>O312/3.71</f>
        <v>31.752000000000002</v>
      </c>
      <c r="O312" s="171">
        <v>117.79992000000001</v>
      </c>
      <c r="P312" s="170">
        <f t="shared" ref="P312:P315" si="127">O312/M312</f>
        <v>1.2700800000000002E-2</v>
      </c>
      <c r="Q312" s="168">
        <v>46495</v>
      </c>
    </row>
    <row r="313" spans="1:17" ht="14.25">
      <c r="A313" t="s">
        <v>1213</v>
      </c>
      <c r="B313" t="s">
        <v>1252</v>
      </c>
      <c r="C313" s="108" t="s">
        <v>1068</v>
      </c>
      <c r="D313" t="s">
        <v>5147</v>
      </c>
      <c r="E313" t="s">
        <v>5148</v>
      </c>
      <c r="F313" t="s">
        <v>311</v>
      </c>
      <c r="G313" t="s">
        <v>5149</v>
      </c>
      <c r="H313" s="108">
        <v>74270</v>
      </c>
      <c r="I313" t="s">
        <v>314</v>
      </c>
      <c r="J313" t="s">
        <v>1218</v>
      </c>
      <c r="K313" s="168">
        <v>45484</v>
      </c>
      <c r="L313" s="131">
        <v>3000000</v>
      </c>
      <c r="M313" s="131">
        <f>L313/1000*4.1524</f>
        <v>12457.2</v>
      </c>
      <c r="N313" s="131">
        <f>O313/4.1254</f>
        <v>58.593993600620543</v>
      </c>
      <c r="O313" s="171">
        <v>241.72366119999998</v>
      </c>
      <c r="P313" s="170">
        <f t="shared" si="127"/>
        <v>1.9404333333333329E-2</v>
      </c>
      <c r="Q313" s="168">
        <v>46295</v>
      </c>
    </row>
    <row r="314" spans="1:17" ht="14.25">
      <c r="A314" t="s">
        <v>1213</v>
      </c>
      <c r="B314" t="s">
        <v>1252</v>
      </c>
      <c r="C314" s="108" t="s">
        <v>1068</v>
      </c>
      <c r="D314" t="s">
        <v>4997</v>
      </c>
      <c r="E314" t="s">
        <v>4998</v>
      </c>
      <c r="F314" t="s">
        <v>311</v>
      </c>
      <c r="G314" t="s">
        <v>4997</v>
      </c>
      <c r="H314" s="108">
        <v>74271</v>
      </c>
      <c r="I314" t="s">
        <v>314</v>
      </c>
      <c r="J314" t="s">
        <v>1227</v>
      </c>
      <c r="K314" s="168">
        <v>45495</v>
      </c>
      <c r="L314" s="131">
        <v>4000000</v>
      </c>
      <c r="M314" s="131">
        <f>L314/1000*4.9748</f>
        <v>19899.2</v>
      </c>
      <c r="N314" s="131">
        <f>O314/4.9748</f>
        <v>82.399999999999991</v>
      </c>
      <c r="O314" s="171">
        <v>409.92352</v>
      </c>
      <c r="P314" s="170">
        <f t="shared" si="127"/>
        <v>2.06E-2</v>
      </c>
      <c r="Q314" s="168">
        <v>46295</v>
      </c>
    </row>
    <row r="315" spans="1:17" ht="14.25">
      <c r="A315" t="s">
        <v>1213</v>
      </c>
      <c r="B315" t="s">
        <v>1252</v>
      </c>
      <c r="C315" s="108" t="s">
        <v>1068</v>
      </c>
      <c r="D315" t="s">
        <v>4992</v>
      </c>
      <c r="E315" t="s">
        <v>4993</v>
      </c>
      <c r="F315" t="s">
        <v>311</v>
      </c>
      <c r="G315" t="s">
        <v>4994</v>
      </c>
      <c r="H315" s="108">
        <v>74272</v>
      </c>
      <c r="I315" t="s">
        <v>314</v>
      </c>
      <c r="J315" t="s">
        <v>1216</v>
      </c>
      <c r="K315" s="168">
        <v>45505</v>
      </c>
      <c r="L315" s="131">
        <v>2500000</v>
      </c>
      <c r="M315" s="131">
        <f>L315/1000*3.71</f>
        <v>9275</v>
      </c>
      <c r="N315" s="131">
        <f>O315/3.71</f>
        <v>28.105000000000004</v>
      </c>
      <c r="O315" s="171">
        <v>104.26955000000001</v>
      </c>
      <c r="P315" s="170">
        <f t="shared" si="127"/>
        <v>1.1242E-2</v>
      </c>
      <c r="Q315" s="168">
        <v>46295</v>
      </c>
    </row>
    <row r="316" spans="1:17" ht="14.25">
      <c r="A316" t="s">
        <v>1213</v>
      </c>
      <c r="B316" t="s">
        <v>1253</v>
      </c>
      <c r="C316" s="108" t="s">
        <v>1068</v>
      </c>
      <c r="D316" t="s">
        <v>5047</v>
      </c>
      <c r="E316" t="s">
        <v>5048</v>
      </c>
      <c r="F316" t="s">
        <v>309</v>
      </c>
      <c r="G316" t="s">
        <v>5049</v>
      </c>
      <c r="H316" s="108" t="s">
        <v>5050</v>
      </c>
      <c r="I316" t="s">
        <v>321</v>
      </c>
      <c r="J316" t="s">
        <v>1212</v>
      </c>
      <c r="K316" s="168">
        <v>45565</v>
      </c>
      <c r="L316" s="131">
        <v>15000000</v>
      </c>
      <c r="M316" s="131">
        <f t="shared" ref="M316:M318" si="128">L316/1000</f>
        <v>15000</v>
      </c>
      <c r="N316" s="131"/>
      <c r="O316" s="171"/>
      <c r="Q316" s="168"/>
    </row>
    <row r="317" spans="1:17" ht="14.25">
      <c r="A317" t="s">
        <v>1213</v>
      </c>
      <c r="B317" t="s">
        <v>1253</v>
      </c>
      <c r="C317" s="108" t="s">
        <v>1068</v>
      </c>
      <c r="D317" t="s">
        <v>5011</v>
      </c>
      <c r="E317" t="s">
        <v>5012</v>
      </c>
      <c r="F317" t="s">
        <v>309</v>
      </c>
      <c r="G317" t="s">
        <v>5013</v>
      </c>
      <c r="H317" s="108">
        <v>74176</v>
      </c>
      <c r="I317" t="s">
        <v>314</v>
      </c>
      <c r="J317" t="s">
        <v>1212</v>
      </c>
      <c r="K317" s="168">
        <v>43306</v>
      </c>
      <c r="L317" s="131">
        <v>15000000</v>
      </c>
      <c r="M317" s="131">
        <f t="shared" si="128"/>
        <v>15000</v>
      </c>
      <c r="N317" s="131"/>
      <c r="O317" s="171"/>
      <c r="Q317" s="168"/>
    </row>
    <row r="318" spans="1:17" ht="14.25">
      <c r="A318" t="s">
        <v>1213</v>
      </c>
      <c r="B318" t="s">
        <v>1253</v>
      </c>
      <c r="C318" s="108" t="s">
        <v>1068</v>
      </c>
      <c r="D318" t="s">
        <v>5019</v>
      </c>
      <c r="E318" t="s">
        <v>5020</v>
      </c>
      <c r="F318" t="s">
        <v>309</v>
      </c>
      <c r="G318" t="s">
        <v>5021</v>
      </c>
      <c r="H318" s="108">
        <v>74177</v>
      </c>
      <c r="I318" t="s">
        <v>314</v>
      </c>
      <c r="J318" t="s">
        <v>1212</v>
      </c>
      <c r="K318" s="168">
        <v>43312</v>
      </c>
      <c r="L318" s="131">
        <v>20000000</v>
      </c>
      <c r="M318" s="131">
        <f t="shared" si="128"/>
        <v>20000</v>
      </c>
      <c r="N318" s="131"/>
      <c r="O318" s="171"/>
      <c r="Q318" s="168"/>
    </row>
    <row r="319" spans="1:17" ht="14.25">
      <c r="A319" t="s">
        <v>1213</v>
      </c>
      <c r="B319" t="s">
        <v>1253</v>
      </c>
      <c r="C319" s="108" t="s">
        <v>1068</v>
      </c>
      <c r="D319" t="s">
        <v>5029</v>
      </c>
      <c r="E319" t="s">
        <v>5030</v>
      </c>
      <c r="F319" t="s">
        <v>311</v>
      </c>
      <c r="G319" t="s">
        <v>5031</v>
      </c>
      <c r="H319" s="108">
        <v>74178</v>
      </c>
      <c r="I319" t="s">
        <v>314</v>
      </c>
      <c r="J319" t="s">
        <v>1216</v>
      </c>
      <c r="K319" s="168">
        <v>43321</v>
      </c>
      <c r="L319" s="131">
        <v>16000000</v>
      </c>
      <c r="M319" s="131">
        <f>L319/1000*3.71</f>
        <v>59360</v>
      </c>
      <c r="N319" s="131"/>
      <c r="O319" s="171"/>
      <c r="Q319" s="168"/>
    </row>
    <row r="320" spans="1:17" ht="14.25">
      <c r="A320" t="s">
        <v>1213</v>
      </c>
      <c r="B320" t="s">
        <v>1253</v>
      </c>
      <c r="C320" s="108" t="s">
        <v>1068</v>
      </c>
      <c r="D320" t="s">
        <v>5094</v>
      </c>
      <c r="E320" t="s">
        <v>5095</v>
      </c>
      <c r="F320" t="s">
        <v>309</v>
      </c>
      <c r="G320" t="s">
        <v>5096</v>
      </c>
      <c r="H320" s="108">
        <v>74179</v>
      </c>
      <c r="I320" t="s">
        <v>314</v>
      </c>
      <c r="J320" t="s">
        <v>1212</v>
      </c>
      <c r="K320" s="168">
        <v>43394</v>
      </c>
      <c r="L320" s="131">
        <v>50000000</v>
      </c>
      <c r="M320" s="131">
        <f>L320/1000</f>
        <v>50000</v>
      </c>
      <c r="N320" s="131">
        <f>O320</f>
        <v>134.77000000000001</v>
      </c>
      <c r="O320" s="171">
        <v>134.77000000000001</v>
      </c>
      <c r="P320" s="170">
        <f>O320/M320</f>
        <v>2.6954000000000001E-3</v>
      </c>
      <c r="Q320" s="168">
        <v>47044</v>
      </c>
    </row>
    <row r="321" spans="1:17" ht="14.25">
      <c r="A321" t="s">
        <v>1213</v>
      </c>
      <c r="B321" t="s">
        <v>1253</v>
      </c>
      <c r="C321" s="108" t="s">
        <v>1068</v>
      </c>
      <c r="E321" t="s">
        <v>5027</v>
      </c>
      <c r="F321" t="s">
        <v>311</v>
      </c>
      <c r="G321" t="s">
        <v>5028</v>
      </c>
      <c r="H321" s="108">
        <v>74180</v>
      </c>
      <c r="I321" t="s">
        <v>314</v>
      </c>
      <c r="J321" t="s">
        <v>1216</v>
      </c>
      <c r="K321" s="168">
        <v>43411</v>
      </c>
      <c r="L321" s="131">
        <v>4000000</v>
      </c>
      <c r="M321" s="131">
        <f t="shared" ref="M321:M323" si="129">L321/1000*3.71</f>
        <v>14840</v>
      </c>
      <c r="N321" s="131"/>
      <c r="O321" s="171"/>
      <c r="Q321" s="168"/>
    </row>
    <row r="322" spans="1:17" ht="14.25">
      <c r="A322" t="s">
        <v>1213</v>
      </c>
      <c r="B322" t="s">
        <v>1253</v>
      </c>
      <c r="C322" s="108" t="s">
        <v>1068</v>
      </c>
      <c r="E322" t="s">
        <v>5032</v>
      </c>
      <c r="F322" t="s">
        <v>309</v>
      </c>
      <c r="G322" t="s">
        <v>5033</v>
      </c>
      <c r="H322" s="108">
        <v>74181</v>
      </c>
      <c r="I322" t="s">
        <v>314</v>
      </c>
      <c r="J322" t="s">
        <v>1216</v>
      </c>
      <c r="K322" s="168">
        <v>43412</v>
      </c>
      <c r="L322" s="131">
        <v>9000000</v>
      </c>
      <c r="M322" s="131">
        <f t="shared" si="129"/>
        <v>33390</v>
      </c>
      <c r="N322" s="131"/>
      <c r="O322" s="171"/>
      <c r="Q322" s="168"/>
    </row>
    <row r="323" spans="1:17" ht="14.25">
      <c r="A323" t="s">
        <v>1213</v>
      </c>
      <c r="B323" t="s">
        <v>1253</v>
      </c>
      <c r="C323" s="108" t="s">
        <v>1068</v>
      </c>
      <c r="E323" t="s">
        <v>5036</v>
      </c>
      <c r="F323" t="s">
        <v>311</v>
      </c>
      <c r="G323" t="s">
        <v>5037</v>
      </c>
      <c r="H323" s="108">
        <v>74183</v>
      </c>
      <c r="I323" t="s">
        <v>314</v>
      </c>
      <c r="J323" t="s">
        <v>1216</v>
      </c>
      <c r="K323" s="168">
        <v>43482</v>
      </c>
      <c r="L323" s="131">
        <v>8000000</v>
      </c>
      <c r="M323" s="131">
        <f t="shared" si="129"/>
        <v>29680</v>
      </c>
      <c r="N323" s="131"/>
      <c r="O323" s="171"/>
      <c r="Q323" s="168"/>
    </row>
    <row r="324" spans="1:17" ht="14.25">
      <c r="A324" t="s">
        <v>1213</v>
      </c>
      <c r="B324" t="s">
        <v>1253</v>
      </c>
      <c r="C324" s="108" t="s">
        <v>1068</v>
      </c>
      <c r="D324" t="s">
        <v>5004</v>
      </c>
      <c r="E324" t="s">
        <v>5005</v>
      </c>
      <c r="F324" t="s">
        <v>309</v>
      </c>
      <c r="G324" t="s">
        <v>5006</v>
      </c>
      <c r="H324" s="108">
        <v>74185</v>
      </c>
      <c r="I324" t="s">
        <v>314</v>
      </c>
      <c r="J324" t="s">
        <v>1212</v>
      </c>
      <c r="K324" s="168">
        <v>43524</v>
      </c>
      <c r="L324" s="131">
        <v>53887168</v>
      </c>
      <c r="M324" s="131">
        <f t="shared" ref="M324:M325" si="130">L324/1000</f>
        <v>53887.167999999998</v>
      </c>
      <c r="N324" s="131"/>
      <c r="O324" s="171"/>
      <c r="Q324" s="168"/>
    </row>
    <row r="325" spans="1:17" ht="14.25">
      <c r="A325" t="s">
        <v>1213</v>
      </c>
      <c r="B325" t="s">
        <v>1253</v>
      </c>
      <c r="C325" s="108" t="s">
        <v>1068</v>
      </c>
      <c r="D325" t="s">
        <v>5000</v>
      </c>
      <c r="E325" t="s">
        <v>5001</v>
      </c>
      <c r="F325" t="s">
        <v>310</v>
      </c>
      <c r="G325" t="s">
        <v>5002</v>
      </c>
      <c r="H325" s="108">
        <v>74186</v>
      </c>
      <c r="I325" t="s">
        <v>314</v>
      </c>
      <c r="J325" t="s">
        <v>1212</v>
      </c>
      <c r="K325" s="168">
        <v>43542</v>
      </c>
      <c r="L325" s="131">
        <v>80000000</v>
      </c>
      <c r="M325" s="131">
        <f t="shared" si="130"/>
        <v>80000</v>
      </c>
      <c r="N325" s="131">
        <f>O325</f>
        <v>109.197</v>
      </c>
      <c r="O325" s="171">
        <v>109.197</v>
      </c>
      <c r="P325" s="170">
        <f t="shared" ref="P325:P326" si="131">O325/M325</f>
        <v>1.3649625000000001E-3</v>
      </c>
      <c r="Q325" s="168">
        <v>46462</v>
      </c>
    </row>
    <row r="326" spans="1:17" ht="14.25">
      <c r="A326" t="s">
        <v>1213</v>
      </c>
      <c r="B326" t="s">
        <v>1253</v>
      </c>
      <c r="C326" s="108" t="s">
        <v>1068</v>
      </c>
      <c r="D326" t="s">
        <v>5041</v>
      </c>
      <c r="E326" t="s">
        <v>5042</v>
      </c>
      <c r="F326" t="s">
        <v>310</v>
      </c>
      <c r="G326" t="s">
        <v>5043</v>
      </c>
      <c r="H326" s="108">
        <v>74187</v>
      </c>
      <c r="I326" t="s">
        <v>314</v>
      </c>
      <c r="J326" t="s">
        <v>1216</v>
      </c>
      <c r="K326" s="168">
        <v>43571</v>
      </c>
      <c r="L326" s="131">
        <v>5000000</v>
      </c>
      <c r="M326" s="131">
        <f t="shared" ref="M326:M331" si="132">L326/1000*3.71</f>
        <v>18550</v>
      </c>
      <c r="N326" s="131">
        <f>O326/3.71</f>
        <v>34.243000000000002</v>
      </c>
      <c r="O326" s="171">
        <v>127.04152999999999</v>
      </c>
      <c r="P326" s="170">
        <f t="shared" si="131"/>
        <v>6.8485999999999998E-3</v>
      </c>
      <c r="Q326" s="168">
        <v>46126</v>
      </c>
    </row>
    <row r="327" spans="1:17" ht="14.25">
      <c r="A327" t="s">
        <v>1213</v>
      </c>
      <c r="B327" t="s">
        <v>1253</v>
      </c>
      <c r="C327" s="108" t="s">
        <v>1068</v>
      </c>
      <c r="E327" t="s">
        <v>5044</v>
      </c>
      <c r="F327" t="s">
        <v>311</v>
      </c>
      <c r="G327" t="s">
        <v>5045</v>
      </c>
      <c r="H327" s="108">
        <v>74188</v>
      </c>
      <c r="I327" t="s">
        <v>314</v>
      </c>
      <c r="J327" t="s">
        <v>1216</v>
      </c>
      <c r="K327" s="168">
        <v>43578</v>
      </c>
      <c r="L327" s="131">
        <v>6000000</v>
      </c>
      <c r="M327" s="131">
        <f t="shared" si="132"/>
        <v>22260</v>
      </c>
      <c r="N327" s="131"/>
      <c r="O327" s="171"/>
      <c r="Q327" s="168"/>
    </row>
    <row r="328" spans="1:17" ht="14.25">
      <c r="A328" t="s">
        <v>1213</v>
      </c>
      <c r="B328" t="s">
        <v>1253</v>
      </c>
      <c r="C328" s="108" t="s">
        <v>1068</v>
      </c>
      <c r="D328" t="s">
        <v>5023</v>
      </c>
      <c r="E328" t="s">
        <v>5024</v>
      </c>
      <c r="F328" t="s">
        <v>309</v>
      </c>
      <c r="G328" t="s">
        <v>5025</v>
      </c>
      <c r="H328" s="108">
        <v>74189</v>
      </c>
      <c r="I328" t="s">
        <v>314</v>
      </c>
      <c r="J328" t="s">
        <v>1216</v>
      </c>
      <c r="K328" s="168">
        <v>43586</v>
      </c>
      <c r="L328" s="131">
        <v>6415000</v>
      </c>
      <c r="M328" s="131">
        <f t="shared" si="132"/>
        <v>23799.65</v>
      </c>
      <c r="N328" s="131"/>
      <c r="O328" s="171"/>
      <c r="Q328" s="168"/>
    </row>
    <row r="329" spans="1:17" ht="14.25">
      <c r="A329" t="s">
        <v>1213</v>
      </c>
      <c r="B329" t="s">
        <v>1253</v>
      </c>
      <c r="C329" s="108" t="s">
        <v>1068</v>
      </c>
      <c r="D329" t="s">
        <v>5007</v>
      </c>
      <c r="E329" t="s">
        <v>2129</v>
      </c>
      <c r="F329" t="s">
        <v>309</v>
      </c>
      <c r="G329" t="s">
        <v>5008</v>
      </c>
      <c r="H329" s="108">
        <v>74190</v>
      </c>
      <c r="I329" t="s">
        <v>314</v>
      </c>
      <c r="J329" t="s">
        <v>1216</v>
      </c>
      <c r="K329" s="168">
        <v>43691</v>
      </c>
      <c r="L329" s="131">
        <v>10700001</v>
      </c>
      <c r="M329" s="131">
        <f t="shared" si="132"/>
        <v>39697.003709999997</v>
      </c>
      <c r="N329" s="131">
        <f>O329/3.71</f>
        <v>26.803999999999991</v>
      </c>
      <c r="O329" s="171">
        <v>99.442839999999961</v>
      </c>
      <c r="P329" s="170">
        <f>O329/M329</f>
        <v>2.5050464948554669E-3</v>
      </c>
      <c r="Q329" s="168">
        <v>46248</v>
      </c>
    </row>
    <row r="330" spans="1:17" ht="14.25">
      <c r="A330" t="s">
        <v>1213</v>
      </c>
      <c r="B330" t="s">
        <v>1253</v>
      </c>
      <c r="C330" s="108" t="s">
        <v>1068</v>
      </c>
      <c r="D330" t="s">
        <v>5144</v>
      </c>
      <c r="E330" t="s">
        <v>5145</v>
      </c>
      <c r="F330" t="s">
        <v>309</v>
      </c>
      <c r="G330" t="s">
        <v>5146</v>
      </c>
      <c r="H330" s="108">
        <v>74192</v>
      </c>
      <c r="I330" t="s">
        <v>314</v>
      </c>
      <c r="J330" t="s">
        <v>1216</v>
      </c>
      <c r="K330" s="168">
        <v>43761</v>
      </c>
      <c r="L330" s="131">
        <v>5000000</v>
      </c>
      <c r="M330" s="131">
        <f t="shared" si="132"/>
        <v>18550</v>
      </c>
      <c r="N330" s="131"/>
      <c r="O330" s="171"/>
      <c r="Q330" s="168"/>
    </row>
    <row r="331" spans="1:17" ht="14.25">
      <c r="A331" t="s">
        <v>1213</v>
      </c>
      <c r="B331" t="s">
        <v>1253</v>
      </c>
      <c r="C331" s="108" t="s">
        <v>1068</v>
      </c>
      <c r="E331" t="s">
        <v>5140</v>
      </c>
      <c r="F331" t="s">
        <v>311</v>
      </c>
      <c r="G331" t="s">
        <v>5141</v>
      </c>
      <c r="H331" s="108">
        <v>74193</v>
      </c>
      <c r="I331" t="s">
        <v>314</v>
      </c>
      <c r="J331" t="s">
        <v>1216</v>
      </c>
      <c r="K331" s="168">
        <v>43790</v>
      </c>
      <c r="L331" s="131">
        <v>5000000</v>
      </c>
      <c r="M331" s="131">
        <f t="shared" si="132"/>
        <v>18550</v>
      </c>
      <c r="N331" s="131">
        <f>O331/3.71</f>
        <v>32.969000000000008</v>
      </c>
      <c r="O331" s="171">
        <v>122.31499000000002</v>
      </c>
      <c r="P331" s="170">
        <f>O331/M331</f>
        <v>6.5938000000000012E-3</v>
      </c>
      <c r="Q331" s="168">
        <v>46347</v>
      </c>
    </row>
    <row r="332" spans="1:17" ht="14.25">
      <c r="A332" t="s">
        <v>1213</v>
      </c>
      <c r="B332" t="s">
        <v>1253</v>
      </c>
      <c r="C332" s="108" t="s">
        <v>1068</v>
      </c>
      <c r="D332" t="s">
        <v>5051</v>
      </c>
      <c r="E332" t="s">
        <v>5052</v>
      </c>
      <c r="F332" t="s">
        <v>309</v>
      </c>
      <c r="G332" t="s">
        <v>5053</v>
      </c>
      <c r="H332" s="108">
        <v>74196</v>
      </c>
      <c r="I332" t="s">
        <v>314</v>
      </c>
      <c r="J332" t="s">
        <v>1212</v>
      </c>
      <c r="K332" s="168">
        <v>43831</v>
      </c>
      <c r="L332" s="131">
        <v>46366453</v>
      </c>
      <c r="M332" s="131">
        <f>L332/1000</f>
        <v>46366.453000000001</v>
      </c>
      <c r="N332" s="131"/>
      <c r="O332" s="171"/>
      <c r="Q332" s="168"/>
    </row>
    <row r="333" spans="1:17" ht="14.25">
      <c r="A333" t="s">
        <v>1213</v>
      </c>
      <c r="B333" t="s">
        <v>1253</v>
      </c>
      <c r="C333" s="108" t="s">
        <v>1068</v>
      </c>
      <c r="E333" t="s">
        <v>5034</v>
      </c>
      <c r="F333" t="s">
        <v>311</v>
      </c>
      <c r="G333" t="s">
        <v>5035</v>
      </c>
      <c r="H333" s="108">
        <v>74197</v>
      </c>
      <c r="I333" t="s">
        <v>314</v>
      </c>
      <c r="J333" t="s">
        <v>1216</v>
      </c>
      <c r="K333" s="168">
        <v>43857</v>
      </c>
      <c r="L333" s="131">
        <v>5000000</v>
      </c>
      <c r="M333" s="131">
        <f t="shared" ref="M333:M335" si="133">L333/1000*3.71</f>
        <v>18550</v>
      </c>
      <c r="N333" s="131"/>
      <c r="O333" s="171"/>
      <c r="Q333" s="168"/>
    </row>
    <row r="334" spans="1:17" ht="14.25">
      <c r="A334" t="s">
        <v>1213</v>
      </c>
      <c r="B334" t="s">
        <v>1253</v>
      </c>
      <c r="C334" s="108" t="s">
        <v>1068</v>
      </c>
      <c r="D334" t="s">
        <v>5124</v>
      </c>
      <c r="E334" t="s">
        <v>5125</v>
      </c>
      <c r="F334" t="s">
        <v>311</v>
      </c>
      <c r="G334" t="s">
        <v>5126</v>
      </c>
      <c r="H334" s="108">
        <v>74199</v>
      </c>
      <c r="I334" t="s">
        <v>314</v>
      </c>
      <c r="J334" t="s">
        <v>1216</v>
      </c>
      <c r="K334" s="168">
        <v>43881</v>
      </c>
      <c r="L334" s="131">
        <v>7500000</v>
      </c>
      <c r="M334" s="131">
        <f t="shared" si="133"/>
        <v>27825</v>
      </c>
      <c r="N334" s="131"/>
      <c r="O334" s="171"/>
      <c r="Q334" s="168"/>
    </row>
    <row r="335" spans="1:17" ht="14.25">
      <c r="A335" t="s">
        <v>1213</v>
      </c>
      <c r="B335" t="s">
        <v>1253</v>
      </c>
      <c r="C335" s="108" t="s">
        <v>1068</v>
      </c>
      <c r="E335" t="s">
        <v>5027</v>
      </c>
      <c r="F335" t="s">
        <v>311</v>
      </c>
      <c r="G335" t="s">
        <v>5114</v>
      </c>
      <c r="H335" s="108">
        <v>74200</v>
      </c>
      <c r="I335" t="s">
        <v>314</v>
      </c>
      <c r="J335" t="s">
        <v>1216</v>
      </c>
      <c r="K335" s="168">
        <v>43891</v>
      </c>
      <c r="L335" s="131">
        <v>11000000</v>
      </c>
      <c r="M335" s="131">
        <f t="shared" si="133"/>
        <v>40810</v>
      </c>
      <c r="N335" s="131"/>
      <c r="O335" s="171"/>
      <c r="Q335" s="168"/>
    </row>
    <row r="336" spans="1:17" ht="14.25">
      <c r="A336" t="s">
        <v>1213</v>
      </c>
      <c r="B336" t="s">
        <v>1253</v>
      </c>
      <c r="C336" s="108" t="s">
        <v>1068</v>
      </c>
      <c r="D336" t="s">
        <v>5004</v>
      </c>
      <c r="E336" t="s">
        <v>5009</v>
      </c>
      <c r="F336" t="s">
        <v>309</v>
      </c>
      <c r="G336" t="s">
        <v>5010</v>
      </c>
      <c r="H336" s="108">
        <v>74202</v>
      </c>
      <c r="I336" t="s">
        <v>314</v>
      </c>
      <c r="J336" t="s">
        <v>1212</v>
      </c>
      <c r="K336" s="168">
        <v>43913</v>
      </c>
      <c r="L336" s="131">
        <v>22160611</v>
      </c>
      <c r="M336" s="131">
        <f>L336/1000</f>
        <v>22160.611000000001</v>
      </c>
      <c r="N336" s="131"/>
      <c r="O336" s="171"/>
      <c r="Q336" s="168"/>
    </row>
    <row r="337" spans="1:17" ht="14.25">
      <c r="A337" t="s">
        <v>1213</v>
      </c>
      <c r="B337" t="s">
        <v>1253</v>
      </c>
      <c r="C337" s="108" t="s">
        <v>1068</v>
      </c>
      <c r="E337" t="s">
        <v>4982</v>
      </c>
      <c r="F337" t="s">
        <v>311</v>
      </c>
      <c r="G337" t="s">
        <v>4983</v>
      </c>
      <c r="H337" s="108">
        <v>74203</v>
      </c>
      <c r="I337" t="s">
        <v>314</v>
      </c>
      <c r="J337" t="s">
        <v>1216</v>
      </c>
      <c r="K337" s="168">
        <v>43770</v>
      </c>
      <c r="L337" s="131">
        <v>11500000</v>
      </c>
      <c r="M337" s="131">
        <f>L337/1000*3.71</f>
        <v>42665</v>
      </c>
      <c r="N337" s="131"/>
      <c r="O337" s="171"/>
      <c r="Q337" s="168"/>
    </row>
    <row r="338" spans="1:17" ht="14.25">
      <c r="A338" t="s">
        <v>1213</v>
      </c>
      <c r="B338" t="s">
        <v>1253</v>
      </c>
      <c r="C338" s="108" t="s">
        <v>1068</v>
      </c>
      <c r="D338" t="s">
        <v>5000</v>
      </c>
      <c r="E338" t="s">
        <v>5001</v>
      </c>
      <c r="F338" t="s">
        <v>310</v>
      </c>
      <c r="G338" t="s">
        <v>5059</v>
      </c>
      <c r="H338" s="108">
        <v>74204</v>
      </c>
      <c r="I338" t="s">
        <v>314</v>
      </c>
      <c r="J338" t="s">
        <v>1212</v>
      </c>
      <c r="K338" s="168">
        <v>44084</v>
      </c>
      <c r="L338" s="131">
        <v>24960000</v>
      </c>
      <c r="M338" s="131">
        <f>L338/1000</f>
        <v>24960</v>
      </c>
      <c r="N338" s="131">
        <f>O338</f>
        <v>45.646000000000001</v>
      </c>
      <c r="O338" s="171">
        <v>45.646000000000001</v>
      </c>
      <c r="P338" s="170">
        <f>O338/M338</f>
        <v>1.8287660256410257E-3</v>
      </c>
      <c r="Q338" s="168">
        <v>46462</v>
      </c>
    </row>
    <row r="339" spans="1:17" ht="14.25">
      <c r="A339" t="s">
        <v>1213</v>
      </c>
      <c r="B339" t="s">
        <v>1253</v>
      </c>
      <c r="C339" s="108" t="s">
        <v>1068</v>
      </c>
      <c r="D339" t="s">
        <v>5117</v>
      </c>
      <c r="E339" t="s">
        <v>5118</v>
      </c>
      <c r="F339" t="s">
        <v>310</v>
      </c>
      <c r="G339" t="s">
        <v>5119</v>
      </c>
      <c r="H339" s="108">
        <v>74205</v>
      </c>
      <c r="I339" t="s">
        <v>314</v>
      </c>
      <c r="J339" t="s">
        <v>1218</v>
      </c>
      <c r="K339" s="168">
        <v>44159</v>
      </c>
      <c r="L339" s="131">
        <v>4060000</v>
      </c>
      <c r="M339" s="131">
        <f>L339/1000*4.1524</f>
        <v>16858.743999999999</v>
      </c>
      <c r="N339" s="131"/>
      <c r="O339" s="171"/>
      <c r="Q339" s="168"/>
    </row>
    <row r="340" spans="1:17" ht="14.25">
      <c r="A340" t="s">
        <v>1213</v>
      </c>
      <c r="B340" t="s">
        <v>1253</v>
      </c>
      <c r="C340" s="108" t="s">
        <v>1068</v>
      </c>
      <c r="E340" t="s">
        <v>5121</v>
      </c>
      <c r="F340" t="s">
        <v>311</v>
      </c>
      <c r="G340" t="s">
        <v>5122</v>
      </c>
      <c r="H340" s="108">
        <v>74207</v>
      </c>
      <c r="I340" t="s">
        <v>314</v>
      </c>
      <c r="J340" t="s">
        <v>1216</v>
      </c>
      <c r="K340" s="168">
        <v>44166</v>
      </c>
      <c r="L340" s="131">
        <v>10000000</v>
      </c>
      <c r="M340" s="131">
        <f t="shared" ref="M340:M343" si="134">L340/1000*3.71</f>
        <v>37100</v>
      </c>
      <c r="N340" s="131">
        <f>O340/3.71</f>
        <v>56.539190000000019</v>
      </c>
      <c r="O340" s="171">
        <v>209.76039490000008</v>
      </c>
      <c r="P340" s="170">
        <f>O340/M340</f>
        <v>5.653919000000002E-3</v>
      </c>
      <c r="Q340" s="168">
        <v>45748</v>
      </c>
    </row>
    <row r="341" spans="1:17" ht="14.25">
      <c r="A341" t="s">
        <v>1213</v>
      </c>
      <c r="B341" t="s">
        <v>1253</v>
      </c>
      <c r="C341" s="108" t="s">
        <v>1068</v>
      </c>
      <c r="D341" t="s">
        <v>5038</v>
      </c>
      <c r="E341" t="s">
        <v>5039</v>
      </c>
      <c r="F341" t="s">
        <v>311</v>
      </c>
      <c r="G341" t="s">
        <v>5040</v>
      </c>
      <c r="H341" s="108">
        <v>74208</v>
      </c>
      <c r="I341" t="s">
        <v>314</v>
      </c>
      <c r="J341" t="s">
        <v>1216</v>
      </c>
      <c r="K341" s="168">
        <v>44186</v>
      </c>
      <c r="L341" s="131">
        <v>4600000</v>
      </c>
      <c r="M341" s="131">
        <f t="shared" si="134"/>
        <v>17066</v>
      </c>
      <c r="N341" s="131"/>
      <c r="O341" s="171"/>
      <c r="Q341" s="168"/>
    </row>
    <row r="342" spans="1:17" ht="14.25">
      <c r="A342" t="s">
        <v>1213</v>
      </c>
      <c r="B342" t="s">
        <v>1253</v>
      </c>
      <c r="C342" s="108" t="s">
        <v>1068</v>
      </c>
      <c r="E342" t="s">
        <v>5027</v>
      </c>
      <c r="F342" t="s">
        <v>311</v>
      </c>
      <c r="G342" t="s">
        <v>5134</v>
      </c>
      <c r="H342" s="108">
        <v>74215</v>
      </c>
      <c r="I342" t="s">
        <v>314</v>
      </c>
      <c r="J342" t="s">
        <v>1216</v>
      </c>
      <c r="K342" s="168">
        <v>44308</v>
      </c>
      <c r="L342" s="131">
        <v>7000000</v>
      </c>
      <c r="M342" s="131">
        <f t="shared" si="134"/>
        <v>25970</v>
      </c>
      <c r="N342" s="131"/>
      <c r="O342" s="171"/>
      <c r="Q342" s="168"/>
    </row>
    <row r="343" spans="1:17" ht="14.25">
      <c r="A343" t="s">
        <v>1213</v>
      </c>
      <c r="B343" t="s">
        <v>1253</v>
      </c>
      <c r="C343" s="108" t="s">
        <v>1068</v>
      </c>
      <c r="E343" t="s">
        <v>5036</v>
      </c>
      <c r="F343" t="s">
        <v>311</v>
      </c>
      <c r="G343" t="s">
        <v>5136</v>
      </c>
      <c r="H343" s="108">
        <v>74216</v>
      </c>
      <c r="I343" t="s">
        <v>314</v>
      </c>
      <c r="J343" t="s">
        <v>1216</v>
      </c>
      <c r="K343" s="168">
        <v>44371</v>
      </c>
      <c r="L343" s="131">
        <v>8000000</v>
      </c>
      <c r="M343" s="131">
        <f t="shared" si="134"/>
        <v>29680</v>
      </c>
      <c r="N343" s="131">
        <f>O343/3.71</f>
        <v>48.902000000000001</v>
      </c>
      <c r="O343" s="171">
        <v>181.42642000000001</v>
      </c>
      <c r="P343" s="170">
        <f t="shared" ref="P343:P347" si="135">O343/M343</f>
        <v>6.1127500000000001E-3</v>
      </c>
      <c r="Q343" s="168">
        <v>46197</v>
      </c>
    </row>
    <row r="344" spans="1:17" ht="14.25">
      <c r="A344" t="s">
        <v>1213</v>
      </c>
      <c r="B344" t="s">
        <v>1253</v>
      </c>
      <c r="C344" s="108" t="s">
        <v>1068</v>
      </c>
      <c r="D344" t="s">
        <v>5064</v>
      </c>
      <c r="E344" t="s">
        <v>5065</v>
      </c>
      <c r="F344" t="s">
        <v>309</v>
      </c>
      <c r="G344" t="s">
        <v>5066</v>
      </c>
      <c r="H344" s="108">
        <v>74217</v>
      </c>
      <c r="I344" t="s">
        <v>314</v>
      </c>
      <c r="J344" t="s">
        <v>1212</v>
      </c>
      <c r="K344" s="168">
        <v>44370</v>
      </c>
      <c r="L344" s="131">
        <v>80000000</v>
      </c>
      <c r="M344" s="131">
        <f>L344/1000</f>
        <v>80000</v>
      </c>
      <c r="N344" s="131">
        <f>O344</f>
        <v>220.47300000000001</v>
      </c>
      <c r="O344" s="171">
        <v>220.47300000000001</v>
      </c>
      <c r="P344" s="170">
        <f t="shared" si="135"/>
        <v>2.7559125000000003E-3</v>
      </c>
      <c r="Q344" s="168">
        <v>46196</v>
      </c>
    </row>
    <row r="345" spans="1:17" ht="14.25">
      <c r="A345" t="s">
        <v>1213</v>
      </c>
      <c r="B345" t="s">
        <v>1253</v>
      </c>
      <c r="C345" s="108" t="s">
        <v>1068</v>
      </c>
      <c r="D345" t="s">
        <v>5088</v>
      </c>
      <c r="E345" t="s">
        <v>5089</v>
      </c>
      <c r="F345" t="s">
        <v>309</v>
      </c>
      <c r="G345" t="s">
        <v>5090</v>
      </c>
      <c r="H345" s="108">
        <v>74221</v>
      </c>
      <c r="I345" t="s">
        <v>314</v>
      </c>
      <c r="J345" t="s">
        <v>1216</v>
      </c>
      <c r="K345" s="168">
        <v>44409</v>
      </c>
      <c r="L345" s="131">
        <v>8000000</v>
      </c>
      <c r="M345" s="131">
        <f t="shared" ref="M345:M346" si="136">L345/1000*3.71</f>
        <v>29680</v>
      </c>
      <c r="N345" s="131">
        <f t="shared" ref="N345:N346" si="137">O345/3.71</f>
        <v>40.920000000000009</v>
      </c>
      <c r="O345" s="171">
        <v>151.81320000000002</v>
      </c>
      <c r="P345" s="170">
        <f t="shared" si="135"/>
        <v>5.1150000000000006E-3</v>
      </c>
      <c r="Q345" s="168">
        <v>47150</v>
      </c>
    </row>
    <row r="346" spans="1:17" ht="14.25">
      <c r="A346" t="s">
        <v>1213</v>
      </c>
      <c r="B346" t="s">
        <v>1253</v>
      </c>
      <c r="C346" s="108" t="s">
        <v>1068</v>
      </c>
      <c r="D346" t="s">
        <v>5076</v>
      </c>
      <c r="E346" t="s">
        <v>5077</v>
      </c>
      <c r="F346" t="s">
        <v>309</v>
      </c>
      <c r="G346" t="s">
        <v>5078</v>
      </c>
      <c r="H346" s="108">
        <v>74228</v>
      </c>
      <c r="I346" t="s">
        <v>314</v>
      </c>
      <c r="J346" t="s">
        <v>1216</v>
      </c>
      <c r="K346" s="168">
        <v>44560</v>
      </c>
      <c r="L346" s="131">
        <v>10000000</v>
      </c>
      <c r="M346" s="131">
        <f t="shared" si="136"/>
        <v>37100</v>
      </c>
      <c r="N346" s="131">
        <f t="shared" si="137"/>
        <v>25.237999999999992</v>
      </c>
      <c r="O346" s="171">
        <v>93.632979999999975</v>
      </c>
      <c r="P346" s="170">
        <f t="shared" si="135"/>
        <v>2.5237999999999992E-3</v>
      </c>
      <c r="Q346" s="168">
        <v>46751</v>
      </c>
    </row>
    <row r="347" spans="1:17" ht="14.25">
      <c r="A347" t="s">
        <v>1213</v>
      </c>
      <c r="B347" t="s">
        <v>1253</v>
      </c>
      <c r="C347" s="108" t="s">
        <v>1068</v>
      </c>
      <c r="D347" t="s">
        <v>5061</v>
      </c>
      <c r="E347" t="s">
        <v>5062</v>
      </c>
      <c r="F347" t="s">
        <v>309</v>
      </c>
      <c r="G347" t="s">
        <v>5063</v>
      </c>
      <c r="H347" s="108">
        <v>74231</v>
      </c>
      <c r="I347" t="s">
        <v>314</v>
      </c>
      <c r="J347" t="s">
        <v>1212</v>
      </c>
      <c r="K347" s="168">
        <v>44591</v>
      </c>
      <c r="L347" s="131">
        <v>50000000</v>
      </c>
      <c r="M347" s="131">
        <f t="shared" ref="M347:M348" si="138">L347/1000</f>
        <v>50000</v>
      </c>
      <c r="N347" s="131">
        <f>O347</f>
        <v>265.68933000000004</v>
      </c>
      <c r="O347" s="171">
        <v>265.68933000000004</v>
      </c>
      <c r="P347" s="170">
        <f t="shared" si="135"/>
        <v>5.3137866000000011E-3</v>
      </c>
      <c r="Q347" s="168">
        <v>46204</v>
      </c>
    </row>
    <row r="348" spans="1:17" ht="14.25">
      <c r="A348" t="s">
        <v>1213</v>
      </c>
      <c r="B348" t="s">
        <v>1253</v>
      </c>
      <c r="C348" s="108" t="s">
        <v>1068</v>
      </c>
      <c r="D348" t="s">
        <v>5079</v>
      </c>
      <c r="E348" t="s">
        <v>5080</v>
      </c>
      <c r="F348" t="s">
        <v>309</v>
      </c>
      <c r="G348" t="s">
        <v>5081</v>
      </c>
      <c r="H348" s="108">
        <v>74233</v>
      </c>
      <c r="I348" t="s">
        <v>314</v>
      </c>
      <c r="J348" t="s">
        <v>1212</v>
      </c>
      <c r="K348" s="168">
        <v>44622</v>
      </c>
      <c r="L348" s="131">
        <v>45000000</v>
      </c>
      <c r="M348" s="131">
        <f t="shared" si="138"/>
        <v>45000</v>
      </c>
      <c r="N348" s="131"/>
      <c r="O348" s="171"/>
      <c r="Q348" s="168"/>
    </row>
    <row r="349" spans="1:17" ht="14.25">
      <c r="A349" t="s">
        <v>1213</v>
      </c>
      <c r="B349" t="s">
        <v>1253</v>
      </c>
      <c r="C349" s="108" t="s">
        <v>1068</v>
      </c>
      <c r="E349" t="s">
        <v>5027</v>
      </c>
      <c r="F349" t="s">
        <v>311</v>
      </c>
      <c r="G349" t="s">
        <v>5137</v>
      </c>
      <c r="H349" s="108">
        <v>74235</v>
      </c>
      <c r="I349" t="s">
        <v>314</v>
      </c>
      <c r="J349" t="s">
        <v>1216</v>
      </c>
      <c r="K349" s="168">
        <v>44712</v>
      </c>
      <c r="L349" s="131">
        <v>5000000</v>
      </c>
      <c r="M349" s="131">
        <f>L349/1000*3.71</f>
        <v>18550</v>
      </c>
      <c r="N349" s="131"/>
      <c r="O349" s="171"/>
      <c r="Q349" s="168"/>
    </row>
    <row r="350" spans="1:17" ht="14.25">
      <c r="A350" t="s">
        <v>1213</v>
      </c>
      <c r="B350" t="s">
        <v>1253</v>
      </c>
      <c r="C350" s="108" t="s">
        <v>1068</v>
      </c>
      <c r="D350" t="s">
        <v>5130</v>
      </c>
      <c r="E350" t="s">
        <v>5131</v>
      </c>
      <c r="F350" t="s">
        <v>311</v>
      </c>
      <c r="G350" t="s">
        <v>5132</v>
      </c>
      <c r="H350" s="108">
        <v>74237</v>
      </c>
      <c r="I350" t="s">
        <v>314</v>
      </c>
      <c r="J350" t="s">
        <v>1227</v>
      </c>
      <c r="K350" s="168">
        <v>44721</v>
      </c>
      <c r="L350" s="131">
        <v>7000000</v>
      </c>
      <c r="M350" s="131">
        <f>L350/1000*4.9748</f>
        <v>34823.599999999999</v>
      </c>
      <c r="N350" s="131">
        <f>O350/4.9748</f>
        <v>0.14500000000000393</v>
      </c>
      <c r="O350" s="171">
        <v>0.72134600000001958</v>
      </c>
      <c r="P350" s="170">
        <f t="shared" ref="P350:P354" si="139">O350/M350</f>
        <v>2.0714285714286277E-5</v>
      </c>
      <c r="Q350" s="168">
        <v>47635</v>
      </c>
    </row>
    <row r="351" spans="1:17" ht="14.25">
      <c r="A351" t="s">
        <v>1213</v>
      </c>
      <c r="B351" t="s">
        <v>1253</v>
      </c>
      <c r="C351" s="108" t="s">
        <v>1068</v>
      </c>
      <c r="D351" t="s">
        <v>5070</v>
      </c>
      <c r="E351" t="s">
        <v>5071</v>
      </c>
      <c r="F351" t="s">
        <v>310</v>
      </c>
      <c r="G351" t="s">
        <v>5072</v>
      </c>
      <c r="H351" s="108">
        <v>74238</v>
      </c>
      <c r="I351" t="s">
        <v>314</v>
      </c>
      <c r="J351" t="s">
        <v>1212</v>
      </c>
      <c r="K351" s="168">
        <v>44721</v>
      </c>
      <c r="L351" s="131">
        <v>40000000</v>
      </c>
      <c r="M351" s="131">
        <f t="shared" ref="M351:M352" si="140">L351/1000</f>
        <v>40000</v>
      </c>
      <c r="N351" s="131">
        <f t="shared" ref="N351:N352" si="141">O351</f>
        <v>68.39</v>
      </c>
      <c r="O351" s="171">
        <v>68.39</v>
      </c>
      <c r="P351" s="170">
        <f t="shared" si="139"/>
        <v>1.7097500000000001E-3</v>
      </c>
      <c r="Q351" s="168">
        <v>46182</v>
      </c>
    </row>
    <row r="352" spans="1:17" ht="14.25">
      <c r="A352" t="s">
        <v>1213</v>
      </c>
      <c r="B352" t="s">
        <v>1253</v>
      </c>
      <c r="C352" s="108" t="s">
        <v>1068</v>
      </c>
      <c r="D352" t="s">
        <v>5085</v>
      </c>
      <c r="E352" t="s">
        <v>5086</v>
      </c>
      <c r="F352" t="s">
        <v>309</v>
      </c>
      <c r="G352" t="s">
        <v>5087</v>
      </c>
      <c r="H352" s="108">
        <v>74239</v>
      </c>
      <c r="I352" t="s">
        <v>314</v>
      </c>
      <c r="J352" t="s">
        <v>1212</v>
      </c>
      <c r="K352" s="168">
        <v>44741</v>
      </c>
      <c r="L352" s="131">
        <v>40000000</v>
      </c>
      <c r="M352" s="131">
        <f t="shared" si="140"/>
        <v>40000</v>
      </c>
      <c r="N352" s="131">
        <f t="shared" si="141"/>
        <v>129.97399999999999</v>
      </c>
      <c r="O352" s="171">
        <v>129.97399999999999</v>
      </c>
      <c r="P352" s="170">
        <f t="shared" si="139"/>
        <v>3.2493499999999998E-3</v>
      </c>
      <c r="Q352" s="168">
        <v>46202</v>
      </c>
    </row>
    <row r="353" spans="1:17" ht="14.25">
      <c r="A353" t="s">
        <v>1213</v>
      </c>
      <c r="B353" t="s">
        <v>1253</v>
      </c>
      <c r="C353" s="108" t="s">
        <v>1068</v>
      </c>
      <c r="E353" t="s">
        <v>5115</v>
      </c>
      <c r="F353" t="s">
        <v>309</v>
      </c>
      <c r="G353" t="s">
        <v>5116</v>
      </c>
      <c r="H353" s="108">
        <v>74240</v>
      </c>
      <c r="I353" t="s">
        <v>314</v>
      </c>
      <c r="J353" t="s">
        <v>1218</v>
      </c>
      <c r="K353" s="168">
        <v>44748</v>
      </c>
      <c r="L353" s="131">
        <v>10000000</v>
      </c>
      <c r="M353" s="131">
        <f>L353/1000*4.1524</f>
        <v>41524</v>
      </c>
      <c r="N353" s="131">
        <f>O353/4.1254</f>
        <v>5.2189339215591213</v>
      </c>
      <c r="O353" s="171">
        <f>21530.19/1000</f>
        <v>21.530189999999997</v>
      </c>
      <c r="P353" s="170">
        <f t="shared" si="139"/>
        <v>5.1849990367016654E-4</v>
      </c>
      <c r="Q353" s="168">
        <v>45844</v>
      </c>
    </row>
    <row r="354" spans="1:17" ht="14.25">
      <c r="A354" t="s">
        <v>1213</v>
      </c>
      <c r="B354" t="s">
        <v>1253</v>
      </c>
      <c r="C354" s="108" t="s">
        <v>1068</v>
      </c>
      <c r="D354" t="s">
        <v>5082</v>
      </c>
      <c r="E354" t="s">
        <v>5083</v>
      </c>
      <c r="F354" t="s">
        <v>309</v>
      </c>
      <c r="G354" t="s">
        <v>5084</v>
      </c>
      <c r="H354" s="108">
        <v>74241</v>
      </c>
      <c r="I354" t="s">
        <v>314</v>
      </c>
      <c r="J354" t="s">
        <v>1212</v>
      </c>
      <c r="K354" s="168">
        <v>44752</v>
      </c>
      <c r="L354" s="131">
        <v>50000000</v>
      </c>
      <c r="M354" s="131">
        <f>L354/1000</f>
        <v>50000</v>
      </c>
      <c r="N354" s="131">
        <f>O354</f>
        <v>117.063</v>
      </c>
      <c r="O354" s="171">
        <v>117.063</v>
      </c>
      <c r="P354" s="170">
        <f t="shared" si="139"/>
        <v>2.34126E-3</v>
      </c>
      <c r="Q354" s="168">
        <v>46213</v>
      </c>
    </row>
    <row r="355" spans="1:17" ht="14.25">
      <c r="A355" t="s">
        <v>1213</v>
      </c>
      <c r="B355" t="s">
        <v>1253</v>
      </c>
      <c r="C355" s="108" t="s">
        <v>1068</v>
      </c>
      <c r="E355" t="s">
        <v>3826</v>
      </c>
      <c r="F355" t="s">
        <v>311</v>
      </c>
      <c r="G355" t="s">
        <v>3825</v>
      </c>
      <c r="H355" s="108">
        <v>74242</v>
      </c>
      <c r="I355" t="s">
        <v>314</v>
      </c>
      <c r="J355" t="s">
        <v>1218</v>
      </c>
      <c r="K355" s="168">
        <v>44812</v>
      </c>
      <c r="L355" s="131">
        <v>5410840</v>
      </c>
      <c r="M355" s="131">
        <f>L355/1000*4.1524</f>
        <v>22467.972016</v>
      </c>
      <c r="N355" s="131"/>
      <c r="O355" s="171"/>
      <c r="Q355" s="168"/>
    </row>
    <row r="356" spans="1:17" ht="14.25">
      <c r="A356" t="s">
        <v>1213</v>
      </c>
      <c r="B356" t="s">
        <v>1253</v>
      </c>
      <c r="C356" s="108" t="s">
        <v>1068</v>
      </c>
      <c r="D356" t="s">
        <v>5105</v>
      </c>
      <c r="E356" t="s">
        <v>5106</v>
      </c>
      <c r="F356" t="s">
        <v>311</v>
      </c>
      <c r="G356" t="s">
        <v>5107</v>
      </c>
      <c r="H356" s="108">
        <v>74243</v>
      </c>
      <c r="I356" t="s">
        <v>314</v>
      </c>
      <c r="J356" t="s">
        <v>1216</v>
      </c>
      <c r="K356" s="168">
        <v>44823</v>
      </c>
      <c r="L356" s="131">
        <v>6000000</v>
      </c>
      <c r="M356" s="131">
        <f t="shared" ref="M356:M357" si="142">L356/1000*3.71</f>
        <v>22260</v>
      </c>
      <c r="N356" s="131">
        <f t="shared" ref="N356:N357" si="143">O356/3.71</f>
        <v>21.563000000000009</v>
      </c>
      <c r="O356" s="171">
        <v>79.998730000000037</v>
      </c>
      <c r="P356" s="170">
        <f t="shared" ref="P356:P358" si="144">O356/M356</f>
        <v>3.5938333333333352E-3</v>
      </c>
      <c r="Q356" s="168">
        <v>46284</v>
      </c>
    </row>
    <row r="357" spans="1:17" ht="14.25">
      <c r="A357" t="s">
        <v>1213</v>
      </c>
      <c r="B357" t="s">
        <v>1253</v>
      </c>
      <c r="C357" s="108" t="s">
        <v>1068</v>
      </c>
      <c r="D357" t="s">
        <v>5150</v>
      </c>
      <c r="E357" t="s">
        <v>5151</v>
      </c>
      <c r="F357" t="s">
        <v>311</v>
      </c>
      <c r="G357" t="s">
        <v>5152</v>
      </c>
      <c r="H357" s="108">
        <v>74244</v>
      </c>
      <c r="I357" t="s">
        <v>314</v>
      </c>
      <c r="J357" t="s">
        <v>1216</v>
      </c>
      <c r="K357" s="168">
        <v>44881</v>
      </c>
      <c r="L357" s="131">
        <v>12465101</v>
      </c>
      <c r="M357" s="131">
        <f t="shared" si="142"/>
        <v>46245.524710000005</v>
      </c>
      <c r="N357" s="131">
        <f t="shared" si="143"/>
        <v>10.675000000000001</v>
      </c>
      <c r="O357" s="171">
        <v>39.60425</v>
      </c>
      <c r="P357" s="170">
        <f t="shared" si="144"/>
        <v>8.5639097509117648E-4</v>
      </c>
      <c r="Q357" s="168">
        <v>46707</v>
      </c>
    </row>
    <row r="358" spans="1:17" ht="14.25">
      <c r="A358" t="s">
        <v>1213</v>
      </c>
      <c r="B358" t="s">
        <v>1253</v>
      </c>
      <c r="C358" s="108" t="s">
        <v>1068</v>
      </c>
      <c r="E358" t="s">
        <v>5138</v>
      </c>
      <c r="F358" t="s">
        <v>311</v>
      </c>
      <c r="G358" t="s">
        <v>5139</v>
      </c>
      <c r="H358" s="108">
        <v>74247</v>
      </c>
      <c r="I358" t="s">
        <v>314</v>
      </c>
      <c r="J358" t="s">
        <v>1227</v>
      </c>
      <c r="K358" s="168">
        <v>44938</v>
      </c>
      <c r="L358" s="131">
        <v>7500000</v>
      </c>
      <c r="M358" s="131">
        <f>L358/1000*4.9748</f>
        <v>37311</v>
      </c>
      <c r="N358" s="131">
        <f>O358/4.9748</f>
        <v>82.366</v>
      </c>
      <c r="O358" s="171">
        <v>409.75437679999999</v>
      </c>
      <c r="P358" s="170">
        <f t="shared" si="144"/>
        <v>1.0982133333333333E-2</v>
      </c>
      <c r="Q358" s="168">
        <v>46022</v>
      </c>
    </row>
    <row r="359" spans="1:17" ht="14.25">
      <c r="A359" t="s">
        <v>1213</v>
      </c>
      <c r="B359" t="s">
        <v>1253</v>
      </c>
      <c r="C359" s="108" t="s">
        <v>1068</v>
      </c>
      <c r="E359" t="s">
        <v>5067</v>
      </c>
      <c r="F359" t="s">
        <v>309</v>
      </c>
      <c r="G359" t="s">
        <v>5068</v>
      </c>
      <c r="H359" s="108">
        <v>74249</v>
      </c>
      <c r="I359" t="s">
        <v>314</v>
      </c>
      <c r="J359" t="s">
        <v>1212</v>
      </c>
      <c r="K359" s="168">
        <v>45006</v>
      </c>
      <c r="L359" s="131">
        <v>70000000</v>
      </c>
      <c r="M359" s="131">
        <f t="shared" ref="M359:M360" si="145">L359/1000</f>
        <v>70000</v>
      </c>
      <c r="N359" s="131"/>
      <c r="O359" s="171"/>
      <c r="Q359" s="168"/>
    </row>
    <row r="360" spans="1:17" ht="14.25">
      <c r="A360" t="s">
        <v>1213</v>
      </c>
      <c r="B360" t="s">
        <v>1253</v>
      </c>
      <c r="C360" s="108" t="s">
        <v>1068</v>
      </c>
      <c r="D360" t="s">
        <v>4939</v>
      </c>
      <c r="E360" t="s">
        <v>4940</v>
      </c>
      <c r="F360" t="s">
        <v>309</v>
      </c>
      <c r="G360" t="s">
        <v>4955</v>
      </c>
      <c r="H360" s="108">
        <v>74252</v>
      </c>
      <c r="I360" t="s">
        <v>314</v>
      </c>
      <c r="J360" t="s">
        <v>1212</v>
      </c>
      <c r="K360" s="168">
        <v>45036</v>
      </c>
      <c r="L360" s="131">
        <v>62150000</v>
      </c>
      <c r="M360" s="131">
        <f t="shared" si="145"/>
        <v>62150</v>
      </c>
      <c r="N360" s="131">
        <f>O360</f>
        <v>455.82400000000001</v>
      </c>
      <c r="O360" s="171">
        <v>455.82400000000001</v>
      </c>
      <c r="P360" s="170">
        <f t="shared" ref="P360:P362" si="146">O360/M360</f>
        <v>7.3342558326629122E-3</v>
      </c>
      <c r="Q360" s="168">
        <v>48689</v>
      </c>
    </row>
    <row r="361" spans="1:17" ht="14.25">
      <c r="A361" t="s">
        <v>1213</v>
      </c>
      <c r="B361" t="s">
        <v>1253</v>
      </c>
      <c r="C361" s="108" t="s">
        <v>1068</v>
      </c>
      <c r="E361" t="s">
        <v>4943</v>
      </c>
      <c r="F361" t="s">
        <v>309</v>
      </c>
      <c r="G361" t="s">
        <v>4944</v>
      </c>
      <c r="H361" s="108">
        <v>74254</v>
      </c>
      <c r="I361" t="s">
        <v>314</v>
      </c>
      <c r="J361" t="s">
        <v>1216</v>
      </c>
      <c r="K361" s="168">
        <v>45124</v>
      </c>
      <c r="L361" s="131">
        <v>7006080</v>
      </c>
      <c r="M361" s="131">
        <f>L361/1000*3.71</f>
        <v>25992.556799999998</v>
      </c>
      <c r="N361" s="131">
        <f>O361/3.71</f>
        <v>57.688000000000002</v>
      </c>
      <c r="O361" s="171">
        <v>214.02248</v>
      </c>
      <c r="P361" s="170">
        <f t="shared" si="146"/>
        <v>8.2339910477756476E-3</v>
      </c>
      <c r="Q361" s="168">
        <v>46220</v>
      </c>
    </row>
    <row r="362" spans="1:17" ht="14.25">
      <c r="A362" t="s">
        <v>1213</v>
      </c>
      <c r="B362" t="s">
        <v>1253</v>
      </c>
      <c r="C362" s="108" t="s">
        <v>1068</v>
      </c>
      <c r="D362" t="s">
        <v>4988</v>
      </c>
      <c r="E362" t="s">
        <v>4989</v>
      </c>
      <c r="F362" t="s">
        <v>309</v>
      </c>
      <c r="G362" t="s">
        <v>4990</v>
      </c>
      <c r="H362" s="108">
        <v>74255</v>
      </c>
      <c r="I362" t="s">
        <v>314</v>
      </c>
      <c r="J362" t="s">
        <v>1227</v>
      </c>
      <c r="K362" s="168">
        <v>45208</v>
      </c>
      <c r="L362" s="131">
        <v>5000000</v>
      </c>
      <c r="M362" s="131">
        <f>L362/1000*4.9748</f>
        <v>24874</v>
      </c>
      <c r="N362" s="131">
        <f>O362/4.9748</f>
        <v>39.528000000000006</v>
      </c>
      <c r="O362" s="171">
        <v>196.64389440000002</v>
      </c>
      <c r="P362" s="170">
        <f t="shared" si="146"/>
        <v>7.9056000000000005E-3</v>
      </c>
      <c r="Q362" s="168">
        <v>46235</v>
      </c>
    </row>
    <row r="363" spans="1:17" ht="14.25">
      <c r="A363" t="s">
        <v>1213</v>
      </c>
      <c r="B363" t="s">
        <v>1253</v>
      </c>
      <c r="C363" s="108" t="s">
        <v>1068</v>
      </c>
      <c r="D363" t="s">
        <v>5127</v>
      </c>
      <c r="E363" t="s">
        <v>5128</v>
      </c>
      <c r="F363" t="s">
        <v>310</v>
      </c>
      <c r="G363" t="s">
        <v>5129</v>
      </c>
      <c r="H363" s="108">
        <v>74256</v>
      </c>
      <c r="I363" t="s">
        <v>314</v>
      </c>
      <c r="J363" t="s">
        <v>1218</v>
      </c>
      <c r="K363" s="168">
        <v>45166</v>
      </c>
      <c r="L363" s="131">
        <v>8000000</v>
      </c>
      <c r="M363" s="131">
        <f>L363/1000*4.1524</f>
        <v>33219.199999999997</v>
      </c>
      <c r="N363" s="131"/>
      <c r="O363" s="171"/>
      <c r="Q363" s="168"/>
    </row>
    <row r="364" spans="1:17" ht="14.25">
      <c r="A364" t="s">
        <v>1213</v>
      </c>
      <c r="B364" t="s">
        <v>1253</v>
      </c>
      <c r="C364" s="108" t="s">
        <v>1068</v>
      </c>
      <c r="D364" t="s">
        <v>4992</v>
      </c>
      <c r="E364" t="s">
        <v>4993</v>
      </c>
      <c r="F364" t="s">
        <v>311</v>
      </c>
      <c r="G364" t="s">
        <v>4996</v>
      </c>
      <c r="H364" s="108">
        <v>74266</v>
      </c>
      <c r="I364" t="s">
        <v>314</v>
      </c>
      <c r="J364" t="s">
        <v>1216</v>
      </c>
      <c r="K364" s="168">
        <v>45400</v>
      </c>
      <c r="L364" s="131">
        <v>2500000</v>
      </c>
      <c r="M364" s="131">
        <f>L364/1000*3.71</f>
        <v>9275</v>
      </c>
      <c r="N364" s="131">
        <f>O364/3.71</f>
        <v>23.057999999999996</v>
      </c>
      <c r="O364" s="171">
        <v>85.545179999999988</v>
      </c>
      <c r="P364" s="170">
        <f t="shared" ref="P364:P367" si="147">O364/M364</f>
        <v>9.2231999999999991E-3</v>
      </c>
      <c r="Q364" s="168">
        <v>46495</v>
      </c>
    </row>
    <row r="365" spans="1:17" ht="14.25">
      <c r="A365" t="s">
        <v>1213</v>
      </c>
      <c r="B365" t="s">
        <v>1253</v>
      </c>
      <c r="C365" s="108" t="s">
        <v>1068</v>
      </c>
      <c r="D365" t="s">
        <v>5147</v>
      </c>
      <c r="E365" t="s">
        <v>5148</v>
      </c>
      <c r="F365" t="s">
        <v>311</v>
      </c>
      <c r="G365" t="s">
        <v>5149</v>
      </c>
      <c r="H365" s="108">
        <v>74270</v>
      </c>
      <c r="I365" t="s">
        <v>314</v>
      </c>
      <c r="J365" t="s">
        <v>1218</v>
      </c>
      <c r="K365" s="168">
        <v>45484</v>
      </c>
      <c r="L365" s="131">
        <v>3000000</v>
      </c>
      <c r="M365" s="131">
        <f>L365/1000*4.1524</f>
        <v>12457.2</v>
      </c>
      <c r="N365" s="131">
        <f>O365/4.1254</f>
        <v>43.679012459397867</v>
      </c>
      <c r="O365" s="171">
        <v>180.19339799999997</v>
      </c>
      <c r="P365" s="170">
        <f t="shared" si="147"/>
        <v>1.4464999999999997E-2</v>
      </c>
      <c r="Q365" s="168">
        <v>46295</v>
      </c>
    </row>
    <row r="366" spans="1:17" ht="14.25">
      <c r="A366" t="s">
        <v>1213</v>
      </c>
      <c r="B366" t="s">
        <v>1253</v>
      </c>
      <c r="C366" s="108" t="s">
        <v>1068</v>
      </c>
      <c r="D366" t="s">
        <v>4997</v>
      </c>
      <c r="E366" t="s">
        <v>4998</v>
      </c>
      <c r="F366" t="s">
        <v>311</v>
      </c>
      <c r="G366" t="s">
        <v>4997</v>
      </c>
      <c r="H366" s="108">
        <v>74271</v>
      </c>
      <c r="I366" t="s">
        <v>314</v>
      </c>
      <c r="J366" t="s">
        <v>1227</v>
      </c>
      <c r="K366" s="168">
        <v>45495</v>
      </c>
      <c r="L366" s="131">
        <v>4000000</v>
      </c>
      <c r="M366" s="131">
        <f>L366/1000*4.9748</f>
        <v>19899.2</v>
      </c>
      <c r="N366" s="131">
        <f>O366/4.9748</f>
        <v>58.4</v>
      </c>
      <c r="O366" s="171">
        <v>290.52832000000001</v>
      </c>
      <c r="P366" s="170">
        <f t="shared" si="147"/>
        <v>1.46E-2</v>
      </c>
      <c r="Q366" s="168">
        <v>46295</v>
      </c>
    </row>
    <row r="367" spans="1:17" ht="14.25">
      <c r="A367" t="s">
        <v>1213</v>
      </c>
      <c r="B367" t="s">
        <v>1253</v>
      </c>
      <c r="C367" s="108" t="s">
        <v>1068</v>
      </c>
      <c r="D367" t="s">
        <v>4992</v>
      </c>
      <c r="E367" t="s">
        <v>4993</v>
      </c>
      <c r="F367" t="s">
        <v>311</v>
      </c>
      <c r="G367" t="s">
        <v>4994</v>
      </c>
      <c r="H367" s="108">
        <v>74272</v>
      </c>
      <c r="I367" t="s">
        <v>314</v>
      </c>
      <c r="J367" t="s">
        <v>1216</v>
      </c>
      <c r="K367" s="168">
        <v>45505</v>
      </c>
      <c r="L367" s="131">
        <v>2500000</v>
      </c>
      <c r="M367" s="131">
        <f>L367/1000*3.71</f>
        <v>9275</v>
      </c>
      <c r="N367" s="131">
        <f>O367/3.71</f>
        <v>17.860999999999997</v>
      </c>
      <c r="O367" s="171">
        <v>66.264309999999995</v>
      </c>
      <c r="P367" s="170">
        <f t="shared" si="147"/>
        <v>7.1443999999999995E-3</v>
      </c>
      <c r="Q367" s="168">
        <v>46295</v>
      </c>
    </row>
    <row r="368" spans="1:17" ht="14.25">
      <c r="A368" t="s">
        <v>1213</v>
      </c>
      <c r="B368" t="s">
        <v>1257</v>
      </c>
      <c r="C368" s="108" t="s">
        <v>1068</v>
      </c>
      <c r="D368" t="s">
        <v>5047</v>
      </c>
      <c r="E368" t="s">
        <v>5048</v>
      </c>
      <c r="F368" t="s">
        <v>309</v>
      </c>
      <c r="G368" t="s">
        <v>5049</v>
      </c>
      <c r="H368" s="108" t="s">
        <v>5050</v>
      </c>
      <c r="I368" t="s">
        <v>321</v>
      </c>
      <c r="J368" t="s">
        <v>1212</v>
      </c>
      <c r="K368" s="168">
        <v>45565</v>
      </c>
      <c r="L368" s="131">
        <v>15000000</v>
      </c>
      <c r="M368" s="131">
        <f>L368/1000</f>
        <v>15000</v>
      </c>
      <c r="N368" s="131"/>
      <c r="O368" s="171"/>
      <c r="Q368" s="168"/>
    </row>
    <row r="369" spans="1:17" ht="14.25">
      <c r="A369" t="s">
        <v>1213</v>
      </c>
      <c r="B369" t="s">
        <v>1257</v>
      </c>
      <c r="C369" s="108" t="s">
        <v>1068</v>
      </c>
      <c r="D369" t="s">
        <v>5015</v>
      </c>
      <c r="E369" t="s">
        <v>5016</v>
      </c>
      <c r="F369" t="s">
        <v>309</v>
      </c>
      <c r="G369" t="s">
        <v>5017</v>
      </c>
      <c r="H369" s="108">
        <v>74173</v>
      </c>
      <c r="I369" t="s">
        <v>314</v>
      </c>
      <c r="J369" t="s">
        <v>1216</v>
      </c>
      <c r="K369" s="168">
        <v>43157</v>
      </c>
      <c r="L369" s="131">
        <v>5100000</v>
      </c>
      <c r="M369" s="131">
        <f>L369/1000*3.71</f>
        <v>18921</v>
      </c>
      <c r="N369" s="131">
        <f>O369/3.71</f>
        <v>0.49900000000000216</v>
      </c>
      <c r="O369" s="171">
        <v>1.8512900000000081</v>
      </c>
      <c r="P369" s="170">
        <f>O369/M369</f>
        <v>9.7843137254902395E-5</v>
      </c>
      <c r="Q369" s="168">
        <v>45347</v>
      </c>
    </row>
    <row r="370" spans="1:17" ht="14.25">
      <c r="A370" t="s">
        <v>1213</v>
      </c>
      <c r="B370" t="s">
        <v>1257</v>
      </c>
      <c r="C370" s="108" t="s">
        <v>1068</v>
      </c>
      <c r="D370" t="s">
        <v>5011</v>
      </c>
      <c r="E370" t="s">
        <v>5012</v>
      </c>
      <c r="F370" t="s">
        <v>309</v>
      </c>
      <c r="G370" t="s">
        <v>5013</v>
      </c>
      <c r="H370" s="108">
        <v>74176</v>
      </c>
      <c r="I370" t="s">
        <v>314</v>
      </c>
      <c r="J370" t="s">
        <v>1212</v>
      </c>
      <c r="K370" s="168">
        <v>43306</v>
      </c>
      <c r="L370" s="131">
        <v>15000000</v>
      </c>
      <c r="M370" s="131">
        <f t="shared" ref="M370:M371" si="148">L370/1000</f>
        <v>15000</v>
      </c>
      <c r="N370" s="131"/>
      <c r="O370" s="171"/>
      <c r="Q370" s="168"/>
    </row>
    <row r="371" spans="1:17" ht="14.25">
      <c r="A371" t="s">
        <v>1213</v>
      </c>
      <c r="B371" t="s">
        <v>1257</v>
      </c>
      <c r="C371" s="108" t="s">
        <v>1068</v>
      </c>
      <c r="D371" t="s">
        <v>5019</v>
      </c>
      <c r="E371" t="s">
        <v>5020</v>
      </c>
      <c r="F371" t="s">
        <v>309</v>
      </c>
      <c r="G371" t="s">
        <v>5021</v>
      </c>
      <c r="H371" s="108">
        <v>74177</v>
      </c>
      <c r="I371" t="s">
        <v>314</v>
      </c>
      <c r="J371" t="s">
        <v>1212</v>
      </c>
      <c r="K371" s="168">
        <v>43312</v>
      </c>
      <c r="L371" s="131">
        <v>20000000</v>
      </c>
      <c r="M371" s="131">
        <f t="shared" si="148"/>
        <v>20000</v>
      </c>
      <c r="N371" s="131"/>
      <c r="O371" s="171"/>
      <c r="Q371" s="168"/>
    </row>
    <row r="372" spans="1:17" ht="14.25">
      <c r="A372" t="s">
        <v>1213</v>
      </c>
      <c r="B372" t="s">
        <v>1257</v>
      </c>
      <c r="C372" s="108" t="s">
        <v>1068</v>
      </c>
      <c r="D372" t="s">
        <v>5029</v>
      </c>
      <c r="E372" t="s">
        <v>5030</v>
      </c>
      <c r="F372" t="s">
        <v>311</v>
      </c>
      <c r="G372" t="s">
        <v>5031</v>
      </c>
      <c r="H372" s="108">
        <v>74178</v>
      </c>
      <c r="I372" t="s">
        <v>314</v>
      </c>
      <c r="J372" t="s">
        <v>1216</v>
      </c>
      <c r="K372" s="168">
        <v>43321</v>
      </c>
      <c r="L372" s="131">
        <v>16000000</v>
      </c>
      <c r="M372" s="131">
        <f>L372/1000*3.71</f>
        <v>59360</v>
      </c>
      <c r="N372" s="131"/>
      <c r="O372" s="171"/>
      <c r="Q372" s="168"/>
    </row>
    <row r="373" spans="1:17" ht="14.25">
      <c r="A373" t="s">
        <v>1213</v>
      </c>
      <c r="B373" t="s">
        <v>1257</v>
      </c>
      <c r="C373" s="108" t="s">
        <v>1068</v>
      </c>
      <c r="D373" t="s">
        <v>5094</v>
      </c>
      <c r="E373" t="s">
        <v>5095</v>
      </c>
      <c r="F373" t="s">
        <v>309</v>
      </c>
      <c r="G373" t="s">
        <v>5096</v>
      </c>
      <c r="H373" s="108">
        <v>74179</v>
      </c>
      <c r="I373" t="s">
        <v>314</v>
      </c>
      <c r="J373" t="s">
        <v>1212</v>
      </c>
      <c r="K373" s="168">
        <v>43394</v>
      </c>
      <c r="L373" s="131">
        <v>50000000</v>
      </c>
      <c r="M373" s="131">
        <f>L373/1000</f>
        <v>50000</v>
      </c>
      <c r="N373" s="131">
        <f>O373</f>
        <v>33.564999999999998</v>
      </c>
      <c r="O373" s="171">
        <v>33.564999999999998</v>
      </c>
      <c r="P373" s="170">
        <f>O373/M373</f>
        <v>6.713E-4</v>
      </c>
      <c r="Q373" s="168">
        <v>47044</v>
      </c>
    </row>
    <row r="374" spans="1:17" ht="14.25">
      <c r="A374" t="s">
        <v>1213</v>
      </c>
      <c r="B374" t="s">
        <v>1257</v>
      </c>
      <c r="C374" s="108" t="s">
        <v>1068</v>
      </c>
      <c r="E374" t="s">
        <v>5027</v>
      </c>
      <c r="F374" t="s">
        <v>311</v>
      </c>
      <c r="G374" t="s">
        <v>5028</v>
      </c>
      <c r="H374" s="108">
        <v>74180</v>
      </c>
      <c r="I374" t="s">
        <v>314</v>
      </c>
      <c r="J374" t="s">
        <v>1216</v>
      </c>
      <c r="K374" s="168">
        <v>43411</v>
      </c>
      <c r="L374" s="131">
        <v>4000000</v>
      </c>
      <c r="M374" s="131">
        <f t="shared" ref="M374:M376" si="149">L374/1000*3.71</f>
        <v>14840</v>
      </c>
      <c r="N374" s="131"/>
      <c r="O374" s="171"/>
      <c r="Q374" s="168"/>
    </row>
    <row r="375" spans="1:17" ht="14.25">
      <c r="A375" t="s">
        <v>1213</v>
      </c>
      <c r="B375" t="s">
        <v>1257</v>
      </c>
      <c r="C375" s="108" t="s">
        <v>1068</v>
      </c>
      <c r="E375" t="s">
        <v>5032</v>
      </c>
      <c r="F375" t="s">
        <v>309</v>
      </c>
      <c r="G375" t="s">
        <v>5033</v>
      </c>
      <c r="H375" s="108">
        <v>74181</v>
      </c>
      <c r="I375" t="s">
        <v>314</v>
      </c>
      <c r="J375" t="s">
        <v>1216</v>
      </c>
      <c r="K375" s="168">
        <v>43412</v>
      </c>
      <c r="L375" s="131">
        <v>9000000</v>
      </c>
      <c r="M375" s="131">
        <f t="shared" si="149"/>
        <v>33390</v>
      </c>
      <c r="N375" s="131"/>
      <c r="O375" s="171"/>
      <c r="Q375" s="168"/>
    </row>
    <row r="376" spans="1:17" ht="14.25">
      <c r="A376" t="s">
        <v>1213</v>
      </c>
      <c r="B376" t="s">
        <v>1257</v>
      </c>
      <c r="C376" s="108" t="s">
        <v>1068</v>
      </c>
      <c r="E376" t="s">
        <v>5036</v>
      </c>
      <c r="F376" t="s">
        <v>311</v>
      </c>
      <c r="G376" t="s">
        <v>5037</v>
      </c>
      <c r="H376" s="108">
        <v>74183</v>
      </c>
      <c r="I376" t="s">
        <v>314</v>
      </c>
      <c r="J376" t="s">
        <v>1216</v>
      </c>
      <c r="K376" s="168">
        <v>43482</v>
      </c>
      <c r="L376" s="131">
        <v>8000000</v>
      </c>
      <c r="M376" s="131">
        <f t="shared" si="149"/>
        <v>29680</v>
      </c>
      <c r="N376" s="131"/>
      <c r="O376" s="171"/>
      <c r="Q376" s="168"/>
    </row>
    <row r="377" spans="1:17" ht="14.25">
      <c r="A377" t="s">
        <v>1213</v>
      </c>
      <c r="B377" t="s">
        <v>1257</v>
      </c>
      <c r="C377" s="108" t="s">
        <v>1068</v>
      </c>
      <c r="D377" t="s">
        <v>5004</v>
      </c>
      <c r="E377" t="s">
        <v>5005</v>
      </c>
      <c r="F377" t="s">
        <v>309</v>
      </c>
      <c r="G377" t="s">
        <v>5006</v>
      </c>
      <c r="H377" s="108">
        <v>74185</v>
      </c>
      <c r="I377" t="s">
        <v>314</v>
      </c>
      <c r="J377" t="s">
        <v>1212</v>
      </c>
      <c r="K377" s="168">
        <v>43524</v>
      </c>
      <c r="L377" s="131">
        <v>53887168</v>
      </c>
      <c r="M377" s="131">
        <f t="shared" ref="M377:M378" si="150">L377/1000</f>
        <v>53887.167999999998</v>
      </c>
      <c r="N377" s="131"/>
      <c r="O377" s="171"/>
      <c r="Q377" s="168"/>
    </row>
    <row r="378" spans="1:17" ht="14.25">
      <c r="A378" t="s">
        <v>1213</v>
      </c>
      <c r="B378" t="s">
        <v>1257</v>
      </c>
      <c r="C378" s="108" t="s">
        <v>1068</v>
      </c>
      <c r="D378" t="s">
        <v>5000</v>
      </c>
      <c r="E378" t="s">
        <v>5001</v>
      </c>
      <c r="F378" t="s">
        <v>310</v>
      </c>
      <c r="G378" t="s">
        <v>5002</v>
      </c>
      <c r="H378" s="108">
        <v>74186</v>
      </c>
      <c r="I378" t="s">
        <v>314</v>
      </c>
      <c r="J378" t="s">
        <v>1212</v>
      </c>
      <c r="K378" s="168">
        <v>43542</v>
      </c>
      <c r="L378" s="131">
        <v>80000000</v>
      </c>
      <c r="M378" s="131">
        <f t="shared" si="150"/>
        <v>80000</v>
      </c>
      <c r="N378" s="131">
        <f>O378</f>
        <v>61.908999999999999</v>
      </c>
      <c r="O378" s="171">
        <v>61.908999999999999</v>
      </c>
      <c r="P378" s="170">
        <f t="shared" ref="P378:P379" si="151">O378/M378</f>
        <v>7.7386250000000001E-4</v>
      </c>
      <c r="Q378" s="168">
        <v>46462</v>
      </c>
    </row>
    <row r="379" spans="1:17" ht="14.25">
      <c r="A379" t="s">
        <v>1213</v>
      </c>
      <c r="B379" t="s">
        <v>1257</v>
      </c>
      <c r="C379" s="108" t="s">
        <v>1068</v>
      </c>
      <c r="D379" t="s">
        <v>5041</v>
      </c>
      <c r="E379" t="s">
        <v>5042</v>
      </c>
      <c r="F379" t="s">
        <v>310</v>
      </c>
      <c r="G379" t="s">
        <v>5043</v>
      </c>
      <c r="H379" s="108">
        <v>74187</v>
      </c>
      <c r="I379" t="s">
        <v>314</v>
      </c>
      <c r="J379" t="s">
        <v>1216</v>
      </c>
      <c r="K379" s="168">
        <v>43571</v>
      </c>
      <c r="L379" s="131">
        <v>5000000</v>
      </c>
      <c r="M379" s="131">
        <f t="shared" ref="M379:M384" si="152">L379/1000*3.71</f>
        <v>18550</v>
      </c>
      <c r="N379" s="131">
        <f>O379/3.71</f>
        <v>14.915000000000001</v>
      </c>
      <c r="O379" s="171">
        <v>55.334650000000003</v>
      </c>
      <c r="P379" s="170">
        <f t="shared" si="151"/>
        <v>2.983E-3</v>
      </c>
      <c r="Q379" s="168">
        <v>46126</v>
      </c>
    </row>
    <row r="380" spans="1:17" ht="14.25">
      <c r="A380" t="s">
        <v>1213</v>
      </c>
      <c r="B380" t="s">
        <v>1257</v>
      </c>
      <c r="C380" s="108" t="s">
        <v>1068</v>
      </c>
      <c r="E380" t="s">
        <v>5044</v>
      </c>
      <c r="F380" t="s">
        <v>311</v>
      </c>
      <c r="G380" t="s">
        <v>5045</v>
      </c>
      <c r="H380" s="108">
        <v>74188</v>
      </c>
      <c r="I380" t="s">
        <v>314</v>
      </c>
      <c r="J380" t="s">
        <v>1216</v>
      </c>
      <c r="K380" s="168">
        <v>43578</v>
      </c>
      <c r="L380" s="131">
        <v>6000000</v>
      </c>
      <c r="M380" s="131">
        <f t="shared" si="152"/>
        <v>22260</v>
      </c>
      <c r="N380" s="131"/>
      <c r="O380" s="171"/>
      <c r="Q380" s="168"/>
    </row>
    <row r="381" spans="1:17" ht="14.25">
      <c r="A381" t="s">
        <v>1213</v>
      </c>
      <c r="B381" t="s">
        <v>1257</v>
      </c>
      <c r="C381" s="108" t="s">
        <v>1068</v>
      </c>
      <c r="D381" t="s">
        <v>5023</v>
      </c>
      <c r="E381" t="s">
        <v>5024</v>
      </c>
      <c r="F381" t="s">
        <v>309</v>
      </c>
      <c r="G381" t="s">
        <v>5025</v>
      </c>
      <c r="H381" s="108">
        <v>74189</v>
      </c>
      <c r="I381" t="s">
        <v>314</v>
      </c>
      <c r="J381" t="s">
        <v>1216</v>
      </c>
      <c r="K381" s="168">
        <v>43586</v>
      </c>
      <c r="L381" s="131">
        <v>6415000</v>
      </c>
      <c r="M381" s="131">
        <f t="shared" si="152"/>
        <v>23799.65</v>
      </c>
      <c r="N381" s="131"/>
      <c r="O381" s="171"/>
      <c r="Q381" s="168"/>
    </row>
    <row r="382" spans="1:17" ht="14.25">
      <c r="A382" t="s">
        <v>1213</v>
      </c>
      <c r="B382" t="s">
        <v>1257</v>
      </c>
      <c r="C382" s="108" t="s">
        <v>1068</v>
      </c>
      <c r="D382" t="s">
        <v>5007</v>
      </c>
      <c r="E382" t="s">
        <v>2129</v>
      </c>
      <c r="F382" t="s">
        <v>309</v>
      </c>
      <c r="G382" t="s">
        <v>5008</v>
      </c>
      <c r="H382" s="108">
        <v>74190</v>
      </c>
      <c r="I382" t="s">
        <v>314</v>
      </c>
      <c r="J382" t="s">
        <v>1216</v>
      </c>
      <c r="K382" s="168">
        <v>43691</v>
      </c>
      <c r="L382" s="131">
        <v>10700001</v>
      </c>
      <c r="M382" s="131">
        <f t="shared" si="152"/>
        <v>39697.003709999997</v>
      </c>
      <c r="N382" s="131">
        <f>O382/3.71</f>
        <v>10.474000000000002</v>
      </c>
      <c r="O382" s="171">
        <v>38.858540000000005</v>
      </c>
      <c r="P382" s="170">
        <f>O382/M382</f>
        <v>9.7887841318893345E-4</v>
      </c>
      <c r="Q382" s="168">
        <v>46248</v>
      </c>
    </row>
    <row r="383" spans="1:17" ht="14.25">
      <c r="A383" t="s">
        <v>1213</v>
      </c>
      <c r="B383" t="s">
        <v>1257</v>
      </c>
      <c r="C383" s="108" t="s">
        <v>1068</v>
      </c>
      <c r="D383" t="s">
        <v>5144</v>
      </c>
      <c r="E383" t="s">
        <v>5145</v>
      </c>
      <c r="F383" t="s">
        <v>309</v>
      </c>
      <c r="G383" t="s">
        <v>5146</v>
      </c>
      <c r="H383" s="108">
        <v>74192</v>
      </c>
      <c r="I383" t="s">
        <v>314</v>
      </c>
      <c r="J383" t="s">
        <v>1216</v>
      </c>
      <c r="K383" s="168">
        <v>43761</v>
      </c>
      <c r="L383" s="131">
        <v>5000000</v>
      </c>
      <c r="M383" s="131">
        <f t="shared" si="152"/>
        <v>18550</v>
      </c>
      <c r="N383" s="131"/>
      <c r="O383" s="171"/>
      <c r="Q383" s="168"/>
    </row>
    <row r="384" spans="1:17" ht="14.25">
      <c r="A384" t="s">
        <v>1213</v>
      </c>
      <c r="B384" t="s">
        <v>1257</v>
      </c>
      <c r="C384" s="108" t="s">
        <v>1068</v>
      </c>
      <c r="E384" t="s">
        <v>5140</v>
      </c>
      <c r="F384" t="s">
        <v>311</v>
      </c>
      <c r="G384" t="s">
        <v>5141</v>
      </c>
      <c r="H384" s="108">
        <v>74193</v>
      </c>
      <c r="I384" t="s">
        <v>314</v>
      </c>
      <c r="J384" t="s">
        <v>1216</v>
      </c>
      <c r="K384" s="168">
        <v>43790</v>
      </c>
      <c r="L384" s="131">
        <v>5000000</v>
      </c>
      <c r="M384" s="131">
        <f t="shared" si="152"/>
        <v>18550</v>
      </c>
      <c r="N384" s="131">
        <f>O384/3.71</f>
        <v>16.471999999999994</v>
      </c>
      <c r="O384" s="171">
        <v>61.111119999999978</v>
      </c>
      <c r="P384" s="170">
        <f>O384/M384</f>
        <v>3.294399999999999E-3</v>
      </c>
      <c r="Q384" s="168">
        <v>46347</v>
      </c>
    </row>
    <row r="385" spans="1:17" ht="14.25">
      <c r="A385" t="s">
        <v>1213</v>
      </c>
      <c r="B385" t="s">
        <v>1257</v>
      </c>
      <c r="C385" s="108" t="s">
        <v>1068</v>
      </c>
      <c r="D385" t="s">
        <v>5051</v>
      </c>
      <c r="E385" t="s">
        <v>5052</v>
      </c>
      <c r="F385" t="s">
        <v>309</v>
      </c>
      <c r="G385" t="s">
        <v>5053</v>
      </c>
      <c r="H385" s="108">
        <v>74196</v>
      </c>
      <c r="I385" t="s">
        <v>314</v>
      </c>
      <c r="J385" t="s">
        <v>1212</v>
      </c>
      <c r="K385" s="168">
        <v>43831</v>
      </c>
      <c r="L385" s="131">
        <v>46366453</v>
      </c>
      <c r="M385" s="131">
        <f>L385/1000</f>
        <v>46366.453000000001</v>
      </c>
      <c r="N385" s="131"/>
      <c r="O385" s="171"/>
      <c r="Q385" s="168"/>
    </row>
    <row r="386" spans="1:17" ht="14.25">
      <c r="A386" t="s">
        <v>1213</v>
      </c>
      <c r="B386" t="s">
        <v>1257</v>
      </c>
      <c r="C386" s="108" t="s">
        <v>1068</v>
      </c>
      <c r="E386" t="s">
        <v>5034</v>
      </c>
      <c r="F386" t="s">
        <v>311</v>
      </c>
      <c r="G386" t="s">
        <v>5035</v>
      </c>
      <c r="H386" s="108">
        <v>74197</v>
      </c>
      <c r="I386" t="s">
        <v>314</v>
      </c>
      <c r="J386" t="s">
        <v>1216</v>
      </c>
      <c r="K386" s="168">
        <v>43857</v>
      </c>
      <c r="L386" s="131">
        <v>5000000</v>
      </c>
      <c r="M386" s="131">
        <f t="shared" ref="M386:M388" si="153">L386/1000*3.71</f>
        <v>18550</v>
      </c>
      <c r="N386" s="131"/>
      <c r="O386" s="171"/>
      <c r="Q386" s="168"/>
    </row>
    <row r="387" spans="1:17" ht="14.25">
      <c r="A387" t="s">
        <v>1213</v>
      </c>
      <c r="B387" t="s">
        <v>1257</v>
      </c>
      <c r="C387" s="108" t="s">
        <v>1068</v>
      </c>
      <c r="D387" t="s">
        <v>5124</v>
      </c>
      <c r="E387" t="s">
        <v>5125</v>
      </c>
      <c r="F387" t="s">
        <v>311</v>
      </c>
      <c r="G387" t="s">
        <v>5126</v>
      </c>
      <c r="H387" s="108">
        <v>74199</v>
      </c>
      <c r="I387" t="s">
        <v>314</v>
      </c>
      <c r="J387" t="s">
        <v>1216</v>
      </c>
      <c r="K387" s="168">
        <v>43881</v>
      </c>
      <c r="L387" s="131">
        <v>7500000</v>
      </c>
      <c r="M387" s="131">
        <f t="shared" si="153"/>
        <v>27825</v>
      </c>
      <c r="N387" s="131"/>
      <c r="O387" s="171"/>
      <c r="Q387" s="168"/>
    </row>
    <row r="388" spans="1:17" ht="14.25">
      <c r="A388" t="s">
        <v>1213</v>
      </c>
      <c r="B388" t="s">
        <v>1257</v>
      </c>
      <c r="C388" s="108" t="s">
        <v>1068</v>
      </c>
      <c r="E388" t="s">
        <v>5027</v>
      </c>
      <c r="F388" t="s">
        <v>311</v>
      </c>
      <c r="G388" t="s">
        <v>5114</v>
      </c>
      <c r="H388" s="108">
        <v>74200</v>
      </c>
      <c r="I388" t="s">
        <v>314</v>
      </c>
      <c r="J388" t="s">
        <v>1216</v>
      </c>
      <c r="K388" s="168">
        <v>43891</v>
      </c>
      <c r="L388" s="131">
        <v>11000000</v>
      </c>
      <c r="M388" s="131">
        <f t="shared" si="153"/>
        <v>40810</v>
      </c>
      <c r="N388" s="131"/>
      <c r="O388" s="171"/>
      <c r="Q388" s="168"/>
    </row>
    <row r="389" spans="1:17" ht="14.25">
      <c r="A389" t="s">
        <v>1213</v>
      </c>
      <c r="B389" t="s">
        <v>1257</v>
      </c>
      <c r="C389" s="108" t="s">
        <v>1068</v>
      </c>
      <c r="D389" t="s">
        <v>5004</v>
      </c>
      <c r="E389" t="s">
        <v>5009</v>
      </c>
      <c r="F389" t="s">
        <v>309</v>
      </c>
      <c r="G389" t="s">
        <v>5010</v>
      </c>
      <c r="H389" s="108">
        <v>74202</v>
      </c>
      <c r="I389" t="s">
        <v>314</v>
      </c>
      <c r="J389" t="s">
        <v>1212</v>
      </c>
      <c r="K389" s="168">
        <v>43913</v>
      </c>
      <c r="L389" s="131">
        <v>22160611</v>
      </c>
      <c r="M389" s="131">
        <f>L389/1000</f>
        <v>22160.611000000001</v>
      </c>
      <c r="N389" s="131"/>
      <c r="O389" s="171"/>
      <c r="Q389" s="168"/>
    </row>
    <row r="390" spans="1:17" ht="14.25">
      <c r="A390" t="s">
        <v>1213</v>
      </c>
      <c r="B390" t="s">
        <v>1257</v>
      </c>
      <c r="C390" s="108" t="s">
        <v>1068</v>
      </c>
      <c r="E390" t="s">
        <v>4982</v>
      </c>
      <c r="F390" t="s">
        <v>311</v>
      </c>
      <c r="G390" t="s">
        <v>4983</v>
      </c>
      <c r="H390" s="108">
        <v>74203</v>
      </c>
      <c r="I390" t="s">
        <v>314</v>
      </c>
      <c r="J390" t="s">
        <v>1216</v>
      </c>
      <c r="K390" s="168">
        <v>43770</v>
      </c>
      <c r="L390" s="131">
        <v>11500000</v>
      </c>
      <c r="M390" s="131">
        <f>L390/1000*3.71</f>
        <v>42665</v>
      </c>
      <c r="N390" s="131"/>
      <c r="O390" s="171"/>
      <c r="Q390" s="168"/>
    </row>
    <row r="391" spans="1:17" ht="14.25">
      <c r="A391" t="s">
        <v>1213</v>
      </c>
      <c r="B391" t="s">
        <v>1257</v>
      </c>
      <c r="C391" s="108" t="s">
        <v>1068</v>
      </c>
      <c r="D391" t="s">
        <v>5000</v>
      </c>
      <c r="E391" t="s">
        <v>5001</v>
      </c>
      <c r="F391" t="s">
        <v>310</v>
      </c>
      <c r="G391" t="s">
        <v>5059</v>
      </c>
      <c r="H391" s="108">
        <v>74204</v>
      </c>
      <c r="I391" t="s">
        <v>314</v>
      </c>
      <c r="J391" t="s">
        <v>1212</v>
      </c>
      <c r="K391" s="168">
        <v>44084</v>
      </c>
      <c r="L391" s="131">
        <v>24960000</v>
      </c>
      <c r="M391" s="131">
        <f>L391/1000</f>
        <v>24960</v>
      </c>
      <c r="N391" s="131">
        <f>O391</f>
        <v>71.236000000000004</v>
      </c>
      <c r="O391" s="171">
        <v>71.236000000000004</v>
      </c>
      <c r="P391" s="170">
        <f>O391/M391</f>
        <v>2.8540064102564105E-3</v>
      </c>
      <c r="Q391" s="168">
        <v>46462</v>
      </c>
    </row>
    <row r="392" spans="1:17" ht="14.25">
      <c r="A392" t="s">
        <v>1213</v>
      </c>
      <c r="B392" t="s">
        <v>1257</v>
      </c>
      <c r="C392" s="108" t="s">
        <v>1068</v>
      </c>
      <c r="D392" t="s">
        <v>5117</v>
      </c>
      <c r="E392" t="s">
        <v>5118</v>
      </c>
      <c r="F392" t="s">
        <v>310</v>
      </c>
      <c r="G392" t="s">
        <v>5119</v>
      </c>
      <c r="H392" s="108">
        <v>74205</v>
      </c>
      <c r="I392" t="s">
        <v>314</v>
      </c>
      <c r="J392" t="s">
        <v>1218</v>
      </c>
      <c r="K392" s="168">
        <v>44159</v>
      </c>
      <c r="L392" s="131">
        <v>4060000</v>
      </c>
      <c r="M392" s="131">
        <f>L392/1000*4.1524</f>
        <v>16858.743999999999</v>
      </c>
      <c r="N392" s="131"/>
      <c r="O392" s="171"/>
      <c r="Q392" s="168"/>
    </row>
    <row r="393" spans="1:17" ht="14.25">
      <c r="A393" t="s">
        <v>1213</v>
      </c>
      <c r="B393" t="s">
        <v>1257</v>
      </c>
      <c r="C393" s="108" t="s">
        <v>1068</v>
      </c>
      <c r="E393" t="s">
        <v>5121</v>
      </c>
      <c r="F393" t="s">
        <v>311</v>
      </c>
      <c r="G393" t="s">
        <v>5122</v>
      </c>
      <c r="H393" s="108">
        <v>74207</v>
      </c>
      <c r="I393" t="s">
        <v>314</v>
      </c>
      <c r="J393" t="s">
        <v>1216</v>
      </c>
      <c r="K393" s="168">
        <v>44166</v>
      </c>
      <c r="L393" s="131">
        <v>10000000</v>
      </c>
      <c r="M393" s="131">
        <f t="shared" ref="M393:M396" si="154">L393/1000*3.71</f>
        <v>37100</v>
      </c>
      <c r="N393" s="131">
        <f>O393/3.71</f>
        <v>207.86782999999997</v>
      </c>
      <c r="O393" s="171">
        <v>771.18964929999993</v>
      </c>
      <c r="P393" s="170">
        <f>O393/M393</f>
        <v>2.0786783E-2</v>
      </c>
      <c r="Q393" s="168">
        <v>45748</v>
      </c>
    </row>
    <row r="394" spans="1:17" ht="14.25">
      <c r="A394" t="s">
        <v>1213</v>
      </c>
      <c r="B394" t="s">
        <v>1257</v>
      </c>
      <c r="C394" s="108" t="s">
        <v>1068</v>
      </c>
      <c r="D394" t="s">
        <v>5038</v>
      </c>
      <c r="E394" t="s">
        <v>5039</v>
      </c>
      <c r="F394" t="s">
        <v>311</v>
      </c>
      <c r="G394" t="s">
        <v>5040</v>
      </c>
      <c r="H394" s="108">
        <v>74208</v>
      </c>
      <c r="I394" t="s">
        <v>314</v>
      </c>
      <c r="J394" t="s">
        <v>1216</v>
      </c>
      <c r="K394" s="168">
        <v>44186</v>
      </c>
      <c r="L394" s="131">
        <v>4600000</v>
      </c>
      <c r="M394" s="131">
        <f t="shared" si="154"/>
        <v>17066</v>
      </c>
      <c r="N394" s="131"/>
      <c r="O394" s="171"/>
      <c r="Q394" s="168"/>
    </row>
    <row r="395" spans="1:17" ht="14.25">
      <c r="A395" t="s">
        <v>1213</v>
      </c>
      <c r="B395" t="s">
        <v>1257</v>
      </c>
      <c r="C395" s="108" t="s">
        <v>1068</v>
      </c>
      <c r="E395" t="s">
        <v>5027</v>
      </c>
      <c r="F395" t="s">
        <v>311</v>
      </c>
      <c r="G395" t="s">
        <v>5134</v>
      </c>
      <c r="H395" s="108">
        <v>74215</v>
      </c>
      <c r="I395" t="s">
        <v>314</v>
      </c>
      <c r="J395" t="s">
        <v>1216</v>
      </c>
      <c r="K395" s="168">
        <v>44308</v>
      </c>
      <c r="L395" s="131">
        <v>7000000</v>
      </c>
      <c r="M395" s="131">
        <f t="shared" si="154"/>
        <v>25970</v>
      </c>
      <c r="N395" s="131"/>
      <c r="O395" s="171"/>
      <c r="Q395" s="168"/>
    </row>
    <row r="396" spans="1:17" ht="14.25">
      <c r="A396" t="s">
        <v>1213</v>
      </c>
      <c r="B396" t="s">
        <v>1257</v>
      </c>
      <c r="C396" s="108" t="s">
        <v>1068</v>
      </c>
      <c r="E396" t="s">
        <v>5036</v>
      </c>
      <c r="F396" t="s">
        <v>311</v>
      </c>
      <c r="G396" t="s">
        <v>5136</v>
      </c>
      <c r="H396" s="108">
        <v>74216</v>
      </c>
      <c r="I396" t="s">
        <v>314</v>
      </c>
      <c r="J396" t="s">
        <v>1216</v>
      </c>
      <c r="K396" s="168">
        <v>44371</v>
      </c>
      <c r="L396" s="131">
        <v>8000000</v>
      </c>
      <c r="M396" s="131">
        <f t="shared" si="154"/>
        <v>29680</v>
      </c>
      <c r="N396" s="131">
        <f>O396/3.71</f>
        <v>151.63799999999998</v>
      </c>
      <c r="O396" s="171">
        <v>562.57697999999993</v>
      </c>
      <c r="P396" s="170">
        <f t="shared" ref="P396:P400" si="155">O396/M396</f>
        <v>1.8954749999999999E-2</v>
      </c>
      <c r="Q396" s="168">
        <v>46197</v>
      </c>
    </row>
    <row r="397" spans="1:17" ht="14.25">
      <c r="A397" t="s">
        <v>1213</v>
      </c>
      <c r="B397" t="s">
        <v>1257</v>
      </c>
      <c r="C397" s="108" t="s">
        <v>1068</v>
      </c>
      <c r="D397" t="s">
        <v>5064</v>
      </c>
      <c r="E397" t="s">
        <v>5065</v>
      </c>
      <c r="F397" t="s">
        <v>309</v>
      </c>
      <c r="G397" t="s">
        <v>5066</v>
      </c>
      <c r="H397" s="108">
        <v>74217</v>
      </c>
      <c r="I397" t="s">
        <v>314</v>
      </c>
      <c r="J397" t="s">
        <v>1212</v>
      </c>
      <c r="K397" s="168">
        <v>44370</v>
      </c>
      <c r="L397" s="131">
        <v>80000000</v>
      </c>
      <c r="M397" s="131">
        <f>L397/1000</f>
        <v>80000</v>
      </c>
      <c r="N397" s="131">
        <f>O397</f>
        <v>697.702</v>
      </c>
      <c r="O397" s="171">
        <v>697.702</v>
      </c>
      <c r="P397" s="170">
        <f t="shared" si="155"/>
        <v>8.7212750000000006E-3</v>
      </c>
      <c r="Q397" s="168">
        <v>46196</v>
      </c>
    </row>
    <row r="398" spans="1:17" ht="14.25">
      <c r="A398" t="s">
        <v>1213</v>
      </c>
      <c r="B398" t="s">
        <v>1257</v>
      </c>
      <c r="C398" s="108" t="s">
        <v>1068</v>
      </c>
      <c r="D398" t="s">
        <v>5088</v>
      </c>
      <c r="E398" t="s">
        <v>5089</v>
      </c>
      <c r="F398" t="s">
        <v>309</v>
      </c>
      <c r="G398" t="s">
        <v>5090</v>
      </c>
      <c r="H398" s="108">
        <v>74221</v>
      </c>
      <c r="I398" t="s">
        <v>314</v>
      </c>
      <c r="J398" t="s">
        <v>1216</v>
      </c>
      <c r="K398" s="168">
        <v>44409</v>
      </c>
      <c r="L398" s="131">
        <v>8000000</v>
      </c>
      <c r="M398" s="131">
        <f t="shared" ref="M398:M399" si="156">L398/1000*3.71</f>
        <v>29680</v>
      </c>
      <c r="N398" s="131">
        <f t="shared" ref="N398:N399" si="157">O398/3.71</f>
        <v>127.87700000000001</v>
      </c>
      <c r="O398" s="171">
        <v>474.42367000000002</v>
      </c>
      <c r="P398" s="170">
        <f t="shared" si="155"/>
        <v>1.5984624999999999E-2</v>
      </c>
      <c r="Q398" s="168">
        <v>47150</v>
      </c>
    </row>
    <row r="399" spans="1:17" ht="14.25">
      <c r="A399" t="s">
        <v>1213</v>
      </c>
      <c r="B399" t="s">
        <v>1257</v>
      </c>
      <c r="C399" s="108" t="s">
        <v>1068</v>
      </c>
      <c r="D399" t="s">
        <v>5076</v>
      </c>
      <c r="E399" t="s">
        <v>5077</v>
      </c>
      <c r="F399" t="s">
        <v>309</v>
      </c>
      <c r="G399" t="s">
        <v>5078</v>
      </c>
      <c r="H399" s="108">
        <v>74228</v>
      </c>
      <c r="I399" t="s">
        <v>314</v>
      </c>
      <c r="J399" t="s">
        <v>1216</v>
      </c>
      <c r="K399" s="168">
        <v>44560</v>
      </c>
      <c r="L399" s="131">
        <v>10000000</v>
      </c>
      <c r="M399" s="131">
        <f t="shared" si="156"/>
        <v>37100</v>
      </c>
      <c r="N399" s="131">
        <f t="shared" si="157"/>
        <v>74.228999999999985</v>
      </c>
      <c r="O399" s="171">
        <v>275.38958999999994</v>
      </c>
      <c r="P399" s="170">
        <f t="shared" si="155"/>
        <v>7.4228999999999988E-3</v>
      </c>
      <c r="Q399" s="168">
        <v>46751</v>
      </c>
    </row>
    <row r="400" spans="1:17" ht="14.25">
      <c r="A400" t="s">
        <v>1213</v>
      </c>
      <c r="B400" t="s">
        <v>1257</v>
      </c>
      <c r="C400" s="108" t="s">
        <v>1068</v>
      </c>
      <c r="D400" t="s">
        <v>5061</v>
      </c>
      <c r="E400" t="s">
        <v>5062</v>
      </c>
      <c r="F400" t="s">
        <v>309</v>
      </c>
      <c r="G400" t="s">
        <v>5063</v>
      </c>
      <c r="H400" s="108">
        <v>74231</v>
      </c>
      <c r="I400" t="s">
        <v>314</v>
      </c>
      <c r="J400" t="s">
        <v>1212</v>
      </c>
      <c r="K400" s="168">
        <v>44591</v>
      </c>
      <c r="L400" s="131">
        <v>50000000</v>
      </c>
      <c r="M400" s="131">
        <f t="shared" ref="M400:M401" si="158">L400/1000</f>
        <v>50000</v>
      </c>
      <c r="N400" s="131">
        <f>O400</f>
        <v>676.5064500000002</v>
      </c>
      <c r="O400" s="171">
        <v>676.5064500000002</v>
      </c>
      <c r="P400" s="170">
        <f t="shared" si="155"/>
        <v>1.3530129000000004E-2</v>
      </c>
      <c r="Q400" s="168">
        <v>46204</v>
      </c>
    </row>
    <row r="401" spans="1:17" ht="14.25">
      <c r="A401" t="s">
        <v>1213</v>
      </c>
      <c r="B401" t="s">
        <v>1257</v>
      </c>
      <c r="C401" s="108" t="s">
        <v>1068</v>
      </c>
      <c r="D401" t="s">
        <v>5079</v>
      </c>
      <c r="E401" t="s">
        <v>5080</v>
      </c>
      <c r="F401" t="s">
        <v>309</v>
      </c>
      <c r="G401" t="s">
        <v>5081</v>
      </c>
      <c r="H401" s="108">
        <v>74233</v>
      </c>
      <c r="I401" t="s">
        <v>314</v>
      </c>
      <c r="J401" t="s">
        <v>1212</v>
      </c>
      <c r="K401" s="168">
        <v>44622</v>
      </c>
      <c r="L401" s="131">
        <v>45000000</v>
      </c>
      <c r="M401" s="131">
        <f t="shared" si="158"/>
        <v>45000</v>
      </c>
      <c r="N401" s="131"/>
      <c r="O401" s="171"/>
      <c r="Q401" s="168"/>
    </row>
    <row r="402" spans="1:17" ht="14.25">
      <c r="A402" t="s">
        <v>1213</v>
      </c>
      <c r="B402" t="s">
        <v>1257</v>
      </c>
      <c r="C402" s="108" t="s">
        <v>1068</v>
      </c>
      <c r="E402" t="s">
        <v>5027</v>
      </c>
      <c r="F402" t="s">
        <v>311</v>
      </c>
      <c r="G402" t="s">
        <v>5137</v>
      </c>
      <c r="H402" s="108">
        <v>74235</v>
      </c>
      <c r="I402" t="s">
        <v>314</v>
      </c>
      <c r="J402" t="s">
        <v>1216</v>
      </c>
      <c r="K402" s="168">
        <v>44712</v>
      </c>
      <c r="L402" s="131">
        <v>5000000</v>
      </c>
      <c r="M402" s="131">
        <f>L402/1000*3.71</f>
        <v>18550</v>
      </c>
      <c r="N402" s="131"/>
      <c r="O402" s="171"/>
      <c r="Q402" s="168"/>
    </row>
    <row r="403" spans="1:17" ht="14.25">
      <c r="A403" t="s">
        <v>1213</v>
      </c>
      <c r="B403" t="s">
        <v>1257</v>
      </c>
      <c r="C403" s="108" t="s">
        <v>1068</v>
      </c>
      <c r="D403" t="s">
        <v>5130</v>
      </c>
      <c r="E403" t="s">
        <v>5131</v>
      </c>
      <c r="F403" t="s">
        <v>311</v>
      </c>
      <c r="G403" t="s">
        <v>5132</v>
      </c>
      <c r="H403" s="108">
        <v>74237</v>
      </c>
      <c r="I403" t="s">
        <v>314</v>
      </c>
      <c r="J403" t="s">
        <v>1227</v>
      </c>
      <c r="K403" s="168">
        <v>44721</v>
      </c>
      <c r="L403" s="131">
        <v>7000000</v>
      </c>
      <c r="M403" s="131">
        <f>L403/1000*4.9748</f>
        <v>34823.599999999999</v>
      </c>
      <c r="N403" s="131">
        <f>O403/4.9748</f>
        <v>0.42900000000002791</v>
      </c>
      <c r="O403" s="171">
        <v>2.1341892000001388</v>
      </c>
      <c r="P403" s="170">
        <f t="shared" ref="P403:P407" si="159">O403/M403</f>
        <v>6.1285714285718267E-5</v>
      </c>
      <c r="Q403" s="168">
        <v>47635</v>
      </c>
    </row>
    <row r="404" spans="1:17" ht="14.25">
      <c r="A404" t="s">
        <v>1213</v>
      </c>
      <c r="B404" t="s">
        <v>1257</v>
      </c>
      <c r="C404" s="108" t="s">
        <v>1068</v>
      </c>
      <c r="D404" t="s">
        <v>5070</v>
      </c>
      <c r="E404" t="s">
        <v>5071</v>
      </c>
      <c r="F404" t="s">
        <v>310</v>
      </c>
      <c r="G404" t="s">
        <v>5072</v>
      </c>
      <c r="H404" s="108">
        <v>74238</v>
      </c>
      <c r="I404" t="s">
        <v>314</v>
      </c>
      <c r="J404" t="s">
        <v>1212</v>
      </c>
      <c r="K404" s="168">
        <v>44721</v>
      </c>
      <c r="L404" s="131">
        <v>40000000</v>
      </c>
      <c r="M404" s="131">
        <f t="shared" ref="M404:M405" si="160">L404/1000</f>
        <v>40000</v>
      </c>
      <c r="N404" s="131">
        <f t="shared" ref="N404:N405" si="161">O404</f>
        <v>202.24799999999999</v>
      </c>
      <c r="O404" s="171">
        <v>202.24799999999999</v>
      </c>
      <c r="P404" s="170">
        <f t="shared" si="159"/>
        <v>5.0561999999999994E-3</v>
      </c>
      <c r="Q404" s="168">
        <v>46182</v>
      </c>
    </row>
    <row r="405" spans="1:17" ht="14.25">
      <c r="A405" t="s">
        <v>1213</v>
      </c>
      <c r="B405" t="s">
        <v>1257</v>
      </c>
      <c r="C405" s="108" t="s">
        <v>1068</v>
      </c>
      <c r="D405" t="s">
        <v>5085</v>
      </c>
      <c r="E405" t="s">
        <v>5086</v>
      </c>
      <c r="F405" t="s">
        <v>309</v>
      </c>
      <c r="G405" t="s">
        <v>5087</v>
      </c>
      <c r="H405" s="108">
        <v>74239</v>
      </c>
      <c r="I405" t="s">
        <v>314</v>
      </c>
      <c r="J405" t="s">
        <v>1212</v>
      </c>
      <c r="K405" s="168">
        <v>44741</v>
      </c>
      <c r="L405" s="131">
        <v>40000000</v>
      </c>
      <c r="M405" s="131">
        <f t="shared" si="160"/>
        <v>40000</v>
      </c>
      <c r="N405" s="131">
        <f t="shared" si="161"/>
        <v>372.28699999999998</v>
      </c>
      <c r="O405" s="171">
        <v>372.28699999999998</v>
      </c>
      <c r="P405" s="170">
        <f t="shared" si="159"/>
        <v>9.3071749999999991E-3</v>
      </c>
      <c r="Q405" s="168">
        <v>46202</v>
      </c>
    </row>
    <row r="406" spans="1:17" ht="14.25">
      <c r="A406" t="s">
        <v>1213</v>
      </c>
      <c r="B406" t="s">
        <v>1257</v>
      </c>
      <c r="C406" s="108" t="s">
        <v>1068</v>
      </c>
      <c r="E406" t="s">
        <v>5115</v>
      </c>
      <c r="F406" t="s">
        <v>309</v>
      </c>
      <c r="G406" t="s">
        <v>5116</v>
      </c>
      <c r="H406" s="108">
        <v>74240</v>
      </c>
      <c r="I406" t="s">
        <v>314</v>
      </c>
      <c r="J406" t="s">
        <v>1218</v>
      </c>
      <c r="K406" s="168">
        <v>44748</v>
      </c>
      <c r="L406" s="131">
        <v>10000000</v>
      </c>
      <c r="M406" s="131">
        <f>L406/1000*4.1524</f>
        <v>41524</v>
      </c>
      <c r="N406" s="131">
        <f>O406/4.1254</f>
        <v>15.339744024821837</v>
      </c>
      <c r="O406" s="171">
        <f>63282.58/1000</f>
        <v>63.282580000000003</v>
      </c>
      <c r="P406" s="170">
        <f t="shared" si="159"/>
        <v>1.5240000963298334E-3</v>
      </c>
      <c r="Q406" s="168">
        <v>45844</v>
      </c>
    </row>
    <row r="407" spans="1:17" ht="14.25">
      <c r="A407" t="s">
        <v>1213</v>
      </c>
      <c r="B407" t="s">
        <v>1257</v>
      </c>
      <c r="C407" s="108" t="s">
        <v>1068</v>
      </c>
      <c r="D407" t="s">
        <v>5082</v>
      </c>
      <c r="E407" t="s">
        <v>5083</v>
      </c>
      <c r="F407" t="s">
        <v>309</v>
      </c>
      <c r="G407" t="s">
        <v>5084</v>
      </c>
      <c r="H407" s="108">
        <v>74241</v>
      </c>
      <c r="I407" t="s">
        <v>314</v>
      </c>
      <c r="J407" t="s">
        <v>1212</v>
      </c>
      <c r="K407" s="168">
        <v>44752</v>
      </c>
      <c r="L407" s="131">
        <v>50000000</v>
      </c>
      <c r="M407" s="131">
        <f>L407/1000</f>
        <v>50000</v>
      </c>
      <c r="N407" s="131">
        <f>O407</f>
        <v>361.36700000000002</v>
      </c>
      <c r="O407" s="171">
        <v>361.36700000000002</v>
      </c>
      <c r="P407" s="170">
        <f t="shared" si="159"/>
        <v>7.2273400000000005E-3</v>
      </c>
      <c r="Q407" s="168">
        <v>46213</v>
      </c>
    </row>
    <row r="408" spans="1:17" ht="14.25">
      <c r="A408" t="s">
        <v>1213</v>
      </c>
      <c r="B408" t="s">
        <v>1257</v>
      </c>
      <c r="C408" s="108" t="s">
        <v>1068</v>
      </c>
      <c r="E408" t="s">
        <v>3826</v>
      </c>
      <c r="F408" t="s">
        <v>311</v>
      </c>
      <c r="G408" t="s">
        <v>3825</v>
      </c>
      <c r="H408" s="108">
        <v>74242</v>
      </c>
      <c r="I408" t="s">
        <v>314</v>
      </c>
      <c r="J408" t="s">
        <v>1218</v>
      </c>
      <c r="K408" s="168">
        <v>44812</v>
      </c>
      <c r="L408" s="131">
        <v>5410840</v>
      </c>
      <c r="M408" s="131">
        <f>L408/1000*4.1524</f>
        <v>22467.972016</v>
      </c>
      <c r="N408" s="131"/>
      <c r="O408" s="171"/>
      <c r="Q408" s="168"/>
    </row>
    <row r="409" spans="1:17" ht="14.25">
      <c r="A409" t="s">
        <v>1213</v>
      </c>
      <c r="B409" t="s">
        <v>1257</v>
      </c>
      <c r="C409" s="108" t="s">
        <v>1068</v>
      </c>
      <c r="D409" t="s">
        <v>5105</v>
      </c>
      <c r="E409" t="s">
        <v>5106</v>
      </c>
      <c r="F409" t="s">
        <v>311</v>
      </c>
      <c r="G409" t="s">
        <v>5107</v>
      </c>
      <c r="H409" s="108">
        <v>74243</v>
      </c>
      <c r="I409" t="s">
        <v>314</v>
      </c>
      <c r="J409" t="s">
        <v>1216</v>
      </c>
      <c r="K409" s="168">
        <v>44823</v>
      </c>
      <c r="L409" s="131">
        <v>6000000</v>
      </c>
      <c r="M409" s="131">
        <f t="shared" ref="M409:M410" si="162">L409/1000*3.71</f>
        <v>22260</v>
      </c>
      <c r="N409" s="131">
        <f t="shared" ref="N409:N410" si="163">O409/3.71</f>
        <v>60.571999999999996</v>
      </c>
      <c r="O409" s="171">
        <v>224.72211999999999</v>
      </c>
      <c r="P409" s="170">
        <f t="shared" ref="P409:P411" si="164">O409/M409</f>
        <v>1.0095333333333333E-2</v>
      </c>
      <c r="Q409" s="168">
        <v>46284</v>
      </c>
    </row>
    <row r="410" spans="1:17" ht="14.25">
      <c r="A410" t="s">
        <v>1213</v>
      </c>
      <c r="B410" t="s">
        <v>1257</v>
      </c>
      <c r="C410" s="108" t="s">
        <v>1068</v>
      </c>
      <c r="D410" t="s">
        <v>5150</v>
      </c>
      <c r="E410" t="s">
        <v>5151</v>
      </c>
      <c r="F410" t="s">
        <v>311</v>
      </c>
      <c r="G410" t="s">
        <v>5152</v>
      </c>
      <c r="H410" s="108">
        <v>74244</v>
      </c>
      <c r="I410" t="s">
        <v>314</v>
      </c>
      <c r="J410" t="s">
        <v>1216</v>
      </c>
      <c r="K410" s="168">
        <v>44881</v>
      </c>
      <c r="L410" s="131">
        <v>12465101</v>
      </c>
      <c r="M410" s="131">
        <f t="shared" si="162"/>
        <v>46245.524710000005</v>
      </c>
      <c r="N410" s="131">
        <f t="shared" si="163"/>
        <v>5.2679999999999918</v>
      </c>
      <c r="O410" s="171">
        <v>19.544279999999969</v>
      </c>
      <c r="P410" s="170">
        <f t="shared" si="164"/>
        <v>4.2261992100986516E-4</v>
      </c>
      <c r="Q410" s="168">
        <v>46707</v>
      </c>
    </row>
    <row r="411" spans="1:17" ht="14.25">
      <c r="A411" t="s">
        <v>1213</v>
      </c>
      <c r="B411" t="s">
        <v>1257</v>
      </c>
      <c r="C411" s="108" t="s">
        <v>1068</v>
      </c>
      <c r="E411" t="s">
        <v>5138</v>
      </c>
      <c r="F411" t="s">
        <v>311</v>
      </c>
      <c r="G411" t="s">
        <v>5139</v>
      </c>
      <c r="H411" s="108">
        <v>74247</v>
      </c>
      <c r="I411" t="s">
        <v>314</v>
      </c>
      <c r="J411" t="s">
        <v>1227</v>
      </c>
      <c r="K411" s="168">
        <v>44938</v>
      </c>
      <c r="L411" s="131">
        <v>7500000</v>
      </c>
      <c r="M411" s="131">
        <f>L411/1000*4.9748</f>
        <v>37311</v>
      </c>
      <c r="N411" s="131">
        <f>O411/4.9748</f>
        <v>221.41400000000002</v>
      </c>
      <c r="O411" s="171">
        <v>1101.4903672</v>
      </c>
      <c r="P411" s="170">
        <f t="shared" si="164"/>
        <v>2.9521866666666667E-2</v>
      </c>
      <c r="Q411" s="168">
        <v>46022</v>
      </c>
    </row>
    <row r="412" spans="1:17" ht="14.25">
      <c r="A412" t="s">
        <v>1213</v>
      </c>
      <c r="B412" t="s">
        <v>1257</v>
      </c>
      <c r="C412" s="108" t="s">
        <v>1068</v>
      </c>
      <c r="E412" t="s">
        <v>5067</v>
      </c>
      <c r="F412" t="s">
        <v>309</v>
      </c>
      <c r="G412" t="s">
        <v>5068</v>
      </c>
      <c r="H412" s="108">
        <v>74249</v>
      </c>
      <c r="I412" t="s">
        <v>314</v>
      </c>
      <c r="J412" t="s">
        <v>1212</v>
      </c>
      <c r="K412" s="168">
        <v>45006</v>
      </c>
      <c r="L412" s="131">
        <v>70000000</v>
      </c>
      <c r="M412" s="131">
        <f>L412/1000</f>
        <v>70000</v>
      </c>
      <c r="N412" s="131"/>
      <c r="O412" s="171"/>
      <c r="Q412" s="168"/>
    </row>
    <row r="413" spans="1:17" ht="14.25">
      <c r="A413" t="s">
        <v>1213</v>
      </c>
      <c r="B413" t="s">
        <v>1257</v>
      </c>
      <c r="C413" s="108" t="s">
        <v>1068</v>
      </c>
      <c r="D413" t="s">
        <v>4939</v>
      </c>
      <c r="E413" t="s">
        <v>4940</v>
      </c>
      <c r="F413" t="s">
        <v>309</v>
      </c>
      <c r="G413" t="s">
        <v>4955</v>
      </c>
      <c r="H413" s="108">
        <v>74252</v>
      </c>
      <c r="I413" t="s">
        <v>314</v>
      </c>
      <c r="J413" t="s">
        <v>1212</v>
      </c>
      <c r="K413" s="168">
        <v>45036</v>
      </c>
      <c r="L413" s="131">
        <v>62150000</v>
      </c>
      <c r="M413" s="131">
        <f>L413/1000</f>
        <v>62150</v>
      </c>
      <c r="N413" s="131">
        <f>O413</f>
        <v>1035.963</v>
      </c>
      <c r="O413" s="171">
        <v>1035.963</v>
      </c>
      <c r="P413" s="170">
        <f t="shared" ref="P413:P415" si="165">O413/M413</f>
        <v>1.6668753016894609E-2</v>
      </c>
      <c r="Q413" s="168">
        <v>48689</v>
      </c>
    </row>
    <row r="414" spans="1:17" ht="14.25">
      <c r="A414" t="s">
        <v>1213</v>
      </c>
      <c r="B414" t="s">
        <v>1257</v>
      </c>
      <c r="C414" s="108" t="s">
        <v>1068</v>
      </c>
      <c r="E414" t="s">
        <v>4943</v>
      </c>
      <c r="F414" t="s">
        <v>309</v>
      </c>
      <c r="G414" t="s">
        <v>4944</v>
      </c>
      <c r="H414" s="108">
        <v>74254</v>
      </c>
      <c r="I414" t="s">
        <v>314</v>
      </c>
      <c r="J414" t="s">
        <v>1216</v>
      </c>
      <c r="K414" s="168">
        <v>45124</v>
      </c>
      <c r="L414" s="131">
        <v>7006080</v>
      </c>
      <c r="M414" s="131">
        <f>L414/1000*3.71</f>
        <v>25992.556799999998</v>
      </c>
      <c r="N414" s="131">
        <f>O414/3.71</f>
        <v>118.211</v>
      </c>
      <c r="O414" s="171">
        <v>438.56281000000001</v>
      </c>
      <c r="P414" s="170">
        <f t="shared" si="165"/>
        <v>1.6872630629396184E-2</v>
      </c>
      <c r="Q414" s="168">
        <v>46220</v>
      </c>
    </row>
    <row r="415" spans="1:17" ht="14.25">
      <c r="A415" t="s">
        <v>1213</v>
      </c>
      <c r="B415" t="s">
        <v>1257</v>
      </c>
      <c r="C415" s="108" t="s">
        <v>1068</v>
      </c>
      <c r="D415" t="s">
        <v>4988</v>
      </c>
      <c r="E415" t="s">
        <v>4989</v>
      </c>
      <c r="F415" t="s">
        <v>309</v>
      </c>
      <c r="G415" t="s">
        <v>4990</v>
      </c>
      <c r="H415" s="108">
        <v>74255</v>
      </c>
      <c r="I415" t="s">
        <v>314</v>
      </c>
      <c r="J415" t="s">
        <v>1227</v>
      </c>
      <c r="K415" s="168">
        <v>45208</v>
      </c>
      <c r="L415" s="131">
        <v>5000000</v>
      </c>
      <c r="M415" s="131">
        <f>L415/1000*4.9748</f>
        <v>24874</v>
      </c>
      <c r="N415" s="131">
        <f>O415/4.9748</f>
        <v>80.341000000000008</v>
      </c>
      <c r="O415" s="171">
        <v>399.68040680000007</v>
      </c>
      <c r="P415" s="170">
        <f t="shared" si="165"/>
        <v>1.6068200000000001E-2</v>
      </c>
      <c r="Q415" s="168">
        <v>46235</v>
      </c>
    </row>
    <row r="416" spans="1:17" ht="14.25">
      <c r="A416" t="s">
        <v>1213</v>
      </c>
      <c r="B416" t="s">
        <v>1257</v>
      </c>
      <c r="C416" s="108" t="s">
        <v>1068</v>
      </c>
      <c r="D416" t="s">
        <v>5127</v>
      </c>
      <c r="E416" t="s">
        <v>5128</v>
      </c>
      <c r="F416" t="s">
        <v>310</v>
      </c>
      <c r="G416" t="s">
        <v>5129</v>
      </c>
      <c r="H416" s="108">
        <v>74256</v>
      </c>
      <c r="I416" t="s">
        <v>314</v>
      </c>
      <c r="J416" t="s">
        <v>1218</v>
      </c>
      <c r="K416" s="168">
        <v>45166</v>
      </c>
      <c r="L416" s="131">
        <v>8000000</v>
      </c>
      <c r="M416" s="131">
        <f>L416/1000*4.1524</f>
        <v>33219.199999999997</v>
      </c>
      <c r="N416" s="131"/>
      <c r="O416" s="171"/>
      <c r="Q416" s="168"/>
    </row>
    <row r="417" spans="1:17" ht="14.25">
      <c r="A417" t="s">
        <v>1213</v>
      </c>
      <c r="B417" t="s">
        <v>1257</v>
      </c>
      <c r="C417" s="108" t="s">
        <v>1068</v>
      </c>
      <c r="D417" t="s">
        <v>4992</v>
      </c>
      <c r="E417" t="s">
        <v>4993</v>
      </c>
      <c r="F417" t="s">
        <v>311</v>
      </c>
      <c r="G417" t="s">
        <v>4996</v>
      </c>
      <c r="H417" s="108">
        <v>74266</v>
      </c>
      <c r="I417" t="s">
        <v>314</v>
      </c>
      <c r="J417" t="s">
        <v>1216</v>
      </c>
      <c r="K417" s="168">
        <v>45400</v>
      </c>
      <c r="L417" s="131">
        <v>2500000</v>
      </c>
      <c r="M417" s="131">
        <f>L417/1000*3.71</f>
        <v>9275</v>
      </c>
      <c r="N417" s="131">
        <f>O417/3.71</f>
        <v>56.697999999999993</v>
      </c>
      <c r="O417" s="171">
        <v>210.34957999999997</v>
      </c>
      <c r="P417" s="170">
        <f t="shared" ref="P417:P420" si="166">O417/M417</f>
        <v>2.2679199999999997E-2</v>
      </c>
      <c r="Q417" s="168">
        <v>46495</v>
      </c>
    </row>
    <row r="418" spans="1:17" ht="14.25">
      <c r="A418" t="s">
        <v>1213</v>
      </c>
      <c r="B418" t="s">
        <v>1257</v>
      </c>
      <c r="C418" s="108" t="s">
        <v>1068</v>
      </c>
      <c r="D418" t="s">
        <v>5147</v>
      </c>
      <c r="E418" t="s">
        <v>5148</v>
      </c>
      <c r="F418" t="s">
        <v>311</v>
      </c>
      <c r="G418" t="s">
        <v>5149</v>
      </c>
      <c r="H418" s="108">
        <v>74270</v>
      </c>
      <c r="I418" t="s">
        <v>314</v>
      </c>
      <c r="J418" t="s">
        <v>1218</v>
      </c>
      <c r="K418" s="168">
        <v>45484</v>
      </c>
      <c r="L418" s="131">
        <v>3000000</v>
      </c>
      <c r="M418" s="131">
        <f>L418/1000*4.1524</f>
        <v>12457.2</v>
      </c>
      <c r="N418" s="131">
        <f>O418/4.1254</f>
        <v>88.778259659669374</v>
      </c>
      <c r="O418" s="171">
        <v>366.24583240000004</v>
      </c>
      <c r="P418" s="170">
        <f t="shared" si="166"/>
        <v>2.9400333333333334E-2</v>
      </c>
      <c r="Q418" s="168">
        <v>46295</v>
      </c>
    </row>
    <row r="419" spans="1:17" ht="14.25">
      <c r="A419" t="s">
        <v>1213</v>
      </c>
      <c r="B419" t="s">
        <v>1257</v>
      </c>
      <c r="C419" s="108" t="s">
        <v>1068</v>
      </c>
      <c r="D419" t="s">
        <v>4997</v>
      </c>
      <c r="E419" t="s">
        <v>4998</v>
      </c>
      <c r="F419" t="s">
        <v>311</v>
      </c>
      <c r="G419" t="s">
        <v>4997</v>
      </c>
      <c r="H419" s="108">
        <v>74271</v>
      </c>
      <c r="I419" t="s">
        <v>314</v>
      </c>
      <c r="J419" t="s">
        <v>1227</v>
      </c>
      <c r="K419" s="168">
        <v>45495</v>
      </c>
      <c r="L419" s="131">
        <v>4000000</v>
      </c>
      <c r="M419" s="131">
        <f>L419/1000*4.9748</f>
        <v>19899.2</v>
      </c>
      <c r="N419" s="131">
        <f>O419/4.9748</f>
        <v>143.99999999999997</v>
      </c>
      <c r="O419" s="171">
        <v>716.37119999999993</v>
      </c>
      <c r="P419" s="170">
        <f t="shared" si="166"/>
        <v>3.5999999999999997E-2</v>
      </c>
      <c r="Q419" s="168">
        <v>46295</v>
      </c>
    </row>
    <row r="420" spans="1:17" ht="14.25">
      <c r="A420" t="s">
        <v>1213</v>
      </c>
      <c r="B420" t="s">
        <v>1257</v>
      </c>
      <c r="C420" s="108" t="s">
        <v>1068</v>
      </c>
      <c r="D420" t="s">
        <v>4992</v>
      </c>
      <c r="E420" t="s">
        <v>4993</v>
      </c>
      <c r="F420" t="s">
        <v>311</v>
      </c>
      <c r="G420" t="s">
        <v>4994</v>
      </c>
      <c r="H420" s="108">
        <v>74272</v>
      </c>
      <c r="I420" t="s">
        <v>314</v>
      </c>
      <c r="J420" t="s">
        <v>1216</v>
      </c>
      <c r="K420" s="168">
        <v>45505</v>
      </c>
      <c r="L420" s="131">
        <v>2500000</v>
      </c>
      <c r="M420" s="131">
        <f>L420/1000*3.71</f>
        <v>9275</v>
      </c>
      <c r="N420" s="131">
        <f>O420/3.71</f>
        <v>53.714999999999996</v>
      </c>
      <c r="O420" s="171">
        <v>199.28264999999999</v>
      </c>
      <c r="P420" s="170">
        <f t="shared" si="166"/>
        <v>2.1485999999999998E-2</v>
      </c>
      <c r="Q420" s="168">
        <v>46295</v>
      </c>
    </row>
    <row r="421" spans="1:17" ht="14.25">
      <c r="A421" t="s">
        <v>1213</v>
      </c>
      <c r="B421" t="s">
        <v>1221</v>
      </c>
      <c r="K421" s="109"/>
      <c r="L421" s="131"/>
      <c r="M421" s="131"/>
      <c r="N421" s="131"/>
      <c r="O421" s="131"/>
      <c r="Q421"/>
    </row>
    <row r="422" spans="1:17" ht="14.25">
      <c r="A422" t="s">
        <v>1213</v>
      </c>
      <c r="B422" t="s">
        <v>1222</v>
      </c>
      <c r="K422" s="109"/>
      <c r="L422" s="131"/>
      <c r="M422" s="131"/>
      <c r="N422" s="131"/>
      <c r="O422" s="131"/>
      <c r="Q422"/>
    </row>
    <row r="423" spans="1:17" ht="14.25">
      <c r="A423" t="s">
        <v>1213</v>
      </c>
      <c r="B423" t="s">
        <v>1223</v>
      </c>
      <c r="K423" s="109"/>
      <c r="L423" s="131"/>
      <c r="M423" s="131"/>
      <c r="N423" s="131"/>
      <c r="O423" s="131"/>
      <c r="Q423"/>
    </row>
    <row r="424" spans="1:17" ht="14.25">
      <c r="A424" t="s">
        <v>1213</v>
      </c>
      <c r="B424" t="s">
        <v>1224</v>
      </c>
      <c r="K424" s="109"/>
      <c r="L424" s="131"/>
      <c r="M424" s="131"/>
      <c r="N424" s="131"/>
      <c r="O424" s="131"/>
      <c r="Q424"/>
    </row>
    <row r="425" spans="1:17" ht="14.25">
      <c r="A425" t="s">
        <v>1213</v>
      </c>
      <c r="B425" t="s">
        <v>1225</v>
      </c>
      <c r="K425" s="109"/>
      <c r="L425" s="131"/>
      <c r="M425" s="131"/>
      <c r="N425" s="131"/>
      <c r="O425" s="131"/>
      <c r="Q425"/>
    </row>
    <row r="426" spans="1:17" ht="14.25">
      <c r="A426" t="s">
        <v>1213</v>
      </c>
      <c r="B426" t="s">
        <v>1230</v>
      </c>
      <c r="K426" s="109"/>
      <c r="L426" s="131"/>
      <c r="M426" s="131"/>
      <c r="N426" s="131"/>
      <c r="O426" s="131"/>
      <c r="Q426"/>
    </row>
    <row r="427" spans="1:17" ht="14.25">
      <c r="A427" t="s">
        <v>1213</v>
      </c>
      <c r="B427" t="s">
        <v>1231</v>
      </c>
      <c r="K427" s="109"/>
      <c r="L427" s="131"/>
      <c r="M427" s="131"/>
      <c r="N427" s="131"/>
      <c r="O427" s="131"/>
      <c r="Q427"/>
    </row>
    <row r="428" spans="1:17" ht="14.25">
      <c r="A428" t="s">
        <v>1213</v>
      </c>
      <c r="B428" t="s">
        <v>1232</v>
      </c>
      <c r="K428" s="109"/>
      <c r="L428" s="131"/>
      <c r="M428" s="131"/>
      <c r="N428" s="131"/>
      <c r="O428" s="131"/>
      <c r="Q428"/>
    </row>
    <row r="429" spans="1:17" ht="14.25">
      <c r="A429" t="s">
        <v>1213</v>
      </c>
      <c r="B429" t="s">
        <v>1234</v>
      </c>
      <c r="K429" s="109"/>
      <c r="L429" s="131"/>
      <c r="M429" s="131"/>
      <c r="N429" s="131"/>
      <c r="O429" s="131"/>
      <c r="Q429"/>
    </row>
    <row r="430" spans="1:17" ht="14.25">
      <c r="A430" t="s">
        <v>1213</v>
      </c>
      <c r="B430" t="s">
        <v>1244</v>
      </c>
      <c r="K430" s="109"/>
      <c r="L430" s="131"/>
      <c r="M430" s="131"/>
      <c r="N430" s="131"/>
      <c r="O430" s="131"/>
      <c r="Q430"/>
    </row>
    <row r="431" spans="1:17" ht="14.25">
      <c r="A431" t="s">
        <v>1213</v>
      </c>
      <c r="B431">
        <v>15108</v>
      </c>
      <c r="K431" s="109"/>
      <c r="L431" s="131"/>
      <c r="M431" s="131"/>
      <c r="N431" s="131"/>
      <c r="O431" s="131"/>
      <c r="Q431"/>
    </row>
    <row r="432" spans="1:17" ht="14.25">
      <c r="A432" t="s">
        <v>1213</v>
      </c>
      <c r="B432" t="s">
        <v>1248</v>
      </c>
      <c r="K432" s="109"/>
      <c r="L432" s="131"/>
      <c r="M432" s="131"/>
      <c r="N432" s="131"/>
      <c r="O432" s="131"/>
      <c r="Q432"/>
    </row>
    <row r="433" spans="1:17" ht="14.25">
      <c r="A433" t="s">
        <v>1213</v>
      </c>
      <c r="B433" t="s">
        <v>1254</v>
      </c>
      <c r="K433" s="109"/>
      <c r="L433" s="131"/>
      <c r="M433" s="131"/>
      <c r="N433" s="131"/>
      <c r="O433" s="131"/>
      <c r="Q433"/>
    </row>
    <row r="434" spans="1:17" ht="14.25">
      <c r="A434" t="s">
        <v>1213</v>
      </c>
      <c r="B434" t="s">
        <v>1255</v>
      </c>
      <c r="K434" s="109"/>
      <c r="L434" s="131"/>
      <c r="M434" s="131"/>
      <c r="N434" s="131"/>
      <c r="O434" s="131"/>
      <c r="Q434"/>
    </row>
    <row r="435" spans="1:17" ht="14.25">
      <c r="A435" t="s">
        <v>1213</v>
      </c>
      <c r="B435" t="s">
        <v>1256</v>
      </c>
      <c r="K435" s="109"/>
      <c r="L435" s="131"/>
      <c r="M435" s="131"/>
      <c r="N435" s="131"/>
      <c r="O435" s="131"/>
      <c r="Q435"/>
    </row>
    <row r="437" spans="1:17" ht="14.1" customHeight="1">
      <c r="O437" s="169"/>
    </row>
  </sheetData>
  <sheetProtection formatColumns="0"/>
  <autoFilter ref="A1:R435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C2:C420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43" customFormat="1" ht="45">
      <c r="A1" s="42" t="s">
        <v>198</v>
      </c>
      <c r="B1" s="42" t="s">
        <v>199</v>
      </c>
      <c r="C1" s="42" t="s">
        <v>200</v>
      </c>
      <c r="D1" s="42" t="s">
        <v>201</v>
      </c>
      <c r="E1" s="107" t="s">
        <v>202</v>
      </c>
      <c r="F1"/>
      <c r="G1"/>
      <c r="H1"/>
    </row>
    <row r="2" spans="1:8">
      <c r="A2" s="69"/>
      <c r="B2" s="69" t="s">
        <v>203</v>
      </c>
      <c r="C2" s="18" t="s">
        <v>204</v>
      </c>
      <c r="D2" s="18"/>
    </row>
    <row r="3" spans="1:8">
      <c r="A3" s="70"/>
      <c r="B3" s="70"/>
      <c r="C3" s="18" t="s">
        <v>205</v>
      </c>
      <c r="D3" s="18"/>
    </row>
    <row r="4" spans="1:8" ht="42.75">
      <c r="A4" s="112"/>
      <c r="B4" s="79" t="s">
        <v>206</v>
      </c>
      <c r="C4" s="19" t="s">
        <v>204</v>
      </c>
      <c r="D4" s="19"/>
    </row>
    <row r="5" spans="1:8">
      <c r="A5" s="113"/>
      <c r="B5" s="80"/>
      <c r="C5" s="19" t="s">
        <v>207</v>
      </c>
      <c r="D5" s="19"/>
    </row>
    <row r="6" spans="1:8">
      <c r="A6" s="113"/>
      <c r="B6" s="80"/>
      <c r="C6" s="19" t="s">
        <v>208</v>
      </c>
      <c r="D6" s="19"/>
    </row>
    <row r="7" spans="1:8">
      <c r="A7" s="113"/>
      <c r="B7" s="80"/>
      <c r="C7" s="19" t="s">
        <v>209</v>
      </c>
      <c r="D7" s="19"/>
    </row>
    <row r="8" spans="1:8">
      <c r="A8" s="113"/>
      <c r="B8" s="80"/>
      <c r="C8" s="19" t="s">
        <v>210</v>
      </c>
      <c r="D8" s="19"/>
    </row>
    <row r="9" spans="1:8">
      <c r="A9" s="113"/>
      <c r="B9" s="80"/>
      <c r="C9" s="19" t="s">
        <v>211</v>
      </c>
      <c r="D9" s="19"/>
    </row>
    <row r="10" spans="1:8">
      <c r="A10" s="113"/>
      <c r="B10" s="80"/>
      <c r="C10" s="19" t="s">
        <v>212</v>
      </c>
      <c r="D10" s="19"/>
    </row>
    <row r="11" spans="1:8">
      <c r="A11" s="113"/>
      <c r="B11" s="80"/>
      <c r="C11" s="19" t="s">
        <v>213</v>
      </c>
      <c r="D11" s="19"/>
      <c r="E11" t="s">
        <v>214</v>
      </c>
    </row>
    <row r="12" spans="1:8">
      <c r="A12" s="113"/>
      <c r="B12" s="80"/>
      <c r="C12" s="19" t="s">
        <v>215</v>
      </c>
      <c r="D12" s="19"/>
      <c r="E12" t="s">
        <v>214</v>
      </c>
    </row>
    <row r="13" spans="1:8">
      <c r="A13" s="113"/>
      <c r="B13" s="80"/>
      <c r="C13" s="19" t="s">
        <v>216</v>
      </c>
      <c r="D13" s="19"/>
    </row>
    <row r="14" spans="1:8">
      <c r="A14" s="113"/>
      <c r="B14" s="80"/>
      <c r="C14" s="19" t="s">
        <v>217</v>
      </c>
      <c r="D14" s="19"/>
    </row>
    <row r="15" spans="1:8">
      <c r="A15" s="113"/>
      <c r="B15" s="80"/>
      <c r="C15" s="19" t="s">
        <v>218</v>
      </c>
      <c r="D15" s="19"/>
    </row>
    <row r="16" spans="1:8">
      <c r="A16" s="113"/>
      <c r="B16" s="80"/>
      <c r="C16" s="19" t="s">
        <v>219</v>
      </c>
      <c r="D16" s="19"/>
    </row>
    <row r="17" spans="1:4">
      <c r="A17" s="113"/>
      <c r="B17" s="80"/>
      <c r="C17" s="19" t="s">
        <v>220</v>
      </c>
      <c r="D17" s="19"/>
    </row>
    <row r="18" spans="1:4">
      <c r="A18" s="113"/>
      <c r="B18" s="80"/>
      <c r="C18" s="19" t="s">
        <v>221</v>
      </c>
      <c r="D18" s="19"/>
    </row>
    <row r="19" spans="1:4">
      <c r="A19" s="113"/>
      <c r="B19" s="80"/>
      <c r="C19" s="19" t="s">
        <v>222</v>
      </c>
      <c r="D19" s="19"/>
    </row>
    <row r="20" spans="1:4">
      <c r="A20" s="113"/>
      <c r="B20" s="80"/>
      <c r="C20" s="19" t="s">
        <v>223</v>
      </c>
      <c r="D20" s="19"/>
    </row>
    <row r="21" spans="1:4">
      <c r="A21" s="113"/>
      <c r="B21" s="80"/>
      <c r="C21" s="19" t="s">
        <v>224</v>
      </c>
      <c r="D21" s="19"/>
    </row>
    <row r="22" spans="1:4">
      <c r="A22" s="113"/>
      <c r="B22" s="80"/>
      <c r="C22" s="19" t="s">
        <v>225</v>
      </c>
      <c r="D22" s="19"/>
    </row>
    <row r="23" spans="1:4">
      <c r="A23" s="113"/>
      <c r="B23" s="80"/>
      <c r="C23" s="19" t="s">
        <v>226</v>
      </c>
      <c r="D23" s="19"/>
    </row>
    <row r="24" spans="1:4">
      <c r="A24" s="113"/>
      <c r="B24" s="80"/>
      <c r="C24" s="19" t="s">
        <v>227</v>
      </c>
      <c r="D24" s="19"/>
    </row>
    <row r="25" spans="1:4">
      <c r="A25" s="113"/>
      <c r="B25" s="80"/>
      <c r="C25" s="19" t="s">
        <v>228</v>
      </c>
      <c r="D25" s="19"/>
    </row>
    <row r="26" spans="1:4">
      <c r="A26" s="113"/>
      <c r="B26" s="80"/>
      <c r="C26" s="19" t="s">
        <v>229</v>
      </c>
      <c r="D26" s="19"/>
    </row>
    <row r="27" spans="1:4">
      <c r="A27" s="113"/>
      <c r="B27" s="80"/>
      <c r="C27" s="19" t="s">
        <v>230</v>
      </c>
      <c r="D27" s="19"/>
    </row>
    <row r="28" spans="1:4">
      <c r="A28" s="113"/>
      <c r="B28" s="80"/>
      <c r="C28" s="19" t="s">
        <v>231</v>
      </c>
      <c r="D28" s="19"/>
    </row>
    <row r="29" spans="1:4">
      <c r="A29" s="113"/>
      <c r="B29" s="80"/>
      <c r="C29" s="19" t="s">
        <v>232</v>
      </c>
      <c r="D29" s="19"/>
    </row>
    <row r="30" spans="1:4">
      <c r="A30" s="113"/>
      <c r="B30" s="80"/>
      <c r="C30" s="19" t="s">
        <v>233</v>
      </c>
      <c r="D30" s="19"/>
    </row>
    <row r="31" spans="1:4">
      <c r="A31" s="113"/>
      <c r="B31" s="80"/>
      <c r="C31" s="19" t="s">
        <v>234</v>
      </c>
      <c r="D31" s="19"/>
    </row>
    <row r="32" spans="1:4">
      <c r="A32" s="113"/>
      <c r="B32" s="80"/>
      <c r="C32" s="19" t="s">
        <v>235</v>
      </c>
      <c r="D32" s="19"/>
    </row>
    <row r="33" spans="1:5">
      <c r="A33" s="113"/>
      <c r="B33" s="80"/>
      <c r="C33" s="19" t="s">
        <v>236</v>
      </c>
      <c r="D33" s="19"/>
    </row>
    <row r="34" spans="1:5">
      <c r="A34" s="113"/>
      <c r="B34" s="80"/>
      <c r="C34" s="19" t="s">
        <v>237</v>
      </c>
      <c r="D34" s="19"/>
    </row>
    <row r="35" spans="1:5">
      <c r="A35" s="113"/>
      <c r="B35" s="80"/>
      <c r="C35" s="19" t="s">
        <v>238</v>
      </c>
      <c r="D35" s="19"/>
    </row>
    <row r="36" spans="1:5">
      <c r="A36" s="113"/>
      <c r="B36" s="80"/>
      <c r="C36" s="19" t="s">
        <v>239</v>
      </c>
      <c r="D36" s="19"/>
      <c r="E36" t="s">
        <v>214</v>
      </c>
    </row>
    <row r="37" spans="1:5">
      <c r="A37" s="113"/>
      <c r="B37" s="80"/>
      <c r="C37" s="108" t="s">
        <v>240</v>
      </c>
      <c r="D37" s="19"/>
      <c r="E37" t="s">
        <v>214</v>
      </c>
    </row>
    <row r="38" spans="1:5">
      <c r="A38" s="113"/>
      <c r="B38" s="80"/>
      <c r="C38" s="19" t="s">
        <v>241</v>
      </c>
      <c r="D38" s="19"/>
    </row>
    <row r="39" spans="1:5">
      <c r="A39" s="113"/>
      <c r="B39" s="80"/>
      <c r="C39" s="19" t="s">
        <v>242</v>
      </c>
      <c r="D39" s="19"/>
    </row>
    <row r="40" spans="1:5">
      <c r="A40" s="113"/>
      <c r="B40" s="80"/>
      <c r="C40" s="19" t="s">
        <v>243</v>
      </c>
      <c r="D40" s="19"/>
      <c r="E40" t="s">
        <v>214</v>
      </c>
    </row>
    <row r="41" spans="1:5">
      <c r="A41" s="113"/>
      <c r="B41" s="80"/>
      <c r="C41" s="19" t="s">
        <v>244</v>
      </c>
      <c r="D41" s="19"/>
    </row>
    <row r="42" spans="1:5">
      <c r="A42" s="113"/>
      <c r="B42" s="80"/>
      <c r="C42" s="19" t="s">
        <v>245</v>
      </c>
      <c r="D42" s="19"/>
    </row>
    <row r="43" spans="1:5">
      <c r="A43" s="113"/>
      <c r="B43" s="80"/>
      <c r="C43" s="19" t="s">
        <v>246</v>
      </c>
      <c r="D43" s="19"/>
    </row>
    <row r="44" spans="1:5">
      <c r="A44" s="113"/>
      <c r="B44" s="80"/>
      <c r="C44" s="19" t="s">
        <v>247</v>
      </c>
      <c r="D44" s="19"/>
    </row>
    <row r="45" spans="1:5">
      <c r="A45" s="113"/>
      <c r="B45" s="80"/>
      <c r="C45" s="19" t="s">
        <v>248</v>
      </c>
      <c r="D45" s="19"/>
    </row>
    <row r="46" spans="1:5">
      <c r="A46" s="113"/>
      <c r="B46" s="80"/>
      <c r="C46" s="19" t="s">
        <v>249</v>
      </c>
      <c r="D46" s="19"/>
      <c r="E46" t="s">
        <v>214</v>
      </c>
    </row>
    <row r="47" spans="1:5">
      <c r="A47" s="113"/>
      <c r="B47" s="80"/>
      <c r="C47" s="19" t="s">
        <v>250</v>
      </c>
      <c r="D47" s="19"/>
    </row>
    <row r="48" spans="1:5">
      <c r="A48" s="113"/>
      <c r="B48" s="80"/>
      <c r="C48" s="19" t="s">
        <v>251</v>
      </c>
      <c r="D48" s="19"/>
    </row>
    <row r="49" spans="1:5">
      <c r="A49" s="113"/>
      <c r="B49" s="80"/>
      <c r="C49" s="19" t="s">
        <v>252</v>
      </c>
      <c r="D49" s="19"/>
    </row>
    <row r="50" spans="1:5">
      <c r="A50" s="113"/>
      <c r="B50" s="80"/>
      <c r="C50" s="19" t="s">
        <v>253</v>
      </c>
      <c r="D50" s="19"/>
    </row>
    <row r="51" spans="1:5">
      <c r="A51" s="113"/>
      <c r="B51" s="80"/>
      <c r="C51" s="19" t="s">
        <v>254</v>
      </c>
      <c r="D51" s="19"/>
    </row>
    <row r="52" spans="1:5">
      <c r="A52" s="113"/>
      <c r="B52" s="80"/>
      <c r="C52" s="19" t="s">
        <v>255</v>
      </c>
      <c r="D52" s="19"/>
    </row>
    <row r="53" spans="1:5">
      <c r="A53" s="113"/>
      <c r="B53" s="80"/>
      <c r="C53" s="19" t="s">
        <v>256</v>
      </c>
      <c r="D53" s="19"/>
    </row>
    <row r="54" spans="1:5">
      <c r="A54" s="113"/>
      <c r="B54" s="80"/>
      <c r="C54" s="19" t="s">
        <v>257</v>
      </c>
      <c r="D54" s="19"/>
    </row>
    <row r="55" spans="1:5">
      <c r="A55" s="113"/>
      <c r="B55" s="80"/>
      <c r="C55" s="19" t="s">
        <v>258</v>
      </c>
      <c r="D55" s="19"/>
    </row>
    <row r="56" spans="1:5">
      <c r="A56" s="113"/>
      <c r="B56" s="80"/>
      <c r="C56" s="19" t="s">
        <v>259</v>
      </c>
      <c r="D56" s="19"/>
    </row>
    <row r="57" spans="1:5">
      <c r="A57" s="113"/>
      <c r="B57" s="80"/>
      <c r="C57" s="19" t="s">
        <v>260</v>
      </c>
      <c r="D57" s="19"/>
    </row>
    <row r="58" spans="1:5">
      <c r="A58" s="113"/>
      <c r="B58" s="80"/>
      <c r="C58" s="19" t="s">
        <v>261</v>
      </c>
      <c r="D58" s="19"/>
    </row>
    <row r="59" spans="1:5">
      <c r="A59" s="113"/>
      <c r="B59" s="80"/>
      <c r="C59" s="19" t="s">
        <v>262</v>
      </c>
      <c r="D59" s="19"/>
    </row>
    <row r="60" spans="1:5">
      <c r="A60" s="113"/>
      <c r="B60" s="80"/>
      <c r="C60" s="19" t="s">
        <v>263</v>
      </c>
      <c r="D60" s="19"/>
    </row>
    <row r="61" spans="1:5">
      <c r="A61" s="113"/>
      <c r="B61" s="80"/>
      <c r="C61" s="19" t="s">
        <v>264</v>
      </c>
      <c r="D61" s="19"/>
    </row>
    <row r="62" spans="1:5">
      <c r="A62" s="113"/>
      <c r="B62" s="80"/>
      <c r="C62" s="19" t="s">
        <v>265</v>
      </c>
      <c r="D62" s="19"/>
    </row>
    <row r="63" spans="1:5">
      <c r="A63" s="113"/>
      <c r="B63" s="80"/>
      <c r="C63" s="19" t="s">
        <v>266</v>
      </c>
      <c r="D63" s="19"/>
      <c r="E63" t="s">
        <v>214</v>
      </c>
    </row>
    <row r="64" spans="1:5">
      <c r="A64" s="113"/>
      <c r="B64" s="80"/>
      <c r="C64" s="19" t="s">
        <v>267</v>
      </c>
      <c r="D64" s="19"/>
    </row>
    <row r="65" spans="1:4">
      <c r="A65" s="113"/>
      <c r="B65" s="80"/>
      <c r="C65" s="19" t="s">
        <v>268</v>
      </c>
      <c r="D65" s="19"/>
    </row>
    <row r="66" spans="1:4">
      <c r="A66" s="113"/>
      <c r="B66" s="80"/>
      <c r="C66" s="19" t="s">
        <v>269</v>
      </c>
      <c r="D66" s="19"/>
    </row>
    <row r="67" spans="1:4">
      <c r="A67" s="113"/>
      <c r="B67" s="80"/>
      <c r="C67" s="19" t="s">
        <v>270</v>
      </c>
      <c r="D67" s="19"/>
    </row>
    <row r="68" spans="1:4">
      <c r="A68" s="113"/>
      <c r="B68" s="80"/>
      <c r="C68" s="19" t="s">
        <v>271</v>
      </c>
      <c r="D68" s="19"/>
    </row>
    <row r="69" spans="1:4">
      <c r="A69" s="113"/>
      <c r="B69" s="80"/>
      <c r="C69" s="19" t="s">
        <v>272</v>
      </c>
      <c r="D69" s="19"/>
    </row>
    <row r="70" spans="1:4">
      <c r="A70" s="113"/>
      <c r="B70" s="80"/>
      <c r="C70" s="19" t="s">
        <v>273</v>
      </c>
      <c r="D70" s="19"/>
    </row>
    <row r="71" spans="1:4">
      <c r="A71" s="113"/>
      <c r="B71" s="80"/>
      <c r="C71" s="19" t="s">
        <v>274</v>
      </c>
      <c r="D71" s="19"/>
    </row>
    <row r="72" spans="1:4">
      <c r="A72" s="113"/>
      <c r="B72" s="80"/>
      <c r="C72" s="19" t="s">
        <v>275</v>
      </c>
      <c r="D72" s="19"/>
    </row>
    <row r="73" spans="1:4">
      <c r="A73" s="113"/>
      <c r="B73" s="80"/>
      <c r="C73" s="19" t="s">
        <v>276</v>
      </c>
      <c r="D73" s="19"/>
    </row>
    <row r="74" spans="1:4">
      <c r="A74" s="113"/>
      <c r="B74" s="80"/>
      <c r="C74" s="19" t="s">
        <v>277</v>
      </c>
      <c r="D74" s="19"/>
    </row>
    <row r="75" spans="1:4">
      <c r="A75" s="113"/>
      <c r="B75" s="80"/>
      <c r="C75" s="19" t="s">
        <v>278</v>
      </c>
      <c r="D75" s="19"/>
    </row>
    <row r="76" spans="1:4">
      <c r="A76" s="113"/>
      <c r="B76" s="80"/>
      <c r="C76" s="19" t="s">
        <v>279</v>
      </c>
      <c r="D76" s="19"/>
    </row>
    <row r="77" spans="1:4">
      <c r="A77" s="113"/>
      <c r="B77" s="80"/>
      <c r="C77" s="19" t="s">
        <v>280</v>
      </c>
      <c r="D77" s="19"/>
    </row>
    <row r="78" spans="1:4">
      <c r="A78" s="113"/>
      <c r="B78" s="80"/>
      <c r="C78" s="19" t="s">
        <v>281</v>
      </c>
      <c r="D78" s="19"/>
    </row>
    <row r="79" spans="1:4">
      <c r="A79" s="113"/>
      <c r="B79" s="80"/>
      <c r="C79" s="19" t="s">
        <v>282</v>
      </c>
      <c r="D79" s="19"/>
    </row>
    <row r="80" spans="1:4">
      <c r="A80" s="113"/>
      <c r="B80" s="80"/>
      <c r="C80" s="19" t="s">
        <v>283</v>
      </c>
      <c r="D80" s="19"/>
    </row>
    <row r="81" spans="1:5">
      <c r="A81" s="113"/>
      <c r="B81" s="80"/>
      <c r="C81" s="19" t="s">
        <v>284</v>
      </c>
      <c r="D81" s="19"/>
    </row>
    <row r="82" spans="1:5">
      <c r="A82" s="113"/>
      <c r="B82" s="80"/>
      <c r="C82" s="19" t="s">
        <v>285</v>
      </c>
      <c r="D82" s="19"/>
    </row>
    <row r="83" spans="1:5">
      <c r="A83" s="113"/>
      <c r="B83" s="80"/>
      <c r="C83" s="19" t="s">
        <v>286</v>
      </c>
      <c r="D83" s="19"/>
    </row>
    <row r="84" spans="1:5">
      <c r="A84" s="113"/>
      <c r="B84" s="80"/>
      <c r="C84" s="19" t="s">
        <v>287</v>
      </c>
      <c r="D84" s="19"/>
    </row>
    <row r="85" spans="1:5">
      <c r="A85" s="113"/>
      <c r="B85" s="80"/>
      <c r="C85" s="19" t="s">
        <v>288</v>
      </c>
      <c r="D85" s="19"/>
    </row>
    <row r="86" spans="1:5">
      <c r="A86" s="113"/>
      <c r="B86" s="80"/>
      <c r="C86" s="19" t="s">
        <v>289</v>
      </c>
      <c r="D86" s="19"/>
    </row>
    <row r="87" spans="1:5">
      <c r="A87" s="113"/>
      <c r="B87" s="80"/>
      <c r="C87" s="19" t="s">
        <v>290</v>
      </c>
      <c r="D87" s="19"/>
    </row>
    <row r="88" spans="1:5">
      <c r="A88" s="113"/>
      <c r="B88" s="80"/>
      <c r="C88" s="19" t="s">
        <v>291</v>
      </c>
      <c r="D88" s="19"/>
    </row>
    <row r="89" spans="1:5">
      <c r="A89" s="113"/>
      <c r="B89" s="80"/>
      <c r="C89" s="19" t="s">
        <v>292</v>
      </c>
      <c r="D89" s="19"/>
    </row>
    <row r="90" spans="1:5">
      <c r="A90" s="113"/>
      <c r="B90" s="80"/>
      <c r="C90" s="19" t="s">
        <v>293</v>
      </c>
      <c r="D90" s="19"/>
    </row>
    <row r="91" spans="1:5">
      <c r="A91" s="113"/>
      <c r="B91" s="80"/>
      <c r="C91" s="19" t="s">
        <v>294</v>
      </c>
      <c r="D91" s="19"/>
    </row>
    <row r="92" spans="1:5">
      <c r="A92" s="113"/>
      <c r="B92" s="80"/>
      <c r="C92" s="19" t="s">
        <v>295</v>
      </c>
      <c r="D92" s="19"/>
    </row>
    <row r="93" spans="1:5">
      <c r="A93" s="113"/>
      <c r="B93" s="80"/>
      <c r="C93" s="19" t="s">
        <v>296</v>
      </c>
      <c r="D93" s="19"/>
    </row>
    <row r="94" spans="1:5">
      <c r="A94" s="113"/>
      <c r="B94" s="80"/>
      <c r="C94" s="19" t="s">
        <v>297</v>
      </c>
      <c r="D94" s="19" t="s">
        <v>298</v>
      </c>
      <c r="E94" t="s">
        <v>214</v>
      </c>
    </row>
    <row r="95" spans="1:5">
      <c r="A95" s="113"/>
      <c r="B95" s="80"/>
      <c r="C95" s="19" t="s">
        <v>299</v>
      </c>
      <c r="D95" s="19" t="s">
        <v>300</v>
      </c>
      <c r="E95" t="s">
        <v>214</v>
      </c>
    </row>
    <row r="96" spans="1:5">
      <c r="A96" s="113"/>
      <c r="B96" s="80"/>
      <c r="C96" s="19" t="s">
        <v>301</v>
      </c>
      <c r="D96" s="19" t="s">
        <v>300</v>
      </c>
      <c r="E96" t="s">
        <v>214</v>
      </c>
    </row>
    <row r="97" spans="1:5">
      <c r="A97" s="113"/>
      <c r="B97" s="80"/>
      <c r="C97" s="19" t="s">
        <v>302</v>
      </c>
      <c r="D97" s="19" t="s">
        <v>300</v>
      </c>
      <c r="E97" t="s">
        <v>214</v>
      </c>
    </row>
    <row r="98" spans="1:5">
      <c r="A98" s="113"/>
      <c r="B98" s="80"/>
      <c r="C98" s="19" t="s">
        <v>303</v>
      </c>
      <c r="D98" s="19" t="s">
        <v>300</v>
      </c>
      <c r="E98" t="s">
        <v>214</v>
      </c>
    </row>
    <row r="99" spans="1:5">
      <c r="A99" s="113"/>
      <c r="B99" s="80"/>
      <c r="C99" s="19" t="s">
        <v>304</v>
      </c>
      <c r="D99" s="19" t="s">
        <v>300</v>
      </c>
      <c r="E99" t="s">
        <v>214</v>
      </c>
    </row>
    <row r="100" spans="1:5">
      <c r="A100" s="113"/>
      <c r="B100" s="80"/>
      <c r="C100" s="19" t="s">
        <v>305</v>
      </c>
      <c r="D100" s="19" t="s">
        <v>300</v>
      </c>
      <c r="E100" t="s">
        <v>214</v>
      </c>
    </row>
    <row r="101" spans="1:5">
      <c r="A101" s="113"/>
      <c r="B101" s="80"/>
      <c r="C101" s="19" t="s">
        <v>306</v>
      </c>
      <c r="D101" s="19" t="s">
        <v>300</v>
      </c>
      <c r="E101" t="s">
        <v>214</v>
      </c>
    </row>
    <row r="102" spans="1:5">
      <c r="A102" s="113"/>
      <c r="B102" s="80"/>
      <c r="C102" s="19" t="s">
        <v>307</v>
      </c>
      <c r="D102" s="19" t="s">
        <v>300</v>
      </c>
      <c r="E102" t="s">
        <v>214</v>
      </c>
    </row>
    <row r="103" spans="1:5">
      <c r="A103" s="113"/>
      <c r="B103" s="80"/>
      <c r="C103" s="19" t="s">
        <v>308</v>
      </c>
      <c r="D103" s="19" t="s">
        <v>300</v>
      </c>
      <c r="E103" t="s">
        <v>214</v>
      </c>
    </row>
    <row r="104" spans="1:5">
      <c r="A104" s="61"/>
      <c r="B104" s="61" t="s">
        <v>81</v>
      </c>
      <c r="C104" s="18" t="s">
        <v>309</v>
      </c>
      <c r="D104" s="18"/>
    </row>
    <row r="105" spans="1:5">
      <c r="A105" s="62"/>
      <c r="B105" s="62"/>
      <c r="C105" s="18" t="s">
        <v>80</v>
      </c>
      <c r="D105" s="18"/>
    </row>
    <row r="106" spans="1:5">
      <c r="A106" s="62"/>
      <c r="B106" s="62"/>
      <c r="C106" s="18" t="s">
        <v>310</v>
      </c>
      <c r="D106" s="18"/>
    </row>
    <row r="107" spans="1:5">
      <c r="A107" s="62"/>
      <c r="B107" s="62"/>
      <c r="C107" s="18" t="s">
        <v>311</v>
      </c>
      <c r="D107" s="18"/>
    </row>
    <row r="108" spans="1:5">
      <c r="A108" s="62"/>
      <c r="B108" s="62"/>
      <c r="C108" s="18" t="s">
        <v>312</v>
      </c>
      <c r="D108" s="18"/>
    </row>
    <row r="109" spans="1:5">
      <c r="A109" s="62"/>
      <c r="B109" s="62"/>
      <c r="C109" s="18" t="s">
        <v>313</v>
      </c>
      <c r="D109" s="18"/>
    </row>
    <row r="110" spans="1:5">
      <c r="A110" s="63"/>
      <c r="B110" s="63"/>
      <c r="C110" s="18" t="s">
        <v>314</v>
      </c>
      <c r="D110" s="18"/>
    </row>
    <row r="111" spans="1:5">
      <c r="A111" s="113"/>
      <c r="B111" s="55" t="s">
        <v>53</v>
      </c>
      <c r="C111" s="19" t="s">
        <v>309</v>
      </c>
      <c r="D111" s="19"/>
    </row>
    <row r="112" spans="1:5">
      <c r="A112" s="113"/>
      <c r="B112" s="56"/>
      <c r="C112" s="19" t="s">
        <v>315</v>
      </c>
      <c r="D112" s="19"/>
    </row>
    <row r="113" spans="1:4">
      <c r="A113" s="113"/>
      <c r="B113" s="57"/>
      <c r="C113" s="19" t="s">
        <v>316</v>
      </c>
      <c r="D113" s="19"/>
    </row>
    <row r="114" spans="1:4">
      <c r="A114" s="114"/>
      <c r="B114" s="114" t="s">
        <v>317</v>
      </c>
      <c r="C114" s="18" t="s">
        <v>309</v>
      </c>
      <c r="D114" s="18"/>
    </row>
    <row r="115" spans="1:4">
      <c r="A115" s="114"/>
      <c r="B115" s="114"/>
      <c r="C115" s="18" t="s">
        <v>310</v>
      </c>
      <c r="D115" s="18"/>
    </row>
    <row r="116" spans="1:4">
      <c r="A116" s="114"/>
      <c r="B116" s="114"/>
      <c r="C116" s="18" t="s">
        <v>311</v>
      </c>
      <c r="D116" s="18"/>
    </row>
    <row r="117" spans="1:4">
      <c r="A117" s="114"/>
      <c r="B117" s="114"/>
      <c r="C117" s="18" t="s">
        <v>313</v>
      </c>
      <c r="D117" s="18"/>
    </row>
    <row r="118" spans="1:4">
      <c r="A118" s="112"/>
      <c r="B118" s="73" t="s">
        <v>151</v>
      </c>
      <c r="C118" s="19" t="s">
        <v>309</v>
      </c>
      <c r="D118" s="19"/>
    </row>
    <row r="119" spans="1:4">
      <c r="A119" s="111"/>
      <c r="B119" s="93"/>
      <c r="C119" s="19" t="s">
        <v>318</v>
      </c>
      <c r="D119" s="19"/>
    </row>
    <row r="120" spans="1:4">
      <c r="A120" s="111"/>
      <c r="B120" s="93"/>
      <c r="C120" s="19" t="s">
        <v>311</v>
      </c>
      <c r="D120" s="19"/>
    </row>
    <row r="121" spans="1:4">
      <c r="A121" s="111"/>
      <c r="B121" s="93"/>
      <c r="C121" s="19" t="s">
        <v>312</v>
      </c>
      <c r="D121" s="19"/>
    </row>
    <row r="122" spans="1:4">
      <c r="A122" s="111"/>
      <c r="B122" s="93"/>
      <c r="C122" s="19" t="s">
        <v>310</v>
      </c>
      <c r="D122" s="19"/>
    </row>
    <row r="123" spans="1:4">
      <c r="A123" s="111"/>
      <c r="B123" s="93"/>
      <c r="C123" s="19" t="s">
        <v>319</v>
      </c>
      <c r="D123" s="19"/>
    </row>
    <row r="124" spans="1:4">
      <c r="A124" s="111"/>
      <c r="B124" s="93"/>
      <c r="C124" s="19" t="s">
        <v>320</v>
      </c>
      <c r="D124" s="19"/>
    </row>
    <row r="125" spans="1:4">
      <c r="A125" s="111"/>
      <c r="B125" s="93"/>
      <c r="C125" s="19" t="s">
        <v>313</v>
      </c>
      <c r="D125" s="19"/>
    </row>
    <row r="126" spans="1:4">
      <c r="A126" s="113"/>
      <c r="B126" s="74"/>
      <c r="C126" s="19" t="s">
        <v>314</v>
      </c>
      <c r="D126" s="19"/>
    </row>
    <row r="127" spans="1:4">
      <c r="A127" s="61"/>
      <c r="B127" s="61" t="s">
        <v>82</v>
      </c>
      <c r="C127" s="18" t="s">
        <v>321</v>
      </c>
      <c r="D127" s="18"/>
    </row>
    <row r="128" spans="1:4">
      <c r="A128" s="62"/>
      <c r="B128" s="62"/>
      <c r="C128" s="18" t="s">
        <v>322</v>
      </c>
      <c r="D128" s="18"/>
    </row>
    <row r="129" spans="1:5">
      <c r="A129" s="62"/>
      <c r="B129" s="62"/>
      <c r="C129" s="18" t="s">
        <v>323</v>
      </c>
      <c r="D129" s="18"/>
    </row>
    <row r="130" spans="1:5">
      <c r="A130" s="62"/>
      <c r="B130" s="62"/>
      <c r="C130" s="18" t="s">
        <v>136</v>
      </c>
      <c r="D130" s="18"/>
    </row>
    <row r="131" spans="1:5">
      <c r="A131" s="62"/>
      <c r="B131" s="62"/>
      <c r="C131" s="18" t="s">
        <v>312</v>
      </c>
      <c r="D131" s="18"/>
    </row>
    <row r="132" spans="1:5">
      <c r="A132" s="113"/>
      <c r="B132" s="56" t="s">
        <v>324</v>
      </c>
      <c r="C132" s="19" t="s">
        <v>321</v>
      </c>
      <c r="D132" s="19"/>
    </row>
    <row r="133" spans="1:5">
      <c r="A133" s="113"/>
      <c r="B133" s="56"/>
      <c r="C133" s="19" t="s">
        <v>312</v>
      </c>
      <c r="D133" s="19"/>
    </row>
    <row r="134" spans="1:5">
      <c r="A134" s="115"/>
      <c r="B134" s="57"/>
      <c r="C134" s="19" t="s">
        <v>314</v>
      </c>
      <c r="D134" s="19"/>
    </row>
    <row r="135" spans="1:5">
      <c r="A135" s="65"/>
      <c r="B135" s="65" t="s">
        <v>89</v>
      </c>
      <c r="C135" s="18" t="s">
        <v>325</v>
      </c>
      <c r="D135" s="18"/>
    </row>
    <row r="136" spans="1:5">
      <c r="A136" s="66"/>
      <c r="B136" s="66"/>
      <c r="C136" s="18" t="s">
        <v>326</v>
      </c>
      <c r="D136" s="18"/>
      <c r="E136" t="s">
        <v>214</v>
      </c>
    </row>
    <row r="137" spans="1:5">
      <c r="A137" s="66"/>
      <c r="B137" s="66"/>
      <c r="C137" s="18" t="s">
        <v>327</v>
      </c>
      <c r="D137" s="18" t="s">
        <v>328</v>
      </c>
    </row>
    <row r="138" spans="1:5">
      <c r="A138" s="66"/>
      <c r="B138" s="66"/>
      <c r="C138" s="18" t="s">
        <v>329</v>
      </c>
      <c r="D138" s="18" t="s">
        <v>330</v>
      </c>
    </row>
    <row r="139" spans="1:5">
      <c r="A139" s="66"/>
      <c r="B139" s="66"/>
      <c r="C139" s="18" t="s">
        <v>331</v>
      </c>
      <c r="D139" s="18"/>
    </row>
    <row r="140" spans="1:5">
      <c r="A140" s="66"/>
      <c r="B140" s="66"/>
      <c r="C140" s="18" t="s">
        <v>332</v>
      </c>
      <c r="D140" s="18"/>
    </row>
    <row r="141" spans="1:5">
      <c r="A141" s="66"/>
      <c r="B141" s="66"/>
      <c r="C141" s="18" t="s">
        <v>333</v>
      </c>
      <c r="D141" s="18"/>
    </row>
    <row r="142" spans="1:5">
      <c r="A142" s="66"/>
      <c r="B142" s="66"/>
      <c r="C142" s="18" t="s">
        <v>334</v>
      </c>
      <c r="D142" s="18"/>
    </row>
    <row r="143" spans="1:5">
      <c r="A143" s="66"/>
      <c r="B143" s="66"/>
      <c r="C143" s="18" t="s">
        <v>335</v>
      </c>
      <c r="D143" s="18"/>
    </row>
    <row r="144" spans="1:5">
      <c r="A144" s="66"/>
      <c r="B144" s="66"/>
      <c r="C144" s="18" t="s">
        <v>336</v>
      </c>
      <c r="D144" s="18"/>
    </row>
    <row r="145" spans="1:4">
      <c r="A145" s="66"/>
      <c r="B145" s="66"/>
      <c r="C145" s="18" t="s">
        <v>314</v>
      </c>
      <c r="D145" s="18"/>
    </row>
    <row r="146" spans="1:4">
      <c r="A146" s="112"/>
      <c r="B146" s="58" t="s">
        <v>337</v>
      </c>
      <c r="C146" s="19" t="s">
        <v>338</v>
      </c>
      <c r="D146" s="19"/>
    </row>
    <row r="147" spans="1:4">
      <c r="A147" s="115"/>
      <c r="B147" s="60"/>
      <c r="C147" s="19" t="s">
        <v>339</v>
      </c>
      <c r="D147" s="19"/>
    </row>
    <row r="148" spans="1:4">
      <c r="A148" s="116"/>
      <c r="B148" s="117" t="s">
        <v>70</v>
      </c>
      <c r="C148" s="18" t="s">
        <v>340</v>
      </c>
      <c r="D148" s="18" t="s">
        <v>341</v>
      </c>
    </row>
    <row r="149" spans="1:4">
      <c r="A149" s="118"/>
      <c r="B149" s="118"/>
      <c r="C149" s="18" t="s">
        <v>342</v>
      </c>
      <c r="D149" s="18" t="s">
        <v>343</v>
      </c>
    </row>
    <row r="150" spans="1:4">
      <c r="A150" s="118"/>
      <c r="B150" s="118"/>
      <c r="C150" s="18" t="s">
        <v>344</v>
      </c>
      <c r="D150" s="18" t="s">
        <v>345</v>
      </c>
    </row>
    <row r="151" spans="1:4">
      <c r="A151" s="118"/>
      <c r="B151" s="118"/>
      <c r="C151" s="18" t="s">
        <v>346</v>
      </c>
      <c r="D151" s="18" t="s">
        <v>347</v>
      </c>
    </row>
    <row r="152" spans="1:4">
      <c r="A152" s="118"/>
      <c r="B152" s="118"/>
      <c r="C152" s="18" t="s">
        <v>348</v>
      </c>
      <c r="D152" s="18" t="s">
        <v>349</v>
      </c>
    </row>
    <row r="153" spans="1:4">
      <c r="A153" s="118"/>
      <c r="B153" s="118"/>
      <c r="C153" s="18" t="s">
        <v>350</v>
      </c>
      <c r="D153" s="18" t="s">
        <v>351</v>
      </c>
    </row>
    <row r="154" spans="1:4">
      <c r="A154" s="118"/>
      <c r="B154" s="118"/>
      <c r="C154" s="18" t="s">
        <v>352</v>
      </c>
      <c r="D154" s="18" t="s">
        <v>353</v>
      </c>
    </row>
    <row r="155" spans="1:4">
      <c r="A155" s="118"/>
      <c r="B155" s="118"/>
      <c r="C155" s="18" t="s">
        <v>354</v>
      </c>
      <c r="D155" s="18" t="s">
        <v>355</v>
      </c>
    </row>
    <row r="156" spans="1:4">
      <c r="A156" s="118"/>
      <c r="B156" s="118"/>
      <c r="C156" s="18" t="s">
        <v>356</v>
      </c>
      <c r="D156" s="18" t="s">
        <v>357</v>
      </c>
    </row>
    <row r="157" spans="1:4">
      <c r="A157" s="118"/>
      <c r="B157" s="118"/>
      <c r="C157" s="18" t="s">
        <v>358</v>
      </c>
      <c r="D157" s="18" t="s">
        <v>359</v>
      </c>
    </row>
    <row r="158" spans="1:4">
      <c r="A158" s="118"/>
      <c r="B158" s="118"/>
      <c r="C158" s="18" t="s">
        <v>360</v>
      </c>
      <c r="D158" s="18" t="s">
        <v>361</v>
      </c>
    </row>
    <row r="159" spans="1:4">
      <c r="A159" s="118"/>
      <c r="B159" s="118"/>
      <c r="C159" s="18" t="s">
        <v>362</v>
      </c>
      <c r="D159" s="18" t="s">
        <v>363</v>
      </c>
    </row>
    <row r="160" spans="1:4">
      <c r="A160" s="118"/>
      <c r="B160" s="118"/>
      <c r="C160" s="18" t="s">
        <v>364</v>
      </c>
      <c r="D160" s="18" t="s">
        <v>365</v>
      </c>
    </row>
    <row r="161" spans="1:4">
      <c r="A161" s="118"/>
      <c r="B161" s="118"/>
      <c r="C161" s="18" t="s">
        <v>366</v>
      </c>
      <c r="D161" s="18" t="s">
        <v>367</v>
      </c>
    </row>
    <row r="162" spans="1:4">
      <c r="A162" s="118"/>
      <c r="B162" s="118"/>
      <c r="C162" s="18" t="s">
        <v>368</v>
      </c>
      <c r="D162" s="18" t="s">
        <v>369</v>
      </c>
    </row>
    <row r="163" spans="1:4">
      <c r="A163" s="118"/>
      <c r="B163" s="118"/>
      <c r="C163" s="18" t="s">
        <v>370</v>
      </c>
      <c r="D163" s="18" t="s">
        <v>371</v>
      </c>
    </row>
    <row r="164" spans="1:4">
      <c r="A164" s="118"/>
      <c r="B164" s="118"/>
      <c r="C164" s="18" t="s">
        <v>372</v>
      </c>
      <c r="D164" s="18" t="s">
        <v>373</v>
      </c>
    </row>
    <row r="165" spans="1:4">
      <c r="A165" s="118"/>
      <c r="B165" s="118"/>
      <c r="C165" s="18" t="s">
        <v>374</v>
      </c>
      <c r="D165" s="18" t="s">
        <v>375</v>
      </c>
    </row>
    <row r="166" spans="1:4">
      <c r="A166" s="118"/>
      <c r="B166" s="118"/>
      <c r="C166" s="18" t="s">
        <v>376</v>
      </c>
      <c r="D166" s="18" t="s">
        <v>377</v>
      </c>
    </row>
    <row r="167" spans="1:4">
      <c r="A167" s="118"/>
      <c r="B167" s="118"/>
      <c r="C167" s="18" t="s">
        <v>378</v>
      </c>
      <c r="D167" s="18" t="s">
        <v>379</v>
      </c>
    </row>
    <row r="168" spans="1:4">
      <c r="A168" s="118"/>
      <c r="B168" s="118"/>
      <c r="C168" s="18" t="s">
        <v>380</v>
      </c>
      <c r="D168" s="18" t="s">
        <v>381</v>
      </c>
    </row>
    <row r="169" spans="1:4">
      <c r="A169" s="118"/>
      <c r="B169" s="118"/>
      <c r="C169" s="18" t="s">
        <v>382</v>
      </c>
      <c r="D169" s="18" t="s">
        <v>383</v>
      </c>
    </row>
    <row r="170" spans="1:4">
      <c r="A170" s="118"/>
      <c r="B170" s="118"/>
      <c r="C170" s="18" t="s">
        <v>384</v>
      </c>
      <c r="D170" s="18" t="s">
        <v>385</v>
      </c>
    </row>
    <row r="171" spans="1:4">
      <c r="A171" s="118"/>
      <c r="B171" s="118"/>
      <c r="C171" s="18" t="s">
        <v>386</v>
      </c>
      <c r="D171" s="18" t="s">
        <v>387</v>
      </c>
    </row>
    <row r="172" spans="1:4">
      <c r="A172" s="118"/>
      <c r="B172" s="118"/>
      <c r="C172" s="18" t="s">
        <v>388</v>
      </c>
      <c r="D172" s="18" t="s">
        <v>389</v>
      </c>
    </row>
    <row r="173" spans="1:4">
      <c r="A173" s="118"/>
      <c r="B173" s="118"/>
      <c r="C173" s="18" t="s">
        <v>390</v>
      </c>
      <c r="D173" s="18" t="s">
        <v>391</v>
      </c>
    </row>
    <row r="174" spans="1:4">
      <c r="A174" s="118"/>
      <c r="B174" s="118"/>
      <c r="C174" s="18" t="s">
        <v>392</v>
      </c>
      <c r="D174" s="18" t="s">
        <v>393</v>
      </c>
    </row>
    <row r="175" spans="1:4">
      <c r="A175" s="118"/>
      <c r="B175" s="118"/>
      <c r="C175" s="18" t="s">
        <v>394</v>
      </c>
      <c r="D175" s="18" t="s">
        <v>395</v>
      </c>
    </row>
    <row r="176" spans="1:4">
      <c r="A176" s="118"/>
      <c r="B176" s="118"/>
      <c r="C176" s="18" t="s">
        <v>396</v>
      </c>
      <c r="D176" s="18" t="s">
        <v>397</v>
      </c>
    </row>
    <row r="177" spans="1:5">
      <c r="A177" s="118"/>
      <c r="B177" s="118"/>
      <c r="C177" s="18" t="s">
        <v>398</v>
      </c>
      <c r="D177" s="18" t="s">
        <v>399</v>
      </c>
    </row>
    <row r="178" spans="1:5">
      <c r="A178" s="118"/>
      <c r="B178" s="118"/>
      <c r="C178" s="18" t="s">
        <v>400</v>
      </c>
      <c r="D178" s="18" t="s">
        <v>401</v>
      </c>
    </row>
    <row r="179" spans="1:5">
      <c r="A179" s="118"/>
      <c r="B179" s="118"/>
      <c r="C179" s="18" t="s">
        <v>402</v>
      </c>
      <c r="D179" s="18" t="s">
        <v>403</v>
      </c>
    </row>
    <row r="180" spans="1:5">
      <c r="A180" s="118"/>
      <c r="B180" s="118"/>
      <c r="C180" s="18" t="s">
        <v>404</v>
      </c>
      <c r="D180" s="18" t="s">
        <v>405</v>
      </c>
      <c r="E180" t="s">
        <v>214</v>
      </c>
    </row>
    <row r="181" spans="1:5">
      <c r="A181" s="118"/>
      <c r="B181" s="118"/>
      <c r="C181" s="18" t="s">
        <v>314</v>
      </c>
      <c r="D181" s="18" t="s">
        <v>314</v>
      </c>
    </row>
    <row r="182" spans="1:5">
      <c r="A182" s="112"/>
      <c r="B182" s="58" t="s">
        <v>406</v>
      </c>
      <c r="C182" s="45" t="s">
        <v>407</v>
      </c>
      <c r="D182" s="45"/>
    </row>
    <row r="183" spans="1:5">
      <c r="A183" s="113"/>
      <c r="B183" s="59"/>
      <c r="C183" s="45" t="s">
        <v>408</v>
      </c>
      <c r="D183" s="45"/>
    </row>
    <row r="184" spans="1:5">
      <c r="A184" s="113"/>
      <c r="B184" s="59"/>
      <c r="C184" s="45" t="s">
        <v>409</v>
      </c>
      <c r="D184" s="45"/>
    </row>
    <row r="185" spans="1:5">
      <c r="A185" s="115"/>
      <c r="B185" s="60"/>
      <c r="C185" s="46" t="s">
        <v>410</v>
      </c>
      <c r="D185" s="46"/>
    </row>
    <row r="186" spans="1:5">
      <c r="A186" s="61"/>
      <c r="B186" s="61" t="s">
        <v>86</v>
      </c>
      <c r="C186" s="44" t="s">
        <v>411</v>
      </c>
      <c r="D186" s="44"/>
    </row>
    <row r="187" spans="1:5">
      <c r="A187" s="62"/>
      <c r="B187" s="62"/>
      <c r="C187" s="44" t="s">
        <v>412</v>
      </c>
      <c r="D187" s="44"/>
    </row>
    <row r="188" spans="1:5">
      <c r="A188" s="112"/>
      <c r="B188" s="58" t="s">
        <v>58</v>
      </c>
      <c r="C188" s="46" t="s">
        <v>413</v>
      </c>
      <c r="D188" s="46" t="s">
        <v>414</v>
      </c>
    </row>
    <row r="189" spans="1:5">
      <c r="A189" s="113"/>
      <c r="B189" s="59"/>
      <c r="C189" s="46" t="s">
        <v>415</v>
      </c>
      <c r="D189" s="46" t="s">
        <v>416</v>
      </c>
    </row>
    <row r="190" spans="1:5">
      <c r="A190" s="113"/>
      <c r="B190" s="59"/>
      <c r="C190" s="46" t="s">
        <v>312</v>
      </c>
      <c r="D190" s="46" t="s">
        <v>312</v>
      </c>
    </row>
    <row r="191" spans="1:5">
      <c r="A191" s="113"/>
      <c r="B191" s="59"/>
      <c r="C191" s="46" t="s">
        <v>417</v>
      </c>
      <c r="D191" s="46" t="s">
        <v>418</v>
      </c>
    </row>
    <row r="192" spans="1:5">
      <c r="A192" s="113"/>
      <c r="B192" s="59"/>
      <c r="C192" s="46" t="s">
        <v>419</v>
      </c>
      <c r="D192" s="46" t="s">
        <v>420</v>
      </c>
    </row>
    <row r="193" spans="1:4">
      <c r="A193" s="113"/>
      <c r="B193" s="59"/>
      <c r="C193" s="46" t="s">
        <v>421</v>
      </c>
      <c r="D193" s="46" t="s">
        <v>422</v>
      </c>
    </row>
    <row r="194" spans="1:4">
      <c r="A194" s="113"/>
      <c r="B194" s="59"/>
      <c r="C194" s="46" t="s">
        <v>423</v>
      </c>
      <c r="D194" s="46" t="s">
        <v>424</v>
      </c>
    </row>
    <row r="195" spans="1:4">
      <c r="A195" s="113"/>
      <c r="B195" s="59"/>
      <c r="C195" s="46" t="s">
        <v>425</v>
      </c>
      <c r="D195" s="46" t="s">
        <v>426</v>
      </c>
    </row>
    <row r="196" spans="1:4">
      <c r="A196" s="113"/>
      <c r="B196" s="59"/>
      <c r="C196" s="46" t="s">
        <v>427</v>
      </c>
      <c r="D196" s="46" t="s">
        <v>428</v>
      </c>
    </row>
    <row r="197" spans="1:4">
      <c r="A197" s="113"/>
      <c r="B197" s="59"/>
      <c r="C197" s="46" t="s">
        <v>429</v>
      </c>
      <c r="D197" s="46" t="s">
        <v>430</v>
      </c>
    </row>
    <row r="198" spans="1:4">
      <c r="A198" s="113"/>
      <c r="B198" s="59"/>
      <c r="C198" s="46" t="s">
        <v>431</v>
      </c>
      <c r="D198" s="46" t="s">
        <v>432</v>
      </c>
    </row>
    <row r="199" spans="1:4">
      <c r="A199" s="113"/>
      <c r="B199" s="59"/>
      <c r="C199" s="46" t="s">
        <v>433</v>
      </c>
      <c r="D199" s="46" t="s">
        <v>434</v>
      </c>
    </row>
    <row r="200" spans="1:4">
      <c r="A200" s="113"/>
      <c r="B200" s="59"/>
      <c r="C200" s="46" t="s">
        <v>314</v>
      </c>
      <c r="D200" s="46" t="s">
        <v>314</v>
      </c>
    </row>
    <row r="201" spans="1:4">
      <c r="A201" s="115"/>
      <c r="B201" s="60"/>
      <c r="C201" s="46" t="s">
        <v>410</v>
      </c>
      <c r="D201" s="46" t="s">
        <v>435</v>
      </c>
    </row>
    <row r="202" spans="1:4">
      <c r="A202" s="117"/>
      <c r="B202" s="117" t="s">
        <v>83</v>
      </c>
      <c r="C202" s="18" t="s">
        <v>436</v>
      </c>
      <c r="D202" s="18"/>
    </row>
    <row r="203" spans="1:4">
      <c r="A203" s="118"/>
      <c r="B203" s="118"/>
      <c r="C203" s="18" t="s">
        <v>437</v>
      </c>
      <c r="D203" s="18"/>
    </row>
    <row r="204" spans="1:4">
      <c r="A204" s="118"/>
      <c r="B204" s="118"/>
      <c r="C204" s="18" t="s">
        <v>438</v>
      </c>
      <c r="D204" s="18"/>
    </row>
    <row r="205" spans="1:4">
      <c r="A205" s="118"/>
      <c r="B205" s="118"/>
      <c r="C205" s="18" t="s">
        <v>439</v>
      </c>
      <c r="D205" s="18"/>
    </row>
    <row r="206" spans="1:4">
      <c r="A206" s="118"/>
      <c r="B206" s="118"/>
      <c r="C206" s="18" t="s">
        <v>440</v>
      </c>
      <c r="D206" s="18"/>
    </row>
    <row r="207" spans="1:4">
      <c r="A207" s="118"/>
      <c r="B207" s="118"/>
      <c r="C207" s="18" t="s">
        <v>441</v>
      </c>
      <c r="D207" s="18"/>
    </row>
    <row r="208" spans="1:4">
      <c r="A208" s="118"/>
      <c r="B208" s="118"/>
      <c r="C208" s="18" t="s">
        <v>442</v>
      </c>
      <c r="D208" s="18"/>
    </row>
    <row r="209" spans="1:5">
      <c r="A209" s="118"/>
      <c r="B209" s="118"/>
      <c r="C209" s="18" t="s">
        <v>443</v>
      </c>
      <c r="D209" s="18"/>
    </row>
    <row r="210" spans="1:5">
      <c r="A210" s="118"/>
      <c r="B210" s="118"/>
      <c r="C210" s="18" t="s">
        <v>444</v>
      </c>
      <c r="D210" s="18"/>
    </row>
    <row r="211" spans="1:5">
      <c r="A211" s="118"/>
      <c r="B211" s="118"/>
      <c r="C211" s="18" t="s">
        <v>445</v>
      </c>
      <c r="D211" s="18"/>
    </row>
    <row r="212" spans="1:5">
      <c r="A212" s="118"/>
      <c r="B212" s="118"/>
      <c r="C212" s="18" t="s">
        <v>446</v>
      </c>
      <c r="D212" s="18"/>
    </row>
    <row r="213" spans="1:5">
      <c r="A213" s="118"/>
      <c r="B213" s="118"/>
      <c r="C213" s="18" t="s">
        <v>447</v>
      </c>
      <c r="D213" s="18"/>
    </row>
    <row r="214" spans="1:5">
      <c r="A214" s="118"/>
      <c r="B214" s="118"/>
      <c r="C214" s="18" t="s">
        <v>448</v>
      </c>
      <c r="D214" s="18"/>
    </row>
    <row r="215" spans="1:5">
      <c r="A215" s="118"/>
      <c r="B215" s="118"/>
      <c r="C215" s="18" t="s">
        <v>449</v>
      </c>
      <c r="D215" s="18"/>
    </row>
    <row r="216" spans="1:5">
      <c r="A216" s="118"/>
      <c r="B216" s="118"/>
      <c r="C216" s="18" t="s">
        <v>450</v>
      </c>
      <c r="D216" s="18"/>
    </row>
    <row r="217" spans="1:5">
      <c r="A217" s="118"/>
      <c r="B217" s="118"/>
      <c r="C217" s="18" t="s">
        <v>451</v>
      </c>
      <c r="D217" s="18"/>
    </row>
    <row r="218" spans="1:5">
      <c r="A218" s="118"/>
      <c r="B218" s="118"/>
      <c r="C218" s="18" t="s">
        <v>452</v>
      </c>
      <c r="D218" s="18" t="s">
        <v>453</v>
      </c>
      <c r="E218" t="s">
        <v>214</v>
      </c>
    </row>
    <row r="219" spans="1:5">
      <c r="A219" s="118"/>
      <c r="B219" s="118"/>
      <c r="C219" s="18" t="s">
        <v>454</v>
      </c>
      <c r="D219" s="18"/>
    </row>
    <row r="220" spans="1:5">
      <c r="A220" s="118"/>
      <c r="B220" s="118"/>
      <c r="C220" s="18" t="s">
        <v>455</v>
      </c>
      <c r="D220" s="18"/>
    </row>
    <row r="221" spans="1:5">
      <c r="A221" s="118"/>
      <c r="B221" s="118"/>
      <c r="C221" s="18" t="s">
        <v>456</v>
      </c>
      <c r="D221" s="18"/>
    </row>
    <row r="222" spans="1:5">
      <c r="A222" s="118"/>
      <c r="B222" s="118"/>
      <c r="C222" s="18" t="s">
        <v>457</v>
      </c>
      <c r="D222" s="18"/>
    </row>
    <row r="223" spans="1:5">
      <c r="A223" s="118"/>
      <c r="B223" s="118"/>
      <c r="C223" s="18" t="s">
        <v>458</v>
      </c>
      <c r="D223" s="18"/>
    </row>
    <row r="224" spans="1:5">
      <c r="A224" s="118"/>
      <c r="B224" s="118"/>
      <c r="C224" s="18" t="s">
        <v>459</v>
      </c>
      <c r="D224" s="18"/>
    </row>
    <row r="225" spans="1:4">
      <c r="A225" s="118"/>
      <c r="B225" s="118"/>
      <c r="C225" s="18" t="s">
        <v>460</v>
      </c>
      <c r="D225" s="18"/>
    </row>
    <row r="226" spans="1:4">
      <c r="A226" s="118"/>
      <c r="B226" s="118"/>
      <c r="C226" s="18" t="s">
        <v>461</v>
      </c>
      <c r="D226" s="18"/>
    </row>
    <row r="227" spans="1:4">
      <c r="A227" s="118"/>
      <c r="B227" s="118"/>
      <c r="C227" s="18" t="s">
        <v>462</v>
      </c>
      <c r="D227" s="18"/>
    </row>
    <row r="228" spans="1:4">
      <c r="A228" s="118"/>
      <c r="B228" s="118"/>
      <c r="C228" s="18" t="s">
        <v>463</v>
      </c>
      <c r="D228" s="18"/>
    </row>
    <row r="229" spans="1:4">
      <c r="A229" s="118"/>
      <c r="B229" s="118"/>
      <c r="C229" s="18" t="s">
        <v>464</v>
      </c>
      <c r="D229" s="18"/>
    </row>
    <row r="230" spans="1:4">
      <c r="A230" s="118"/>
      <c r="B230" s="118"/>
      <c r="C230" s="18" t="s">
        <v>465</v>
      </c>
      <c r="D230" s="18"/>
    </row>
    <row r="231" spans="1:4">
      <c r="A231" s="118"/>
      <c r="B231" s="118"/>
      <c r="C231" s="18" t="s">
        <v>466</v>
      </c>
      <c r="D231" s="18"/>
    </row>
    <row r="232" spans="1:4">
      <c r="A232" s="118"/>
      <c r="B232" s="118"/>
      <c r="C232" s="18" t="s">
        <v>467</v>
      </c>
      <c r="D232" s="18"/>
    </row>
    <row r="233" spans="1:4">
      <c r="A233" s="118"/>
      <c r="B233" s="118"/>
      <c r="C233" s="18" t="s">
        <v>468</v>
      </c>
      <c r="D233" s="18"/>
    </row>
    <row r="234" spans="1:4">
      <c r="A234" s="118"/>
      <c r="B234" s="118"/>
      <c r="C234" s="18" t="s">
        <v>469</v>
      </c>
      <c r="D234" s="18"/>
    </row>
    <row r="235" spans="1:4">
      <c r="A235" s="118"/>
      <c r="B235" s="118"/>
      <c r="C235" s="18" t="s">
        <v>470</v>
      </c>
      <c r="D235" s="18"/>
    </row>
    <row r="236" spans="1:4">
      <c r="A236" s="118"/>
      <c r="B236" s="118"/>
      <c r="C236" s="18" t="s">
        <v>471</v>
      </c>
      <c r="D236" s="18"/>
    </row>
    <row r="237" spans="1:4">
      <c r="A237" s="118"/>
      <c r="B237" s="118"/>
      <c r="C237" s="18" t="s">
        <v>472</v>
      </c>
      <c r="D237" s="18"/>
    </row>
    <row r="238" spans="1:4">
      <c r="A238" s="118"/>
      <c r="B238" s="118"/>
      <c r="C238" s="18" t="s">
        <v>24</v>
      </c>
      <c r="D238" s="18"/>
    </row>
    <row r="239" spans="1:4">
      <c r="A239" s="118"/>
      <c r="B239" s="118"/>
      <c r="C239" s="18" t="s">
        <v>473</v>
      </c>
      <c r="D239" s="18"/>
    </row>
    <row r="240" spans="1:4">
      <c r="A240" s="118"/>
      <c r="B240" s="118"/>
      <c r="C240" s="18" t="s">
        <v>474</v>
      </c>
      <c r="D240" s="18"/>
    </row>
    <row r="241" spans="1:4">
      <c r="A241" s="118"/>
      <c r="B241" s="118"/>
      <c r="C241" s="18" t="s">
        <v>475</v>
      </c>
      <c r="D241" s="18"/>
    </row>
    <row r="242" spans="1:4">
      <c r="A242" s="118"/>
      <c r="B242" s="118"/>
      <c r="C242" s="18" t="s">
        <v>476</v>
      </c>
      <c r="D242" s="18"/>
    </row>
    <row r="243" spans="1:4">
      <c r="A243" s="118"/>
      <c r="B243" s="118"/>
      <c r="C243" s="18" t="s">
        <v>477</v>
      </c>
      <c r="D243" s="18"/>
    </row>
    <row r="244" spans="1:4">
      <c r="A244" s="118"/>
      <c r="B244" s="118"/>
      <c r="C244" s="18" t="s">
        <v>478</v>
      </c>
      <c r="D244" s="18"/>
    </row>
    <row r="245" spans="1:4">
      <c r="A245" s="118"/>
      <c r="B245" s="118"/>
      <c r="C245" s="18" t="s">
        <v>479</v>
      </c>
      <c r="D245" s="18"/>
    </row>
    <row r="246" spans="1:4">
      <c r="A246" s="118"/>
      <c r="B246" s="118"/>
      <c r="C246" s="18" t="s">
        <v>480</v>
      </c>
      <c r="D246" s="18"/>
    </row>
    <row r="247" spans="1:4">
      <c r="A247" s="118"/>
      <c r="B247" s="118"/>
      <c r="C247" s="18" t="s">
        <v>481</v>
      </c>
      <c r="D247" s="18"/>
    </row>
    <row r="248" spans="1:4">
      <c r="A248" s="118"/>
      <c r="B248" s="118"/>
      <c r="C248" s="18" t="s">
        <v>482</v>
      </c>
      <c r="D248" s="18"/>
    </row>
    <row r="249" spans="1:4">
      <c r="A249" s="118"/>
      <c r="B249" s="118"/>
      <c r="C249" s="18" t="s">
        <v>483</v>
      </c>
      <c r="D249" s="18"/>
    </row>
    <row r="250" spans="1:4">
      <c r="A250" s="118"/>
      <c r="B250" s="118"/>
      <c r="C250" s="18" t="s">
        <v>484</v>
      </c>
      <c r="D250" s="18"/>
    </row>
    <row r="251" spans="1:4">
      <c r="A251" s="118"/>
      <c r="B251" s="118"/>
      <c r="C251" s="18" t="s">
        <v>485</v>
      </c>
      <c r="D251" s="18"/>
    </row>
    <row r="252" spans="1:4">
      <c r="A252" s="118"/>
      <c r="B252" s="118"/>
      <c r="C252" s="18" t="s">
        <v>314</v>
      </c>
      <c r="D252" s="18"/>
    </row>
    <row r="253" spans="1:4">
      <c r="A253" s="118"/>
      <c r="B253" s="118"/>
      <c r="C253" s="18" t="s">
        <v>486</v>
      </c>
      <c r="D253" s="18"/>
    </row>
    <row r="254" spans="1:4">
      <c r="A254" s="118"/>
      <c r="B254" s="118"/>
      <c r="C254" s="18" t="s">
        <v>487</v>
      </c>
      <c r="D254" s="18"/>
    </row>
    <row r="255" spans="1:4">
      <c r="A255" s="118"/>
      <c r="B255" s="118"/>
      <c r="C255" s="18" t="s">
        <v>488</v>
      </c>
      <c r="D255" s="18"/>
    </row>
    <row r="256" spans="1:4">
      <c r="A256" s="118"/>
      <c r="B256" s="118"/>
      <c r="C256" s="18" t="s">
        <v>489</v>
      </c>
      <c r="D256" s="18"/>
    </row>
    <row r="257" spans="1:5">
      <c r="A257" s="118"/>
      <c r="B257" s="118"/>
      <c r="C257" s="18" t="s">
        <v>490</v>
      </c>
      <c r="D257" s="18"/>
    </row>
    <row r="258" spans="1:5">
      <c r="A258" s="118"/>
      <c r="B258" s="118"/>
      <c r="C258" s="18" t="s">
        <v>491</v>
      </c>
      <c r="D258" s="18"/>
    </row>
    <row r="259" spans="1:5">
      <c r="A259" s="118"/>
      <c r="B259" s="118"/>
      <c r="C259" s="18" t="s">
        <v>492</v>
      </c>
      <c r="D259" s="18"/>
    </row>
    <row r="260" spans="1:5">
      <c r="A260" s="118"/>
      <c r="B260" s="118"/>
      <c r="C260" s="18" t="s">
        <v>493</v>
      </c>
      <c r="D260" s="18"/>
    </row>
    <row r="261" spans="1:5">
      <c r="A261" s="118"/>
      <c r="B261" s="118"/>
      <c r="C261" s="18" t="s">
        <v>494</v>
      </c>
      <c r="D261" s="18"/>
    </row>
    <row r="262" spans="1:5">
      <c r="A262" s="118"/>
      <c r="B262" s="118"/>
      <c r="C262" s="18" t="s">
        <v>495</v>
      </c>
      <c r="D262" s="18"/>
    </row>
    <row r="263" spans="1:5">
      <c r="A263" s="118"/>
      <c r="B263" s="118"/>
      <c r="C263" s="18" t="s">
        <v>496</v>
      </c>
      <c r="D263" s="18"/>
    </row>
    <row r="264" spans="1:5">
      <c r="A264" s="118"/>
      <c r="B264" s="118"/>
      <c r="C264" s="18" t="s">
        <v>497</v>
      </c>
      <c r="D264" s="18"/>
    </row>
    <row r="265" spans="1:5">
      <c r="A265" s="118"/>
      <c r="B265" s="118"/>
      <c r="C265" s="18" t="s">
        <v>498</v>
      </c>
      <c r="D265" s="18"/>
    </row>
    <row r="266" spans="1:5">
      <c r="A266" s="118"/>
      <c r="B266" s="118"/>
      <c r="C266" s="18" t="s">
        <v>499</v>
      </c>
      <c r="D266" s="18"/>
    </row>
    <row r="267" spans="1:5">
      <c r="A267" s="118"/>
      <c r="B267" s="118"/>
      <c r="C267" s="18" t="s">
        <v>500</v>
      </c>
      <c r="D267" s="18"/>
    </row>
    <row r="268" spans="1:5">
      <c r="A268" s="118"/>
      <c r="B268" s="118"/>
      <c r="C268" s="18" t="s">
        <v>501</v>
      </c>
      <c r="D268" s="18"/>
    </row>
    <row r="269" spans="1:5">
      <c r="A269" s="118"/>
      <c r="B269" s="118"/>
      <c r="C269" s="18" t="s">
        <v>502</v>
      </c>
      <c r="D269" s="18"/>
    </row>
    <row r="270" spans="1:5">
      <c r="A270" s="118"/>
      <c r="B270" s="118"/>
      <c r="C270" s="18" t="s">
        <v>503</v>
      </c>
      <c r="D270" s="18" t="s">
        <v>504</v>
      </c>
      <c r="E270" t="s">
        <v>214</v>
      </c>
    </row>
    <row r="271" spans="1:5">
      <c r="A271" s="118"/>
      <c r="B271" s="118"/>
      <c r="C271" s="18" t="s">
        <v>505</v>
      </c>
      <c r="D271" s="18" t="s">
        <v>506</v>
      </c>
      <c r="E271" t="s">
        <v>214</v>
      </c>
    </row>
    <row r="272" spans="1:5">
      <c r="A272" s="118"/>
      <c r="B272" s="118"/>
      <c r="C272" s="18" t="s">
        <v>507</v>
      </c>
      <c r="D272" s="18" t="s">
        <v>508</v>
      </c>
      <c r="E272" t="s">
        <v>214</v>
      </c>
    </row>
    <row r="273" spans="1:5">
      <c r="A273" s="118"/>
      <c r="B273" s="118"/>
      <c r="C273" s="18" t="s">
        <v>509</v>
      </c>
      <c r="D273" s="18"/>
    </row>
    <row r="274" spans="1:5">
      <c r="A274" s="118"/>
      <c r="B274" s="118"/>
      <c r="C274" s="18" t="s">
        <v>510</v>
      </c>
      <c r="D274" s="18" t="s">
        <v>511</v>
      </c>
      <c r="E274" t="s">
        <v>214</v>
      </c>
    </row>
    <row r="275" spans="1:5">
      <c r="A275" s="118"/>
      <c r="B275" s="118"/>
      <c r="C275" s="18" t="s">
        <v>512</v>
      </c>
      <c r="D275" s="18"/>
    </row>
    <row r="276" spans="1:5">
      <c r="A276" s="118"/>
      <c r="B276" s="118"/>
      <c r="C276" s="18" t="s">
        <v>513</v>
      </c>
      <c r="D276" s="18"/>
    </row>
    <row r="277" spans="1:5">
      <c r="A277" s="118"/>
      <c r="B277" s="118"/>
      <c r="C277" s="18" t="s">
        <v>514</v>
      </c>
      <c r="D277" s="18"/>
    </row>
    <row r="278" spans="1:5">
      <c r="A278" s="118"/>
      <c r="B278" s="118"/>
      <c r="C278" s="18" t="s">
        <v>515</v>
      </c>
      <c r="D278" s="18"/>
    </row>
    <row r="279" spans="1:5">
      <c r="A279" s="118"/>
      <c r="B279" s="118"/>
      <c r="C279" s="18" t="s">
        <v>516</v>
      </c>
      <c r="D279" s="18"/>
    </row>
    <row r="280" spans="1:5">
      <c r="A280" s="118"/>
      <c r="B280" s="118"/>
      <c r="C280" s="18" t="s">
        <v>517</v>
      </c>
      <c r="D280" s="18"/>
    </row>
    <row r="281" spans="1:5">
      <c r="A281" s="118"/>
      <c r="B281" s="118"/>
      <c r="C281" s="18" t="s">
        <v>518</v>
      </c>
      <c r="D281" s="18"/>
    </row>
    <row r="282" spans="1:5">
      <c r="A282" s="118"/>
      <c r="B282" s="118"/>
      <c r="C282" s="18" t="s">
        <v>519</v>
      </c>
      <c r="D282" s="18" t="s">
        <v>520</v>
      </c>
      <c r="E282" t="s">
        <v>214</v>
      </c>
    </row>
    <row r="283" spans="1:5">
      <c r="A283" s="118"/>
      <c r="B283" s="118"/>
      <c r="C283" s="18" t="s">
        <v>521</v>
      </c>
      <c r="D283" s="18"/>
    </row>
    <row r="284" spans="1:5">
      <c r="A284" s="118"/>
      <c r="B284" s="118"/>
      <c r="C284" s="18" t="s">
        <v>522</v>
      </c>
      <c r="D284" s="18" t="s">
        <v>523</v>
      </c>
      <c r="E284" t="s">
        <v>214</v>
      </c>
    </row>
    <row r="285" spans="1:5">
      <c r="A285" s="118"/>
      <c r="B285" s="118"/>
      <c r="C285" s="18" t="s">
        <v>524</v>
      </c>
      <c r="D285" s="18"/>
    </row>
    <row r="286" spans="1:5">
      <c r="A286" s="118"/>
      <c r="B286" s="118"/>
      <c r="C286" s="18" t="s">
        <v>525</v>
      </c>
      <c r="D286" s="18"/>
    </row>
    <row r="287" spans="1:5">
      <c r="A287" s="118"/>
      <c r="B287" s="118"/>
      <c r="C287" s="18" t="s">
        <v>526</v>
      </c>
      <c r="D287" s="18"/>
    </row>
    <row r="288" spans="1:5">
      <c r="A288" s="118"/>
      <c r="B288" s="118"/>
      <c r="C288" s="18" t="s">
        <v>527</v>
      </c>
      <c r="D288" s="18"/>
    </row>
    <row r="289" spans="1:5">
      <c r="A289" s="118"/>
      <c r="B289" s="118"/>
      <c r="C289" s="18" t="s">
        <v>528</v>
      </c>
      <c r="D289" s="18" t="s">
        <v>529</v>
      </c>
      <c r="E289" t="s">
        <v>214</v>
      </c>
    </row>
    <row r="290" spans="1:5">
      <c r="A290" s="118"/>
      <c r="B290" s="118"/>
      <c r="C290" s="18" t="s">
        <v>530</v>
      </c>
      <c r="D290" s="18"/>
    </row>
    <row r="291" spans="1:5">
      <c r="A291" s="118"/>
      <c r="B291" s="118"/>
      <c r="C291" s="18" t="s">
        <v>531</v>
      </c>
      <c r="D291" s="18"/>
    </row>
    <row r="292" spans="1:5">
      <c r="A292" s="118"/>
      <c r="B292" s="118"/>
      <c r="C292" s="18" t="s">
        <v>532</v>
      </c>
      <c r="D292" s="18"/>
    </row>
    <row r="293" spans="1:5">
      <c r="A293" s="118"/>
      <c r="B293" s="118"/>
      <c r="C293" s="18" t="s">
        <v>533</v>
      </c>
      <c r="D293" s="18"/>
    </row>
    <row r="294" spans="1:5">
      <c r="A294" s="118"/>
      <c r="B294" s="118"/>
      <c r="C294" s="18" t="s">
        <v>534</v>
      </c>
      <c r="D294" s="18"/>
    </row>
    <row r="295" spans="1:5">
      <c r="A295" s="118"/>
      <c r="B295" s="118"/>
      <c r="C295" s="18" t="s">
        <v>535</v>
      </c>
      <c r="D295" s="18"/>
    </row>
    <row r="296" spans="1:5">
      <c r="A296" s="118"/>
      <c r="B296" s="118"/>
      <c r="C296" s="18" t="s">
        <v>536</v>
      </c>
      <c r="D296" s="18"/>
    </row>
    <row r="297" spans="1:5">
      <c r="A297" s="118"/>
      <c r="B297" s="118"/>
      <c r="C297" s="18" t="s">
        <v>537</v>
      </c>
      <c r="D297" s="18" t="s">
        <v>538</v>
      </c>
      <c r="E297" t="s">
        <v>214</v>
      </c>
    </row>
    <row r="298" spans="1:5">
      <c r="A298" s="118"/>
      <c r="B298" s="118"/>
      <c r="C298" s="18" t="s">
        <v>539</v>
      </c>
      <c r="D298" s="18"/>
    </row>
    <row r="299" spans="1:5">
      <c r="A299" s="118"/>
      <c r="B299" s="118"/>
      <c r="C299" s="18" t="s">
        <v>540</v>
      </c>
      <c r="D299" s="18"/>
    </row>
    <row r="300" spans="1:5">
      <c r="A300" s="118"/>
      <c r="B300" s="118"/>
      <c r="C300" s="18" t="s">
        <v>541</v>
      </c>
      <c r="D300" s="18"/>
      <c r="E300" t="s">
        <v>214</v>
      </c>
    </row>
    <row r="301" spans="1:5">
      <c r="A301" s="118"/>
      <c r="B301" s="118"/>
      <c r="C301" s="18" t="s">
        <v>542</v>
      </c>
      <c r="D301" s="18"/>
    </row>
    <row r="302" spans="1:5">
      <c r="A302" s="118"/>
      <c r="B302" s="118"/>
      <c r="C302" s="18" t="s">
        <v>543</v>
      </c>
      <c r="D302" s="18"/>
    </row>
    <row r="303" spans="1:5">
      <c r="A303" s="118"/>
      <c r="B303" s="118"/>
      <c r="C303" s="18" t="s">
        <v>544</v>
      </c>
      <c r="D303" s="18"/>
    </row>
    <row r="304" spans="1:5">
      <c r="A304" s="118"/>
      <c r="B304" s="118"/>
      <c r="C304" s="18" t="s">
        <v>545</v>
      </c>
      <c r="D304" s="18"/>
    </row>
    <row r="305" spans="1:5">
      <c r="A305" s="118"/>
      <c r="B305" s="118"/>
      <c r="C305" s="18" t="s">
        <v>546</v>
      </c>
      <c r="D305" s="18"/>
    </row>
    <row r="306" spans="1:5">
      <c r="A306" s="118"/>
      <c r="B306" s="118"/>
      <c r="C306" s="18" t="s">
        <v>547</v>
      </c>
      <c r="D306" s="18"/>
    </row>
    <row r="307" spans="1:5">
      <c r="A307" s="118"/>
      <c r="B307" s="118"/>
      <c r="C307" s="18" t="s">
        <v>548</v>
      </c>
      <c r="D307" s="18"/>
    </row>
    <row r="308" spans="1:5">
      <c r="A308" s="118"/>
      <c r="B308" s="118"/>
      <c r="C308" s="18" t="s">
        <v>549</v>
      </c>
      <c r="D308" s="18"/>
    </row>
    <row r="309" spans="1:5">
      <c r="A309" s="118"/>
      <c r="B309" s="118"/>
      <c r="C309" s="18" t="s">
        <v>550</v>
      </c>
      <c r="D309" s="18"/>
    </row>
    <row r="310" spans="1:5">
      <c r="A310" s="118"/>
      <c r="B310" s="118"/>
      <c r="C310" s="18" t="s">
        <v>551</v>
      </c>
      <c r="D310" s="18"/>
      <c r="E310" t="s">
        <v>214</v>
      </c>
    </row>
    <row r="311" spans="1:5">
      <c r="A311" s="118"/>
      <c r="B311" s="118"/>
      <c r="C311" s="18" t="s">
        <v>552</v>
      </c>
      <c r="D311" s="18"/>
      <c r="E311" t="s">
        <v>214</v>
      </c>
    </row>
    <row r="312" spans="1:5">
      <c r="A312" s="118"/>
      <c r="B312" s="118"/>
      <c r="C312" s="18" t="s">
        <v>553</v>
      </c>
      <c r="D312" s="18"/>
      <c r="E312" t="s">
        <v>214</v>
      </c>
    </row>
    <row r="313" spans="1:5">
      <c r="A313" s="118"/>
      <c r="B313" s="118"/>
      <c r="C313" s="18" t="s">
        <v>554</v>
      </c>
      <c r="D313" s="18"/>
    </row>
    <row r="314" spans="1:5">
      <c r="A314" s="118"/>
      <c r="B314" s="118"/>
      <c r="C314" s="18" t="s">
        <v>555</v>
      </c>
      <c r="D314" s="18"/>
    </row>
    <row r="315" spans="1:5">
      <c r="A315" s="118"/>
      <c r="B315" s="118"/>
      <c r="C315" s="18" t="s">
        <v>556</v>
      </c>
      <c r="D315" s="18"/>
    </row>
    <row r="316" spans="1:5">
      <c r="A316" s="118"/>
      <c r="B316" s="118"/>
      <c r="C316" s="18" t="s">
        <v>557</v>
      </c>
      <c r="D316" s="18"/>
    </row>
    <row r="317" spans="1:5">
      <c r="A317" s="118"/>
      <c r="B317" s="118"/>
      <c r="C317" s="18" t="s">
        <v>558</v>
      </c>
      <c r="D317" s="18"/>
    </row>
    <row r="318" spans="1:5">
      <c r="A318" s="118"/>
      <c r="B318" s="118"/>
      <c r="C318" s="18" t="s">
        <v>559</v>
      </c>
      <c r="D318" s="103" t="s">
        <v>560</v>
      </c>
      <c r="E318" t="s">
        <v>214</v>
      </c>
    </row>
    <row r="319" spans="1:5">
      <c r="A319" s="118"/>
      <c r="B319" s="118"/>
      <c r="C319" s="18" t="s">
        <v>561</v>
      </c>
      <c r="D319" s="18"/>
    </row>
    <row r="320" spans="1:5">
      <c r="A320" s="118"/>
      <c r="B320" s="118"/>
      <c r="C320" s="18" t="s">
        <v>562</v>
      </c>
      <c r="D320" s="18"/>
    </row>
    <row r="321" spans="1:5">
      <c r="A321" s="118"/>
      <c r="B321" s="118"/>
      <c r="C321" s="18" t="s">
        <v>563</v>
      </c>
      <c r="D321" s="18"/>
    </row>
    <row r="322" spans="1:5">
      <c r="A322" s="118"/>
      <c r="B322" s="118"/>
      <c r="C322" s="18" t="s">
        <v>564</v>
      </c>
      <c r="D322" s="18"/>
    </row>
    <row r="323" spans="1:5">
      <c r="A323" s="118"/>
      <c r="B323" s="118"/>
      <c r="C323" s="18" t="s">
        <v>565</v>
      </c>
      <c r="D323" s="18"/>
    </row>
    <row r="324" spans="1:5">
      <c r="A324" s="118"/>
      <c r="B324" s="118"/>
      <c r="C324" s="18" t="s">
        <v>566</v>
      </c>
      <c r="D324" s="18"/>
    </row>
    <row r="325" spans="1:5">
      <c r="A325" s="118"/>
      <c r="B325" s="118"/>
      <c r="C325" s="18" t="s">
        <v>567</v>
      </c>
      <c r="D325" s="18"/>
    </row>
    <row r="326" spans="1:5">
      <c r="A326" s="118"/>
      <c r="B326" s="118"/>
      <c r="C326" s="18" t="s">
        <v>568</v>
      </c>
      <c r="D326" s="18"/>
    </row>
    <row r="327" spans="1:5">
      <c r="A327" s="118"/>
      <c r="B327" s="118"/>
      <c r="C327" s="18" t="s">
        <v>569</v>
      </c>
      <c r="D327" s="18"/>
    </row>
    <row r="328" spans="1:5">
      <c r="A328" s="112"/>
      <c r="B328" s="119" t="s">
        <v>90</v>
      </c>
      <c r="C328" s="46" t="s">
        <v>570</v>
      </c>
      <c r="D328" s="46"/>
      <c r="E328" t="s">
        <v>214</v>
      </c>
    </row>
    <row r="329" spans="1:5">
      <c r="A329" s="113"/>
      <c r="B329" s="120"/>
      <c r="C329" s="46" t="s">
        <v>571</v>
      </c>
      <c r="D329" s="46"/>
      <c r="E329" t="s">
        <v>214</v>
      </c>
    </row>
    <row r="330" spans="1:5">
      <c r="A330" s="113"/>
      <c r="B330" s="120"/>
      <c r="C330" s="105" t="s">
        <v>572</v>
      </c>
      <c r="D330" s="46"/>
      <c r="E330" t="s">
        <v>214</v>
      </c>
    </row>
    <row r="331" spans="1:5">
      <c r="A331" s="113"/>
      <c r="B331" s="120"/>
      <c r="C331" s="104" t="s">
        <v>573</v>
      </c>
      <c r="D331" s="46"/>
      <c r="E331" t="s">
        <v>214</v>
      </c>
    </row>
    <row r="332" spans="1:5">
      <c r="A332" s="113"/>
      <c r="B332" s="120"/>
      <c r="C332" s="104" t="s">
        <v>574</v>
      </c>
      <c r="D332" s="46"/>
      <c r="E332" t="s">
        <v>214</v>
      </c>
    </row>
    <row r="333" spans="1:5">
      <c r="A333" s="113"/>
      <c r="B333" s="120"/>
      <c r="C333" s="104" t="s">
        <v>575</v>
      </c>
      <c r="D333" s="46"/>
      <c r="E333" t="s">
        <v>214</v>
      </c>
    </row>
    <row r="334" spans="1:5">
      <c r="A334" s="113"/>
      <c r="B334" s="120"/>
      <c r="C334" s="104" t="s">
        <v>576</v>
      </c>
      <c r="D334" s="46"/>
      <c r="E334" t="s">
        <v>214</v>
      </c>
    </row>
    <row r="335" spans="1:5">
      <c r="A335" s="113"/>
      <c r="B335" s="120"/>
      <c r="C335" s="46" t="s">
        <v>577</v>
      </c>
      <c r="D335" s="46"/>
      <c r="E335" t="s">
        <v>214</v>
      </c>
    </row>
    <row r="336" spans="1:5">
      <c r="A336" s="113"/>
      <c r="B336" s="120"/>
      <c r="C336" s="46" t="s">
        <v>578</v>
      </c>
      <c r="D336" s="46"/>
      <c r="E336" t="s">
        <v>214</v>
      </c>
    </row>
    <row r="337" spans="1:5">
      <c r="A337" s="113"/>
      <c r="B337" s="120"/>
      <c r="C337" s="46" t="s">
        <v>579</v>
      </c>
      <c r="D337" s="46"/>
      <c r="E337" t="s">
        <v>214</v>
      </c>
    </row>
    <row r="338" spans="1:5">
      <c r="A338" s="113"/>
      <c r="B338" s="120"/>
      <c r="C338" s="46" t="s">
        <v>580</v>
      </c>
      <c r="D338" s="46"/>
      <c r="E338" t="s">
        <v>214</v>
      </c>
    </row>
    <row r="339" spans="1:5">
      <c r="A339" s="113"/>
      <c r="B339" s="120"/>
      <c r="C339" s="46" t="s">
        <v>581</v>
      </c>
      <c r="D339" s="46"/>
      <c r="E339" t="s">
        <v>214</v>
      </c>
    </row>
    <row r="340" spans="1:5">
      <c r="A340" s="113"/>
      <c r="B340" s="120"/>
      <c r="C340" s="46" t="s">
        <v>582</v>
      </c>
      <c r="D340" s="46"/>
      <c r="E340" t="s">
        <v>214</v>
      </c>
    </row>
    <row r="341" spans="1:5">
      <c r="A341" s="113"/>
      <c r="B341" s="120"/>
      <c r="C341" s="46" t="s">
        <v>583</v>
      </c>
      <c r="D341" s="46"/>
      <c r="E341" t="s">
        <v>214</v>
      </c>
    </row>
    <row r="342" spans="1:5">
      <c r="A342" s="113"/>
      <c r="B342" s="120"/>
      <c r="C342" s="46" t="s">
        <v>584</v>
      </c>
      <c r="D342" s="46"/>
      <c r="E342" t="s">
        <v>214</v>
      </c>
    </row>
    <row r="343" spans="1:5">
      <c r="A343" s="113"/>
      <c r="B343" s="120"/>
      <c r="C343" s="46" t="s">
        <v>585</v>
      </c>
      <c r="D343" s="46"/>
      <c r="E343" t="s">
        <v>214</v>
      </c>
    </row>
    <row r="344" spans="1:5">
      <c r="A344" s="113"/>
      <c r="B344" s="120"/>
      <c r="C344" s="46" t="s">
        <v>586</v>
      </c>
      <c r="D344" s="46"/>
      <c r="E344" t="s">
        <v>214</v>
      </c>
    </row>
    <row r="345" spans="1:5">
      <c r="A345" s="113"/>
      <c r="B345" s="120"/>
      <c r="C345" s="46" t="s">
        <v>587</v>
      </c>
      <c r="D345" s="46"/>
      <c r="E345" t="s">
        <v>214</v>
      </c>
    </row>
    <row r="346" spans="1:5">
      <c r="A346" s="113"/>
      <c r="B346" s="120"/>
      <c r="C346" s="46" t="s">
        <v>588</v>
      </c>
      <c r="D346" s="46"/>
      <c r="E346" t="s">
        <v>214</v>
      </c>
    </row>
    <row r="347" spans="1:5">
      <c r="A347" s="113"/>
      <c r="B347" s="120"/>
      <c r="C347" s="46" t="s">
        <v>589</v>
      </c>
      <c r="D347" s="46"/>
      <c r="E347" t="s">
        <v>214</v>
      </c>
    </row>
    <row r="348" spans="1:5">
      <c r="A348" s="113"/>
      <c r="B348" s="120"/>
      <c r="C348" s="46" t="s">
        <v>590</v>
      </c>
      <c r="D348" s="46"/>
      <c r="E348" t="s">
        <v>214</v>
      </c>
    </row>
    <row r="349" spans="1:5">
      <c r="A349" s="113"/>
      <c r="B349" s="120"/>
      <c r="C349" s="46" t="s">
        <v>591</v>
      </c>
      <c r="D349" s="46"/>
      <c r="E349" t="s">
        <v>214</v>
      </c>
    </row>
    <row r="350" spans="1:5">
      <c r="A350" s="113"/>
      <c r="B350" s="120"/>
      <c r="C350" s="46" t="s">
        <v>592</v>
      </c>
      <c r="D350" s="46"/>
      <c r="E350" t="s">
        <v>214</v>
      </c>
    </row>
    <row r="351" spans="1:5">
      <c r="A351" s="113"/>
      <c r="B351" s="120"/>
      <c r="C351" s="46" t="s">
        <v>593</v>
      </c>
      <c r="D351" s="46"/>
      <c r="E351" t="s">
        <v>214</v>
      </c>
    </row>
    <row r="352" spans="1:5">
      <c r="A352" s="113"/>
      <c r="B352" s="120"/>
      <c r="C352" s="46" t="s">
        <v>594</v>
      </c>
      <c r="D352" s="46"/>
      <c r="E352" t="s">
        <v>214</v>
      </c>
    </row>
    <row r="353" spans="1:5">
      <c r="A353" s="113"/>
      <c r="B353" s="120"/>
      <c r="C353" s="46" t="s">
        <v>595</v>
      </c>
      <c r="D353" s="46"/>
      <c r="E353" t="s">
        <v>214</v>
      </c>
    </row>
    <row r="354" spans="1:5">
      <c r="A354" s="113"/>
      <c r="B354" s="120"/>
      <c r="C354" s="46" t="s">
        <v>596</v>
      </c>
      <c r="D354" s="46"/>
      <c r="E354" t="s">
        <v>214</v>
      </c>
    </row>
    <row r="355" spans="1:5">
      <c r="A355" s="113"/>
      <c r="B355" s="120"/>
      <c r="C355" s="46" t="s">
        <v>597</v>
      </c>
      <c r="D355" s="46"/>
      <c r="E355" t="s">
        <v>214</v>
      </c>
    </row>
    <row r="356" spans="1:5">
      <c r="A356" s="113"/>
      <c r="B356" s="120"/>
      <c r="C356" s="46" t="s">
        <v>598</v>
      </c>
      <c r="D356" s="46"/>
      <c r="E356" t="s">
        <v>214</v>
      </c>
    </row>
    <row r="357" spans="1:5">
      <c r="A357" s="113"/>
      <c r="B357" s="120"/>
      <c r="C357" s="46" t="s">
        <v>599</v>
      </c>
      <c r="D357" s="46"/>
      <c r="E357" t="s">
        <v>214</v>
      </c>
    </row>
    <row r="358" spans="1:5">
      <c r="A358" s="113"/>
      <c r="B358" s="120"/>
      <c r="C358" s="46" t="s">
        <v>600</v>
      </c>
      <c r="D358" s="46"/>
      <c r="E358" t="s">
        <v>214</v>
      </c>
    </row>
    <row r="359" spans="1:5">
      <c r="A359" s="113"/>
      <c r="B359" s="120"/>
      <c r="C359" s="46" t="s">
        <v>601</v>
      </c>
      <c r="D359" s="46"/>
      <c r="E359" t="s">
        <v>214</v>
      </c>
    </row>
    <row r="360" spans="1:5">
      <c r="A360" s="113"/>
      <c r="B360" s="120"/>
      <c r="C360" s="46" t="s">
        <v>602</v>
      </c>
      <c r="D360" s="46"/>
      <c r="E360" t="s">
        <v>214</v>
      </c>
    </row>
    <row r="361" spans="1:5">
      <c r="A361" s="113"/>
      <c r="B361" s="120"/>
      <c r="C361" s="46" t="s">
        <v>603</v>
      </c>
      <c r="D361" s="46"/>
      <c r="E361" t="s">
        <v>214</v>
      </c>
    </row>
    <row r="362" spans="1:5">
      <c r="A362" s="113"/>
      <c r="B362" s="120"/>
      <c r="C362" s="46" t="s">
        <v>604</v>
      </c>
      <c r="D362" s="46"/>
      <c r="E362" t="s">
        <v>214</v>
      </c>
    </row>
    <row r="363" spans="1:5">
      <c r="A363" s="113"/>
      <c r="B363" s="120"/>
      <c r="C363" s="46" t="s">
        <v>605</v>
      </c>
      <c r="D363" s="46"/>
      <c r="E363" t="s">
        <v>214</v>
      </c>
    </row>
    <row r="364" spans="1:5">
      <c r="A364" s="113"/>
      <c r="B364" s="120"/>
      <c r="C364" s="46" t="s">
        <v>606</v>
      </c>
      <c r="D364" s="46"/>
      <c r="E364" t="s">
        <v>214</v>
      </c>
    </row>
    <row r="365" spans="1:5">
      <c r="A365" s="113"/>
      <c r="B365" s="120"/>
      <c r="C365" s="46" t="s">
        <v>607</v>
      </c>
      <c r="D365" s="46"/>
      <c r="E365" t="s">
        <v>214</v>
      </c>
    </row>
    <row r="366" spans="1:5">
      <c r="A366" s="113"/>
      <c r="B366" s="120"/>
      <c r="C366" s="46" t="s">
        <v>608</v>
      </c>
      <c r="D366" s="46"/>
      <c r="E366" t="s">
        <v>214</v>
      </c>
    </row>
    <row r="367" spans="1:5">
      <c r="A367" s="113"/>
      <c r="B367" s="120"/>
      <c r="C367" s="46" t="s">
        <v>609</v>
      </c>
      <c r="D367" s="46"/>
      <c r="E367" t="s">
        <v>214</v>
      </c>
    </row>
    <row r="368" spans="1:5">
      <c r="A368" s="113"/>
      <c r="B368" s="120"/>
      <c r="C368" s="46" t="s">
        <v>610</v>
      </c>
      <c r="D368" s="46"/>
      <c r="E368" t="s">
        <v>214</v>
      </c>
    </row>
    <row r="369" spans="1:5">
      <c r="A369" s="113"/>
      <c r="B369" s="120"/>
      <c r="C369" s="46" t="s">
        <v>611</v>
      </c>
      <c r="D369" s="46"/>
      <c r="E369" t="s">
        <v>214</v>
      </c>
    </row>
    <row r="370" spans="1:5">
      <c r="A370" s="113"/>
      <c r="B370" s="120"/>
      <c r="C370" s="46" t="s">
        <v>612</v>
      </c>
      <c r="D370" s="46"/>
      <c r="E370" t="s">
        <v>214</v>
      </c>
    </row>
    <row r="371" spans="1:5">
      <c r="A371" s="113"/>
      <c r="B371" s="120"/>
      <c r="C371" s="46" t="s">
        <v>613</v>
      </c>
      <c r="D371" s="46"/>
      <c r="E371" t="s">
        <v>214</v>
      </c>
    </row>
    <row r="372" spans="1:5">
      <c r="A372" s="113"/>
      <c r="B372" s="120"/>
      <c r="C372" s="46" t="s">
        <v>614</v>
      </c>
      <c r="D372" s="46"/>
      <c r="E372" t="s">
        <v>214</v>
      </c>
    </row>
    <row r="373" spans="1:5">
      <c r="A373" s="113"/>
      <c r="B373" s="120"/>
      <c r="C373" s="46" t="s">
        <v>615</v>
      </c>
      <c r="D373" s="46"/>
      <c r="E373" t="s">
        <v>214</v>
      </c>
    </row>
    <row r="374" spans="1:5">
      <c r="A374" s="113"/>
      <c r="B374" s="120"/>
      <c r="C374" s="46" t="s">
        <v>616</v>
      </c>
      <c r="D374" s="46"/>
      <c r="E374" t="s">
        <v>214</v>
      </c>
    </row>
    <row r="375" spans="1:5">
      <c r="A375" s="113"/>
      <c r="B375" s="120"/>
      <c r="C375" s="46" t="s">
        <v>617</v>
      </c>
      <c r="D375" s="46"/>
      <c r="E375" t="s">
        <v>214</v>
      </c>
    </row>
    <row r="376" spans="1:5">
      <c r="A376" s="113"/>
      <c r="B376" s="120"/>
      <c r="C376" s="46" t="s">
        <v>618</v>
      </c>
      <c r="D376" s="46"/>
      <c r="E376" t="s">
        <v>214</v>
      </c>
    </row>
    <row r="377" spans="1:5">
      <c r="A377" s="113"/>
      <c r="B377" s="120"/>
      <c r="C377" s="46" t="s">
        <v>619</v>
      </c>
      <c r="D377" s="46"/>
      <c r="E377" t="s">
        <v>214</v>
      </c>
    </row>
    <row r="378" spans="1:5">
      <c r="A378" s="113"/>
      <c r="B378" s="120"/>
      <c r="C378" s="46" t="s">
        <v>620</v>
      </c>
      <c r="D378" s="46"/>
      <c r="E378" t="s">
        <v>214</v>
      </c>
    </row>
    <row r="379" spans="1:5">
      <c r="A379" s="113"/>
      <c r="B379" s="120"/>
      <c r="C379" s="46" t="s">
        <v>621</v>
      </c>
      <c r="D379" s="46"/>
      <c r="E379" t="s">
        <v>214</v>
      </c>
    </row>
    <row r="380" spans="1:5">
      <c r="A380" s="113"/>
      <c r="B380" s="120"/>
      <c r="C380" s="46" t="s">
        <v>622</v>
      </c>
      <c r="D380" s="46"/>
      <c r="E380" t="s">
        <v>214</v>
      </c>
    </row>
    <row r="381" spans="1:5">
      <c r="A381" s="113"/>
      <c r="B381" s="120"/>
      <c r="C381" s="46" t="s">
        <v>623</v>
      </c>
      <c r="D381" s="46"/>
      <c r="E381" t="s">
        <v>214</v>
      </c>
    </row>
    <row r="382" spans="1:5">
      <c r="A382" s="113"/>
      <c r="B382" s="120"/>
      <c r="C382" s="46" t="s">
        <v>624</v>
      </c>
      <c r="D382" s="46"/>
      <c r="E382" t="s">
        <v>214</v>
      </c>
    </row>
    <row r="383" spans="1:5">
      <c r="A383" s="113"/>
      <c r="B383" s="120"/>
      <c r="C383" s="46" t="s">
        <v>625</v>
      </c>
      <c r="D383" s="46"/>
      <c r="E383" t="s">
        <v>214</v>
      </c>
    </row>
    <row r="384" spans="1:5">
      <c r="A384" s="113"/>
      <c r="B384" s="120"/>
      <c r="C384" s="46" t="s">
        <v>626</v>
      </c>
      <c r="D384" s="46"/>
      <c r="E384" t="s">
        <v>214</v>
      </c>
    </row>
    <row r="385" spans="1:5">
      <c r="A385" s="113"/>
      <c r="B385" s="120"/>
      <c r="C385" s="46" t="s">
        <v>627</v>
      </c>
      <c r="D385" s="46"/>
      <c r="E385" t="s">
        <v>214</v>
      </c>
    </row>
    <row r="386" spans="1:5">
      <c r="A386" s="113"/>
      <c r="B386" s="120"/>
      <c r="C386" s="46" t="s">
        <v>628</v>
      </c>
      <c r="D386" s="46"/>
      <c r="E386" t="s">
        <v>214</v>
      </c>
    </row>
    <row r="387" spans="1:5">
      <c r="A387" s="113"/>
      <c r="B387" s="120"/>
      <c r="C387" s="46" t="s">
        <v>629</v>
      </c>
      <c r="D387" s="46"/>
      <c r="E387" t="s">
        <v>214</v>
      </c>
    </row>
    <row r="388" spans="1:5">
      <c r="A388" s="113"/>
      <c r="B388" s="120"/>
      <c r="C388" s="46" t="s">
        <v>630</v>
      </c>
      <c r="D388" s="46"/>
      <c r="E388" t="s">
        <v>214</v>
      </c>
    </row>
    <row r="389" spans="1:5">
      <c r="A389" s="113"/>
      <c r="B389" s="120"/>
      <c r="C389" s="46" t="s">
        <v>631</v>
      </c>
      <c r="D389" s="46"/>
      <c r="E389" t="s">
        <v>214</v>
      </c>
    </row>
    <row r="390" spans="1:5">
      <c r="A390" s="113"/>
      <c r="B390" s="120"/>
      <c r="C390" s="46" t="s">
        <v>632</v>
      </c>
      <c r="D390" s="46"/>
      <c r="E390" t="s">
        <v>214</v>
      </c>
    </row>
    <row r="391" spans="1:5">
      <c r="A391" s="113"/>
      <c r="B391" s="120"/>
      <c r="C391" s="46" t="s">
        <v>633</v>
      </c>
      <c r="D391" s="46"/>
      <c r="E391" t="s">
        <v>214</v>
      </c>
    </row>
    <row r="392" spans="1:5">
      <c r="A392" s="113"/>
      <c r="B392" s="120"/>
      <c r="C392" s="46" t="s">
        <v>634</v>
      </c>
      <c r="D392" s="46"/>
      <c r="E392" t="s">
        <v>214</v>
      </c>
    </row>
    <row r="393" spans="1:5">
      <c r="A393" s="113"/>
      <c r="B393" s="120"/>
      <c r="C393" s="46" t="s">
        <v>635</v>
      </c>
      <c r="D393" s="46"/>
      <c r="E393" t="s">
        <v>214</v>
      </c>
    </row>
    <row r="394" spans="1:5">
      <c r="A394" s="113"/>
      <c r="B394" s="120"/>
      <c r="C394" s="46" t="s">
        <v>636</v>
      </c>
      <c r="D394" s="46"/>
      <c r="E394" t="s">
        <v>214</v>
      </c>
    </row>
    <row r="395" spans="1:5">
      <c r="A395" s="113"/>
      <c r="B395" s="120"/>
      <c r="C395" s="46" t="s">
        <v>637</v>
      </c>
      <c r="D395" s="46"/>
      <c r="E395" t="s">
        <v>214</v>
      </c>
    </row>
    <row r="396" spans="1:5">
      <c r="A396" s="113"/>
      <c r="B396" s="120"/>
      <c r="C396" s="46" t="s">
        <v>638</v>
      </c>
      <c r="D396" s="46"/>
      <c r="E396" t="s">
        <v>214</v>
      </c>
    </row>
    <row r="397" spans="1:5">
      <c r="A397" s="113"/>
      <c r="B397" s="120"/>
      <c r="C397" s="46" t="s">
        <v>639</v>
      </c>
      <c r="D397" s="46"/>
      <c r="E397" t="s">
        <v>214</v>
      </c>
    </row>
    <row r="398" spans="1:5">
      <c r="A398" s="113"/>
      <c r="B398" s="120"/>
      <c r="C398" s="46" t="s">
        <v>640</v>
      </c>
      <c r="D398" s="46"/>
      <c r="E398" t="s">
        <v>214</v>
      </c>
    </row>
    <row r="399" spans="1:5">
      <c r="A399" s="113"/>
      <c r="B399" s="120"/>
      <c r="C399" s="46" t="s">
        <v>641</v>
      </c>
      <c r="D399" s="46"/>
      <c r="E399" t="s">
        <v>214</v>
      </c>
    </row>
    <row r="400" spans="1:5">
      <c r="A400" s="113"/>
      <c r="B400" s="120"/>
      <c r="C400" s="46" t="s">
        <v>642</v>
      </c>
      <c r="D400" s="46"/>
      <c r="E400" t="s">
        <v>214</v>
      </c>
    </row>
    <row r="401" spans="1:5">
      <c r="A401" s="113"/>
      <c r="B401" s="120"/>
      <c r="C401" s="46" t="s">
        <v>643</v>
      </c>
      <c r="D401" s="46"/>
      <c r="E401" t="s">
        <v>214</v>
      </c>
    </row>
    <row r="402" spans="1:5">
      <c r="A402" s="113"/>
      <c r="B402" s="120"/>
      <c r="C402" s="46" t="s">
        <v>644</v>
      </c>
      <c r="D402" s="46"/>
      <c r="E402" t="s">
        <v>214</v>
      </c>
    </row>
    <row r="403" spans="1:5">
      <c r="A403" s="113"/>
      <c r="B403" s="120"/>
      <c r="C403" s="46" t="s">
        <v>645</v>
      </c>
      <c r="D403" s="46"/>
      <c r="E403" t="s">
        <v>214</v>
      </c>
    </row>
    <row r="404" spans="1:5">
      <c r="A404" s="113"/>
      <c r="B404" s="120"/>
      <c r="C404" s="46" t="s">
        <v>646</v>
      </c>
      <c r="D404" s="46"/>
      <c r="E404" t="s">
        <v>214</v>
      </c>
    </row>
    <row r="405" spans="1:5">
      <c r="A405" s="113"/>
      <c r="B405" s="120"/>
      <c r="C405" s="46" t="s">
        <v>647</v>
      </c>
      <c r="D405" s="46"/>
      <c r="E405" t="s">
        <v>214</v>
      </c>
    </row>
    <row r="406" spans="1:5">
      <c r="A406" s="113"/>
      <c r="B406" s="120"/>
      <c r="C406" s="46" t="s">
        <v>648</v>
      </c>
      <c r="D406" s="46"/>
      <c r="E406" t="s">
        <v>214</v>
      </c>
    </row>
    <row r="407" spans="1:5">
      <c r="A407" s="113"/>
      <c r="B407" s="120"/>
      <c r="C407" s="46" t="s">
        <v>649</v>
      </c>
      <c r="D407" s="46"/>
      <c r="E407" t="s">
        <v>214</v>
      </c>
    </row>
    <row r="408" spans="1:5">
      <c r="A408" s="113"/>
      <c r="B408" s="120"/>
      <c r="C408" s="46" t="s">
        <v>650</v>
      </c>
      <c r="D408" s="46"/>
      <c r="E408" t="s">
        <v>214</v>
      </c>
    </row>
    <row r="409" spans="1:5">
      <c r="A409" s="113"/>
      <c r="B409" s="120"/>
      <c r="C409" s="46" t="s">
        <v>651</v>
      </c>
      <c r="D409" s="46"/>
      <c r="E409" t="s">
        <v>214</v>
      </c>
    </row>
    <row r="410" spans="1:5">
      <c r="A410" s="113"/>
      <c r="B410" s="120"/>
      <c r="C410" s="46" t="s">
        <v>652</v>
      </c>
      <c r="D410" s="46"/>
      <c r="E410" t="s">
        <v>214</v>
      </c>
    </row>
    <row r="411" spans="1:5">
      <c r="A411" s="113"/>
      <c r="B411" s="120"/>
      <c r="C411" s="46" t="s">
        <v>653</v>
      </c>
      <c r="D411" s="46"/>
      <c r="E411" t="s">
        <v>214</v>
      </c>
    </row>
    <row r="412" spans="1:5">
      <c r="A412" s="113"/>
      <c r="B412" s="120"/>
      <c r="C412" s="46" t="s">
        <v>654</v>
      </c>
      <c r="D412" s="46"/>
      <c r="E412" t="s">
        <v>214</v>
      </c>
    </row>
    <row r="413" spans="1:5">
      <c r="A413" s="113"/>
      <c r="B413" s="120"/>
      <c r="C413" s="46" t="s">
        <v>655</v>
      </c>
      <c r="D413" s="46"/>
      <c r="E413" t="s">
        <v>214</v>
      </c>
    </row>
    <row r="414" spans="1:5">
      <c r="A414" s="113"/>
      <c r="B414" s="120"/>
      <c r="C414" s="46" t="s">
        <v>656</v>
      </c>
      <c r="D414" s="46"/>
      <c r="E414" t="s">
        <v>214</v>
      </c>
    </row>
    <row r="415" spans="1:5">
      <c r="A415" s="113"/>
      <c r="B415" s="120"/>
      <c r="C415" s="46" t="s">
        <v>657</v>
      </c>
      <c r="D415" s="46"/>
      <c r="E415" t="s">
        <v>214</v>
      </c>
    </row>
    <row r="416" spans="1:5">
      <c r="A416" s="113"/>
      <c r="B416" s="120"/>
      <c r="C416" s="46" t="s">
        <v>658</v>
      </c>
      <c r="D416" s="46"/>
      <c r="E416" t="s">
        <v>214</v>
      </c>
    </row>
    <row r="417" spans="1:5">
      <c r="A417" s="113"/>
      <c r="B417" s="120"/>
      <c r="C417" s="46" t="s">
        <v>659</v>
      </c>
      <c r="D417" s="46"/>
      <c r="E417" t="s">
        <v>214</v>
      </c>
    </row>
    <row r="418" spans="1:5">
      <c r="A418" s="113"/>
      <c r="B418" s="120"/>
      <c r="C418" s="46" t="s">
        <v>660</v>
      </c>
      <c r="D418" s="46"/>
      <c r="E418" t="s">
        <v>214</v>
      </c>
    </row>
    <row r="419" spans="1:5">
      <c r="A419" s="113"/>
      <c r="B419" s="120"/>
      <c r="C419" s="46" t="s">
        <v>661</v>
      </c>
      <c r="D419" s="46"/>
      <c r="E419" t="s">
        <v>214</v>
      </c>
    </row>
    <row r="420" spans="1:5">
      <c r="A420" s="113"/>
      <c r="B420" s="120"/>
      <c r="C420" s="46" t="s">
        <v>662</v>
      </c>
      <c r="D420" s="46"/>
      <c r="E420" t="s">
        <v>214</v>
      </c>
    </row>
    <row r="421" spans="1:5">
      <c r="A421" s="113"/>
      <c r="B421" s="120"/>
      <c r="C421" s="46" t="s">
        <v>663</v>
      </c>
      <c r="D421" s="46"/>
      <c r="E421" t="s">
        <v>214</v>
      </c>
    </row>
    <row r="422" spans="1:5">
      <c r="A422" s="113"/>
      <c r="B422" s="120"/>
      <c r="C422" s="46" t="s">
        <v>664</v>
      </c>
      <c r="D422" s="46"/>
      <c r="E422" t="s">
        <v>214</v>
      </c>
    </row>
    <row r="423" spans="1:5">
      <c r="A423" s="113"/>
      <c r="B423" s="120"/>
      <c r="C423" s="46" t="s">
        <v>665</v>
      </c>
      <c r="D423" s="46"/>
      <c r="E423" t="s">
        <v>214</v>
      </c>
    </row>
    <row r="424" spans="1:5">
      <c r="A424" s="113"/>
      <c r="B424" s="120"/>
      <c r="C424" s="46" t="s">
        <v>666</v>
      </c>
      <c r="D424" s="46"/>
      <c r="E424" t="s">
        <v>214</v>
      </c>
    </row>
    <row r="425" spans="1:5">
      <c r="A425" s="113"/>
      <c r="B425" s="120"/>
      <c r="C425" s="46" t="s">
        <v>667</v>
      </c>
      <c r="D425" s="46"/>
      <c r="E425" t="s">
        <v>214</v>
      </c>
    </row>
    <row r="426" spans="1:5">
      <c r="A426" s="113"/>
      <c r="B426" s="120"/>
      <c r="C426" s="46" t="s">
        <v>668</v>
      </c>
      <c r="D426" s="46"/>
      <c r="E426" t="s">
        <v>214</v>
      </c>
    </row>
    <row r="427" spans="1:5">
      <c r="A427" s="113"/>
      <c r="B427" s="120"/>
      <c r="C427" s="46" t="s">
        <v>669</v>
      </c>
      <c r="D427" s="46"/>
      <c r="E427" t="s">
        <v>214</v>
      </c>
    </row>
    <row r="428" spans="1:5">
      <c r="A428" s="113"/>
      <c r="B428" s="120"/>
      <c r="C428" s="46" t="s">
        <v>670</v>
      </c>
      <c r="D428" s="46"/>
      <c r="E428" t="s">
        <v>214</v>
      </c>
    </row>
    <row r="429" spans="1:5">
      <c r="A429" s="113"/>
      <c r="B429" s="120"/>
      <c r="C429" s="46" t="s">
        <v>671</v>
      </c>
      <c r="D429" s="46"/>
      <c r="E429" t="s">
        <v>214</v>
      </c>
    </row>
    <row r="430" spans="1:5">
      <c r="A430" s="113"/>
      <c r="B430" s="120"/>
      <c r="C430" s="46" t="s">
        <v>672</v>
      </c>
      <c r="D430" s="46"/>
      <c r="E430" t="s">
        <v>214</v>
      </c>
    </row>
    <row r="431" spans="1:5">
      <c r="A431" s="113"/>
      <c r="B431" s="120"/>
      <c r="C431" s="46" t="s">
        <v>673</v>
      </c>
      <c r="D431" s="46"/>
      <c r="E431" t="s">
        <v>214</v>
      </c>
    </row>
    <row r="432" spans="1:5">
      <c r="A432" s="113"/>
      <c r="B432" s="120"/>
      <c r="C432" s="46" t="s">
        <v>674</v>
      </c>
      <c r="D432" s="46"/>
      <c r="E432" t="s">
        <v>214</v>
      </c>
    </row>
    <row r="433" spans="1:5">
      <c r="A433" s="113"/>
      <c r="B433" s="120"/>
      <c r="C433" s="46" t="s">
        <v>675</v>
      </c>
      <c r="D433" s="46"/>
      <c r="E433" t="s">
        <v>214</v>
      </c>
    </row>
    <row r="434" spans="1:5">
      <c r="A434" s="113"/>
      <c r="B434" s="120"/>
      <c r="C434" s="46" t="s">
        <v>676</v>
      </c>
      <c r="D434" s="46"/>
      <c r="E434" t="s">
        <v>214</v>
      </c>
    </row>
    <row r="435" spans="1:5">
      <c r="A435" s="113"/>
      <c r="B435" s="120"/>
      <c r="C435" s="46" t="s">
        <v>677</v>
      </c>
      <c r="D435" s="46"/>
      <c r="E435" t="s">
        <v>214</v>
      </c>
    </row>
    <row r="436" spans="1:5">
      <c r="A436" s="113"/>
      <c r="B436" s="120"/>
      <c r="C436" s="46" t="s">
        <v>678</v>
      </c>
      <c r="D436" s="46"/>
      <c r="E436" t="s">
        <v>214</v>
      </c>
    </row>
    <row r="437" spans="1:5">
      <c r="A437" s="113"/>
      <c r="B437" s="120"/>
      <c r="C437" s="46" t="s">
        <v>679</v>
      </c>
      <c r="D437" s="46"/>
      <c r="E437" t="s">
        <v>214</v>
      </c>
    </row>
    <row r="438" spans="1:5">
      <c r="A438" s="113"/>
      <c r="B438" s="120"/>
      <c r="C438" s="46" t="s">
        <v>680</v>
      </c>
      <c r="D438" s="46"/>
      <c r="E438" t="s">
        <v>214</v>
      </c>
    </row>
    <row r="439" spans="1:5">
      <c r="A439" s="113"/>
      <c r="B439" s="120"/>
      <c r="C439" s="46" t="s">
        <v>681</v>
      </c>
      <c r="D439" s="46"/>
      <c r="E439" t="s">
        <v>214</v>
      </c>
    </row>
    <row r="440" spans="1:5">
      <c r="A440" s="113"/>
      <c r="B440" s="120"/>
      <c r="C440" s="46" t="s">
        <v>682</v>
      </c>
      <c r="D440" s="46"/>
      <c r="E440" t="s">
        <v>214</v>
      </c>
    </row>
    <row r="441" spans="1:5">
      <c r="A441" s="113"/>
      <c r="B441" s="120"/>
      <c r="C441" s="46" t="s">
        <v>683</v>
      </c>
      <c r="D441" s="46"/>
      <c r="E441" t="s">
        <v>214</v>
      </c>
    </row>
    <row r="442" spans="1:5">
      <c r="A442" s="113"/>
      <c r="B442" s="120"/>
      <c r="C442" s="46" t="s">
        <v>684</v>
      </c>
      <c r="D442" s="46"/>
      <c r="E442" t="s">
        <v>214</v>
      </c>
    </row>
    <row r="443" spans="1:5">
      <c r="A443" s="113"/>
      <c r="B443" s="120"/>
      <c r="C443" s="46" t="s">
        <v>685</v>
      </c>
      <c r="D443" s="46"/>
      <c r="E443" t="s">
        <v>214</v>
      </c>
    </row>
    <row r="444" spans="1:5">
      <c r="A444" s="113"/>
      <c r="B444" s="120"/>
      <c r="C444" s="46" t="s">
        <v>686</v>
      </c>
      <c r="D444" s="46"/>
      <c r="E444" t="s">
        <v>214</v>
      </c>
    </row>
    <row r="445" spans="1:5">
      <c r="A445" s="113"/>
      <c r="B445" s="120"/>
      <c r="C445" s="46" t="s">
        <v>687</v>
      </c>
      <c r="D445" s="46"/>
      <c r="E445" t="s">
        <v>214</v>
      </c>
    </row>
    <row r="446" spans="1:5">
      <c r="A446" s="113"/>
      <c r="B446" s="120"/>
      <c r="C446" s="46" t="s">
        <v>688</v>
      </c>
      <c r="D446" s="46"/>
      <c r="E446" t="s">
        <v>214</v>
      </c>
    </row>
    <row r="447" spans="1:5">
      <c r="A447" s="113"/>
      <c r="B447" s="120"/>
      <c r="C447" s="46" t="s">
        <v>689</v>
      </c>
      <c r="D447" s="46"/>
      <c r="E447" t="s">
        <v>214</v>
      </c>
    </row>
    <row r="448" spans="1:5">
      <c r="A448" s="113"/>
      <c r="B448" s="120"/>
      <c r="C448" s="46" t="s">
        <v>690</v>
      </c>
      <c r="D448" s="46"/>
      <c r="E448" t="s">
        <v>214</v>
      </c>
    </row>
    <row r="449" spans="1:5">
      <c r="A449" s="113"/>
      <c r="B449" s="120"/>
      <c r="C449" s="46" t="s">
        <v>691</v>
      </c>
      <c r="D449" s="46"/>
      <c r="E449" t="s">
        <v>214</v>
      </c>
    </row>
    <row r="450" spans="1:5">
      <c r="A450" s="113"/>
      <c r="B450" s="120"/>
      <c r="C450" s="46" t="s">
        <v>692</v>
      </c>
      <c r="D450" s="46"/>
      <c r="E450" t="s">
        <v>214</v>
      </c>
    </row>
    <row r="451" spans="1:5">
      <c r="A451" s="113"/>
      <c r="B451" s="120"/>
      <c r="C451" s="46" t="s">
        <v>693</v>
      </c>
      <c r="D451" s="46"/>
      <c r="E451" t="s">
        <v>214</v>
      </c>
    </row>
    <row r="452" spans="1:5">
      <c r="A452" s="113"/>
      <c r="B452" s="120"/>
      <c r="C452" s="46" t="s">
        <v>694</v>
      </c>
      <c r="D452" s="46"/>
      <c r="E452" t="s">
        <v>214</v>
      </c>
    </row>
    <row r="453" spans="1:5">
      <c r="A453" s="113"/>
      <c r="B453" s="120"/>
      <c r="C453" s="46" t="s">
        <v>695</v>
      </c>
      <c r="D453" s="46"/>
      <c r="E453" t="s">
        <v>214</v>
      </c>
    </row>
    <row r="454" spans="1:5">
      <c r="A454" s="113"/>
      <c r="B454" s="120"/>
      <c r="C454" s="46" t="s">
        <v>696</v>
      </c>
      <c r="D454" s="46"/>
      <c r="E454" t="s">
        <v>214</v>
      </c>
    </row>
    <row r="455" spans="1:5">
      <c r="A455" s="113"/>
      <c r="B455" s="120"/>
      <c r="C455" s="46" t="s">
        <v>697</v>
      </c>
      <c r="D455" s="46"/>
      <c r="E455" t="s">
        <v>214</v>
      </c>
    </row>
    <row r="456" spans="1:5">
      <c r="A456" s="113"/>
      <c r="B456" s="120"/>
      <c r="C456" s="46" t="s">
        <v>698</v>
      </c>
      <c r="D456" s="46"/>
      <c r="E456" t="s">
        <v>214</v>
      </c>
    </row>
    <row r="457" spans="1:5">
      <c r="A457" s="113"/>
      <c r="B457" s="120"/>
      <c r="C457" s="46" t="s">
        <v>699</v>
      </c>
      <c r="D457" s="46"/>
      <c r="E457" t="s">
        <v>214</v>
      </c>
    </row>
    <row r="458" spans="1:5">
      <c r="A458" s="113"/>
      <c r="B458" s="120"/>
      <c r="C458" s="46" t="s">
        <v>700</v>
      </c>
      <c r="D458" s="46"/>
      <c r="E458" t="s">
        <v>214</v>
      </c>
    </row>
    <row r="459" spans="1:5">
      <c r="A459" s="113"/>
      <c r="B459" s="120"/>
      <c r="C459" s="46" t="s">
        <v>701</v>
      </c>
      <c r="D459" s="46"/>
      <c r="E459" t="s">
        <v>214</v>
      </c>
    </row>
    <row r="460" spans="1:5">
      <c r="A460" s="113"/>
      <c r="B460" s="120"/>
      <c r="C460" s="46" t="s">
        <v>702</v>
      </c>
      <c r="D460" s="46"/>
      <c r="E460" t="s">
        <v>214</v>
      </c>
    </row>
    <row r="461" spans="1:5">
      <c r="A461" s="113"/>
      <c r="B461" s="120"/>
      <c r="C461" s="46" t="s">
        <v>703</v>
      </c>
      <c r="D461" s="46"/>
      <c r="E461" t="s">
        <v>214</v>
      </c>
    </row>
    <row r="462" spans="1:5">
      <c r="A462" s="113"/>
      <c r="B462" s="120"/>
      <c r="C462" s="46" t="s">
        <v>704</v>
      </c>
      <c r="D462" s="46"/>
      <c r="E462" t="s">
        <v>214</v>
      </c>
    </row>
    <row r="463" spans="1:5">
      <c r="A463" s="113"/>
      <c r="B463" s="120"/>
      <c r="C463" s="46" t="s">
        <v>705</v>
      </c>
      <c r="D463" s="46"/>
      <c r="E463" t="s">
        <v>214</v>
      </c>
    </row>
    <row r="464" spans="1:5">
      <c r="A464" s="113"/>
      <c r="B464" s="120"/>
      <c r="C464" s="46" t="s">
        <v>706</v>
      </c>
      <c r="D464" s="46"/>
      <c r="E464" t="s">
        <v>214</v>
      </c>
    </row>
    <row r="465" spans="1:5">
      <c r="A465" s="113"/>
      <c r="B465" s="120"/>
      <c r="C465" s="46" t="s">
        <v>707</v>
      </c>
      <c r="D465" s="46"/>
      <c r="E465" t="s">
        <v>214</v>
      </c>
    </row>
    <row r="466" spans="1:5">
      <c r="A466" s="113"/>
      <c r="B466" s="120"/>
      <c r="C466" s="46" t="s">
        <v>708</v>
      </c>
      <c r="D466" s="46"/>
      <c r="E466" t="s">
        <v>214</v>
      </c>
    </row>
    <row r="467" spans="1:5">
      <c r="A467" s="113"/>
      <c r="B467" s="120"/>
      <c r="C467" s="46" t="s">
        <v>709</v>
      </c>
      <c r="D467" s="46"/>
      <c r="E467" t="s">
        <v>214</v>
      </c>
    </row>
    <row r="468" spans="1:5">
      <c r="A468" s="113"/>
      <c r="B468" s="120"/>
      <c r="C468" s="46" t="s">
        <v>710</v>
      </c>
      <c r="D468" s="46"/>
      <c r="E468" t="s">
        <v>214</v>
      </c>
    </row>
    <row r="469" spans="1:5">
      <c r="A469" s="113"/>
      <c r="B469" s="120"/>
      <c r="C469" s="46" t="s">
        <v>711</v>
      </c>
      <c r="D469" s="46"/>
      <c r="E469" t="s">
        <v>214</v>
      </c>
    </row>
    <row r="470" spans="1:5">
      <c r="A470" s="113"/>
      <c r="B470" s="120"/>
      <c r="C470" s="46" t="s">
        <v>712</v>
      </c>
      <c r="D470" s="46"/>
      <c r="E470" t="s">
        <v>214</v>
      </c>
    </row>
    <row r="471" spans="1:5">
      <c r="A471" s="113"/>
      <c r="B471" s="120"/>
      <c r="C471" s="46" t="s">
        <v>713</v>
      </c>
      <c r="D471" s="46"/>
      <c r="E471" t="s">
        <v>214</v>
      </c>
    </row>
    <row r="472" spans="1:5">
      <c r="A472" s="113"/>
      <c r="B472" s="120"/>
      <c r="C472" s="46" t="s">
        <v>714</v>
      </c>
      <c r="D472" s="46"/>
      <c r="E472" t="s">
        <v>214</v>
      </c>
    </row>
    <row r="473" spans="1:5">
      <c r="A473" s="113"/>
      <c r="B473" s="120"/>
      <c r="C473" s="46" t="s">
        <v>715</v>
      </c>
      <c r="D473" s="46"/>
      <c r="E473" t="s">
        <v>214</v>
      </c>
    </row>
    <row r="474" spans="1:5">
      <c r="A474" s="113"/>
      <c r="B474" s="120"/>
      <c r="C474" s="46" t="s">
        <v>716</v>
      </c>
      <c r="D474" s="46"/>
      <c r="E474" t="s">
        <v>214</v>
      </c>
    </row>
    <row r="475" spans="1:5">
      <c r="A475" s="113"/>
      <c r="B475" s="120"/>
      <c r="C475" s="46" t="s">
        <v>717</v>
      </c>
      <c r="D475" s="46"/>
      <c r="E475" t="s">
        <v>214</v>
      </c>
    </row>
    <row r="476" spans="1:5">
      <c r="A476" s="113"/>
      <c r="B476" s="120"/>
      <c r="C476" s="46" t="s">
        <v>718</v>
      </c>
      <c r="D476" s="46"/>
      <c r="E476" t="s">
        <v>214</v>
      </c>
    </row>
    <row r="477" spans="1:5">
      <c r="A477" s="113"/>
      <c r="B477" s="120"/>
      <c r="C477" s="46" t="s">
        <v>719</v>
      </c>
      <c r="D477" s="46"/>
      <c r="E477" t="s">
        <v>214</v>
      </c>
    </row>
    <row r="478" spans="1:5">
      <c r="A478" s="113"/>
      <c r="B478" s="120"/>
      <c r="C478" s="46" t="s">
        <v>720</v>
      </c>
      <c r="D478" s="46"/>
      <c r="E478" t="s">
        <v>214</v>
      </c>
    </row>
    <row r="479" spans="1:5">
      <c r="A479" s="113"/>
      <c r="B479" s="120"/>
      <c r="C479" s="46" t="s">
        <v>721</v>
      </c>
      <c r="D479" s="46"/>
      <c r="E479" t="s">
        <v>214</v>
      </c>
    </row>
    <row r="480" spans="1:5">
      <c r="A480" s="113"/>
      <c r="B480" s="120"/>
      <c r="C480" s="46" t="s">
        <v>722</v>
      </c>
      <c r="D480" s="46"/>
      <c r="E480" t="s">
        <v>214</v>
      </c>
    </row>
    <row r="481" spans="1:5">
      <c r="A481" s="113"/>
      <c r="B481" s="120"/>
      <c r="C481" s="46" t="s">
        <v>723</v>
      </c>
      <c r="D481" s="46"/>
      <c r="E481" t="s">
        <v>214</v>
      </c>
    </row>
    <row r="482" spans="1:5">
      <c r="A482" s="113"/>
      <c r="B482" s="120"/>
      <c r="C482" s="46" t="s">
        <v>724</v>
      </c>
      <c r="D482" s="46"/>
      <c r="E482" t="s">
        <v>214</v>
      </c>
    </row>
    <row r="483" spans="1:5">
      <c r="A483" s="113"/>
      <c r="B483" s="120"/>
      <c r="C483" s="46" t="s">
        <v>725</v>
      </c>
      <c r="D483" s="46"/>
      <c r="E483" t="s">
        <v>214</v>
      </c>
    </row>
    <row r="484" spans="1:5">
      <c r="A484" s="113"/>
      <c r="B484" s="120"/>
      <c r="C484" s="46" t="s">
        <v>726</v>
      </c>
      <c r="D484" s="46"/>
      <c r="E484" t="s">
        <v>214</v>
      </c>
    </row>
    <row r="485" spans="1:5">
      <c r="A485" s="113"/>
      <c r="B485" s="120"/>
      <c r="C485" s="46" t="s">
        <v>727</v>
      </c>
      <c r="D485" s="46"/>
      <c r="E485" t="s">
        <v>214</v>
      </c>
    </row>
    <row r="486" spans="1:5">
      <c r="A486" s="113"/>
      <c r="B486" s="120"/>
      <c r="C486" s="46" t="s">
        <v>728</v>
      </c>
      <c r="D486" s="46"/>
      <c r="E486" t="s">
        <v>214</v>
      </c>
    </row>
    <row r="487" spans="1:5">
      <c r="A487" s="113"/>
      <c r="B487" s="120"/>
      <c r="C487" s="46" t="s">
        <v>729</v>
      </c>
      <c r="D487" s="46"/>
      <c r="E487" t="s">
        <v>214</v>
      </c>
    </row>
    <row r="488" spans="1:5">
      <c r="A488" s="113"/>
      <c r="B488" s="120"/>
      <c r="C488" s="46" t="s">
        <v>730</v>
      </c>
      <c r="D488" s="46"/>
      <c r="E488" t="s">
        <v>214</v>
      </c>
    </row>
    <row r="489" spans="1:5">
      <c r="A489" s="113"/>
      <c r="B489" s="120"/>
      <c r="C489" s="46" t="s">
        <v>314</v>
      </c>
      <c r="D489" s="46"/>
    </row>
    <row r="490" spans="1:5">
      <c r="A490" s="113"/>
      <c r="B490" s="120"/>
      <c r="C490" s="46" t="s">
        <v>731</v>
      </c>
      <c r="D490" s="46"/>
    </row>
    <row r="491" spans="1:5">
      <c r="A491" s="113"/>
      <c r="B491" s="120"/>
      <c r="C491" s="46" t="s">
        <v>732</v>
      </c>
      <c r="D491" s="46"/>
    </row>
    <row r="492" spans="1:5">
      <c r="A492" s="113"/>
      <c r="B492" s="120"/>
      <c r="C492" s="46" t="s">
        <v>733</v>
      </c>
      <c r="D492" s="46"/>
    </row>
    <row r="493" spans="1:5">
      <c r="A493" s="113"/>
      <c r="B493" s="120"/>
      <c r="C493" s="46" t="s">
        <v>734</v>
      </c>
      <c r="D493" s="46"/>
    </row>
    <row r="494" spans="1:5">
      <c r="A494" s="113"/>
      <c r="B494" s="120"/>
      <c r="C494" s="46" t="s">
        <v>735</v>
      </c>
      <c r="D494" s="46"/>
    </row>
    <row r="495" spans="1:5">
      <c r="A495" s="113"/>
      <c r="B495" s="120"/>
      <c r="C495" s="46" t="s">
        <v>736</v>
      </c>
      <c r="D495" s="46"/>
    </row>
    <row r="496" spans="1:5">
      <c r="A496" s="113"/>
      <c r="B496" s="120"/>
      <c r="C496" s="46" t="s">
        <v>737</v>
      </c>
      <c r="D496" s="46"/>
    </row>
    <row r="497" spans="1:4">
      <c r="A497" s="113"/>
      <c r="B497" s="120"/>
      <c r="C497" s="46" t="s">
        <v>738</v>
      </c>
      <c r="D497" s="46"/>
    </row>
    <row r="498" spans="1:4">
      <c r="A498" s="115"/>
      <c r="B498" s="121"/>
      <c r="C498" s="46" t="s">
        <v>569</v>
      </c>
      <c r="D498" s="46"/>
    </row>
    <row r="499" spans="1:4">
      <c r="A499" s="117"/>
      <c r="B499" s="122" t="s">
        <v>739</v>
      </c>
      <c r="C499" s="44" t="s">
        <v>440</v>
      </c>
      <c r="D499" s="44"/>
    </row>
    <row r="500" spans="1:4">
      <c r="A500" s="118"/>
      <c r="B500" s="122"/>
      <c r="C500" s="44" t="s">
        <v>740</v>
      </c>
      <c r="D500" s="44"/>
    </row>
    <row r="501" spans="1:4">
      <c r="A501" s="118"/>
      <c r="B501" s="122"/>
      <c r="C501" s="44" t="s">
        <v>741</v>
      </c>
      <c r="D501" s="44"/>
    </row>
    <row r="502" spans="1:4">
      <c r="A502" s="118"/>
      <c r="B502" s="122"/>
      <c r="C502" s="44" t="s">
        <v>742</v>
      </c>
      <c r="D502" s="44"/>
    </row>
    <row r="503" spans="1:4">
      <c r="A503" s="118"/>
      <c r="B503" s="122"/>
      <c r="C503" s="44" t="s">
        <v>743</v>
      </c>
      <c r="D503" s="44"/>
    </row>
    <row r="504" spans="1:4">
      <c r="A504" s="118"/>
      <c r="B504" s="122"/>
      <c r="C504" s="44" t="s">
        <v>744</v>
      </c>
      <c r="D504" s="44"/>
    </row>
    <row r="505" spans="1:4">
      <c r="A505" s="118"/>
      <c r="B505" s="122"/>
      <c r="C505" s="44" t="s">
        <v>745</v>
      </c>
      <c r="D505" s="44"/>
    </row>
    <row r="506" spans="1:4">
      <c r="A506" s="118"/>
      <c r="B506" s="122"/>
      <c r="C506" s="44" t="s">
        <v>746</v>
      </c>
      <c r="D506" s="44"/>
    </row>
    <row r="507" spans="1:4">
      <c r="A507" s="118"/>
      <c r="B507" s="122"/>
      <c r="C507" s="44" t="s">
        <v>747</v>
      </c>
      <c r="D507" s="44"/>
    </row>
    <row r="508" spans="1:4">
      <c r="A508" s="118"/>
      <c r="B508" s="122"/>
      <c r="C508" s="44" t="s">
        <v>748</v>
      </c>
      <c r="D508" s="44"/>
    </row>
    <row r="509" spans="1:4">
      <c r="A509" s="118"/>
      <c r="B509" s="122"/>
      <c r="C509" s="44" t="s">
        <v>749</v>
      </c>
      <c r="D509" s="44"/>
    </row>
    <row r="510" spans="1:4">
      <c r="A510" s="118"/>
      <c r="B510" s="122"/>
      <c r="C510" s="44" t="s">
        <v>750</v>
      </c>
      <c r="D510" s="44"/>
    </row>
    <row r="511" spans="1:4">
      <c r="A511" s="118"/>
      <c r="B511" s="122"/>
      <c r="C511" s="44" t="s">
        <v>751</v>
      </c>
      <c r="D511" s="44"/>
    </row>
    <row r="512" spans="1:4">
      <c r="A512" s="118"/>
      <c r="B512" s="122"/>
      <c r="C512" s="44" t="s">
        <v>485</v>
      </c>
      <c r="D512" s="44"/>
    </row>
    <row r="513" spans="1:4">
      <c r="A513" s="118"/>
      <c r="B513" s="122"/>
      <c r="C513" s="44" t="s">
        <v>314</v>
      </c>
      <c r="D513" s="44"/>
    </row>
    <row r="514" spans="1:4">
      <c r="A514" s="113"/>
      <c r="B514" s="55" t="s">
        <v>752</v>
      </c>
      <c r="C514" s="46" t="s">
        <v>338</v>
      </c>
      <c r="D514" s="46"/>
    </row>
    <row r="515" spans="1:4">
      <c r="A515" s="115"/>
      <c r="B515" s="57"/>
      <c r="C515" s="46" t="s">
        <v>339</v>
      </c>
      <c r="D515" s="46"/>
    </row>
    <row r="516" spans="1:4">
      <c r="A516" s="118"/>
      <c r="B516" s="122" t="s">
        <v>98</v>
      </c>
      <c r="C516" s="44" t="s">
        <v>753</v>
      </c>
      <c r="D516" s="44"/>
    </row>
    <row r="517" spans="1:4">
      <c r="A517" s="118"/>
      <c r="B517" s="122"/>
      <c r="C517" s="44" t="s">
        <v>754</v>
      </c>
      <c r="D517" s="44"/>
    </row>
    <row r="518" spans="1:4">
      <c r="A518" s="118"/>
      <c r="B518" s="122"/>
      <c r="C518" s="44" t="s">
        <v>755</v>
      </c>
      <c r="D518" s="44"/>
    </row>
    <row r="519" spans="1:4">
      <c r="A519" s="118"/>
      <c r="B519" s="122"/>
      <c r="C519" s="44" t="s">
        <v>756</v>
      </c>
      <c r="D519" s="44"/>
    </row>
    <row r="520" spans="1:4">
      <c r="A520" s="94"/>
      <c r="B520" s="55" t="s">
        <v>161</v>
      </c>
      <c r="C520" s="46" t="s">
        <v>757</v>
      </c>
      <c r="D520" s="46"/>
    </row>
    <row r="521" spans="1:4">
      <c r="A521" s="64"/>
      <c r="B521" s="56"/>
      <c r="C521" s="46" t="s">
        <v>758</v>
      </c>
      <c r="D521" s="46"/>
    </row>
    <row r="522" spans="1:4">
      <c r="A522" s="64"/>
      <c r="B522" s="56"/>
      <c r="C522" s="46" t="s">
        <v>759</v>
      </c>
      <c r="D522" s="46"/>
    </row>
    <row r="523" spans="1:4">
      <c r="A523" s="64"/>
      <c r="B523" s="56"/>
      <c r="C523" s="46" t="s">
        <v>760</v>
      </c>
      <c r="D523" s="46"/>
    </row>
    <row r="524" spans="1:4">
      <c r="A524" s="64"/>
      <c r="B524" s="56"/>
      <c r="C524" s="46" t="s">
        <v>761</v>
      </c>
      <c r="D524" s="46"/>
    </row>
    <row r="525" spans="1:4">
      <c r="A525" s="64"/>
      <c r="B525" s="56"/>
      <c r="C525" s="46" t="s">
        <v>762</v>
      </c>
      <c r="D525" s="46"/>
    </row>
    <row r="526" spans="1:4">
      <c r="A526" s="64"/>
      <c r="B526" s="56"/>
      <c r="C526" s="46" t="s">
        <v>763</v>
      </c>
      <c r="D526" s="46"/>
    </row>
    <row r="527" spans="1:4">
      <c r="A527" s="64"/>
      <c r="B527" s="56"/>
      <c r="C527" s="46" t="s">
        <v>764</v>
      </c>
      <c r="D527" s="46"/>
    </row>
    <row r="528" spans="1:4">
      <c r="A528" s="64"/>
      <c r="B528" s="56"/>
      <c r="C528" s="46" t="s">
        <v>765</v>
      </c>
      <c r="D528" s="46"/>
    </row>
    <row r="529" spans="1:4">
      <c r="A529" s="64"/>
      <c r="B529" s="56"/>
      <c r="C529" s="46" t="s">
        <v>748</v>
      </c>
      <c r="D529" s="46"/>
    </row>
    <row r="530" spans="1:4">
      <c r="A530" s="108"/>
      <c r="B530" s="56"/>
      <c r="C530" s="46" t="s">
        <v>766</v>
      </c>
      <c r="D530" s="46"/>
    </row>
    <row r="531" spans="1:4" ht="15">
      <c r="A531" s="64"/>
      <c r="B531" s="56"/>
      <c r="C531" s="46" t="s">
        <v>767</v>
      </c>
      <c r="D531" s="46" t="s">
        <v>768</v>
      </c>
    </row>
    <row r="532" spans="1:4" ht="15">
      <c r="A532" s="64"/>
      <c r="B532" s="56"/>
      <c r="C532" s="46" t="s">
        <v>769</v>
      </c>
      <c r="D532" s="46" t="s">
        <v>768</v>
      </c>
    </row>
    <row r="533" spans="1:4" ht="15">
      <c r="A533" s="64"/>
      <c r="B533" s="56"/>
      <c r="C533" s="46" t="s">
        <v>770</v>
      </c>
      <c r="D533" s="46" t="s">
        <v>768</v>
      </c>
    </row>
    <row r="534" spans="1:4">
      <c r="A534" s="64"/>
      <c r="B534" s="56"/>
      <c r="C534" s="46" t="s">
        <v>771</v>
      </c>
      <c r="D534" s="46"/>
    </row>
    <row r="535" spans="1:4">
      <c r="A535" s="64"/>
      <c r="B535" s="56"/>
      <c r="C535" s="46" t="s">
        <v>772</v>
      </c>
      <c r="D535" s="46"/>
    </row>
    <row r="536" spans="1:4">
      <c r="A536" s="64"/>
      <c r="B536" s="56"/>
      <c r="C536" s="46" t="s">
        <v>36</v>
      </c>
      <c r="D536" s="46"/>
    </row>
    <row r="537" spans="1:4">
      <c r="A537" s="64"/>
      <c r="B537" s="56"/>
      <c r="C537" s="46" t="s">
        <v>773</v>
      </c>
      <c r="D537" s="46"/>
    </row>
    <row r="538" spans="1:4">
      <c r="A538" s="64"/>
      <c r="B538" s="56"/>
      <c r="C538" s="46" t="s">
        <v>774</v>
      </c>
      <c r="D538" s="46"/>
    </row>
    <row r="539" spans="1:4">
      <c r="A539" s="64"/>
      <c r="B539" s="56"/>
      <c r="C539" s="46" t="s">
        <v>775</v>
      </c>
      <c r="D539" s="46"/>
    </row>
    <row r="540" spans="1:4">
      <c r="A540" s="64"/>
      <c r="B540" s="56"/>
      <c r="C540" s="46" t="s">
        <v>776</v>
      </c>
      <c r="D540" s="46"/>
    </row>
    <row r="541" spans="1:4">
      <c r="A541" s="64"/>
      <c r="B541" s="56"/>
      <c r="C541" s="46" t="s">
        <v>777</v>
      </c>
      <c r="D541" s="46"/>
    </row>
    <row r="542" spans="1:4">
      <c r="A542" s="64"/>
      <c r="B542" s="56"/>
      <c r="C542" s="46" t="s">
        <v>485</v>
      </c>
      <c r="D542" s="46"/>
    </row>
    <row r="543" spans="1:4">
      <c r="A543" s="64"/>
      <c r="B543" s="56"/>
      <c r="C543" s="46" t="s">
        <v>314</v>
      </c>
      <c r="D543" s="47"/>
    </row>
    <row r="544" spans="1:4">
      <c r="A544" s="67"/>
      <c r="B544" s="48" t="s">
        <v>165</v>
      </c>
      <c r="C544" s="44" t="s">
        <v>338</v>
      </c>
      <c r="D544" s="44"/>
    </row>
    <row r="545" spans="1:4">
      <c r="A545" s="68"/>
      <c r="B545" s="95"/>
      <c r="C545" s="44" t="s">
        <v>339</v>
      </c>
      <c r="D545" s="44"/>
    </row>
    <row r="546" spans="1:4">
      <c r="A546" s="64"/>
      <c r="B546" s="55" t="s">
        <v>166</v>
      </c>
      <c r="C546" s="46" t="s">
        <v>778</v>
      </c>
      <c r="D546" s="46"/>
    </row>
    <row r="547" spans="1:4">
      <c r="A547" s="64"/>
      <c r="B547" s="56"/>
      <c r="C547" s="46" t="s">
        <v>779</v>
      </c>
      <c r="D547" s="46"/>
    </row>
    <row r="548" spans="1:4">
      <c r="A548" s="64"/>
      <c r="B548" s="56"/>
      <c r="C548" s="46" t="s">
        <v>780</v>
      </c>
      <c r="D548" s="46"/>
    </row>
    <row r="549" spans="1:4">
      <c r="A549" s="64"/>
      <c r="B549" s="56"/>
      <c r="C549" s="46" t="s">
        <v>781</v>
      </c>
      <c r="D549" s="46"/>
    </row>
    <row r="550" spans="1:4">
      <c r="A550" s="64"/>
      <c r="B550" s="56"/>
      <c r="C550" s="46" t="s">
        <v>782</v>
      </c>
      <c r="D550" s="46"/>
    </row>
    <row r="551" spans="1:4">
      <c r="A551" s="67"/>
      <c r="B551" s="48" t="s">
        <v>168</v>
      </c>
      <c r="C551" s="44" t="s">
        <v>338</v>
      </c>
      <c r="D551" s="44"/>
    </row>
    <row r="552" spans="1:4">
      <c r="A552" s="68"/>
      <c r="B552" s="95"/>
      <c r="C552" s="44" t="s">
        <v>339</v>
      </c>
      <c r="D552" s="44"/>
    </row>
    <row r="553" spans="1:4">
      <c r="A553" s="52"/>
      <c r="B553" s="55" t="s">
        <v>783</v>
      </c>
      <c r="C553" s="46" t="s">
        <v>784</v>
      </c>
      <c r="D553" s="46"/>
    </row>
    <row r="554" spans="1:4">
      <c r="A554" s="53"/>
      <c r="B554" s="53"/>
      <c r="C554" s="46" t="s">
        <v>785</v>
      </c>
      <c r="D554" s="46"/>
    </row>
    <row r="555" spans="1:4">
      <c r="A555" s="53"/>
      <c r="B555" s="53"/>
      <c r="C555" s="46" t="s">
        <v>786</v>
      </c>
      <c r="D555" s="46"/>
    </row>
    <row r="556" spans="1:4">
      <c r="A556" s="53"/>
      <c r="B556" s="53"/>
      <c r="C556" s="46" t="s">
        <v>787</v>
      </c>
      <c r="D556" s="46"/>
    </row>
    <row r="557" spans="1:4">
      <c r="A557" s="53"/>
      <c r="B557" s="53"/>
      <c r="C557" s="46" t="s">
        <v>788</v>
      </c>
      <c r="D557" s="46"/>
    </row>
    <row r="558" spans="1:4">
      <c r="A558" s="53"/>
      <c r="B558" s="53"/>
      <c r="C558" s="46" t="s">
        <v>789</v>
      </c>
      <c r="D558" s="46"/>
    </row>
    <row r="559" spans="1:4">
      <c r="A559" s="53"/>
      <c r="B559" s="53"/>
      <c r="C559" s="46" t="s">
        <v>790</v>
      </c>
      <c r="D559" s="46"/>
    </row>
    <row r="560" spans="1:4">
      <c r="A560" s="53"/>
      <c r="B560" s="53"/>
      <c r="C560" s="46" t="s">
        <v>791</v>
      </c>
      <c r="D560" s="46"/>
    </row>
    <row r="561" spans="1:4">
      <c r="A561" s="53"/>
      <c r="B561" s="53"/>
      <c r="C561" s="46" t="s">
        <v>792</v>
      </c>
      <c r="D561" s="46"/>
    </row>
    <row r="562" spans="1:4">
      <c r="A562" s="53"/>
      <c r="B562" s="53"/>
      <c r="C562" s="46" t="s">
        <v>793</v>
      </c>
      <c r="D562" s="46"/>
    </row>
    <row r="563" spans="1:4">
      <c r="A563" s="53"/>
      <c r="B563" s="53"/>
      <c r="C563" s="46" t="s">
        <v>794</v>
      </c>
      <c r="D563" s="46"/>
    </row>
    <row r="564" spans="1:4">
      <c r="A564" s="53"/>
      <c r="B564" s="53"/>
      <c r="C564" s="46" t="s">
        <v>795</v>
      </c>
      <c r="D564" s="46"/>
    </row>
    <row r="565" spans="1:4">
      <c r="A565" s="53"/>
      <c r="B565" s="53"/>
      <c r="C565" s="46" t="s">
        <v>796</v>
      </c>
      <c r="D565" s="46"/>
    </row>
    <row r="566" spans="1:4">
      <c r="A566" s="53"/>
      <c r="B566" s="53"/>
      <c r="C566" s="46" t="s">
        <v>797</v>
      </c>
      <c r="D566" s="46"/>
    </row>
    <row r="567" spans="1:4">
      <c r="A567" s="53"/>
      <c r="B567" s="53"/>
      <c r="C567" s="46" t="s">
        <v>798</v>
      </c>
      <c r="D567" s="46"/>
    </row>
    <row r="568" spans="1:4">
      <c r="A568" s="53"/>
      <c r="B568" s="53"/>
      <c r="C568" s="46" t="s">
        <v>799</v>
      </c>
      <c r="D568" s="46"/>
    </row>
    <row r="569" spans="1:4">
      <c r="A569" s="53"/>
      <c r="B569" s="53"/>
      <c r="C569" s="46" t="s">
        <v>800</v>
      </c>
      <c r="D569" s="46"/>
    </row>
    <row r="570" spans="1:4">
      <c r="A570" s="53"/>
      <c r="B570" s="53"/>
      <c r="C570" s="46" t="s">
        <v>801</v>
      </c>
      <c r="D570" s="46"/>
    </row>
    <row r="571" spans="1:4">
      <c r="A571" s="53"/>
      <c r="B571" s="53"/>
      <c r="C571" s="46" t="s">
        <v>802</v>
      </c>
      <c r="D571" s="46"/>
    </row>
    <row r="572" spans="1:4">
      <c r="A572" s="53"/>
      <c r="B572" s="53"/>
      <c r="C572" s="46" t="s">
        <v>803</v>
      </c>
      <c r="D572" s="46"/>
    </row>
    <row r="573" spans="1:4">
      <c r="A573" s="53"/>
      <c r="B573" s="53"/>
      <c r="C573" s="46" t="s">
        <v>804</v>
      </c>
      <c r="D573" s="46"/>
    </row>
    <row r="574" spans="1:4">
      <c r="A574" s="53"/>
      <c r="B574" s="53"/>
      <c r="C574" s="46" t="s">
        <v>805</v>
      </c>
      <c r="D574" s="46"/>
    </row>
    <row r="575" spans="1:4">
      <c r="A575" s="53"/>
      <c r="B575" s="53"/>
      <c r="C575" s="46" t="s">
        <v>806</v>
      </c>
      <c r="D575" s="46"/>
    </row>
    <row r="576" spans="1:4">
      <c r="A576" s="53"/>
      <c r="B576" s="53"/>
      <c r="C576" s="46" t="s">
        <v>807</v>
      </c>
      <c r="D576" s="46"/>
    </row>
    <row r="577" spans="1:5">
      <c r="A577" s="53"/>
      <c r="B577" s="53"/>
      <c r="C577" s="46" t="s">
        <v>808</v>
      </c>
      <c r="D577" s="46"/>
    </row>
    <row r="578" spans="1:5">
      <c r="A578" s="53"/>
      <c r="B578" s="53"/>
      <c r="C578" s="46" t="s">
        <v>809</v>
      </c>
      <c r="D578" s="46"/>
    </row>
    <row r="579" spans="1:5">
      <c r="A579" s="53"/>
      <c r="B579" s="53"/>
      <c r="C579" s="46" t="s">
        <v>810</v>
      </c>
      <c r="D579" s="46"/>
    </row>
    <row r="580" spans="1:5">
      <c r="A580" s="53"/>
      <c r="B580" s="53"/>
      <c r="C580" s="46" t="s">
        <v>811</v>
      </c>
      <c r="D580" s="46"/>
      <c r="E580" t="s">
        <v>214</v>
      </c>
    </row>
    <row r="581" spans="1:5">
      <c r="A581" s="53"/>
      <c r="B581" s="53"/>
      <c r="C581" s="46" t="s">
        <v>812</v>
      </c>
      <c r="D581" s="46"/>
      <c r="E581" t="s">
        <v>214</v>
      </c>
    </row>
    <row r="582" spans="1:5">
      <c r="A582" s="53"/>
      <c r="B582" s="53"/>
      <c r="C582" s="46" t="s">
        <v>813</v>
      </c>
      <c r="D582" s="46"/>
    </row>
    <row r="583" spans="1:5">
      <c r="A583" s="53"/>
      <c r="B583" s="53"/>
      <c r="C583" s="46" t="s">
        <v>814</v>
      </c>
      <c r="D583" s="46"/>
    </row>
    <row r="584" spans="1:5">
      <c r="A584" s="53"/>
      <c r="B584" s="53"/>
      <c r="C584" s="46" t="s">
        <v>815</v>
      </c>
      <c r="D584" s="46"/>
    </row>
    <row r="585" spans="1:5">
      <c r="A585" s="53"/>
      <c r="B585" s="53"/>
      <c r="C585" s="46" t="s">
        <v>816</v>
      </c>
      <c r="D585" s="46"/>
    </row>
    <row r="586" spans="1:5">
      <c r="A586" s="53"/>
      <c r="B586" s="53"/>
      <c r="C586" s="46" t="s">
        <v>817</v>
      </c>
      <c r="D586" s="46"/>
    </row>
    <row r="587" spans="1:5">
      <c r="A587" s="53"/>
      <c r="B587" s="53"/>
      <c r="C587" s="46" t="s">
        <v>818</v>
      </c>
      <c r="D587" s="46"/>
    </row>
    <row r="588" spans="1:5">
      <c r="A588" s="53"/>
      <c r="B588" s="53"/>
      <c r="C588" s="46" t="s">
        <v>819</v>
      </c>
      <c r="D588" s="46"/>
    </row>
    <row r="589" spans="1:5">
      <c r="A589" s="53"/>
      <c r="B589" s="53"/>
      <c r="C589" s="46" t="s">
        <v>820</v>
      </c>
      <c r="D589" s="46"/>
    </row>
    <row r="590" spans="1:5">
      <c r="A590" s="53"/>
      <c r="B590" s="53"/>
      <c r="C590" s="46" t="s">
        <v>821</v>
      </c>
      <c r="D590" s="46"/>
    </row>
    <row r="591" spans="1:5">
      <c r="A591" s="54"/>
      <c r="B591" s="54"/>
      <c r="C591" s="46" t="s">
        <v>822</v>
      </c>
      <c r="D591" s="46"/>
    </row>
    <row r="592" spans="1:5">
      <c r="A592" s="118"/>
      <c r="B592" s="122" t="s">
        <v>159</v>
      </c>
      <c r="C592" s="44" t="s">
        <v>823</v>
      </c>
      <c r="D592" s="44"/>
    </row>
    <row r="593" spans="1:4">
      <c r="A593" s="118"/>
      <c r="B593" s="122"/>
      <c r="C593" s="44" t="s">
        <v>824</v>
      </c>
      <c r="D593" s="44"/>
    </row>
    <row r="594" spans="1:4">
      <c r="A594" s="118"/>
      <c r="B594" s="122"/>
      <c r="C594" s="44" t="s">
        <v>314</v>
      </c>
      <c r="D594" s="44"/>
    </row>
    <row r="595" spans="1:4">
      <c r="A595" s="55"/>
      <c r="B595" s="58" t="s">
        <v>87</v>
      </c>
      <c r="C595" s="46" t="s">
        <v>338</v>
      </c>
      <c r="D595" s="46"/>
    </row>
    <row r="596" spans="1:4">
      <c r="A596" s="96"/>
      <c r="B596" s="98"/>
      <c r="C596" s="97" t="s">
        <v>339</v>
      </c>
      <c r="D596" s="46"/>
    </row>
    <row r="597" spans="1:4">
      <c r="A597" s="117"/>
      <c r="B597" s="117" t="s">
        <v>114</v>
      </c>
      <c r="C597" s="44" t="s">
        <v>825</v>
      </c>
      <c r="D597" s="44"/>
    </row>
    <row r="598" spans="1:4">
      <c r="A598" s="118"/>
      <c r="B598" s="118"/>
      <c r="C598" s="44" t="s">
        <v>826</v>
      </c>
      <c r="D598" s="44"/>
    </row>
    <row r="599" spans="1:4">
      <c r="A599" s="118"/>
      <c r="B599" s="118"/>
      <c r="C599" s="44" t="s">
        <v>827</v>
      </c>
      <c r="D599" s="44"/>
    </row>
    <row r="600" spans="1:4">
      <c r="A600" s="118"/>
      <c r="B600" s="118"/>
      <c r="C600" s="44" t="s">
        <v>828</v>
      </c>
      <c r="D600" s="44"/>
    </row>
    <row r="601" spans="1:4">
      <c r="A601" s="118"/>
      <c r="B601" s="118"/>
      <c r="C601" s="44" t="s">
        <v>829</v>
      </c>
      <c r="D601" s="44"/>
    </row>
    <row r="602" spans="1:4">
      <c r="A602" s="118"/>
      <c r="B602" s="118"/>
      <c r="C602" s="44" t="s">
        <v>830</v>
      </c>
      <c r="D602" s="44"/>
    </row>
    <row r="603" spans="1:4">
      <c r="A603" s="118"/>
      <c r="B603" s="118"/>
      <c r="C603" s="44" t="s">
        <v>831</v>
      </c>
      <c r="D603" s="44"/>
    </row>
    <row r="604" spans="1:4">
      <c r="A604" s="118"/>
      <c r="B604" s="118"/>
      <c r="C604" s="44" t="s">
        <v>832</v>
      </c>
      <c r="D604" s="44"/>
    </row>
    <row r="605" spans="1:4">
      <c r="A605" s="118"/>
      <c r="B605" s="118"/>
      <c r="C605" s="44" t="s">
        <v>833</v>
      </c>
      <c r="D605" s="44"/>
    </row>
    <row r="606" spans="1:4">
      <c r="A606" s="118"/>
      <c r="B606" s="118"/>
      <c r="C606" s="44" t="s">
        <v>834</v>
      </c>
      <c r="D606" s="44"/>
    </row>
    <row r="607" spans="1:4">
      <c r="A607" s="118"/>
      <c r="B607" s="118"/>
      <c r="C607" s="44" t="s">
        <v>835</v>
      </c>
      <c r="D607" s="44"/>
    </row>
    <row r="608" spans="1:4">
      <c r="A608" s="118"/>
      <c r="B608" s="118"/>
      <c r="C608" s="44" t="s">
        <v>836</v>
      </c>
      <c r="D608" s="44"/>
    </row>
    <row r="609" spans="1:5">
      <c r="A609" s="118"/>
      <c r="B609" s="118"/>
      <c r="C609" s="44" t="s">
        <v>837</v>
      </c>
      <c r="D609" s="44"/>
    </row>
    <row r="610" spans="1:5">
      <c r="A610" s="118"/>
      <c r="B610" s="118"/>
      <c r="C610" s="44" t="s">
        <v>838</v>
      </c>
      <c r="D610" s="44"/>
    </row>
    <row r="611" spans="1:5">
      <c r="A611" s="118"/>
      <c r="B611" s="118"/>
      <c r="C611" s="44" t="s">
        <v>839</v>
      </c>
      <c r="D611" s="44"/>
    </row>
    <row r="612" spans="1:5">
      <c r="A612" s="118"/>
      <c r="B612" s="118"/>
      <c r="C612" s="44" t="s">
        <v>840</v>
      </c>
      <c r="D612" s="44"/>
    </row>
    <row r="613" spans="1:5">
      <c r="A613" s="118"/>
      <c r="B613" s="118"/>
      <c r="C613" s="44" t="s">
        <v>841</v>
      </c>
      <c r="D613" s="44"/>
    </row>
    <row r="614" spans="1:5">
      <c r="A614" s="118"/>
      <c r="B614" s="118"/>
      <c r="C614" s="44" t="s">
        <v>842</v>
      </c>
      <c r="D614" s="44"/>
    </row>
    <row r="615" spans="1:5">
      <c r="A615" s="118"/>
      <c r="B615" s="118"/>
      <c r="C615" s="44" t="s">
        <v>843</v>
      </c>
      <c r="D615" s="44"/>
    </row>
    <row r="616" spans="1:5">
      <c r="A616" s="118"/>
      <c r="B616" s="118"/>
      <c r="C616" s="44" t="s">
        <v>844</v>
      </c>
      <c r="D616" s="44"/>
    </row>
    <row r="617" spans="1:5">
      <c r="A617" s="118"/>
      <c r="B617" s="118"/>
      <c r="C617" s="44" t="s">
        <v>845</v>
      </c>
      <c r="D617" s="44"/>
    </row>
    <row r="618" spans="1:5">
      <c r="A618" s="118"/>
      <c r="B618" s="118"/>
      <c r="C618" s="44" t="s">
        <v>846</v>
      </c>
      <c r="D618" s="44"/>
    </row>
    <row r="619" spans="1:5">
      <c r="A619" s="118"/>
      <c r="B619" s="118"/>
      <c r="C619" s="44" t="s">
        <v>847</v>
      </c>
      <c r="D619" s="44"/>
    </row>
    <row r="620" spans="1:5">
      <c r="A620" s="118"/>
      <c r="B620" s="118"/>
      <c r="C620" s="44" t="s">
        <v>569</v>
      </c>
      <c r="D620" s="44"/>
    </row>
    <row r="621" spans="1:5">
      <c r="A621" s="118"/>
      <c r="B621" s="118"/>
      <c r="C621" s="44" t="s">
        <v>848</v>
      </c>
      <c r="D621" s="44"/>
      <c r="E621" t="s">
        <v>214</v>
      </c>
    </row>
    <row r="622" spans="1:5">
      <c r="A622" s="55"/>
      <c r="B622" s="55" t="s">
        <v>177</v>
      </c>
      <c r="C622" s="46" t="s">
        <v>849</v>
      </c>
      <c r="D622" s="46"/>
    </row>
    <row r="623" spans="1:5">
      <c r="A623" s="56"/>
      <c r="B623" s="56"/>
      <c r="C623" s="46" t="s">
        <v>850</v>
      </c>
      <c r="D623" s="46"/>
    </row>
    <row r="624" spans="1:5">
      <c r="A624" s="56"/>
      <c r="B624" s="56"/>
      <c r="C624" s="46" t="s">
        <v>851</v>
      </c>
      <c r="D624" s="46"/>
    </row>
    <row r="625" spans="1:5">
      <c r="A625" s="56"/>
      <c r="B625" s="56"/>
      <c r="C625" s="46" t="s">
        <v>852</v>
      </c>
      <c r="D625" s="46"/>
    </row>
    <row r="626" spans="1:5">
      <c r="A626" s="56"/>
      <c r="B626" s="56"/>
      <c r="C626" s="46" t="s">
        <v>853</v>
      </c>
      <c r="D626" s="46"/>
      <c r="E626" t="s">
        <v>214</v>
      </c>
    </row>
    <row r="627" spans="1:5">
      <c r="A627" s="56"/>
      <c r="B627" s="56"/>
      <c r="C627" s="46" t="s">
        <v>854</v>
      </c>
      <c r="D627" s="46"/>
    </row>
    <row r="628" spans="1:5">
      <c r="A628" s="56"/>
      <c r="B628" s="56"/>
      <c r="C628" s="46" t="s">
        <v>855</v>
      </c>
      <c r="D628" s="46"/>
    </row>
    <row r="629" spans="1:5">
      <c r="A629" s="56"/>
      <c r="B629" s="56"/>
      <c r="C629" s="46" t="s">
        <v>462</v>
      </c>
      <c r="D629" s="46"/>
    </row>
    <row r="630" spans="1:5">
      <c r="A630" s="56"/>
      <c r="B630" s="56"/>
      <c r="C630" s="46" t="s">
        <v>856</v>
      </c>
      <c r="D630" s="46"/>
    </row>
    <row r="631" spans="1:5">
      <c r="A631" s="56"/>
      <c r="B631" s="56"/>
      <c r="C631" s="46" t="s">
        <v>857</v>
      </c>
      <c r="D631" s="46"/>
    </row>
    <row r="632" spans="1:5">
      <c r="A632" s="56"/>
      <c r="B632" s="56"/>
      <c r="C632" s="46" t="s">
        <v>858</v>
      </c>
      <c r="D632" s="46"/>
    </row>
    <row r="633" spans="1:5">
      <c r="A633" s="57"/>
      <c r="B633" s="57"/>
      <c r="C633" s="46" t="s">
        <v>314</v>
      </c>
      <c r="D633" s="46"/>
    </row>
    <row r="634" spans="1:5">
      <c r="A634" s="118"/>
      <c r="B634" s="122" t="s">
        <v>178</v>
      </c>
      <c r="C634" s="44" t="s">
        <v>859</v>
      </c>
      <c r="D634" s="44" t="s">
        <v>860</v>
      </c>
    </row>
    <row r="635" spans="1:5">
      <c r="A635" s="118"/>
      <c r="B635" s="122"/>
      <c r="C635" s="44" t="s">
        <v>861</v>
      </c>
      <c r="D635" s="44" t="s">
        <v>862</v>
      </c>
    </row>
    <row r="636" spans="1:5">
      <c r="A636" s="118"/>
      <c r="B636" s="122"/>
      <c r="C636" s="44" t="s">
        <v>863</v>
      </c>
      <c r="D636" s="44" t="s">
        <v>864</v>
      </c>
    </row>
    <row r="637" spans="1:5">
      <c r="A637" s="118"/>
      <c r="B637" s="122"/>
      <c r="C637" s="44" t="s">
        <v>865</v>
      </c>
      <c r="D637" s="44" t="s">
        <v>866</v>
      </c>
    </row>
    <row r="638" spans="1:5">
      <c r="A638" s="118"/>
      <c r="B638" s="122"/>
      <c r="C638" s="44" t="s">
        <v>867</v>
      </c>
      <c r="D638" s="44" t="s">
        <v>868</v>
      </c>
    </row>
    <row r="639" spans="1:5">
      <c r="A639" s="118"/>
      <c r="B639" s="122"/>
      <c r="C639" s="44" t="s">
        <v>869</v>
      </c>
      <c r="D639" s="44" t="s">
        <v>870</v>
      </c>
    </row>
    <row r="640" spans="1:5">
      <c r="A640" s="118"/>
      <c r="B640" s="122"/>
      <c r="C640" s="44" t="s">
        <v>871</v>
      </c>
      <c r="D640" s="44" t="s">
        <v>872</v>
      </c>
    </row>
    <row r="641" spans="1:4">
      <c r="A641" s="118"/>
      <c r="B641" s="122"/>
      <c r="C641" s="44" t="s">
        <v>873</v>
      </c>
      <c r="D641" s="44" t="s">
        <v>873</v>
      </c>
    </row>
    <row r="642" spans="1:4">
      <c r="A642" s="118"/>
      <c r="B642" s="122"/>
      <c r="C642" s="44" t="s">
        <v>314</v>
      </c>
      <c r="D642" s="44"/>
    </row>
    <row r="643" spans="1:4">
      <c r="A643" s="119"/>
      <c r="B643" s="119" t="s">
        <v>874</v>
      </c>
      <c r="C643" s="46" t="s">
        <v>875</v>
      </c>
      <c r="D643" s="46" t="s">
        <v>876</v>
      </c>
    </row>
    <row r="644" spans="1:4">
      <c r="A644" s="120"/>
      <c r="B644" s="120"/>
      <c r="C644" s="46" t="s">
        <v>877</v>
      </c>
      <c r="D644" s="46" t="s">
        <v>878</v>
      </c>
    </row>
    <row r="645" spans="1:4">
      <c r="A645" s="120"/>
      <c r="B645" s="120"/>
      <c r="C645" s="46" t="s">
        <v>879</v>
      </c>
      <c r="D645" s="46" t="s">
        <v>880</v>
      </c>
    </row>
    <row r="646" spans="1:4">
      <c r="A646" s="120"/>
      <c r="B646" s="120"/>
      <c r="C646" s="46" t="s">
        <v>881</v>
      </c>
      <c r="D646" s="46" t="s">
        <v>882</v>
      </c>
    </row>
    <row r="647" spans="1:4">
      <c r="A647" s="120"/>
      <c r="B647" s="120"/>
      <c r="C647" s="46" t="s">
        <v>883</v>
      </c>
      <c r="D647" s="46"/>
    </row>
    <row r="648" spans="1:4">
      <c r="A648" s="121"/>
      <c r="B648" s="121"/>
      <c r="C648" s="46" t="s">
        <v>314</v>
      </c>
      <c r="D648" s="46"/>
    </row>
    <row r="649" spans="1:4">
      <c r="A649" s="118"/>
      <c r="B649" s="122" t="s">
        <v>103</v>
      </c>
      <c r="C649" s="44" t="s">
        <v>884</v>
      </c>
      <c r="D649" s="44"/>
    </row>
    <row r="650" spans="1:4">
      <c r="A650" s="118"/>
      <c r="B650" s="122"/>
      <c r="C650" s="44" t="s">
        <v>885</v>
      </c>
      <c r="D650" s="44"/>
    </row>
    <row r="651" spans="1:4">
      <c r="A651" s="118"/>
      <c r="B651" s="122"/>
      <c r="C651" s="44" t="s">
        <v>886</v>
      </c>
      <c r="D651" s="44"/>
    </row>
    <row r="652" spans="1:4">
      <c r="A652" s="118"/>
      <c r="B652" s="122"/>
      <c r="C652" s="44" t="s">
        <v>887</v>
      </c>
      <c r="D652" s="44"/>
    </row>
    <row r="653" spans="1:4">
      <c r="A653" s="118"/>
      <c r="B653" s="122"/>
      <c r="C653" s="44" t="s">
        <v>314</v>
      </c>
      <c r="D653" s="44"/>
    </row>
    <row r="654" spans="1:4">
      <c r="A654" s="119"/>
      <c r="B654" s="119" t="s">
        <v>104</v>
      </c>
      <c r="C654" s="46" t="s">
        <v>888</v>
      </c>
      <c r="D654" s="46"/>
    </row>
    <row r="655" spans="1:4">
      <c r="A655" s="120"/>
      <c r="B655" s="120"/>
      <c r="C655" s="46" t="s">
        <v>889</v>
      </c>
      <c r="D655" s="46"/>
    </row>
    <row r="656" spans="1:4">
      <c r="A656" s="118"/>
      <c r="B656" s="122" t="s">
        <v>17</v>
      </c>
      <c r="C656" s="44" t="s">
        <v>15</v>
      </c>
      <c r="D656" s="44"/>
    </row>
    <row r="657" spans="1:6">
      <c r="A657" s="118"/>
      <c r="B657" s="122"/>
      <c r="C657" s="44" t="s">
        <v>16</v>
      </c>
      <c r="D657" s="44"/>
    </row>
    <row r="658" spans="1:6">
      <c r="A658" s="119"/>
      <c r="B658" s="119" t="s">
        <v>139</v>
      </c>
      <c r="C658" s="46" t="s">
        <v>890</v>
      </c>
      <c r="D658" s="46"/>
    </row>
    <row r="659" spans="1:6">
      <c r="A659" s="120"/>
      <c r="B659" s="120"/>
      <c r="C659" s="46" t="s">
        <v>891</v>
      </c>
      <c r="D659" s="46"/>
    </row>
    <row r="660" spans="1:6">
      <c r="A660" s="120"/>
      <c r="B660" s="120"/>
      <c r="C660" s="46" t="s">
        <v>892</v>
      </c>
      <c r="D660" s="46"/>
    </row>
    <row r="661" spans="1:6">
      <c r="A661" s="120"/>
      <c r="B661" s="120"/>
      <c r="C661" s="46" t="s">
        <v>893</v>
      </c>
      <c r="D661" s="46"/>
    </row>
    <row r="662" spans="1:6">
      <c r="A662" s="120"/>
      <c r="B662" s="120"/>
      <c r="C662" s="46" t="s">
        <v>894</v>
      </c>
      <c r="D662" s="46"/>
    </row>
    <row r="663" spans="1:6">
      <c r="A663" s="120"/>
      <c r="B663" s="120"/>
      <c r="C663" s="46" t="s">
        <v>895</v>
      </c>
      <c r="D663" s="46"/>
    </row>
    <row r="664" spans="1:6">
      <c r="A664" s="120"/>
      <c r="B664" s="120"/>
      <c r="C664" s="46" t="s">
        <v>314</v>
      </c>
      <c r="D664" s="46"/>
    </row>
    <row r="665" spans="1:6">
      <c r="A665" s="121"/>
      <c r="B665" s="121"/>
      <c r="C665" s="46" t="s">
        <v>896</v>
      </c>
      <c r="D665" s="46"/>
    </row>
    <row r="666" spans="1:6">
      <c r="A666" s="118"/>
      <c r="B666" s="122" t="s">
        <v>140</v>
      </c>
      <c r="C666" s="44" t="s">
        <v>897</v>
      </c>
      <c r="D666" s="44"/>
    </row>
    <row r="667" spans="1:6">
      <c r="A667" s="118"/>
      <c r="B667" s="122"/>
      <c r="C667" s="44" t="s">
        <v>898</v>
      </c>
      <c r="D667" s="44"/>
      <c r="F667" s="7"/>
    </row>
    <row r="668" spans="1:6">
      <c r="A668" s="119"/>
      <c r="B668" s="119" t="s">
        <v>85</v>
      </c>
      <c r="C668" s="46" t="s">
        <v>899</v>
      </c>
      <c r="D668" s="46"/>
    </row>
    <row r="669" spans="1:6">
      <c r="A669" s="120"/>
      <c r="B669" s="120"/>
      <c r="C669" s="46" t="s">
        <v>900</v>
      </c>
      <c r="D669" s="46"/>
    </row>
    <row r="670" spans="1:6">
      <c r="A670" s="120"/>
      <c r="B670" s="120"/>
      <c r="C670" s="46" t="s">
        <v>901</v>
      </c>
      <c r="D670" s="46"/>
    </row>
    <row r="671" spans="1:6">
      <c r="A671" s="120"/>
      <c r="B671" s="120"/>
      <c r="C671" s="46" t="s">
        <v>902</v>
      </c>
      <c r="D671" s="46"/>
    </row>
    <row r="672" spans="1:6">
      <c r="A672" s="120"/>
      <c r="B672" s="120"/>
      <c r="C672" s="46" t="s">
        <v>903</v>
      </c>
      <c r="D672" s="46"/>
    </row>
    <row r="673" spans="1:4">
      <c r="A673" s="120"/>
      <c r="B673" s="120"/>
      <c r="C673" s="46" t="s">
        <v>904</v>
      </c>
      <c r="D673" s="46"/>
    </row>
    <row r="674" spans="1:4">
      <c r="A674" s="120"/>
      <c r="B674" s="120"/>
      <c r="C674" s="46" t="s">
        <v>905</v>
      </c>
      <c r="D674" s="46"/>
    </row>
    <row r="675" spans="1:4">
      <c r="A675" s="120"/>
      <c r="B675" s="120"/>
      <c r="C675" s="46" t="s">
        <v>906</v>
      </c>
      <c r="D675" s="46"/>
    </row>
    <row r="676" spans="1:4">
      <c r="A676" s="120"/>
      <c r="B676" s="120"/>
      <c r="C676" s="46" t="s">
        <v>907</v>
      </c>
      <c r="D676" s="46"/>
    </row>
    <row r="677" spans="1:4">
      <c r="A677" s="120"/>
      <c r="B677" s="120"/>
      <c r="C677" s="46" t="s">
        <v>908</v>
      </c>
      <c r="D677" s="46"/>
    </row>
    <row r="678" spans="1:4">
      <c r="A678" s="120"/>
      <c r="B678" s="120"/>
      <c r="C678" s="46" t="s">
        <v>569</v>
      </c>
      <c r="D678" s="46"/>
    </row>
    <row r="679" spans="1:4">
      <c r="A679" s="121"/>
      <c r="B679" s="121"/>
      <c r="C679" s="46" t="s">
        <v>896</v>
      </c>
      <c r="D679" s="46"/>
    </row>
    <row r="680" spans="1:4">
      <c r="A680" s="123"/>
      <c r="B680" s="123" t="s">
        <v>143</v>
      </c>
      <c r="C680" s="44" t="s">
        <v>890</v>
      </c>
      <c r="D680" s="44"/>
    </row>
    <row r="681" spans="1:4">
      <c r="A681" s="114"/>
      <c r="B681" s="114"/>
      <c r="C681" s="44" t="s">
        <v>891</v>
      </c>
      <c r="D681" s="44"/>
    </row>
    <row r="682" spans="1:4">
      <c r="A682" s="114"/>
      <c r="B682" s="114"/>
      <c r="C682" s="44" t="s">
        <v>892</v>
      </c>
      <c r="D682" s="44"/>
    </row>
    <row r="683" spans="1:4">
      <c r="A683" s="114"/>
      <c r="B683" s="114"/>
      <c r="C683" s="44" t="s">
        <v>893</v>
      </c>
      <c r="D683" s="44"/>
    </row>
    <row r="684" spans="1:4">
      <c r="A684" s="114"/>
      <c r="B684" s="114"/>
      <c r="C684" s="44" t="s">
        <v>894</v>
      </c>
      <c r="D684" s="44"/>
    </row>
    <row r="685" spans="1:4">
      <c r="A685" s="114"/>
      <c r="B685" s="114"/>
      <c r="C685" s="44" t="s">
        <v>895</v>
      </c>
      <c r="D685" s="44"/>
    </row>
    <row r="686" spans="1:4">
      <c r="A686" s="114"/>
      <c r="B686" s="114"/>
      <c r="C686" s="44" t="s">
        <v>314</v>
      </c>
      <c r="D686" s="44"/>
    </row>
    <row r="687" spans="1:4">
      <c r="A687" s="114"/>
      <c r="B687" s="114"/>
      <c r="C687" s="44" t="s">
        <v>896</v>
      </c>
      <c r="D687" s="44"/>
    </row>
    <row r="688" spans="1:4">
      <c r="A688" s="119"/>
      <c r="B688" s="55" t="s">
        <v>909</v>
      </c>
      <c r="C688" s="46" t="s">
        <v>910</v>
      </c>
      <c r="D688" s="46"/>
    </row>
    <row r="689" spans="1:4">
      <c r="A689" s="120"/>
      <c r="B689" s="57"/>
      <c r="C689" s="46" t="s">
        <v>911</v>
      </c>
      <c r="D689" s="46"/>
    </row>
    <row r="690" spans="1:4">
      <c r="A690" s="123"/>
      <c r="B690" s="123" t="s">
        <v>142</v>
      </c>
      <c r="C690" s="44" t="s">
        <v>912</v>
      </c>
      <c r="D690" s="44"/>
    </row>
    <row r="691" spans="1:4">
      <c r="A691" s="114"/>
      <c r="B691" s="114"/>
      <c r="C691" s="44" t="s">
        <v>913</v>
      </c>
      <c r="D691" s="44"/>
    </row>
    <row r="692" spans="1:4">
      <c r="A692" s="119"/>
      <c r="B692" s="119" t="s">
        <v>134</v>
      </c>
      <c r="C692" s="46" t="s">
        <v>914</v>
      </c>
      <c r="D692" s="46"/>
    </row>
    <row r="693" spans="1:4">
      <c r="A693" s="120"/>
      <c r="B693" s="120"/>
      <c r="C693" s="46" t="s">
        <v>745</v>
      </c>
      <c r="D693" s="46"/>
    </row>
    <row r="694" spans="1:4">
      <c r="A694" s="120"/>
      <c r="B694" s="120"/>
      <c r="C694" s="46" t="s">
        <v>915</v>
      </c>
      <c r="D694" s="46"/>
    </row>
    <row r="695" spans="1:4">
      <c r="A695" s="120"/>
      <c r="B695" s="120"/>
      <c r="C695" s="46" t="s">
        <v>916</v>
      </c>
      <c r="D695" s="46"/>
    </row>
    <row r="696" spans="1:4">
      <c r="A696" s="120"/>
      <c r="B696" s="120"/>
      <c r="C696" s="46" t="s">
        <v>917</v>
      </c>
      <c r="D696" s="46"/>
    </row>
    <row r="697" spans="1:4">
      <c r="A697" s="120"/>
      <c r="B697" s="120"/>
      <c r="C697" s="46" t="s">
        <v>83</v>
      </c>
      <c r="D697" s="46"/>
    </row>
    <row r="698" spans="1:4">
      <c r="A698" s="120"/>
      <c r="B698" s="120"/>
      <c r="C698" s="46" t="s">
        <v>918</v>
      </c>
      <c r="D698" s="46"/>
    </row>
    <row r="699" spans="1:4">
      <c r="A699" s="120"/>
      <c r="B699" s="120"/>
      <c r="C699" s="46" t="s">
        <v>919</v>
      </c>
      <c r="D699" s="46"/>
    </row>
    <row r="700" spans="1:4">
      <c r="A700" s="120"/>
      <c r="B700" s="120"/>
      <c r="C700" s="46" t="s">
        <v>314</v>
      </c>
      <c r="D700" s="46"/>
    </row>
    <row r="701" spans="1:4">
      <c r="A701" s="123"/>
      <c r="B701" s="123" t="s">
        <v>135</v>
      </c>
      <c r="C701" s="44" t="s">
        <v>436</v>
      </c>
      <c r="D701" s="44"/>
    </row>
    <row r="702" spans="1:4">
      <c r="A702" s="114"/>
      <c r="B702" s="114"/>
      <c r="C702" s="44" t="s">
        <v>437</v>
      </c>
      <c r="D702" s="44"/>
    </row>
    <row r="703" spans="1:4">
      <c r="A703" s="114"/>
      <c r="B703" s="114"/>
      <c r="C703" s="44" t="s">
        <v>438</v>
      </c>
      <c r="D703" s="44"/>
    </row>
    <row r="704" spans="1:4">
      <c r="A704" s="114"/>
      <c r="B704" s="114"/>
      <c r="C704" s="44" t="s">
        <v>439</v>
      </c>
      <c r="D704" s="44"/>
    </row>
    <row r="705" spans="1:5">
      <c r="A705" s="114"/>
      <c r="B705" s="114"/>
      <c r="C705" s="44" t="s">
        <v>440</v>
      </c>
      <c r="D705" s="44"/>
    </row>
    <row r="706" spans="1:5">
      <c r="A706" s="114"/>
      <c r="B706" s="114"/>
      <c r="C706" s="44" t="s">
        <v>441</v>
      </c>
      <c r="D706" s="44"/>
    </row>
    <row r="707" spans="1:5">
      <c r="A707" s="114"/>
      <c r="B707" s="114"/>
      <c r="C707" s="44" t="s">
        <v>443</v>
      </c>
      <c r="D707" s="44"/>
    </row>
    <row r="708" spans="1:5">
      <c r="A708" s="114"/>
      <c r="B708" s="114"/>
      <c r="C708" s="44" t="s">
        <v>444</v>
      </c>
      <c r="D708" s="44"/>
    </row>
    <row r="709" spans="1:5">
      <c r="A709" s="114"/>
      <c r="B709" s="114"/>
      <c r="C709" s="44" t="s">
        <v>445</v>
      </c>
      <c r="D709" s="44"/>
    </row>
    <row r="710" spans="1:5">
      <c r="A710" s="114"/>
      <c r="B710" s="114"/>
      <c r="C710" s="44" t="s">
        <v>446</v>
      </c>
      <c r="D710" s="44"/>
    </row>
    <row r="711" spans="1:5">
      <c r="A711" s="114"/>
      <c r="B711" s="114"/>
      <c r="C711" s="44" t="s">
        <v>447</v>
      </c>
      <c r="D711" s="44"/>
    </row>
    <row r="712" spans="1:5">
      <c r="A712" s="114"/>
      <c r="B712" s="114"/>
      <c r="C712" s="44" t="s">
        <v>448</v>
      </c>
      <c r="D712" s="44"/>
    </row>
    <row r="713" spans="1:5">
      <c r="A713" s="114"/>
      <c r="B713" s="114"/>
      <c r="C713" s="44" t="s">
        <v>449</v>
      </c>
      <c r="D713" s="44"/>
    </row>
    <row r="714" spans="1:5">
      <c r="A714" s="114"/>
      <c r="B714" s="114"/>
      <c r="C714" s="44" t="s">
        <v>450</v>
      </c>
      <c r="D714" s="44"/>
    </row>
    <row r="715" spans="1:5">
      <c r="A715" s="114"/>
      <c r="B715" s="114"/>
      <c r="C715" s="44" t="s">
        <v>451</v>
      </c>
      <c r="D715" s="44"/>
    </row>
    <row r="716" spans="1:5">
      <c r="A716" s="114"/>
      <c r="B716" s="114"/>
      <c r="C716" s="44" t="s">
        <v>452</v>
      </c>
      <c r="D716" s="44" t="s">
        <v>453</v>
      </c>
      <c r="E716" t="s">
        <v>214</v>
      </c>
    </row>
    <row r="717" spans="1:5">
      <c r="A717" s="114"/>
      <c r="B717" s="114"/>
      <c r="C717" s="44" t="s">
        <v>454</v>
      </c>
      <c r="D717" s="44"/>
    </row>
    <row r="718" spans="1:5">
      <c r="A718" s="114"/>
      <c r="B718" s="114"/>
      <c r="C718" s="44" t="s">
        <v>455</v>
      </c>
      <c r="D718" s="44"/>
    </row>
    <row r="719" spans="1:5">
      <c r="A719" s="114"/>
      <c r="B719" s="114"/>
      <c r="C719" s="44" t="s">
        <v>456</v>
      </c>
      <c r="D719" s="44"/>
    </row>
    <row r="720" spans="1:5">
      <c r="A720" s="114"/>
      <c r="B720" s="114"/>
      <c r="C720" s="44" t="s">
        <v>457</v>
      </c>
      <c r="D720" s="44"/>
    </row>
    <row r="721" spans="1:4">
      <c r="A721" s="114"/>
      <c r="B721" s="114"/>
      <c r="C721" s="44" t="s">
        <v>458</v>
      </c>
      <c r="D721" s="44"/>
    </row>
    <row r="722" spans="1:4">
      <c r="A722" s="114"/>
      <c r="B722" s="114"/>
      <c r="C722" s="44" t="s">
        <v>459</v>
      </c>
      <c r="D722" s="44"/>
    </row>
    <row r="723" spans="1:4">
      <c r="A723" s="114"/>
      <c r="B723" s="114"/>
      <c r="C723" s="44" t="s">
        <v>460</v>
      </c>
      <c r="D723" s="44"/>
    </row>
    <row r="724" spans="1:4">
      <c r="A724" s="114"/>
      <c r="B724" s="114"/>
      <c r="C724" s="44" t="s">
        <v>461</v>
      </c>
      <c r="D724" s="44"/>
    </row>
    <row r="725" spans="1:4">
      <c r="A725" s="114"/>
      <c r="B725" s="114"/>
      <c r="C725" s="44" t="s">
        <v>462</v>
      </c>
      <c r="D725" s="44"/>
    </row>
    <row r="726" spans="1:4">
      <c r="A726" s="114"/>
      <c r="B726" s="114"/>
      <c r="C726" s="44" t="s">
        <v>463</v>
      </c>
      <c r="D726" s="44"/>
    </row>
    <row r="727" spans="1:4">
      <c r="A727" s="114"/>
      <c r="B727" s="114"/>
      <c r="C727" s="44" t="s">
        <v>464</v>
      </c>
      <c r="D727" s="44"/>
    </row>
    <row r="728" spans="1:4">
      <c r="A728" s="114"/>
      <c r="B728" s="114"/>
      <c r="C728" s="44" t="s">
        <v>465</v>
      </c>
      <c r="D728" s="44"/>
    </row>
    <row r="729" spans="1:4">
      <c r="A729" s="114"/>
      <c r="B729" s="114"/>
      <c r="C729" s="44" t="s">
        <v>466</v>
      </c>
      <c r="D729" s="44"/>
    </row>
    <row r="730" spans="1:4">
      <c r="A730" s="114"/>
      <c r="B730" s="114"/>
      <c r="C730" s="44" t="s">
        <v>467</v>
      </c>
      <c r="D730" s="44"/>
    </row>
    <row r="731" spans="1:4">
      <c r="A731" s="114"/>
      <c r="B731" s="114"/>
      <c r="C731" s="44" t="s">
        <v>468</v>
      </c>
      <c r="D731" s="44"/>
    </row>
    <row r="732" spans="1:4">
      <c r="A732" s="114"/>
      <c r="B732" s="114"/>
      <c r="C732" s="44" t="s">
        <v>469</v>
      </c>
      <c r="D732" s="44"/>
    </row>
    <row r="733" spans="1:4">
      <c r="A733" s="114"/>
      <c r="B733" s="114"/>
      <c r="C733" s="44" t="s">
        <v>470</v>
      </c>
      <c r="D733" s="44"/>
    </row>
    <row r="734" spans="1:4">
      <c r="A734" s="114"/>
      <c r="B734" s="114"/>
      <c r="C734" s="44" t="s">
        <v>471</v>
      </c>
      <c r="D734" s="44"/>
    </row>
    <row r="735" spans="1:4">
      <c r="A735" s="114"/>
      <c r="B735" s="114"/>
      <c r="C735" s="44" t="s">
        <v>472</v>
      </c>
      <c r="D735" s="44"/>
    </row>
    <row r="736" spans="1:4">
      <c r="A736" s="114"/>
      <c r="B736" s="114"/>
      <c r="C736" s="44" t="s">
        <v>24</v>
      </c>
      <c r="D736" s="44"/>
    </row>
    <row r="737" spans="1:4">
      <c r="A737" s="114"/>
      <c r="B737" s="114"/>
      <c r="C737" s="44" t="s">
        <v>473</v>
      </c>
      <c r="D737" s="44"/>
    </row>
    <row r="738" spans="1:4">
      <c r="A738" s="114"/>
      <c r="B738" s="114"/>
      <c r="C738" s="44" t="s">
        <v>474</v>
      </c>
      <c r="D738" s="44"/>
    </row>
    <row r="739" spans="1:4">
      <c r="A739" s="114"/>
      <c r="B739" s="114"/>
      <c r="C739" s="44" t="s">
        <v>475</v>
      </c>
      <c r="D739" s="44"/>
    </row>
    <row r="740" spans="1:4">
      <c r="A740" s="114"/>
      <c r="B740" s="114"/>
      <c r="C740" s="44" t="s">
        <v>476</v>
      </c>
      <c r="D740" s="44"/>
    </row>
    <row r="741" spans="1:4">
      <c r="A741" s="114"/>
      <c r="B741" s="114"/>
      <c r="C741" s="44" t="s">
        <v>477</v>
      </c>
      <c r="D741" s="44"/>
    </row>
    <row r="742" spans="1:4">
      <c r="A742" s="114"/>
      <c r="B742" s="114"/>
      <c r="C742" s="44" t="s">
        <v>478</v>
      </c>
      <c r="D742" s="44"/>
    </row>
    <row r="743" spans="1:4">
      <c r="A743" s="114"/>
      <c r="B743" s="114"/>
      <c r="C743" s="44" t="s">
        <v>479</v>
      </c>
      <c r="D743" s="44"/>
    </row>
    <row r="744" spans="1:4">
      <c r="A744" s="114"/>
      <c r="B744" s="114"/>
      <c r="C744" s="44" t="s">
        <v>480</v>
      </c>
      <c r="D744" s="44"/>
    </row>
    <row r="745" spans="1:4">
      <c r="A745" s="114"/>
      <c r="B745" s="114"/>
      <c r="C745" s="44" t="s">
        <v>481</v>
      </c>
      <c r="D745" s="44"/>
    </row>
    <row r="746" spans="1:4">
      <c r="A746" s="114"/>
      <c r="B746" s="114"/>
      <c r="C746" s="44" t="s">
        <v>482</v>
      </c>
      <c r="D746" s="44"/>
    </row>
    <row r="747" spans="1:4">
      <c r="A747" s="114"/>
      <c r="B747" s="114"/>
      <c r="C747" s="44" t="s">
        <v>483</v>
      </c>
      <c r="D747" s="44"/>
    </row>
    <row r="748" spans="1:4">
      <c r="A748" s="114"/>
      <c r="B748" s="114"/>
      <c r="C748" s="44" t="s">
        <v>484</v>
      </c>
      <c r="D748" s="44"/>
    </row>
    <row r="749" spans="1:4">
      <c r="A749" s="114"/>
      <c r="B749" s="114"/>
      <c r="C749" s="44" t="s">
        <v>485</v>
      </c>
      <c r="D749" s="44"/>
    </row>
    <row r="750" spans="1:4">
      <c r="A750" s="114"/>
      <c r="B750" s="114"/>
      <c r="C750" s="44" t="s">
        <v>204</v>
      </c>
      <c r="D750" s="44"/>
    </row>
    <row r="751" spans="1:4">
      <c r="A751" s="114"/>
      <c r="B751" s="114"/>
      <c r="C751" s="44" t="s">
        <v>207</v>
      </c>
      <c r="D751" s="44"/>
    </row>
    <row r="752" spans="1:4">
      <c r="A752" s="114"/>
      <c r="B752" s="114"/>
      <c r="C752" s="44" t="s">
        <v>208</v>
      </c>
      <c r="D752" s="44"/>
    </row>
    <row r="753" spans="1:4">
      <c r="A753" s="114"/>
      <c r="B753" s="114"/>
      <c r="C753" s="44" t="s">
        <v>209</v>
      </c>
      <c r="D753" s="44"/>
    </row>
    <row r="754" spans="1:4">
      <c r="A754" s="114"/>
      <c r="B754" s="114"/>
      <c r="C754" s="44" t="s">
        <v>210</v>
      </c>
      <c r="D754" s="44"/>
    </row>
    <row r="755" spans="1:4">
      <c r="A755" s="114"/>
      <c r="B755" s="114"/>
      <c r="C755" s="44" t="s">
        <v>211</v>
      </c>
      <c r="D755" s="44"/>
    </row>
    <row r="756" spans="1:4">
      <c r="A756" s="114"/>
      <c r="B756" s="114"/>
      <c r="C756" s="44" t="s">
        <v>212</v>
      </c>
      <c r="D756" s="44"/>
    </row>
    <row r="757" spans="1:4">
      <c r="A757" s="114"/>
      <c r="B757" s="114"/>
      <c r="C757" s="44" t="s">
        <v>213</v>
      </c>
      <c r="D757" s="44"/>
    </row>
    <row r="758" spans="1:4">
      <c r="A758" s="114"/>
      <c r="B758" s="114"/>
      <c r="C758" s="44" t="s">
        <v>215</v>
      </c>
      <c r="D758" s="44"/>
    </row>
    <row r="759" spans="1:4">
      <c r="A759" s="114"/>
      <c r="B759" s="114"/>
      <c r="C759" s="44" t="s">
        <v>216</v>
      </c>
      <c r="D759" s="44"/>
    </row>
    <row r="760" spans="1:4">
      <c r="A760" s="114"/>
      <c r="B760" s="114"/>
      <c r="C760" s="44" t="s">
        <v>217</v>
      </c>
      <c r="D760" s="44"/>
    </row>
    <row r="761" spans="1:4">
      <c r="A761" s="114"/>
      <c r="B761" s="114"/>
      <c r="C761" s="44" t="s">
        <v>218</v>
      </c>
      <c r="D761" s="44"/>
    </row>
    <row r="762" spans="1:4">
      <c r="A762" s="114"/>
      <c r="B762" s="114"/>
      <c r="C762" s="44" t="s">
        <v>219</v>
      </c>
      <c r="D762" s="44"/>
    </row>
    <row r="763" spans="1:4">
      <c r="A763" s="114"/>
      <c r="B763" s="114"/>
      <c r="C763" s="44" t="s">
        <v>220</v>
      </c>
      <c r="D763" s="44"/>
    </row>
    <row r="764" spans="1:4">
      <c r="A764" s="114"/>
      <c r="B764" s="114"/>
      <c r="C764" s="44" t="s">
        <v>221</v>
      </c>
      <c r="D764" s="44"/>
    </row>
    <row r="765" spans="1:4">
      <c r="A765" s="114"/>
      <c r="B765" s="114"/>
      <c r="C765" s="44" t="s">
        <v>222</v>
      </c>
      <c r="D765" s="44"/>
    </row>
    <row r="766" spans="1:4">
      <c r="A766" s="114"/>
      <c r="B766" s="114"/>
      <c r="C766" s="44" t="s">
        <v>223</v>
      </c>
      <c r="D766" s="44"/>
    </row>
    <row r="767" spans="1:4">
      <c r="A767" s="114"/>
      <c r="B767" s="114"/>
      <c r="C767" s="44" t="s">
        <v>224</v>
      </c>
      <c r="D767" s="44"/>
    </row>
    <row r="768" spans="1:4">
      <c r="A768" s="114"/>
      <c r="B768" s="114"/>
      <c r="C768" s="44" t="s">
        <v>225</v>
      </c>
      <c r="D768" s="44"/>
    </row>
    <row r="769" spans="1:5">
      <c r="A769" s="114"/>
      <c r="B769" s="114"/>
      <c r="C769" s="44" t="s">
        <v>226</v>
      </c>
      <c r="D769" s="44"/>
    </row>
    <row r="770" spans="1:5">
      <c r="A770" s="114"/>
      <c r="B770" s="114"/>
      <c r="C770" s="44" t="s">
        <v>227</v>
      </c>
      <c r="D770" s="44"/>
    </row>
    <row r="771" spans="1:5">
      <c r="A771" s="114"/>
      <c r="B771" s="114"/>
      <c r="C771" s="44" t="s">
        <v>228</v>
      </c>
      <c r="D771" s="44"/>
    </row>
    <row r="772" spans="1:5">
      <c r="A772" s="114"/>
      <c r="B772" s="114"/>
      <c r="C772" s="44" t="s">
        <v>229</v>
      </c>
      <c r="D772" s="44"/>
    </row>
    <row r="773" spans="1:5">
      <c r="A773" s="114"/>
      <c r="B773" s="114"/>
      <c r="C773" s="44" t="s">
        <v>230</v>
      </c>
      <c r="D773" s="44"/>
    </row>
    <row r="774" spans="1:5">
      <c r="A774" s="114"/>
      <c r="B774" s="114"/>
      <c r="C774" s="44" t="s">
        <v>231</v>
      </c>
      <c r="D774" s="44"/>
    </row>
    <row r="775" spans="1:5">
      <c r="A775" s="114"/>
      <c r="B775" s="114"/>
      <c r="C775" s="44" t="s">
        <v>232</v>
      </c>
      <c r="D775" s="44"/>
    </row>
    <row r="776" spans="1:5">
      <c r="A776" s="114"/>
      <c r="B776" s="114"/>
      <c r="C776" s="44" t="s">
        <v>233</v>
      </c>
      <c r="D776" s="44"/>
    </row>
    <row r="777" spans="1:5">
      <c r="A777" s="114"/>
      <c r="B777" s="114"/>
      <c r="C777" s="44" t="s">
        <v>234</v>
      </c>
      <c r="D777" s="44"/>
    </row>
    <row r="778" spans="1:5">
      <c r="A778" s="114"/>
      <c r="B778" s="114"/>
      <c r="C778" s="44" t="s">
        <v>235</v>
      </c>
      <c r="D778" s="44"/>
    </row>
    <row r="779" spans="1:5">
      <c r="A779" s="114"/>
      <c r="B779" s="114"/>
      <c r="C779" s="44" t="s">
        <v>236</v>
      </c>
      <c r="D779" s="44"/>
    </row>
    <row r="780" spans="1:5">
      <c r="A780" s="114"/>
      <c r="B780" s="114"/>
      <c r="C780" s="44" t="s">
        <v>237</v>
      </c>
      <c r="D780" s="44"/>
    </row>
    <row r="781" spans="1:5">
      <c r="A781" s="114"/>
      <c r="B781" s="114"/>
      <c r="C781" s="44" t="s">
        <v>238</v>
      </c>
      <c r="D781" s="44"/>
    </row>
    <row r="782" spans="1:5">
      <c r="A782" s="114"/>
      <c r="B782" s="114"/>
      <c r="C782" s="44" t="s">
        <v>239</v>
      </c>
      <c r="D782" s="44"/>
      <c r="E782" t="s">
        <v>214</v>
      </c>
    </row>
    <row r="783" spans="1:5">
      <c r="A783" s="114"/>
      <c r="B783" s="114"/>
      <c r="C783" s="44" t="s">
        <v>240</v>
      </c>
      <c r="D783" s="44"/>
      <c r="E783" t="s">
        <v>214</v>
      </c>
    </row>
    <row r="784" spans="1:5">
      <c r="A784" s="114"/>
      <c r="B784" s="114"/>
      <c r="C784" s="44" t="s">
        <v>243</v>
      </c>
      <c r="D784" s="44"/>
      <c r="E784" t="s">
        <v>214</v>
      </c>
    </row>
    <row r="785" spans="1:5">
      <c r="A785" s="114"/>
      <c r="B785" s="114"/>
      <c r="C785" s="44" t="s">
        <v>244</v>
      </c>
      <c r="D785" s="44"/>
    </row>
    <row r="786" spans="1:5">
      <c r="A786" s="114"/>
      <c r="B786" s="114"/>
      <c r="C786" s="44" t="s">
        <v>245</v>
      </c>
      <c r="D786" s="44"/>
    </row>
    <row r="787" spans="1:5">
      <c r="A787" s="114"/>
      <c r="B787" s="114"/>
      <c r="C787" s="44" t="s">
        <v>246</v>
      </c>
      <c r="D787" s="44"/>
    </row>
    <row r="788" spans="1:5">
      <c r="A788" s="114"/>
      <c r="B788" s="114"/>
      <c r="C788" s="44" t="s">
        <v>247</v>
      </c>
      <c r="D788" s="44"/>
    </row>
    <row r="789" spans="1:5">
      <c r="A789" s="114"/>
      <c r="B789" s="114"/>
      <c r="C789" s="44" t="s">
        <v>248</v>
      </c>
      <c r="D789" s="44"/>
    </row>
    <row r="790" spans="1:5">
      <c r="A790" s="114"/>
      <c r="B790" s="114"/>
      <c r="C790" s="44" t="s">
        <v>249</v>
      </c>
      <c r="D790" s="44"/>
      <c r="E790" t="s">
        <v>214</v>
      </c>
    </row>
    <row r="791" spans="1:5">
      <c r="A791" s="114"/>
      <c r="B791" s="114"/>
      <c r="C791" s="44" t="s">
        <v>250</v>
      </c>
      <c r="D791" s="44"/>
    </row>
    <row r="792" spans="1:5">
      <c r="A792" s="114"/>
      <c r="B792" s="114"/>
      <c r="C792" s="44" t="s">
        <v>251</v>
      </c>
      <c r="D792" s="44"/>
    </row>
    <row r="793" spans="1:5">
      <c r="A793" s="114"/>
      <c r="B793" s="114"/>
      <c r="C793" s="44" t="s">
        <v>252</v>
      </c>
      <c r="D793" s="44"/>
    </row>
    <row r="794" spans="1:5">
      <c r="A794" s="114"/>
      <c r="B794" s="114"/>
      <c r="C794" s="44" t="s">
        <v>920</v>
      </c>
      <c r="D794" s="44"/>
    </row>
    <row r="795" spans="1:5">
      <c r="A795" s="114"/>
      <c r="B795" s="114"/>
      <c r="C795" s="44" t="s">
        <v>253</v>
      </c>
      <c r="D795" s="44"/>
    </row>
    <row r="796" spans="1:5">
      <c r="A796" s="114"/>
      <c r="B796" s="114"/>
      <c r="C796" s="44" t="s">
        <v>254</v>
      </c>
      <c r="D796" s="44"/>
    </row>
    <row r="797" spans="1:5">
      <c r="A797" s="114"/>
      <c r="B797" s="114"/>
      <c r="C797" s="44" t="s">
        <v>255</v>
      </c>
      <c r="D797" s="44"/>
    </row>
    <row r="798" spans="1:5">
      <c r="A798" s="114"/>
      <c r="B798" s="114"/>
      <c r="C798" s="44" t="s">
        <v>256</v>
      </c>
      <c r="D798" s="44"/>
    </row>
    <row r="799" spans="1:5">
      <c r="A799" s="114"/>
      <c r="B799" s="114"/>
      <c r="C799" s="44" t="s">
        <v>257</v>
      </c>
      <c r="D799" s="44"/>
    </row>
    <row r="800" spans="1:5">
      <c r="A800" s="114"/>
      <c r="B800" s="114"/>
      <c r="C800" s="44" t="s">
        <v>258</v>
      </c>
      <c r="D800" s="44"/>
    </row>
    <row r="801" spans="1:5">
      <c r="A801" s="114"/>
      <c r="B801" s="114"/>
      <c r="C801" s="44" t="s">
        <v>259</v>
      </c>
      <c r="D801" s="44"/>
    </row>
    <row r="802" spans="1:5">
      <c r="A802" s="114"/>
      <c r="B802" s="114"/>
      <c r="C802" s="44" t="s">
        <v>260</v>
      </c>
      <c r="D802" s="44"/>
    </row>
    <row r="803" spans="1:5">
      <c r="A803" s="114"/>
      <c r="B803" s="114"/>
      <c r="C803" s="44" t="s">
        <v>261</v>
      </c>
      <c r="D803" s="44"/>
    </row>
    <row r="804" spans="1:5">
      <c r="A804" s="114"/>
      <c r="B804" s="114"/>
      <c r="C804" s="44" t="s">
        <v>262</v>
      </c>
      <c r="D804" s="44"/>
    </row>
    <row r="805" spans="1:5">
      <c r="A805" s="114"/>
      <c r="B805" s="114"/>
      <c r="C805" s="44" t="s">
        <v>263</v>
      </c>
      <c r="D805" s="44"/>
    </row>
    <row r="806" spans="1:5">
      <c r="A806" s="114"/>
      <c r="B806" s="114"/>
      <c r="C806" s="44" t="s">
        <v>264</v>
      </c>
      <c r="D806" s="44"/>
    </row>
    <row r="807" spans="1:5">
      <c r="A807" s="114"/>
      <c r="B807" s="114"/>
      <c r="C807" s="44" t="s">
        <v>265</v>
      </c>
      <c r="D807" s="44"/>
    </row>
    <row r="808" spans="1:5">
      <c r="A808" s="114"/>
      <c r="B808" s="114"/>
      <c r="C808" s="44" t="s">
        <v>267</v>
      </c>
      <c r="D808" s="44"/>
    </row>
    <row r="809" spans="1:5">
      <c r="A809" s="114"/>
      <c r="B809" s="114"/>
      <c r="C809" s="44" t="s">
        <v>266</v>
      </c>
      <c r="D809" s="44"/>
      <c r="E809" t="s">
        <v>214</v>
      </c>
    </row>
    <row r="810" spans="1:5">
      <c r="A810" s="114"/>
      <c r="B810" s="114"/>
      <c r="C810" s="44" t="s">
        <v>268</v>
      </c>
      <c r="D810" s="44"/>
    </row>
    <row r="811" spans="1:5">
      <c r="A811" s="114"/>
      <c r="B811" s="114"/>
      <c r="C811" s="44" t="s">
        <v>269</v>
      </c>
      <c r="D811" s="44"/>
    </row>
    <row r="812" spans="1:5">
      <c r="A812" s="114"/>
      <c r="B812" s="114"/>
      <c r="C812" s="44" t="s">
        <v>270</v>
      </c>
      <c r="D812" s="44"/>
    </row>
    <row r="813" spans="1:5">
      <c r="A813" s="114"/>
      <c r="B813" s="114"/>
      <c r="C813" s="44" t="s">
        <v>271</v>
      </c>
      <c r="D813" s="44"/>
    </row>
    <row r="814" spans="1:5">
      <c r="A814" s="114"/>
      <c r="B814" s="114"/>
      <c r="C814" s="44" t="s">
        <v>272</v>
      </c>
      <c r="D814" s="44"/>
    </row>
    <row r="815" spans="1:5">
      <c r="A815" s="114"/>
      <c r="B815" s="114"/>
      <c r="C815" s="44" t="s">
        <v>273</v>
      </c>
      <c r="D815" s="44"/>
    </row>
    <row r="816" spans="1:5">
      <c r="A816" s="114"/>
      <c r="B816" s="114"/>
      <c r="C816" s="44" t="s">
        <v>274</v>
      </c>
      <c r="D816" s="44"/>
    </row>
    <row r="817" spans="1:4">
      <c r="A817" s="114"/>
      <c r="B817" s="114"/>
      <c r="C817" s="44" t="s">
        <v>275</v>
      </c>
      <c r="D817" s="44"/>
    </row>
    <row r="818" spans="1:4">
      <c r="A818" s="114"/>
      <c r="B818" s="114"/>
      <c r="C818" s="44" t="s">
        <v>276</v>
      </c>
      <c r="D818" s="44"/>
    </row>
    <row r="819" spans="1:4">
      <c r="A819" s="114"/>
      <c r="B819" s="114"/>
      <c r="C819" s="44" t="s">
        <v>277</v>
      </c>
      <c r="D819" s="44"/>
    </row>
    <row r="820" spans="1:4">
      <c r="A820" s="114"/>
      <c r="B820" s="114"/>
      <c r="C820" s="44" t="s">
        <v>278</v>
      </c>
      <c r="D820" s="44"/>
    </row>
    <row r="821" spans="1:4">
      <c r="A821" s="114"/>
      <c r="B821" s="114"/>
      <c r="C821" s="44" t="s">
        <v>279</v>
      </c>
      <c r="D821" s="44"/>
    </row>
    <row r="822" spans="1:4">
      <c r="A822" s="114"/>
      <c r="B822" s="114"/>
      <c r="C822" s="44" t="s">
        <v>280</v>
      </c>
      <c r="D822" s="44"/>
    </row>
    <row r="823" spans="1:4">
      <c r="A823" s="114"/>
      <c r="B823" s="114"/>
      <c r="C823" s="44" t="s">
        <v>281</v>
      </c>
      <c r="D823" s="44"/>
    </row>
    <row r="824" spans="1:4">
      <c r="A824" s="114"/>
      <c r="B824" s="114"/>
      <c r="C824" s="44" t="s">
        <v>282</v>
      </c>
      <c r="D824" s="44"/>
    </row>
    <row r="825" spans="1:4">
      <c r="A825" s="114"/>
      <c r="B825" s="114"/>
      <c r="C825" s="44" t="s">
        <v>283</v>
      </c>
      <c r="D825" s="44"/>
    </row>
    <row r="826" spans="1:4">
      <c r="A826" s="114"/>
      <c r="B826" s="114"/>
      <c r="C826" s="44" t="s">
        <v>284</v>
      </c>
      <c r="D826" s="44"/>
    </row>
    <row r="827" spans="1:4">
      <c r="A827" s="114"/>
      <c r="B827" s="114"/>
      <c r="C827" s="44" t="s">
        <v>285</v>
      </c>
      <c r="D827" s="44"/>
    </row>
    <row r="828" spans="1:4">
      <c r="A828" s="114"/>
      <c r="B828" s="114"/>
      <c r="C828" s="44" t="s">
        <v>286</v>
      </c>
      <c r="D828" s="44"/>
    </row>
    <row r="829" spans="1:4">
      <c r="A829" s="114"/>
      <c r="B829" s="114"/>
      <c r="C829" s="44" t="s">
        <v>287</v>
      </c>
      <c r="D829" s="44"/>
    </row>
    <row r="830" spans="1:4">
      <c r="A830" s="114"/>
      <c r="B830" s="114"/>
      <c r="C830" s="44" t="s">
        <v>288</v>
      </c>
      <c r="D830" s="44"/>
    </row>
    <row r="831" spans="1:4">
      <c r="A831" s="114"/>
      <c r="B831" s="114"/>
      <c r="C831" s="44" t="s">
        <v>921</v>
      </c>
      <c r="D831" s="124" t="s">
        <v>922</v>
      </c>
    </row>
    <row r="832" spans="1:4">
      <c r="A832" s="114"/>
      <c r="B832" s="114"/>
      <c r="C832" s="44" t="s">
        <v>923</v>
      </c>
      <c r="D832" s="124" t="s">
        <v>300</v>
      </c>
    </row>
    <row r="833" spans="1:4">
      <c r="A833" s="114"/>
      <c r="B833" s="114"/>
      <c r="C833" s="44" t="s">
        <v>924</v>
      </c>
      <c r="D833" s="124" t="s">
        <v>300</v>
      </c>
    </row>
    <row r="834" spans="1:4" ht="15">
      <c r="A834" s="114"/>
      <c r="B834" s="114"/>
      <c r="C834" s="44" t="s">
        <v>925</v>
      </c>
      <c r="D834" s="101"/>
    </row>
    <row r="835" spans="1:4">
      <c r="A835" s="114"/>
      <c r="B835" s="114"/>
      <c r="C835" s="44" t="s">
        <v>296</v>
      </c>
      <c r="D835" s="44"/>
    </row>
    <row r="836" spans="1:4">
      <c r="A836" s="114"/>
      <c r="B836" s="114"/>
      <c r="C836" s="44" t="s">
        <v>291</v>
      </c>
      <c r="D836" s="44"/>
    </row>
    <row r="837" spans="1:4">
      <c r="A837" s="114"/>
      <c r="B837" s="114"/>
      <c r="C837" s="44" t="s">
        <v>292</v>
      </c>
      <c r="D837" s="44"/>
    </row>
    <row r="838" spans="1:4">
      <c r="A838" s="114"/>
      <c r="B838" s="114"/>
      <c r="C838" s="44" t="s">
        <v>289</v>
      </c>
      <c r="D838" s="44"/>
    </row>
    <row r="839" spans="1:4">
      <c r="A839" s="114"/>
      <c r="B839" s="114"/>
      <c r="C839" s="44" t="s">
        <v>293</v>
      </c>
      <c r="D839" s="44"/>
    </row>
    <row r="840" spans="1:4">
      <c r="A840" s="114"/>
      <c r="B840" s="114"/>
      <c r="C840" s="44" t="s">
        <v>290</v>
      </c>
      <c r="D840" s="44"/>
    </row>
    <row r="841" spans="1:4">
      <c r="A841" s="114"/>
      <c r="B841" s="114"/>
      <c r="C841" s="44" t="s">
        <v>294</v>
      </c>
      <c r="D841" s="44"/>
    </row>
    <row r="842" spans="1:4">
      <c r="A842" s="114"/>
      <c r="B842" s="114"/>
      <c r="C842" s="44" t="s">
        <v>926</v>
      </c>
      <c r="D842" s="44"/>
    </row>
    <row r="843" spans="1:4">
      <c r="A843" s="114"/>
      <c r="B843" s="114"/>
      <c r="C843" s="44" t="s">
        <v>927</v>
      </c>
      <c r="D843" s="44"/>
    </row>
    <row r="844" spans="1:4">
      <c r="A844" s="114"/>
      <c r="B844" s="114"/>
      <c r="C844" s="44" t="s">
        <v>928</v>
      </c>
      <c r="D844" s="44"/>
    </row>
    <row r="845" spans="1:4">
      <c r="A845" s="114"/>
      <c r="B845" s="114"/>
      <c r="C845" s="44" t="s">
        <v>929</v>
      </c>
      <c r="D845" s="44"/>
    </row>
    <row r="846" spans="1:4">
      <c r="A846" s="114"/>
      <c r="B846" s="114"/>
      <c r="C846" s="44" t="s">
        <v>930</v>
      </c>
      <c r="D846" s="44"/>
    </row>
    <row r="847" spans="1:4">
      <c r="A847" s="114"/>
      <c r="B847" s="114"/>
      <c r="C847" s="44" t="s">
        <v>931</v>
      </c>
      <c r="D847" s="44"/>
    </row>
    <row r="848" spans="1:4">
      <c r="A848" s="114"/>
      <c r="B848" s="114"/>
      <c r="C848" s="44" t="s">
        <v>932</v>
      </c>
      <c r="D848" s="44"/>
    </row>
    <row r="849" spans="1:4">
      <c r="A849" s="114"/>
      <c r="B849" s="114"/>
      <c r="C849" s="44" t="s">
        <v>933</v>
      </c>
      <c r="D849" s="44"/>
    </row>
    <row r="850" spans="1:4">
      <c r="A850" s="114"/>
      <c r="B850" s="114"/>
      <c r="C850" s="44" t="s">
        <v>314</v>
      </c>
      <c r="D850" s="44"/>
    </row>
    <row r="851" spans="1:4">
      <c r="A851" s="55" t="s">
        <v>147</v>
      </c>
      <c r="B851" s="55"/>
      <c r="C851" s="46" t="s">
        <v>338</v>
      </c>
      <c r="D851" s="46"/>
    </row>
    <row r="852" spans="1:4">
      <c r="A852" s="56"/>
      <c r="B852" s="56"/>
      <c r="C852" s="46" t="s">
        <v>339</v>
      </c>
      <c r="D852" s="46"/>
    </row>
    <row r="853" spans="1:4">
      <c r="A853" s="114" t="s">
        <v>19</v>
      </c>
      <c r="B853" s="114" t="s">
        <v>54</v>
      </c>
      <c r="C853" s="44" t="s">
        <v>934</v>
      </c>
      <c r="D853" s="44"/>
    </row>
    <row r="854" spans="1:4">
      <c r="A854" s="114"/>
      <c r="B854" s="114"/>
      <c r="C854" s="44" t="s">
        <v>935</v>
      </c>
      <c r="D854" s="44"/>
    </row>
    <row r="855" spans="1:4">
      <c r="A855" s="114"/>
      <c r="B855" s="114"/>
      <c r="C855" s="44" t="s">
        <v>936</v>
      </c>
      <c r="D855" s="44"/>
    </row>
    <row r="856" spans="1:4">
      <c r="A856" s="114"/>
      <c r="B856" s="114"/>
      <c r="C856" s="44" t="s">
        <v>937</v>
      </c>
      <c r="D856" s="44"/>
    </row>
    <row r="857" spans="1:4">
      <c r="A857" s="114"/>
      <c r="B857" s="114"/>
      <c r="C857" s="44" t="s">
        <v>938</v>
      </c>
      <c r="D857" s="44"/>
    </row>
    <row r="858" spans="1:4">
      <c r="A858" s="114"/>
      <c r="B858" s="114"/>
      <c r="C858" s="44" t="s">
        <v>939</v>
      </c>
      <c r="D858" s="44"/>
    </row>
    <row r="859" spans="1:4">
      <c r="A859" s="114"/>
      <c r="B859" s="114"/>
      <c r="C859" s="44" t="s">
        <v>940</v>
      </c>
      <c r="D859" s="44"/>
    </row>
    <row r="860" spans="1:4">
      <c r="A860" s="114"/>
      <c r="B860" s="114"/>
      <c r="C860" s="44" t="s">
        <v>941</v>
      </c>
      <c r="D860" s="44"/>
    </row>
    <row r="861" spans="1:4">
      <c r="A861" s="114"/>
      <c r="B861" s="114"/>
      <c r="C861" s="44" t="s">
        <v>942</v>
      </c>
      <c r="D861" s="44"/>
    </row>
    <row r="862" spans="1:4">
      <c r="A862" s="55" t="s">
        <v>20</v>
      </c>
      <c r="B862" s="55" t="s">
        <v>54</v>
      </c>
      <c r="C862" s="46" t="s">
        <v>943</v>
      </c>
      <c r="D862" s="46"/>
    </row>
    <row r="863" spans="1:4">
      <c r="A863" s="56"/>
      <c r="B863" s="56"/>
      <c r="C863" s="46" t="s">
        <v>944</v>
      </c>
      <c r="D863" s="46"/>
    </row>
    <row r="864" spans="1:4">
      <c r="A864" s="56"/>
      <c r="B864" s="56"/>
      <c r="C864" s="46" t="s">
        <v>945</v>
      </c>
      <c r="D864" s="46"/>
    </row>
    <row r="865" spans="1:4">
      <c r="A865" s="56"/>
      <c r="B865" s="56"/>
      <c r="C865" s="46" t="s">
        <v>946</v>
      </c>
      <c r="D865" s="46"/>
    </row>
    <row r="866" spans="1:4">
      <c r="A866" s="56"/>
      <c r="B866" s="56"/>
      <c r="C866" s="46" t="s">
        <v>947</v>
      </c>
      <c r="D866" s="46"/>
    </row>
    <row r="867" spans="1:4">
      <c r="A867" s="56"/>
      <c r="B867" s="56"/>
      <c r="C867" s="46" t="s">
        <v>948</v>
      </c>
      <c r="D867" s="46"/>
    </row>
    <row r="868" spans="1:4">
      <c r="A868" s="56"/>
      <c r="B868" s="56"/>
      <c r="C868" s="46" t="s">
        <v>949</v>
      </c>
      <c r="D868" s="46"/>
    </row>
    <row r="869" spans="1:4">
      <c r="A869" s="56"/>
      <c r="B869" s="56"/>
      <c r="C869" s="46" t="s">
        <v>950</v>
      </c>
      <c r="D869" s="46"/>
    </row>
    <row r="870" spans="1:4">
      <c r="A870" s="114" t="s">
        <v>21</v>
      </c>
      <c r="B870" s="114" t="s">
        <v>54</v>
      </c>
      <c r="C870" s="44" t="s">
        <v>943</v>
      </c>
      <c r="D870" s="44"/>
    </row>
    <row r="871" spans="1:4">
      <c r="A871" s="114"/>
      <c r="B871" s="114"/>
      <c r="C871" s="44" t="s">
        <v>945</v>
      </c>
      <c r="D871" s="44"/>
    </row>
    <row r="872" spans="1:4">
      <c r="A872" s="114"/>
      <c r="B872" s="114"/>
      <c r="C872" s="44" t="s">
        <v>947</v>
      </c>
      <c r="D872" s="44"/>
    </row>
    <row r="873" spans="1:4">
      <c r="A873" s="114"/>
      <c r="B873" s="114"/>
      <c r="C873" s="44" t="s">
        <v>314</v>
      </c>
      <c r="D873" s="44"/>
    </row>
    <row r="874" spans="1:4">
      <c r="A874" s="55" t="s">
        <v>22</v>
      </c>
      <c r="B874" s="55" t="s">
        <v>54</v>
      </c>
      <c r="C874" s="46" t="s">
        <v>951</v>
      </c>
      <c r="D874" s="46"/>
    </row>
    <row r="875" spans="1:4">
      <c r="A875" s="56"/>
      <c r="B875" s="56"/>
      <c r="C875" s="46" t="s">
        <v>754</v>
      </c>
      <c r="D875" s="46"/>
    </row>
    <row r="876" spans="1:4">
      <c r="A876" s="56"/>
      <c r="B876" s="56"/>
      <c r="C876" s="46" t="s">
        <v>755</v>
      </c>
      <c r="D876" s="46"/>
    </row>
    <row r="877" spans="1:4">
      <c r="A877" s="56"/>
      <c r="B877" s="56"/>
      <c r="C877" s="46" t="s">
        <v>756</v>
      </c>
      <c r="D877" s="46"/>
    </row>
    <row r="878" spans="1:4">
      <c r="A878" s="56"/>
      <c r="B878" s="56"/>
      <c r="C878" s="46" t="s">
        <v>952</v>
      </c>
      <c r="D878" s="46"/>
    </row>
    <row r="879" spans="1:4">
      <c r="A879" s="56"/>
      <c r="B879" s="56"/>
      <c r="C879" s="46" t="s">
        <v>953</v>
      </c>
      <c r="D879" s="46"/>
    </row>
    <row r="880" spans="1:4">
      <c r="A880" s="56"/>
      <c r="B880" s="56"/>
      <c r="C880" s="46" t="s">
        <v>954</v>
      </c>
      <c r="D880" s="46"/>
    </row>
    <row r="881" spans="1:5">
      <c r="A881" s="56"/>
      <c r="B881" s="56"/>
      <c r="C881" s="46" t="s">
        <v>955</v>
      </c>
      <c r="D881" s="46"/>
    </row>
    <row r="882" spans="1:5">
      <c r="A882" s="56"/>
      <c r="B882" s="56"/>
      <c r="C882" s="46" t="s">
        <v>956</v>
      </c>
      <c r="D882" s="46" t="s">
        <v>956</v>
      </c>
      <c r="E882" t="s">
        <v>214</v>
      </c>
    </row>
    <row r="883" spans="1:5">
      <c r="A883" s="57"/>
      <c r="B883" s="57"/>
      <c r="C883" s="46" t="s">
        <v>314</v>
      </c>
      <c r="D883" s="46"/>
    </row>
    <row r="884" spans="1:5">
      <c r="A884" s="65" t="s">
        <v>23</v>
      </c>
      <c r="B884" s="65" t="s">
        <v>54</v>
      </c>
      <c r="C884" s="44" t="s">
        <v>917</v>
      </c>
      <c r="D884" s="44"/>
    </row>
    <row r="885" spans="1:5">
      <c r="A885" s="66"/>
      <c r="B885" s="66"/>
      <c r="C885" s="44" t="s">
        <v>957</v>
      </c>
      <c r="D885" s="44"/>
    </row>
    <row r="886" spans="1:5">
      <c r="A886" s="66"/>
      <c r="B886" s="66"/>
      <c r="C886" s="44" t="s">
        <v>958</v>
      </c>
      <c r="D886" s="44"/>
    </row>
    <row r="887" spans="1:5">
      <c r="A887" s="66"/>
      <c r="B887" s="66"/>
      <c r="C887" s="44" t="s">
        <v>959</v>
      </c>
      <c r="D887" s="44"/>
    </row>
    <row r="888" spans="1:5">
      <c r="A888" s="66"/>
      <c r="B888" s="66"/>
      <c r="C888" s="44" t="s">
        <v>960</v>
      </c>
      <c r="D888" s="44"/>
    </row>
    <row r="889" spans="1:5">
      <c r="A889" s="66"/>
      <c r="B889" s="66"/>
      <c r="C889" s="44" t="s">
        <v>961</v>
      </c>
      <c r="D889" s="44" t="s">
        <v>962</v>
      </c>
    </row>
    <row r="890" spans="1:5">
      <c r="A890" s="66"/>
      <c r="B890" s="66"/>
      <c r="C890" s="44" t="s">
        <v>963</v>
      </c>
      <c r="D890" s="44"/>
    </row>
    <row r="891" spans="1:5">
      <c r="A891" s="55" t="s">
        <v>24</v>
      </c>
      <c r="B891" s="55" t="s">
        <v>54</v>
      </c>
      <c r="C891" s="46" t="s">
        <v>964</v>
      </c>
      <c r="D891" s="46"/>
    </row>
    <row r="892" spans="1:5">
      <c r="A892" s="56"/>
      <c r="B892" s="56"/>
      <c r="C892" s="46" t="s">
        <v>965</v>
      </c>
      <c r="D892" s="46"/>
    </row>
    <row r="893" spans="1:5">
      <c r="A893" s="56"/>
      <c r="B893" s="56"/>
      <c r="C893" s="46" t="s">
        <v>966</v>
      </c>
      <c r="D893" s="46"/>
    </row>
    <row r="894" spans="1:5">
      <c r="A894" s="56"/>
      <c r="B894" s="56"/>
      <c r="C894" s="46" t="s">
        <v>967</v>
      </c>
      <c r="D894" s="46"/>
    </row>
    <row r="895" spans="1:5">
      <c r="A895" s="56"/>
      <c r="B895" s="56"/>
      <c r="C895" s="46" t="s">
        <v>968</v>
      </c>
      <c r="D895" s="46"/>
    </row>
    <row r="896" spans="1:5">
      <c r="A896" s="56"/>
      <c r="B896" s="56"/>
      <c r="C896" s="46" t="s">
        <v>314</v>
      </c>
      <c r="D896" s="46"/>
    </row>
    <row r="897" spans="1:4">
      <c r="A897" s="65" t="s">
        <v>25</v>
      </c>
      <c r="B897" s="65" t="s">
        <v>54</v>
      </c>
      <c r="C897" s="44" t="s">
        <v>969</v>
      </c>
      <c r="D897" s="44"/>
    </row>
    <row r="898" spans="1:4">
      <c r="A898" s="66"/>
      <c r="B898" s="66"/>
      <c r="C898" s="44" t="s">
        <v>970</v>
      </c>
      <c r="D898" s="44"/>
    </row>
    <row r="899" spans="1:4">
      <c r="A899" s="66"/>
      <c r="B899" s="66"/>
      <c r="C899" s="44" t="s">
        <v>917</v>
      </c>
      <c r="D899" s="44"/>
    </row>
    <row r="900" spans="1:4">
      <c r="A900" s="66"/>
      <c r="B900" s="66"/>
      <c r="C900" s="44" t="s">
        <v>314</v>
      </c>
      <c r="D900" s="44"/>
    </row>
    <row r="901" spans="1:4">
      <c r="A901" s="55" t="s">
        <v>27</v>
      </c>
      <c r="B901" s="55" t="s">
        <v>54</v>
      </c>
      <c r="C901" s="46" t="s">
        <v>971</v>
      </c>
      <c r="D901" s="46"/>
    </row>
    <row r="902" spans="1:4">
      <c r="A902" s="56"/>
      <c r="B902" s="56"/>
      <c r="C902" s="46" t="s">
        <v>972</v>
      </c>
      <c r="D902" s="46"/>
    </row>
    <row r="903" spans="1:4">
      <c r="A903" s="56"/>
      <c r="B903" s="56"/>
      <c r="C903" s="46" t="s">
        <v>746</v>
      </c>
      <c r="D903" s="46"/>
    </row>
    <row r="904" spans="1:4">
      <c r="A904" s="56"/>
      <c r="B904" s="56"/>
      <c r="C904" s="46" t="s">
        <v>973</v>
      </c>
      <c r="D904" s="46"/>
    </row>
    <row r="905" spans="1:4">
      <c r="A905" s="56"/>
      <c r="B905" s="56"/>
      <c r="C905" s="46" t="s">
        <v>974</v>
      </c>
      <c r="D905" s="46"/>
    </row>
    <row r="906" spans="1:4">
      <c r="A906" s="125" t="s">
        <v>29</v>
      </c>
      <c r="B906" s="125" t="s">
        <v>54</v>
      </c>
      <c r="C906" s="49" t="s">
        <v>975</v>
      </c>
      <c r="D906" s="49"/>
    </row>
    <row r="907" spans="1:4">
      <c r="A907" s="114"/>
      <c r="B907" s="114"/>
      <c r="C907" s="49" t="s">
        <v>976</v>
      </c>
      <c r="D907" s="49"/>
    </row>
    <row r="908" spans="1:4">
      <c r="A908" s="114"/>
      <c r="B908" s="114"/>
      <c r="C908" s="44" t="s">
        <v>977</v>
      </c>
      <c r="D908" s="44"/>
    </row>
    <row r="909" spans="1:4">
      <c r="A909" s="114"/>
      <c r="B909" s="114"/>
      <c r="C909" s="44" t="s">
        <v>978</v>
      </c>
      <c r="D909" s="44"/>
    </row>
    <row r="910" spans="1:4">
      <c r="A910" s="114"/>
      <c r="B910" s="114"/>
      <c r="C910" s="44" t="s">
        <v>979</v>
      </c>
      <c r="D910" s="44"/>
    </row>
    <row r="911" spans="1:4">
      <c r="A911" s="114"/>
      <c r="B911" s="114"/>
      <c r="C911" s="44" t="s">
        <v>980</v>
      </c>
      <c r="D911" s="44"/>
    </row>
    <row r="912" spans="1:4">
      <c r="A912" s="126" t="s">
        <v>30</v>
      </c>
      <c r="B912" s="126" t="s">
        <v>54</v>
      </c>
      <c r="C912" s="51" t="s">
        <v>943</v>
      </c>
      <c r="D912" s="51"/>
    </row>
    <row r="913" spans="1:5">
      <c r="A913" s="120"/>
      <c r="B913" s="120"/>
      <c r="C913" s="51" t="s">
        <v>944</v>
      </c>
      <c r="D913" s="51"/>
    </row>
    <row r="914" spans="1:5">
      <c r="A914" s="120"/>
      <c r="B914" s="120"/>
      <c r="C914" s="46" t="s">
        <v>945</v>
      </c>
      <c r="D914" s="46"/>
    </row>
    <row r="915" spans="1:5">
      <c r="A915" s="120"/>
      <c r="B915" s="120"/>
      <c r="C915" s="46" t="s">
        <v>946</v>
      </c>
      <c r="D915" s="46"/>
    </row>
    <row r="916" spans="1:5">
      <c r="A916" s="120"/>
      <c r="B916" s="120"/>
      <c r="C916" s="46" t="s">
        <v>947</v>
      </c>
      <c r="D916" s="46"/>
    </row>
    <row r="917" spans="1:5">
      <c r="A917" s="120"/>
      <c r="B917" s="120"/>
      <c r="C917" s="46" t="s">
        <v>948</v>
      </c>
      <c r="D917" s="46"/>
    </row>
    <row r="918" spans="1:5">
      <c r="A918" s="120"/>
      <c r="B918" s="120"/>
      <c r="C918" s="51" t="s">
        <v>949</v>
      </c>
      <c r="D918" s="51"/>
    </row>
    <row r="919" spans="1:5">
      <c r="A919" s="120"/>
      <c r="B919" s="120"/>
      <c r="C919" s="51" t="s">
        <v>950</v>
      </c>
      <c r="D919" s="51"/>
    </row>
    <row r="920" spans="1:5" ht="15">
      <c r="A920" s="125" t="s">
        <v>31</v>
      </c>
      <c r="B920" s="125" t="s">
        <v>54</v>
      </c>
      <c r="C920" s="49" t="s">
        <v>981</v>
      </c>
      <c r="D920" s="49"/>
      <c r="E920" s="50"/>
    </row>
    <row r="921" spans="1:5" ht="15">
      <c r="A921" s="114"/>
      <c r="B921" s="114"/>
      <c r="C921" s="49" t="s">
        <v>982</v>
      </c>
      <c r="D921" s="49"/>
      <c r="E921" s="50"/>
    </row>
    <row r="922" spans="1:5" ht="15">
      <c r="A922" s="114"/>
      <c r="B922" s="114"/>
      <c r="C922" s="44" t="s">
        <v>983</v>
      </c>
      <c r="D922" s="44"/>
      <c r="E922" s="50"/>
    </row>
    <row r="923" spans="1:5" ht="15">
      <c r="A923" s="114"/>
      <c r="B923" s="114"/>
      <c r="C923" s="44" t="s">
        <v>984</v>
      </c>
      <c r="D923" s="44"/>
      <c r="E923" s="50"/>
    </row>
    <row r="924" spans="1:5" ht="15">
      <c r="A924" s="114"/>
      <c r="B924" s="114"/>
      <c r="C924" s="44" t="s">
        <v>985</v>
      </c>
      <c r="D924" s="44"/>
      <c r="E924" s="50"/>
    </row>
    <row r="925" spans="1:5">
      <c r="A925" s="114"/>
      <c r="B925" s="114"/>
      <c r="C925" s="44" t="s">
        <v>314</v>
      </c>
      <c r="D925" s="44"/>
    </row>
    <row r="926" spans="1:5">
      <c r="A926" s="126" t="s">
        <v>32</v>
      </c>
      <c r="B926" s="126" t="s">
        <v>54</v>
      </c>
      <c r="C926" s="46" t="s">
        <v>986</v>
      </c>
      <c r="D926" s="46"/>
    </row>
    <row r="927" spans="1:5">
      <c r="A927" s="120"/>
      <c r="B927" s="120"/>
      <c r="C927" s="46" t="s">
        <v>987</v>
      </c>
      <c r="D927" s="46"/>
    </row>
    <row r="928" spans="1:5">
      <c r="A928" s="120"/>
      <c r="B928" s="120"/>
      <c r="C928" s="46" t="s">
        <v>988</v>
      </c>
      <c r="D928" s="46"/>
    </row>
    <row r="929" spans="1:5">
      <c r="A929" s="71" t="s">
        <v>33</v>
      </c>
      <c r="B929" s="71" t="s">
        <v>54</v>
      </c>
      <c r="C929" s="49" t="s">
        <v>989</v>
      </c>
      <c r="D929" s="49"/>
    </row>
    <row r="930" spans="1:5">
      <c r="A930" s="72"/>
      <c r="B930" s="72"/>
      <c r="C930" s="49" t="s">
        <v>754</v>
      </c>
      <c r="D930" s="49"/>
    </row>
    <row r="931" spans="1:5">
      <c r="A931" s="72"/>
      <c r="B931" s="72"/>
      <c r="C931" s="44" t="s">
        <v>951</v>
      </c>
      <c r="D931" s="44"/>
    </row>
    <row r="932" spans="1:5">
      <c r="A932" s="72"/>
      <c r="B932" s="72"/>
      <c r="C932" s="44" t="s">
        <v>755</v>
      </c>
      <c r="D932" s="44"/>
    </row>
    <row r="933" spans="1:5">
      <c r="A933" s="72"/>
      <c r="B933" s="72"/>
      <c r="C933" s="44" t="s">
        <v>314</v>
      </c>
      <c r="D933" s="44"/>
    </row>
    <row r="934" spans="1:5">
      <c r="A934" s="75" t="s">
        <v>34</v>
      </c>
      <c r="B934" s="75" t="s">
        <v>54</v>
      </c>
      <c r="C934" s="51" t="s">
        <v>951</v>
      </c>
      <c r="D934" s="51"/>
    </row>
    <row r="935" spans="1:5">
      <c r="A935" s="76"/>
      <c r="B935" s="76"/>
      <c r="C935" s="51" t="s">
        <v>754</v>
      </c>
      <c r="D935" s="51"/>
    </row>
    <row r="936" spans="1:5">
      <c r="A936" s="76"/>
      <c r="B936" s="76"/>
      <c r="C936" s="46" t="s">
        <v>755</v>
      </c>
      <c r="D936" s="46"/>
    </row>
    <row r="937" spans="1:5">
      <c r="A937" s="76"/>
      <c r="B937" s="76"/>
      <c r="C937" s="46" t="s">
        <v>756</v>
      </c>
      <c r="D937" s="46"/>
    </row>
    <row r="938" spans="1:5">
      <c r="A938" s="76"/>
      <c r="B938" s="76"/>
      <c r="C938" s="46" t="s">
        <v>990</v>
      </c>
      <c r="D938" s="46"/>
    </row>
    <row r="939" spans="1:5">
      <c r="A939" s="76"/>
      <c r="B939" s="76"/>
      <c r="C939" s="51" t="s">
        <v>990</v>
      </c>
      <c r="D939" s="51"/>
    </row>
    <row r="940" spans="1:5">
      <c r="A940" s="76"/>
      <c r="B940" s="76"/>
      <c r="C940" s="51" t="s">
        <v>953</v>
      </c>
      <c r="D940" s="51"/>
    </row>
    <row r="941" spans="1:5">
      <c r="A941" s="76"/>
      <c r="B941" s="76"/>
      <c r="C941" s="46" t="s">
        <v>954</v>
      </c>
      <c r="D941" s="46"/>
    </row>
    <row r="942" spans="1:5">
      <c r="A942" s="76"/>
      <c r="B942" s="76"/>
      <c r="C942" s="51" t="s">
        <v>955</v>
      </c>
      <c r="D942" s="51"/>
    </row>
    <row r="943" spans="1:5">
      <c r="A943" s="76"/>
      <c r="B943" s="76"/>
      <c r="C943" s="51" t="s">
        <v>989</v>
      </c>
      <c r="D943" s="51"/>
    </row>
    <row r="944" spans="1:5">
      <c r="A944" s="76"/>
      <c r="B944" s="76"/>
      <c r="C944" s="46" t="s">
        <v>991</v>
      </c>
      <c r="D944" s="46" t="s">
        <v>991</v>
      </c>
      <c r="E944" t="s">
        <v>214</v>
      </c>
    </row>
    <row r="945" spans="1:4">
      <c r="A945" s="99"/>
      <c r="B945" s="99"/>
      <c r="C945" s="46" t="s">
        <v>314</v>
      </c>
      <c r="D945" s="46"/>
    </row>
    <row r="946" spans="1:4" ht="14.25" customHeight="1">
      <c r="A946" s="71" t="s">
        <v>35</v>
      </c>
      <c r="B946" s="71" t="s">
        <v>54</v>
      </c>
      <c r="C946" s="49" t="s">
        <v>992</v>
      </c>
      <c r="D946" s="49"/>
    </row>
    <row r="947" spans="1:4">
      <c r="A947" s="72"/>
      <c r="B947" s="72"/>
      <c r="C947" s="49" t="s">
        <v>993</v>
      </c>
      <c r="D947" s="49"/>
    </row>
    <row r="948" spans="1:4">
      <c r="A948" s="72"/>
      <c r="B948" s="72"/>
      <c r="C948" s="44" t="s">
        <v>994</v>
      </c>
      <c r="D948" s="44"/>
    </row>
    <row r="949" spans="1:4">
      <c r="A949" s="72"/>
      <c r="B949" s="72"/>
      <c r="C949" s="44" t="s">
        <v>995</v>
      </c>
      <c r="D949" s="44"/>
    </row>
    <row r="950" spans="1:4">
      <c r="A950" s="72"/>
      <c r="B950" s="72"/>
      <c r="C950" s="44" t="s">
        <v>996</v>
      </c>
      <c r="D950" s="44"/>
    </row>
    <row r="951" spans="1:4">
      <c r="A951" s="72"/>
      <c r="B951" s="72"/>
      <c r="C951" s="49" t="s">
        <v>765</v>
      </c>
      <c r="D951" s="49"/>
    </row>
    <row r="952" spans="1:4">
      <c r="A952" s="72"/>
      <c r="B952" s="72"/>
      <c r="C952" s="49" t="s">
        <v>989</v>
      </c>
      <c r="D952" s="49"/>
    </row>
    <row r="953" spans="1:4">
      <c r="A953" s="72"/>
      <c r="B953" s="72"/>
      <c r="C953" s="44" t="s">
        <v>997</v>
      </c>
      <c r="D953" s="44" t="s">
        <v>998</v>
      </c>
    </row>
    <row r="954" spans="1:4">
      <c r="A954" s="72"/>
      <c r="B954" s="72"/>
      <c r="C954" s="44" t="s">
        <v>961</v>
      </c>
      <c r="D954" s="44" t="s">
        <v>962</v>
      </c>
    </row>
    <row r="955" spans="1:4">
      <c r="A955" s="72"/>
      <c r="B955" s="72"/>
      <c r="C955" s="44" t="s">
        <v>314</v>
      </c>
      <c r="D955" s="44"/>
    </row>
    <row r="956" spans="1:4">
      <c r="A956" s="75" t="s">
        <v>36</v>
      </c>
      <c r="B956" s="75" t="s">
        <v>54</v>
      </c>
      <c r="C956" s="46" t="s">
        <v>999</v>
      </c>
      <c r="D956" s="46"/>
    </row>
    <row r="957" spans="1:4">
      <c r="A957" s="76"/>
      <c r="B957" s="76"/>
      <c r="C957" s="46" t="s">
        <v>1000</v>
      </c>
      <c r="D957" s="46"/>
    </row>
    <row r="958" spans="1:4">
      <c r="A958" s="76"/>
      <c r="B958" s="76"/>
      <c r="C958" s="46" t="s">
        <v>1001</v>
      </c>
      <c r="D958" s="46"/>
    </row>
    <row r="959" spans="1:4">
      <c r="A959" s="76"/>
      <c r="B959" s="76"/>
      <c r="C959" s="46" t="s">
        <v>1002</v>
      </c>
      <c r="D959" s="46"/>
    </row>
    <row r="960" spans="1:4">
      <c r="A960" s="76"/>
      <c r="B960" s="76"/>
      <c r="C960" s="46" t="s">
        <v>1003</v>
      </c>
      <c r="D960" s="46"/>
    </row>
    <row r="961" spans="1:5">
      <c r="A961" s="76"/>
      <c r="B961" s="76"/>
      <c r="C961" s="46" t="s">
        <v>1004</v>
      </c>
      <c r="D961" s="46"/>
    </row>
    <row r="962" spans="1:5">
      <c r="A962" s="76"/>
      <c r="B962" s="76"/>
      <c r="C962" s="46" t="s">
        <v>1005</v>
      </c>
      <c r="D962" s="46"/>
    </row>
    <row r="963" spans="1:5">
      <c r="A963" s="76"/>
      <c r="B963" s="76"/>
      <c r="C963" s="46" t="s">
        <v>848</v>
      </c>
      <c r="D963" s="46"/>
      <c r="E963" t="s">
        <v>214</v>
      </c>
    </row>
    <row r="964" spans="1:5">
      <c r="A964" s="77" t="s">
        <v>38</v>
      </c>
      <c r="B964" s="71" t="s">
        <v>54</v>
      </c>
      <c r="C964" s="44" t="s">
        <v>971</v>
      </c>
      <c r="D964" s="44"/>
    </row>
    <row r="965" spans="1:5">
      <c r="A965" s="78"/>
      <c r="B965" s="72"/>
      <c r="C965" s="44" t="s">
        <v>972</v>
      </c>
      <c r="D965" s="44"/>
    </row>
    <row r="966" spans="1:5">
      <c r="A966" s="78"/>
      <c r="B966" s="72"/>
      <c r="C966" s="44" t="s">
        <v>746</v>
      </c>
      <c r="D966" s="44"/>
    </row>
    <row r="967" spans="1:5">
      <c r="A967" s="78"/>
      <c r="B967" s="72"/>
      <c r="C967" s="44" t="s">
        <v>973</v>
      </c>
      <c r="D967" s="44"/>
    </row>
    <row r="968" spans="1:5">
      <c r="A968" s="78"/>
      <c r="B968" s="72"/>
      <c r="C968" s="44" t="s">
        <v>974</v>
      </c>
      <c r="D968" s="44"/>
    </row>
    <row r="969" spans="1:5">
      <c r="A969" s="78"/>
      <c r="B969" s="72"/>
      <c r="C969" s="44" t="s">
        <v>1006</v>
      </c>
      <c r="D969" s="44"/>
      <c r="E969" t="s">
        <v>214</v>
      </c>
    </row>
    <row r="970" spans="1:5">
      <c r="A970" s="79" t="s">
        <v>40</v>
      </c>
      <c r="B970" s="75" t="s">
        <v>54</v>
      </c>
      <c r="C970" s="46" t="s">
        <v>1007</v>
      </c>
      <c r="D970" s="46"/>
    </row>
    <row r="971" spans="1:5">
      <c r="A971" s="80"/>
      <c r="B971" s="76"/>
      <c r="C971" s="46" t="s">
        <v>1008</v>
      </c>
      <c r="D971" s="46"/>
    </row>
    <row r="972" spans="1:5">
      <c r="A972" s="80"/>
      <c r="B972" s="76"/>
      <c r="C972" s="46" t="s">
        <v>1009</v>
      </c>
      <c r="D972" s="46"/>
    </row>
    <row r="973" spans="1:5">
      <c r="A973" s="80"/>
      <c r="B973" s="76"/>
      <c r="C973" s="46" t="s">
        <v>1010</v>
      </c>
      <c r="D973" s="46"/>
    </row>
    <row r="974" spans="1:5">
      <c r="A974" s="80"/>
      <c r="B974" s="76"/>
      <c r="C974" s="46" t="s">
        <v>1011</v>
      </c>
      <c r="D974" s="46"/>
    </row>
    <row r="975" spans="1:5">
      <c r="A975" s="80"/>
      <c r="B975" s="76"/>
      <c r="C975" s="46" t="s">
        <v>1012</v>
      </c>
      <c r="D975" s="46"/>
    </row>
    <row r="976" spans="1:5">
      <c r="A976" s="100"/>
      <c r="B976" s="99"/>
      <c r="C976" s="46" t="s">
        <v>314</v>
      </c>
      <c r="D976" s="46"/>
    </row>
    <row r="977" spans="1:5">
      <c r="A977" s="71" t="s">
        <v>39</v>
      </c>
      <c r="B977" s="71" t="s">
        <v>54</v>
      </c>
      <c r="C977" s="44" t="s">
        <v>1013</v>
      </c>
      <c r="D977" s="44"/>
      <c r="E977" t="s">
        <v>1014</v>
      </c>
    </row>
    <row r="978" spans="1:5">
      <c r="A978" s="72"/>
      <c r="B978" s="72"/>
      <c r="C978" s="44" t="s">
        <v>1015</v>
      </c>
      <c r="D978" s="44"/>
    </row>
    <row r="979" spans="1:5">
      <c r="A979" s="72"/>
      <c r="B979" s="72"/>
      <c r="C979" s="44" t="s">
        <v>1016</v>
      </c>
      <c r="D979" s="44"/>
    </row>
    <row r="980" spans="1:5">
      <c r="A980" s="72"/>
      <c r="B980" s="72"/>
      <c r="C980" s="44" t="s">
        <v>1017</v>
      </c>
      <c r="D980" s="44"/>
    </row>
    <row r="981" spans="1:5">
      <c r="A981" s="72"/>
      <c r="B981" s="72"/>
      <c r="C981" s="44" t="s">
        <v>1018</v>
      </c>
      <c r="D981" s="44"/>
    </row>
    <row r="982" spans="1:5">
      <c r="A982" s="72"/>
      <c r="B982" s="72"/>
      <c r="C982" s="44" t="s">
        <v>1019</v>
      </c>
      <c r="D982" s="44"/>
    </row>
    <row r="983" spans="1:5">
      <c r="A983" s="72"/>
      <c r="B983" s="72"/>
      <c r="C983" s="44" t="s">
        <v>1020</v>
      </c>
      <c r="D983" s="44"/>
    </row>
    <row r="984" spans="1:5">
      <c r="A984" s="72"/>
      <c r="B984" s="72"/>
      <c r="C984" s="44" t="s">
        <v>1021</v>
      </c>
      <c r="D984" s="44"/>
    </row>
    <row r="985" spans="1:5">
      <c r="A985" s="72"/>
      <c r="B985" s="72"/>
      <c r="C985" s="44" t="s">
        <v>1022</v>
      </c>
      <c r="D985" s="44" t="s">
        <v>1023</v>
      </c>
      <c r="E985" t="s">
        <v>214</v>
      </c>
    </row>
    <row r="986" spans="1:5">
      <c r="A986" s="79" t="s">
        <v>41</v>
      </c>
      <c r="B986" s="75" t="s">
        <v>54</v>
      </c>
      <c r="C986" s="46" t="s">
        <v>975</v>
      </c>
      <c r="D986" s="46"/>
    </row>
    <row r="987" spans="1:5">
      <c r="A987" s="80"/>
      <c r="B987" s="76"/>
      <c r="C987" s="46" t="s">
        <v>976</v>
      </c>
      <c r="D987" s="46"/>
    </row>
    <row r="988" spans="1:5">
      <c r="A988" s="80"/>
      <c r="B988" s="76"/>
      <c r="C988" s="46" t="s">
        <v>1024</v>
      </c>
      <c r="D988" s="46"/>
    </row>
    <row r="989" spans="1:5">
      <c r="A989" s="80"/>
      <c r="B989" s="76"/>
      <c r="C989" s="46" t="s">
        <v>1025</v>
      </c>
      <c r="D989" s="46"/>
    </row>
    <row r="990" spans="1:5">
      <c r="A990" s="80"/>
      <c r="B990" s="76"/>
      <c r="C990" s="46" t="s">
        <v>1026</v>
      </c>
      <c r="D990" s="46"/>
    </row>
    <row r="991" spans="1:5">
      <c r="A991" s="80"/>
      <c r="B991" s="76"/>
      <c r="C991" s="46" t="s">
        <v>1027</v>
      </c>
      <c r="D991" s="46"/>
    </row>
    <row r="992" spans="1:5">
      <c r="A992" s="71" t="s">
        <v>42</v>
      </c>
      <c r="B992" s="71" t="s">
        <v>54</v>
      </c>
      <c r="C992" s="44" t="s">
        <v>754</v>
      </c>
      <c r="D992" s="44"/>
    </row>
    <row r="993" spans="1:5">
      <c r="A993" s="72"/>
      <c r="B993" s="72"/>
      <c r="C993" s="44" t="s">
        <v>951</v>
      </c>
      <c r="D993" s="44"/>
    </row>
    <row r="994" spans="1:5">
      <c r="A994" s="72"/>
      <c r="B994" s="72"/>
      <c r="C994" s="44" t="s">
        <v>950</v>
      </c>
      <c r="D994" s="44"/>
    </row>
    <row r="995" spans="1:5">
      <c r="A995" s="72"/>
      <c r="B995" s="72"/>
      <c r="C995" s="44" t="s">
        <v>755</v>
      </c>
      <c r="D995" s="44"/>
    </row>
    <row r="996" spans="1:5">
      <c r="A996" s="72"/>
      <c r="B996" s="72"/>
      <c r="C996" s="44" t="s">
        <v>1028</v>
      </c>
      <c r="D996" s="44" t="s">
        <v>1029</v>
      </c>
    </row>
    <row r="997" spans="1:5">
      <c r="A997" s="72"/>
      <c r="B997" s="72"/>
      <c r="C997" s="44" t="s">
        <v>314</v>
      </c>
      <c r="D997" s="44"/>
    </row>
    <row r="998" spans="1:5">
      <c r="A998" s="75" t="s">
        <v>43</v>
      </c>
      <c r="B998" s="75" t="s">
        <v>54</v>
      </c>
      <c r="C998" s="46" t="s">
        <v>1030</v>
      </c>
      <c r="D998" s="46"/>
      <c r="E998" t="s">
        <v>1014</v>
      </c>
    </row>
    <row r="999" spans="1:5">
      <c r="A999" s="76"/>
      <c r="B999" s="76"/>
      <c r="C999" s="46" t="s">
        <v>1031</v>
      </c>
      <c r="D999" s="46"/>
    </row>
    <row r="1000" spans="1:5">
      <c r="A1000" s="71" t="s">
        <v>45</v>
      </c>
      <c r="B1000" s="71" t="s">
        <v>54</v>
      </c>
      <c r="C1000" s="44" t="s">
        <v>1032</v>
      </c>
      <c r="D1000" s="44"/>
    </row>
    <row r="1001" spans="1:5">
      <c r="A1001" s="72"/>
      <c r="B1001" s="72"/>
      <c r="C1001" s="44" t="s">
        <v>1033</v>
      </c>
      <c r="D1001" s="44"/>
    </row>
    <row r="1002" spans="1:5">
      <c r="A1002" s="72"/>
      <c r="B1002" s="72"/>
      <c r="C1002" s="44" t="s">
        <v>1034</v>
      </c>
      <c r="D1002" s="44"/>
    </row>
    <row r="1003" spans="1:5">
      <c r="A1003" s="72"/>
      <c r="B1003" s="72"/>
      <c r="C1003" s="44" t="s">
        <v>1035</v>
      </c>
      <c r="D1003" s="44"/>
      <c r="E1003" t="s">
        <v>214</v>
      </c>
    </row>
    <row r="1004" spans="1:5">
      <c r="A1004" s="72"/>
      <c r="B1004" s="72"/>
      <c r="C1004" s="44" t="s">
        <v>1036</v>
      </c>
      <c r="D1004" s="44"/>
    </row>
    <row r="1005" spans="1:5">
      <c r="A1005" s="72"/>
      <c r="B1005" s="72"/>
      <c r="C1005" s="44" t="s">
        <v>1037</v>
      </c>
      <c r="D1005" s="44"/>
    </row>
    <row r="1006" spans="1:5">
      <c r="A1006" s="72"/>
      <c r="B1006" s="72"/>
      <c r="C1006" s="44" t="s">
        <v>1038</v>
      </c>
      <c r="D1006" s="44"/>
      <c r="E1006" t="s">
        <v>214</v>
      </c>
    </row>
    <row r="1007" spans="1:5">
      <c r="A1007" s="72"/>
      <c r="B1007" s="72"/>
      <c r="C1007" s="44" t="s">
        <v>1039</v>
      </c>
      <c r="D1007" s="44"/>
    </row>
    <row r="1008" spans="1:5">
      <c r="A1008" s="72"/>
      <c r="B1008" s="72"/>
      <c r="C1008" s="44" t="s">
        <v>1040</v>
      </c>
      <c r="D1008" s="44"/>
    </row>
    <row r="1009" spans="1:4">
      <c r="A1009" s="72"/>
      <c r="B1009" s="72"/>
      <c r="C1009" s="44" t="s">
        <v>1041</v>
      </c>
      <c r="D1009" s="44"/>
    </row>
    <row r="1010" spans="1:4">
      <c r="A1010" s="72"/>
      <c r="B1010" s="72"/>
      <c r="C1010" s="44" t="s">
        <v>1042</v>
      </c>
      <c r="D1010" s="44"/>
    </row>
    <row r="1011" spans="1:4">
      <c r="A1011" s="72"/>
      <c r="B1011" s="72"/>
      <c r="C1011" s="44" t="s">
        <v>1043</v>
      </c>
      <c r="D1011" s="44"/>
    </row>
    <row r="1012" spans="1:4">
      <c r="A1012" s="72"/>
      <c r="B1012" s="72"/>
      <c r="C1012" s="44" t="s">
        <v>1044</v>
      </c>
      <c r="D1012" s="44"/>
    </row>
    <row r="1013" spans="1:4">
      <c r="A1013" s="72"/>
      <c r="B1013" s="72"/>
      <c r="C1013" s="44" t="s">
        <v>1045</v>
      </c>
      <c r="D1013" s="44"/>
    </row>
    <row r="1014" spans="1:4">
      <c r="A1014" s="72"/>
      <c r="B1014" s="72"/>
      <c r="C1014" s="44" t="s">
        <v>1046</v>
      </c>
      <c r="D1014" s="44"/>
    </row>
    <row r="1015" spans="1:4">
      <c r="A1015" s="72"/>
      <c r="B1015" s="72"/>
      <c r="C1015" s="44" t="s">
        <v>1047</v>
      </c>
      <c r="D1015" s="44"/>
    </row>
    <row r="1016" spans="1:4">
      <c r="A1016" s="72"/>
      <c r="B1016" s="72"/>
      <c r="C1016" s="44" t="s">
        <v>1048</v>
      </c>
      <c r="D1016" s="44"/>
    </row>
    <row r="1017" spans="1:4">
      <c r="A1017" s="72"/>
      <c r="B1017" s="72"/>
      <c r="C1017" s="44" t="s">
        <v>1049</v>
      </c>
      <c r="D1017" s="44"/>
    </row>
    <row r="1018" spans="1:4">
      <c r="A1018" s="72"/>
      <c r="B1018" s="72"/>
      <c r="C1018" s="44" t="s">
        <v>1050</v>
      </c>
      <c r="D1018" s="44"/>
    </row>
    <row r="1019" spans="1:4">
      <c r="A1019" s="72"/>
      <c r="B1019" s="72"/>
      <c r="C1019" s="44" t="s">
        <v>1051</v>
      </c>
      <c r="D1019" s="44"/>
    </row>
    <row r="1020" spans="1:4">
      <c r="A1020" s="72"/>
      <c r="B1020" s="72"/>
      <c r="C1020" s="44" t="s">
        <v>1052</v>
      </c>
      <c r="D1020" s="44"/>
    </row>
    <row r="1021" spans="1:4">
      <c r="A1021" s="72"/>
      <c r="B1021" s="72"/>
      <c r="C1021" s="44" t="s">
        <v>1053</v>
      </c>
      <c r="D1021" s="44"/>
    </row>
    <row r="1022" spans="1:4">
      <c r="A1022" s="72"/>
      <c r="B1022" s="72"/>
      <c r="C1022" s="44" t="s">
        <v>1054</v>
      </c>
      <c r="D1022" s="44"/>
    </row>
    <row r="1023" spans="1:4">
      <c r="A1023" s="72"/>
      <c r="B1023" s="72"/>
      <c r="C1023" s="44" t="s">
        <v>1055</v>
      </c>
      <c r="D1023" s="44"/>
    </row>
    <row r="1024" spans="1:4">
      <c r="A1024" s="72"/>
      <c r="B1024" s="72"/>
      <c r="C1024" s="44" t="s">
        <v>1056</v>
      </c>
      <c r="D1024" s="44"/>
    </row>
    <row r="1025" spans="1:5">
      <c r="A1025" s="72"/>
      <c r="B1025" s="72"/>
      <c r="C1025" s="44" t="s">
        <v>1057</v>
      </c>
      <c r="D1025" s="44"/>
    </row>
    <row r="1026" spans="1:5">
      <c r="A1026" s="72"/>
      <c r="B1026" s="72"/>
      <c r="C1026" s="44" t="s">
        <v>1058</v>
      </c>
      <c r="D1026" s="44"/>
    </row>
    <row r="1027" spans="1:5">
      <c r="A1027" s="72"/>
      <c r="B1027" s="72"/>
      <c r="C1027" s="44" t="s">
        <v>1059</v>
      </c>
      <c r="D1027" s="44"/>
    </row>
    <row r="1028" spans="1:5">
      <c r="A1028" s="72"/>
      <c r="B1028" s="72"/>
      <c r="C1028" s="44" t="s">
        <v>1060</v>
      </c>
      <c r="D1028" s="44"/>
    </row>
    <row r="1029" spans="1:5">
      <c r="A1029" s="72"/>
      <c r="B1029" s="72"/>
      <c r="C1029" s="44" t="s">
        <v>1061</v>
      </c>
      <c r="D1029" s="44"/>
    </row>
    <row r="1030" spans="1:5">
      <c r="A1030" s="72"/>
      <c r="B1030" s="72"/>
      <c r="C1030" s="44" t="s">
        <v>1062</v>
      </c>
      <c r="D1030" s="44"/>
    </row>
    <row r="1031" spans="1:5">
      <c r="A1031" s="72"/>
      <c r="B1031" s="72"/>
      <c r="C1031" s="106" t="s">
        <v>1063</v>
      </c>
      <c r="D1031" s="44"/>
      <c r="E1031" t="s">
        <v>214</v>
      </c>
    </row>
    <row r="1032" spans="1:5">
      <c r="A1032" s="72"/>
      <c r="B1032" s="72"/>
      <c r="C1032" s="44" t="s">
        <v>1064</v>
      </c>
      <c r="D1032" s="44"/>
    </row>
    <row r="1033" spans="1:5">
      <c r="A1033" s="72"/>
      <c r="B1033" s="72"/>
      <c r="C1033" s="44" t="s">
        <v>314</v>
      </c>
      <c r="D1033" s="44"/>
    </row>
    <row r="1034" spans="1:5">
      <c r="A1034" s="55" t="s">
        <v>44</v>
      </c>
      <c r="B1034" s="55" t="s">
        <v>54</v>
      </c>
      <c r="C1034" s="46" t="s">
        <v>1065</v>
      </c>
      <c r="D1034" s="46"/>
      <c r="E1034" t="s">
        <v>1014</v>
      </c>
    </row>
    <row r="1035" spans="1:5">
      <c r="A1035" s="56"/>
      <c r="B1035" s="56"/>
      <c r="C1035" s="46" t="s">
        <v>1066</v>
      </c>
      <c r="D1035" s="46"/>
    </row>
    <row r="1036" spans="1:5">
      <c r="A1036" s="56"/>
      <c r="B1036" s="56"/>
      <c r="C1036" s="46" t="s">
        <v>314</v>
      </c>
      <c r="D1036" s="46"/>
    </row>
    <row r="1037" spans="1:5">
      <c r="A1037" s="71" t="s">
        <v>1067</v>
      </c>
      <c r="B1037" s="71" t="s">
        <v>54</v>
      </c>
      <c r="C1037" s="44" t="s">
        <v>1068</v>
      </c>
      <c r="D1037" s="44"/>
    </row>
    <row r="1038" spans="1:5">
      <c r="A1038" s="72"/>
      <c r="B1038" s="72"/>
      <c r="C1038" s="44" t="s">
        <v>1069</v>
      </c>
      <c r="D1038" s="44" t="s">
        <v>1070</v>
      </c>
    </row>
    <row r="1039" spans="1:5">
      <c r="A1039" s="72"/>
      <c r="B1039" s="72"/>
      <c r="C1039" s="44" t="s">
        <v>1071</v>
      </c>
      <c r="D1039" s="44" t="s">
        <v>1072</v>
      </c>
    </row>
    <row r="1040" spans="1:5">
      <c r="A1040" s="72"/>
      <c r="B1040" s="72"/>
      <c r="C1040" s="44" t="s">
        <v>1073</v>
      </c>
      <c r="D1040" s="44" t="s">
        <v>1074</v>
      </c>
    </row>
    <row r="1044" spans="4:4">
      <c r="D1044" s="13"/>
    </row>
    <row r="1045" spans="4:4">
      <c r="D1045" s="13"/>
    </row>
    <row r="1046" spans="4:4">
      <c r="D1046" s="13"/>
    </row>
    <row r="1047" spans="4:4">
      <c r="D1047" s="13"/>
    </row>
    <row r="1072" spans="3:3">
      <c r="C1072"/>
    </row>
    <row r="1073" spans="1:8" s="10" customFormat="1">
      <c r="A1073" s="108"/>
      <c r="B1073"/>
      <c r="C1073"/>
      <c r="D1073" s="108"/>
      <c r="E1073"/>
      <c r="F1073"/>
      <c r="G1073"/>
      <c r="H1073"/>
    </row>
    <row r="1074" spans="1:8" s="10" customFormat="1">
      <c r="A1074" s="127"/>
      <c r="B1074"/>
      <c r="C1074"/>
      <c r="D1074" s="108"/>
      <c r="E1074"/>
      <c r="F1074"/>
      <c r="G1074"/>
      <c r="H1074"/>
    </row>
    <row r="1075" spans="1:8" s="10" customFormat="1">
      <c r="A1075" s="108"/>
      <c r="B1075"/>
      <c r="C1075" s="13"/>
      <c r="D1075" s="108"/>
      <c r="E1075"/>
      <c r="F1075"/>
      <c r="G1075"/>
      <c r="H1075"/>
    </row>
    <row r="1076" spans="1:8" s="10" customFormat="1">
      <c r="A1076" s="108"/>
      <c r="B1076"/>
      <c r="C1076" s="13" t="s">
        <v>309</v>
      </c>
      <c r="D1076" s="108"/>
      <c r="E1076"/>
      <c r="F1076"/>
      <c r="G1076"/>
      <c r="H1076"/>
    </row>
    <row r="1077" spans="1:8" s="10" customFormat="1">
      <c r="A1077" s="108"/>
      <c r="B1077"/>
      <c r="C1077" s="13" t="s">
        <v>80</v>
      </c>
      <c r="D1077" s="108"/>
      <c r="E1077"/>
      <c r="F1077"/>
      <c r="G1077"/>
      <c r="H1077"/>
    </row>
    <row r="1078" spans="1:8" s="10" customFormat="1">
      <c r="A1078" s="108"/>
      <c r="B1078"/>
      <c r="C1078" s="13" t="s">
        <v>310</v>
      </c>
      <c r="D1078" s="108"/>
      <c r="E1078"/>
      <c r="F1078"/>
      <c r="G1078"/>
      <c r="H1078"/>
    </row>
    <row r="1079" spans="1:8" s="10" customFormat="1">
      <c r="A1079" s="108"/>
      <c r="B1079"/>
      <c r="C1079" s="13" t="s">
        <v>313</v>
      </c>
      <c r="D1079" s="108"/>
      <c r="E1079"/>
      <c r="F1079"/>
      <c r="G1079"/>
      <c r="H1079"/>
    </row>
    <row r="1080" spans="1:8" s="10" customFormat="1">
      <c r="A1080" s="108"/>
      <c r="B1080"/>
      <c r="C1080" s="13"/>
      <c r="D1080" s="108"/>
      <c r="E1080"/>
      <c r="F1080"/>
      <c r="G1080"/>
      <c r="H1080"/>
    </row>
    <row r="1081" spans="1:8" s="10" customFormat="1">
      <c r="A1081" s="108"/>
      <c r="B1081"/>
      <c r="C1081" s="13" t="s">
        <v>309</v>
      </c>
      <c r="D1081" s="108"/>
      <c r="E1081"/>
      <c r="F1081"/>
      <c r="G1081"/>
      <c r="H1081"/>
    </row>
    <row r="1082" spans="1:8" s="10" customFormat="1">
      <c r="A1082" s="108"/>
      <c r="B1082"/>
      <c r="C1082" s="13" t="s">
        <v>80</v>
      </c>
      <c r="D1082" s="108"/>
      <c r="E1082"/>
      <c r="F1082"/>
      <c r="G1082"/>
      <c r="H1082"/>
    </row>
    <row r="1083" spans="1:8" s="10" customFormat="1">
      <c r="A1083" s="108"/>
      <c r="B1083"/>
      <c r="C1083" s="13" t="s">
        <v>310</v>
      </c>
      <c r="D1083" s="108"/>
      <c r="E1083"/>
      <c r="F1083"/>
      <c r="G1083"/>
      <c r="H1083"/>
    </row>
    <row r="1084" spans="1:8" s="10" customFormat="1">
      <c r="A1084" s="108"/>
      <c r="B1084"/>
      <c r="C1084" s="13" t="s">
        <v>313</v>
      </c>
      <c r="D1084" s="108"/>
      <c r="E1084"/>
      <c r="F1084"/>
      <c r="G1084"/>
      <c r="H1084"/>
    </row>
    <row r="1085" spans="1:8" s="10" customFormat="1">
      <c r="A1085" s="108"/>
      <c r="B1085"/>
      <c r="C1085" s="13" t="s">
        <v>311</v>
      </c>
      <c r="D1085" s="108"/>
      <c r="E1085"/>
      <c r="F1085"/>
      <c r="G1085"/>
      <c r="H1085"/>
    </row>
    <row r="1086" spans="1:8" s="10" customFormat="1">
      <c r="A1086" s="108"/>
      <c r="B1086"/>
      <c r="C1086" s="13"/>
      <c r="D1086" s="108"/>
      <c r="E1086"/>
      <c r="F1086"/>
      <c r="G1086"/>
      <c r="H1086"/>
    </row>
    <row r="1087" spans="1:8" s="10" customFormat="1">
      <c r="A1087" s="108"/>
      <c r="B1087"/>
      <c r="C1087" s="13" t="s">
        <v>309</v>
      </c>
      <c r="D1087" s="108"/>
      <c r="E1087"/>
      <c r="F1087"/>
      <c r="G1087"/>
      <c r="H1087"/>
    </row>
    <row r="1088" spans="1:8" s="10" customFormat="1">
      <c r="A1088" s="108"/>
      <c r="B1088"/>
      <c r="C1088" s="13" t="s">
        <v>80</v>
      </c>
      <c r="D1088" s="108"/>
      <c r="E1088"/>
      <c r="F1088"/>
      <c r="G1088"/>
      <c r="H1088"/>
    </row>
    <row r="1089" spans="2:8" s="10" customFormat="1">
      <c r="B1089"/>
      <c r="C1089" s="13" t="s">
        <v>313</v>
      </c>
      <c r="D1089" s="108"/>
      <c r="E1089"/>
      <c r="F1089"/>
      <c r="G1089"/>
      <c r="H1089"/>
    </row>
    <row r="1090" spans="2:8" s="10" customFormat="1">
      <c r="B1090"/>
      <c r="C1090" s="13"/>
      <c r="D1090" s="108"/>
      <c r="E1090"/>
      <c r="F1090"/>
      <c r="G1090"/>
      <c r="H1090"/>
    </row>
    <row r="1091" spans="2:8" s="10" customFormat="1">
      <c r="B1091"/>
      <c r="C1091" s="13" t="s">
        <v>886</v>
      </c>
      <c r="D1091" s="108"/>
      <c r="E1091"/>
      <c r="F1091"/>
      <c r="G1091"/>
      <c r="H1091"/>
    </row>
    <row r="1092" spans="2:8" s="10" customFormat="1">
      <c r="B1092"/>
      <c r="C1092" s="13" t="s">
        <v>314</v>
      </c>
      <c r="D1092" s="108"/>
      <c r="E1092"/>
      <c r="F1092"/>
      <c r="G1092"/>
      <c r="H1092"/>
    </row>
    <row r="1093" spans="2:8" s="10" customFormat="1">
      <c r="B1093"/>
      <c r="C1093" s="13"/>
      <c r="D1093" s="108"/>
      <c r="E1093"/>
      <c r="F1093"/>
      <c r="G1093"/>
      <c r="H1093"/>
    </row>
    <row r="1094" spans="2:8" s="10" customFormat="1">
      <c r="B1094"/>
      <c r="C1094" s="13" t="s">
        <v>440</v>
      </c>
      <c r="D1094" s="108"/>
      <c r="E1094"/>
      <c r="F1094"/>
      <c r="G1094"/>
      <c r="H1094"/>
    </row>
    <row r="1095" spans="2:8" s="10" customFormat="1">
      <c r="B1095"/>
      <c r="C1095" s="13" t="s">
        <v>740</v>
      </c>
      <c r="D1095" s="108"/>
      <c r="E1095"/>
      <c r="F1095"/>
      <c r="G1095"/>
      <c r="H1095"/>
    </row>
    <row r="1096" spans="2:8" s="10" customFormat="1">
      <c r="B1096"/>
      <c r="C1096" s="13" t="s">
        <v>741</v>
      </c>
      <c r="D1096" s="108"/>
      <c r="E1096"/>
      <c r="F1096"/>
      <c r="G1096"/>
      <c r="H1096"/>
    </row>
    <row r="1097" spans="2:8" s="10" customFormat="1">
      <c r="B1097"/>
      <c r="C1097" s="13" t="s">
        <v>744</v>
      </c>
      <c r="D1097" s="108"/>
      <c r="E1097"/>
      <c r="F1097"/>
      <c r="G1097"/>
      <c r="H1097"/>
    </row>
    <row r="1098" spans="2:8" s="10" customFormat="1">
      <c r="B1098"/>
      <c r="C1098" s="13" t="s">
        <v>745</v>
      </c>
      <c r="D1098" s="108"/>
      <c r="E1098"/>
      <c r="F1098"/>
      <c r="G1098"/>
      <c r="H1098"/>
    </row>
    <row r="1099" spans="2:8" s="10" customFormat="1">
      <c r="B1099"/>
      <c r="C1099" s="13" t="s">
        <v>746</v>
      </c>
      <c r="D1099" s="108"/>
      <c r="E1099"/>
      <c r="F1099"/>
      <c r="G1099"/>
      <c r="H1099"/>
    </row>
    <row r="1100" spans="2:8" s="10" customFormat="1">
      <c r="B1100"/>
      <c r="C1100" s="13" t="s">
        <v>747</v>
      </c>
      <c r="D1100" s="108"/>
      <c r="E1100"/>
      <c r="F1100"/>
      <c r="G1100"/>
      <c r="H1100"/>
    </row>
    <row r="1101" spans="2:8" s="10" customFormat="1">
      <c r="B1101"/>
      <c r="C1101" s="13" t="s">
        <v>748</v>
      </c>
      <c r="D1101" s="108"/>
      <c r="E1101"/>
      <c r="F1101"/>
      <c r="G1101"/>
      <c r="H1101"/>
    </row>
    <row r="1102" spans="2:8" s="10" customFormat="1">
      <c r="B1102"/>
      <c r="C1102" s="13" t="s">
        <v>749</v>
      </c>
      <c r="D1102" s="108"/>
      <c r="E1102"/>
      <c r="F1102"/>
      <c r="G1102"/>
      <c r="H1102"/>
    </row>
    <row r="1103" spans="2:8" s="10" customFormat="1">
      <c r="B1103"/>
      <c r="C1103" s="13" t="s">
        <v>751</v>
      </c>
      <c r="D1103" s="108"/>
      <c r="E1103"/>
      <c r="F1103"/>
      <c r="G1103"/>
      <c r="H1103"/>
    </row>
    <row r="1104" spans="2:8" s="10" customFormat="1">
      <c r="B1104"/>
      <c r="C1104" s="13" t="s">
        <v>485</v>
      </c>
      <c r="D1104" s="108"/>
      <c r="E1104"/>
      <c r="F1104"/>
      <c r="G1104"/>
      <c r="H1104"/>
    </row>
    <row r="1105" spans="2:8" s="10" customFormat="1">
      <c r="B1105"/>
      <c r="C1105" s="13" t="s">
        <v>314</v>
      </c>
      <c r="D1105" s="108"/>
      <c r="E1105"/>
      <c r="F1105"/>
      <c r="G1105"/>
      <c r="H1105"/>
    </row>
    <row r="1106" spans="2:8" s="10" customFormat="1">
      <c r="B1106"/>
      <c r="C1106" s="13"/>
      <c r="D1106" s="108"/>
      <c r="E1106"/>
      <c r="F1106"/>
      <c r="G1106"/>
      <c r="H1106"/>
    </row>
    <row r="1107" spans="2:8" s="10" customFormat="1">
      <c r="B1107"/>
      <c r="C1107" s="13"/>
      <c r="D1107" s="108"/>
      <c r="E1107"/>
      <c r="F1107"/>
      <c r="G1107"/>
      <c r="H1107"/>
    </row>
    <row r="1108" spans="2:8">
      <c r="C1108" s="13" t="s">
        <v>884</v>
      </c>
      <c r="D1108" s="108"/>
    </row>
    <row r="1109" spans="2:8" s="10" customFormat="1">
      <c r="B1109"/>
      <c r="C1109" s="13" t="s">
        <v>885</v>
      </c>
      <c r="D1109" s="108"/>
      <c r="E1109"/>
      <c r="F1109"/>
      <c r="G1109"/>
      <c r="H1109"/>
    </row>
    <row r="1110" spans="2:8" s="10" customFormat="1">
      <c r="B1110"/>
      <c r="C1110" s="13" t="s">
        <v>887</v>
      </c>
      <c r="D1110" s="108"/>
      <c r="E1110"/>
      <c r="F1110"/>
      <c r="G1110"/>
      <c r="H1110"/>
    </row>
    <row r="1111" spans="2:8" s="10" customFormat="1">
      <c r="B1111"/>
      <c r="C1111" s="13" t="s">
        <v>314</v>
      </c>
      <c r="D1111" s="108"/>
      <c r="E1111"/>
      <c r="F1111"/>
      <c r="G1111"/>
      <c r="H1111"/>
    </row>
    <row r="1112" spans="2:8" s="10" customFormat="1">
      <c r="B1112"/>
      <c r="C1112" s="13"/>
      <c r="D1112" s="108"/>
      <c r="E1112"/>
      <c r="F1112"/>
      <c r="G1112"/>
      <c r="H1112"/>
    </row>
    <row r="1113" spans="2:8" s="10" customFormat="1">
      <c r="B1113"/>
      <c r="C1113" s="13" t="s">
        <v>321</v>
      </c>
      <c r="D1113" s="108"/>
      <c r="E1113"/>
      <c r="F1113"/>
      <c r="G1113"/>
      <c r="H1113"/>
    </row>
    <row r="1114" spans="2:8" s="10" customFormat="1">
      <c r="B1114"/>
      <c r="C1114" s="13" t="s">
        <v>322</v>
      </c>
      <c r="D1114" s="108"/>
      <c r="E1114"/>
      <c r="F1114"/>
      <c r="G1114"/>
      <c r="H1114"/>
    </row>
    <row r="1115" spans="2:8" s="10" customFormat="1">
      <c r="B1115"/>
      <c r="C1115" s="13" t="s">
        <v>312</v>
      </c>
      <c r="D1115" s="108"/>
      <c r="E1115"/>
      <c r="F1115"/>
      <c r="G1115"/>
      <c r="H1115"/>
    </row>
    <row r="1116" spans="2:8" s="10" customFormat="1">
      <c r="B1116"/>
      <c r="C1116" s="13" t="s">
        <v>314</v>
      </c>
      <c r="D1116" s="108"/>
      <c r="E1116"/>
      <c r="F1116"/>
      <c r="G1116"/>
      <c r="H1116"/>
    </row>
    <row r="1117" spans="2:8" s="10" customFormat="1">
      <c r="B1117"/>
      <c r="C1117" s="13"/>
      <c r="D1117" s="108"/>
      <c r="E1117"/>
      <c r="F1117"/>
      <c r="G1117"/>
      <c r="H1117"/>
    </row>
    <row r="1118" spans="2:8" s="10" customFormat="1">
      <c r="B1118"/>
      <c r="C1118" s="13" t="s">
        <v>325</v>
      </c>
      <c r="D1118" s="108"/>
      <c r="E1118"/>
      <c r="F1118"/>
      <c r="G1118"/>
      <c r="H1118"/>
    </row>
    <row r="1119" spans="2:8" s="10" customFormat="1">
      <c r="B1119"/>
      <c r="C1119" s="13" t="s">
        <v>1075</v>
      </c>
      <c r="D1119" s="108"/>
      <c r="E1119"/>
      <c r="F1119"/>
      <c r="G1119"/>
      <c r="H1119"/>
    </row>
    <row r="1120" spans="2:8" s="10" customFormat="1">
      <c r="B1120"/>
      <c r="C1120" s="13"/>
      <c r="D1120" s="108"/>
      <c r="E1120"/>
      <c r="F1120"/>
      <c r="G1120"/>
      <c r="H1120"/>
    </row>
    <row r="1121" spans="2:8">
      <c r="C1121" s="13" t="s">
        <v>325</v>
      </c>
      <c r="D1121" s="108"/>
    </row>
    <row r="1122" spans="2:8" s="10" customFormat="1">
      <c r="B1122"/>
      <c r="C1122" s="13" t="s">
        <v>327</v>
      </c>
      <c r="D1122" s="108"/>
      <c r="E1122"/>
      <c r="F1122"/>
      <c r="G1122"/>
      <c r="H1122"/>
    </row>
    <row r="1123" spans="2:8" s="10" customFormat="1">
      <c r="B1123"/>
      <c r="C1123" s="13" t="s">
        <v>329</v>
      </c>
      <c r="D1123" s="108"/>
      <c r="E1123"/>
      <c r="F1123"/>
      <c r="G1123"/>
      <c r="H1123"/>
    </row>
    <row r="1124" spans="2:8" s="10" customFormat="1">
      <c r="B1124"/>
      <c r="C1124" s="13" t="s">
        <v>331</v>
      </c>
      <c r="D1124" s="108"/>
      <c r="E1124"/>
      <c r="F1124"/>
      <c r="G1124"/>
      <c r="H1124"/>
    </row>
    <row r="1125" spans="2:8">
      <c r="C1125" s="13" t="s">
        <v>336</v>
      </c>
      <c r="D1125" s="108"/>
    </row>
    <row r="1126" spans="2:8">
      <c r="C1126" s="13" t="s">
        <v>314</v>
      </c>
      <c r="D1126" s="108"/>
    </row>
    <row r="1129" spans="2:8">
      <c r="C1129" s="13" t="s">
        <v>436</v>
      </c>
      <c r="D1129" s="108"/>
    </row>
    <row r="1130" spans="2:8">
      <c r="C1130" s="13" t="s">
        <v>437</v>
      </c>
      <c r="D1130" s="108"/>
    </row>
    <row r="1131" spans="2:8">
      <c r="C1131" s="13" t="s">
        <v>439</v>
      </c>
      <c r="D1131" s="108"/>
    </row>
    <row r="1132" spans="2:8">
      <c r="C1132" s="13" t="s">
        <v>440</v>
      </c>
      <c r="D1132" s="108"/>
    </row>
    <row r="1133" spans="2:8">
      <c r="C1133" s="13" t="s">
        <v>441</v>
      </c>
      <c r="D1133" s="108"/>
    </row>
    <row r="1134" spans="2:8">
      <c r="C1134" s="13" t="s">
        <v>443</v>
      </c>
      <c r="D1134" s="108"/>
    </row>
    <row r="1135" spans="2:8">
      <c r="C1135" s="13" t="s">
        <v>444</v>
      </c>
      <c r="D1135" s="108"/>
    </row>
    <row r="1136" spans="2:8">
      <c r="C1136" s="13" t="s">
        <v>445</v>
      </c>
      <c r="D1136" s="108"/>
    </row>
    <row r="1137" spans="3:3">
      <c r="C1137" s="13" t="s">
        <v>446</v>
      </c>
    </row>
    <row r="1138" spans="3:3">
      <c r="C1138" s="13" t="s">
        <v>447</v>
      </c>
    </row>
    <row r="1139" spans="3:3">
      <c r="C1139" s="13" t="s">
        <v>448</v>
      </c>
    </row>
    <row r="1140" spans="3:3">
      <c r="C1140" s="13" t="s">
        <v>449</v>
      </c>
    </row>
    <row r="1141" spans="3:3">
      <c r="C1141" s="13" t="s">
        <v>450</v>
      </c>
    </row>
    <row r="1142" spans="3:3">
      <c r="C1142" s="13" t="s">
        <v>451</v>
      </c>
    </row>
    <row r="1143" spans="3:3">
      <c r="C1143" s="13" t="s">
        <v>452</v>
      </c>
    </row>
    <row r="1144" spans="3:3">
      <c r="C1144" s="13" t="s">
        <v>454</v>
      </c>
    </row>
    <row r="1145" spans="3:3">
      <c r="C1145" s="13" t="s">
        <v>455</v>
      </c>
    </row>
    <row r="1146" spans="3:3">
      <c r="C1146" s="13" t="s">
        <v>456</v>
      </c>
    </row>
    <row r="1147" spans="3:3">
      <c r="C1147" s="13" t="s">
        <v>458</v>
      </c>
    </row>
    <row r="1148" spans="3:3">
      <c r="C1148" s="13" t="s">
        <v>459</v>
      </c>
    </row>
    <row r="1149" spans="3:3">
      <c r="C1149" s="13" t="s">
        <v>460</v>
      </c>
    </row>
    <row r="1150" spans="3:3">
      <c r="C1150" s="13" t="s">
        <v>461</v>
      </c>
    </row>
    <row r="1151" spans="3:3">
      <c r="C1151" s="13" t="s">
        <v>462</v>
      </c>
    </row>
    <row r="1152" spans="3:3">
      <c r="C1152" s="13" t="s">
        <v>463</v>
      </c>
    </row>
    <row r="1153" spans="3:3">
      <c r="C1153" s="13" t="s">
        <v>464</v>
      </c>
    </row>
    <row r="1154" spans="3:3">
      <c r="C1154" s="13" t="s">
        <v>465</v>
      </c>
    </row>
    <row r="1155" spans="3:3">
      <c r="C1155" s="13" t="s">
        <v>466</v>
      </c>
    </row>
    <row r="1156" spans="3:3">
      <c r="C1156" s="13" t="s">
        <v>467</v>
      </c>
    </row>
    <row r="1157" spans="3:3">
      <c r="C1157" s="13" t="s">
        <v>468</v>
      </c>
    </row>
    <row r="1158" spans="3:3">
      <c r="C1158" s="13" t="s">
        <v>469</v>
      </c>
    </row>
    <row r="1159" spans="3:3">
      <c r="C1159" s="13" t="s">
        <v>470</v>
      </c>
    </row>
    <row r="1160" spans="3:3">
      <c r="C1160" s="13" t="s">
        <v>471</v>
      </c>
    </row>
    <row r="1161" spans="3:3">
      <c r="C1161" s="13" t="s">
        <v>472</v>
      </c>
    </row>
    <row r="1162" spans="3:3">
      <c r="C1162" s="13" t="s">
        <v>24</v>
      </c>
    </row>
    <row r="1163" spans="3:3" ht="14.45" customHeight="1">
      <c r="C1163" s="13" t="s">
        <v>473</v>
      </c>
    </row>
    <row r="1164" spans="3:3">
      <c r="C1164" s="13" t="s">
        <v>475</v>
      </c>
    </row>
    <row r="1165" spans="3:3">
      <c r="C1165" s="13" t="s">
        <v>476</v>
      </c>
    </row>
    <row r="1166" spans="3:3">
      <c r="C1166" s="13" t="s">
        <v>477</v>
      </c>
    </row>
    <row r="1167" spans="3:3">
      <c r="C1167" s="13" t="s">
        <v>478</v>
      </c>
    </row>
    <row r="1168" spans="3:3">
      <c r="C1168" s="13" t="s">
        <v>480</v>
      </c>
    </row>
    <row r="1169" spans="3:3">
      <c r="C1169" s="13" t="s">
        <v>484</v>
      </c>
    </row>
    <row r="1170" spans="3:3">
      <c r="C1170" s="13" t="s">
        <v>314</v>
      </c>
    </row>
    <row r="1171" spans="3:3">
      <c r="C1171" s="13" t="s">
        <v>486</v>
      </c>
    </row>
    <row r="1172" spans="3:3">
      <c r="C1172" s="13" t="s">
        <v>487</v>
      </c>
    </row>
    <row r="1173" spans="3:3">
      <c r="C1173" s="13" t="s">
        <v>488</v>
      </c>
    </row>
    <row r="1174" spans="3:3">
      <c r="C1174" s="13" t="s">
        <v>489</v>
      </c>
    </row>
    <row r="1175" spans="3:3">
      <c r="C1175" s="13" t="s">
        <v>490</v>
      </c>
    </row>
    <row r="1176" spans="3:3">
      <c r="C1176" s="13" t="s">
        <v>491</v>
      </c>
    </row>
    <row r="1177" spans="3:3">
      <c r="C1177" s="13" t="s">
        <v>492</v>
      </c>
    </row>
    <row r="1178" spans="3:3">
      <c r="C1178" s="13" t="s">
        <v>493</v>
      </c>
    </row>
    <row r="1179" spans="3:3">
      <c r="C1179" s="13" t="s">
        <v>494</v>
      </c>
    </row>
    <row r="1180" spans="3:3">
      <c r="C1180" s="13" t="s">
        <v>495</v>
      </c>
    </row>
    <row r="1181" spans="3:3">
      <c r="C1181" s="13" t="s">
        <v>496</v>
      </c>
    </row>
    <row r="1182" spans="3:3">
      <c r="C1182" s="13" t="s">
        <v>497</v>
      </c>
    </row>
    <row r="1183" spans="3:3">
      <c r="C1183" s="13" t="s">
        <v>498</v>
      </c>
    </row>
    <row r="1184" spans="3:3">
      <c r="C1184" s="13" t="s">
        <v>499</v>
      </c>
    </row>
    <row r="1185" spans="3:3">
      <c r="C1185" s="13" t="s">
        <v>500</v>
      </c>
    </row>
    <row r="1186" spans="3:3">
      <c r="C1186" s="13" t="s">
        <v>501</v>
      </c>
    </row>
    <row r="1187" spans="3:3">
      <c r="C1187" s="13" t="s">
        <v>502</v>
      </c>
    </row>
    <row r="1188" spans="3:3">
      <c r="C1188" s="13" t="s">
        <v>503</v>
      </c>
    </row>
    <row r="1189" spans="3:3">
      <c r="C1189" s="13" t="s">
        <v>505</v>
      </c>
    </row>
    <row r="1190" spans="3:3">
      <c r="C1190" s="13" t="s">
        <v>507</v>
      </c>
    </row>
    <row r="1191" spans="3:3">
      <c r="C1191" s="13" t="s">
        <v>509</v>
      </c>
    </row>
    <row r="1192" spans="3:3">
      <c r="C1192" s="128" t="s">
        <v>510</v>
      </c>
    </row>
    <row r="1193" spans="3:3">
      <c r="C1193" s="13" t="s">
        <v>512</v>
      </c>
    </row>
    <row r="1194" spans="3:3">
      <c r="C1194" s="13" t="s">
        <v>513</v>
      </c>
    </row>
    <row r="1195" spans="3:3">
      <c r="C1195" s="13" t="s">
        <v>514</v>
      </c>
    </row>
    <row r="1196" spans="3:3">
      <c r="C1196" s="13" t="s">
        <v>515</v>
      </c>
    </row>
    <row r="1197" spans="3:3">
      <c r="C1197" s="13" t="s">
        <v>516</v>
      </c>
    </row>
    <row r="1198" spans="3:3">
      <c r="C1198" s="13" t="s">
        <v>517</v>
      </c>
    </row>
    <row r="1199" spans="3:3">
      <c r="C1199" s="13" t="s">
        <v>518</v>
      </c>
    </row>
    <row r="1200" spans="3:3">
      <c r="C1200" s="13" t="s">
        <v>519</v>
      </c>
    </row>
    <row r="1201" spans="3:3">
      <c r="C1201" s="13" t="s">
        <v>521</v>
      </c>
    </row>
    <row r="1202" spans="3:3">
      <c r="C1202" s="13" t="s">
        <v>522</v>
      </c>
    </row>
    <row r="1203" spans="3:3">
      <c r="C1203" s="13" t="s">
        <v>524</v>
      </c>
    </row>
    <row r="1204" spans="3:3">
      <c r="C1204" s="13" t="s">
        <v>525</v>
      </c>
    </row>
    <row r="1205" spans="3:3">
      <c r="C1205" s="13" t="s">
        <v>526</v>
      </c>
    </row>
    <row r="1206" spans="3:3">
      <c r="C1206" s="13" t="s">
        <v>527</v>
      </c>
    </row>
    <row r="1207" spans="3:3">
      <c r="C1207" s="13" t="s">
        <v>528</v>
      </c>
    </row>
    <row r="1208" spans="3:3">
      <c r="C1208" s="13" t="s">
        <v>530</v>
      </c>
    </row>
    <row r="1209" spans="3:3">
      <c r="C1209" s="13" t="s">
        <v>531</v>
      </c>
    </row>
    <row r="1210" spans="3:3">
      <c r="C1210" s="13" t="s">
        <v>532</v>
      </c>
    </row>
    <row r="1211" spans="3:3">
      <c r="C1211" s="13" t="s">
        <v>533</v>
      </c>
    </row>
    <row r="1212" spans="3:3">
      <c r="C1212" s="13" t="s">
        <v>534</v>
      </c>
    </row>
    <row r="1213" spans="3:3">
      <c r="C1213" s="13" t="s">
        <v>535</v>
      </c>
    </row>
    <row r="1214" spans="3:3">
      <c r="C1214" s="13" t="s">
        <v>536</v>
      </c>
    </row>
    <row r="1215" spans="3:3">
      <c r="C1215" s="13" t="s">
        <v>537</v>
      </c>
    </row>
    <row r="1216" spans="3:3">
      <c r="C1216" s="13" t="s">
        <v>539</v>
      </c>
    </row>
    <row r="1217" spans="3:3">
      <c r="C1217" s="13" t="s">
        <v>540</v>
      </c>
    </row>
    <row r="1218" spans="3:3">
      <c r="C1218" s="13" t="s">
        <v>541</v>
      </c>
    </row>
    <row r="1219" spans="3:3">
      <c r="C1219" s="13" t="s">
        <v>542</v>
      </c>
    </row>
    <row r="1220" spans="3:3">
      <c r="C1220" s="13" t="s">
        <v>543</v>
      </c>
    </row>
    <row r="1221" spans="3:3">
      <c r="C1221" s="13" t="s">
        <v>544</v>
      </c>
    </row>
    <row r="1222" spans="3:3">
      <c r="C1222" s="13" t="s">
        <v>545</v>
      </c>
    </row>
    <row r="1223" spans="3:3">
      <c r="C1223" s="13" t="s">
        <v>546</v>
      </c>
    </row>
    <row r="1224" spans="3:3">
      <c r="C1224" s="13" t="s">
        <v>547</v>
      </c>
    </row>
    <row r="1225" spans="3:3">
      <c r="C1225" s="13" t="s">
        <v>548</v>
      </c>
    </row>
    <row r="1226" spans="3:3">
      <c r="C1226" s="13" t="s">
        <v>549</v>
      </c>
    </row>
    <row r="1227" spans="3:3">
      <c r="C1227" s="13" t="s">
        <v>550</v>
      </c>
    </row>
    <row r="1228" spans="3:3">
      <c r="C1228" s="13" t="s">
        <v>551</v>
      </c>
    </row>
    <row r="1229" spans="3:3">
      <c r="C1229" s="13" t="s">
        <v>552</v>
      </c>
    </row>
    <row r="1230" spans="3:3">
      <c r="C1230" s="13" t="s">
        <v>553</v>
      </c>
    </row>
    <row r="1231" spans="3:3">
      <c r="C1231" s="13" t="s">
        <v>554</v>
      </c>
    </row>
    <row r="1232" spans="3:3">
      <c r="C1232" s="13" t="s">
        <v>555</v>
      </c>
    </row>
    <row r="1233" spans="3:3">
      <c r="C1233" s="13" t="s">
        <v>556</v>
      </c>
    </row>
    <row r="1234" spans="3:3">
      <c r="C1234" s="13" t="s">
        <v>557</v>
      </c>
    </row>
    <row r="1235" spans="3:3">
      <c r="C1235" s="13" t="s">
        <v>558</v>
      </c>
    </row>
    <row r="1236" spans="3:3">
      <c r="C1236" s="13" t="s">
        <v>559</v>
      </c>
    </row>
    <row r="1237" spans="3:3">
      <c r="C1237" s="13" t="s">
        <v>561</v>
      </c>
    </row>
    <row r="1238" spans="3:3">
      <c r="C1238" s="13" t="s">
        <v>562</v>
      </c>
    </row>
    <row r="1239" spans="3:3">
      <c r="C1239" s="13" t="s">
        <v>563</v>
      </c>
    </row>
    <row r="1240" spans="3:3">
      <c r="C1240" s="13" t="s">
        <v>564</v>
      </c>
    </row>
    <row r="1241" spans="3:3">
      <c r="C1241" s="13" t="s">
        <v>565</v>
      </c>
    </row>
    <row r="1242" spans="3:3">
      <c r="C1242" s="13" t="s">
        <v>566</v>
      </c>
    </row>
    <row r="1243" spans="3:3">
      <c r="C1243" s="13" t="s">
        <v>567</v>
      </c>
    </row>
    <row r="1244" spans="3:3">
      <c r="C1244" s="13" t="s">
        <v>568</v>
      </c>
    </row>
    <row r="1245" spans="3:3">
      <c r="C1245" s="13" t="s">
        <v>569</v>
      </c>
    </row>
    <row r="1248" spans="3:3">
      <c r="C1248" s="13" t="s">
        <v>326</v>
      </c>
    </row>
    <row r="1249" spans="3:3">
      <c r="C1249" s="13" t="s">
        <v>327</v>
      </c>
    </row>
    <row r="1250" spans="3:3">
      <c r="C1250" s="13" t="s">
        <v>329</v>
      </c>
    </row>
    <row r="1251" spans="3:3">
      <c r="C1251" s="13" t="s">
        <v>332</v>
      </c>
    </row>
    <row r="1252" spans="3:3">
      <c r="C1252" s="13" t="s">
        <v>334</v>
      </c>
    </row>
    <row r="1253" spans="3:3">
      <c r="C1253" s="13" t="s">
        <v>314</v>
      </c>
    </row>
    <row r="1255" spans="3:3">
      <c r="C1255" s="13" t="s">
        <v>326</v>
      </c>
    </row>
    <row r="1256" spans="3:3">
      <c r="C1256" s="13" t="s">
        <v>331</v>
      </c>
    </row>
    <row r="1257" spans="3:3">
      <c r="C1257" s="13" t="s">
        <v>336</v>
      </c>
    </row>
    <row r="1258" spans="3:3">
      <c r="C1258" s="13" t="s">
        <v>327</v>
      </c>
    </row>
    <row r="1259" spans="3:3">
      <c r="C1259" s="13" t="s">
        <v>314</v>
      </c>
    </row>
    <row r="1261" spans="3:3">
      <c r="C1261" s="13" t="s">
        <v>325</v>
      </c>
    </row>
    <row r="1262" spans="3:3">
      <c r="C1262" s="13" t="s">
        <v>327</v>
      </c>
    </row>
    <row r="1263" spans="3:3">
      <c r="C1263" s="13" t="s">
        <v>334</v>
      </c>
    </row>
    <row r="1264" spans="3:3">
      <c r="C1264" s="13" t="s">
        <v>332</v>
      </c>
    </row>
    <row r="1265" spans="3:3">
      <c r="C1265" s="13" t="s">
        <v>314</v>
      </c>
    </row>
    <row r="1267" spans="3:3">
      <c r="C1267" s="13" t="s">
        <v>326</v>
      </c>
    </row>
    <row r="1268" spans="3:3">
      <c r="C1268" s="13" t="s">
        <v>327</v>
      </c>
    </row>
    <row r="1269" spans="3:3">
      <c r="C1269" s="13" t="s">
        <v>314</v>
      </c>
    </row>
    <row r="1272" spans="3:3">
      <c r="C1272" s="13" t="s">
        <v>325</v>
      </c>
    </row>
    <row r="1273" spans="3:3">
      <c r="C1273" s="13" t="s">
        <v>327</v>
      </c>
    </row>
    <row r="1274" spans="3:3">
      <c r="C1274" s="13" t="s">
        <v>329</v>
      </c>
    </row>
    <row r="1275" spans="3:3">
      <c r="C1275" s="13" t="s">
        <v>331</v>
      </c>
    </row>
    <row r="1276" spans="3:3">
      <c r="C1276" s="13" t="s">
        <v>332</v>
      </c>
    </row>
    <row r="1277" spans="3:3">
      <c r="C1277" s="13" t="s">
        <v>333</v>
      </c>
    </row>
    <row r="1278" spans="3:3">
      <c r="C1278" s="13" t="s">
        <v>334</v>
      </c>
    </row>
    <row r="1279" spans="3:3">
      <c r="C1279" s="13" t="s">
        <v>335</v>
      </c>
    </row>
    <row r="1280" spans="3:3">
      <c r="C1280" s="13" t="s">
        <v>336</v>
      </c>
    </row>
    <row r="1281" spans="3:3">
      <c r="C1281" s="13" t="s">
        <v>314</v>
      </c>
    </row>
    <row r="1283" spans="3:3">
      <c r="C1283" s="13" t="s">
        <v>340</v>
      </c>
    </row>
    <row r="1284" spans="3:3">
      <c r="C1284" s="13" t="s">
        <v>342</v>
      </c>
    </row>
    <row r="1285" spans="3:3">
      <c r="C1285" s="13" t="s">
        <v>344</v>
      </c>
    </row>
    <row r="1286" spans="3:3">
      <c r="C1286" s="13" t="s">
        <v>346</v>
      </c>
    </row>
    <row r="1287" spans="3:3">
      <c r="C1287" s="13" t="s">
        <v>348</v>
      </c>
    </row>
    <row r="1288" spans="3:3">
      <c r="C1288" s="13" t="s">
        <v>350</v>
      </c>
    </row>
    <row r="1289" spans="3:3">
      <c r="C1289" s="13" t="s">
        <v>352</v>
      </c>
    </row>
    <row r="1290" spans="3:3">
      <c r="C1290" s="13" t="s">
        <v>354</v>
      </c>
    </row>
    <row r="1291" spans="3:3">
      <c r="C1291" s="13" t="s">
        <v>356</v>
      </c>
    </row>
    <row r="1292" spans="3:3">
      <c r="C1292" s="13" t="s">
        <v>358</v>
      </c>
    </row>
    <row r="1293" spans="3:3">
      <c r="C1293" s="13" t="s">
        <v>360</v>
      </c>
    </row>
    <row r="1294" spans="3:3">
      <c r="C1294" s="13" t="s">
        <v>362</v>
      </c>
    </row>
    <row r="1295" spans="3:3">
      <c r="C1295" s="13" t="s">
        <v>364</v>
      </c>
    </row>
    <row r="1296" spans="3:3">
      <c r="C1296" s="13" t="s">
        <v>366</v>
      </c>
    </row>
    <row r="1297" spans="3:3">
      <c r="C1297" s="13" t="s">
        <v>368</v>
      </c>
    </row>
    <row r="1298" spans="3:3">
      <c r="C1298" s="13" t="s">
        <v>370</v>
      </c>
    </row>
    <row r="1299" spans="3:3">
      <c r="C1299" s="13" t="s">
        <v>372</v>
      </c>
    </row>
    <row r="1300" spans="3:3">
      <c r="C1300" s="13" t="s">
        <v>374</v>
      </c>
    </row>
    <row r="1301" spans="3:3">
      <c r="C1301" s="13" t="s">
        <v>376</v>
      </c>
    </row>
    <row r="1302" spans="3:3">
      <c r="C1302" s="13" t="s">
        <v>378</v>
      </c>
    </row>
    <row r="1303" spans="3:3">
      <c r="C1303" s="13" t="s">
        <v>380</v>
      </c>
    </row>
    <row r="1304" spans="3:3">
      <c r="C1304" s="13" t="s">
        <v>382</v>
      </c>
    </row>
    <row r="1305" spans="3:3">
      <c r="C1305" s="13" t="s">
        <v>384</v>
      </c>
    </row>
    <row r="1306" spans="3:3">
      <c r="C1306" s="13" t="s">
        <v>386</v>
      </c>
    </row>
    <row r="1307" spans="3:3">
      <c r="C1307" s="13" t="s">
        <v>388</v>
      </c>
    </row>
    <row r="1308" spans="3:3">
      <c r="C1308" s="13" t="s">
        <v>390</v>
      </c>
    </row>
    <row r="1309" spans="3:3">
      <c r="C1309" s="13" t="s">
        <v>392</v>
      </c>
    </row>
    <row r="1310" spans="3:3">
      <c r="C1310" s="13" t="s">
        <v>394</v>
      </c>
    </row>
    <row r="1311" spans="3:3">
      <c r="C1311" s="13" t="s">
        <v>396</v>
      </c>
    </row>
    <row r="1312" spans="3:3">
      <c r="C1312" s="13" t="s">
        <v>398</v>
      </c>
    </row>
    <row r="1313" spans="3:3">
      <c r="C1313" s="13" t="s">
        <v>400</v>
      </c>
    </row>
    <row r="1314" spans="3:3">
      <c r="C1314" s="13" t="s">
        <v>402</v>
      </c>
    </row>
    <row r="1315" spans="3:3">
      <c r="C1315" s="13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0" customWidth="1"/>
    <col min="2" max="2" width="48.75" style="50" customWidth="1"/>
    <col min="3" max="3" width="12" customWidth="1"/>
    <col min="4" max="4" width="23.375" style="1" customWidth="1"/>
    <col min="5" max="5" width="14.25" customWidth="1"/>
  </cols>
  <sheetData>
    <row r="1" spans="1:5" ht="15.75">
      <c r="A1" s="88" t="s">
        <v>1076</v>
      </c>
      <c r="B1" s="89" t="s">
        <v>1077</v>
      </c>
      <c r="C1" s="89" t="s">
        <v>1078</v>
      </c>
      <c r="D1" s="90" t="s">
        <v>1079</v>
      </c>
      <c r="E1" s="102"/>
    </row>
    <row r="2" spans="1:5" ht="15.75" outlineLevel="1">
      <c r="A2" s="31" t="s">
        <v>19</v>
      </c>
      <c r="B2" s="32" t="s">
        <v>49</v>
      </c>
      <c r="C2" s="31">
        <v>5.0999999999999996</v>
      </c>
      <c r="D2" s="92"/>
    </row>
    <row r="3" spans="1:5" ht="15.75" outlineLevel="1">
      <c r="A3" s="31" t="s">
        <v>19</v>
      </c>
      <c r="B3" s="32" t="s">
        <v>50</v>
      </c>
      <c r="C3" s="31">
        <v>5.2</v>
      </c>
      <c r="D3" s="92"/>
    </row>
    <row r="4" spans="1:5" ht="15.75" outlineLevel="1">
      <c r="A4" s="31" t="s">
        <v>19</v>
      </c>
      <c r="B4" s="32" t="s">
        <v>51</v>
      </c>
      <c r="C4" s="31">
        <v>5.4</v>
      </c>
      <c r="D4" s="92"/>
    </row>
    <row r="5" spans="1:5" ht="15.75" outlineLevel="1">
      <c r="A5" s="31" t="s">
        <v>19</v>
      </c>
      <c r="B5" s="32" t="s">
        <v>52</v>
      </c>
      <c r="C5" s="31">
        <v>5.7</v>
      </c>
      <c r="D5" s="92"/>
    </row>
    <row r="6" spans="1:5" ht="15.75" outlineLevel="1">
      <c r="A6" s="31" t="s">
        <v>19</v>
      </c>
      <c r="B6" s="32" t="s">
        <v>53</v>
      </c>
      <c r="C6" s="31">
        <v>5.1100000000000003</v>
      </c>
      <c r="D6" s="92"/>
    </row>
    <row r="7" spans="1:5" ht="15.75" outlineLevel="1">
      <c r="A7" s="31" t="s">
        <v>19</v>
      </c>
      <c r="B7" s="32" t="s">
        <v>54</v>
      </c>
      <c r="C7" s="31">
        <v>5.26</v>
      </c>
      <c r="D7" s="92"/>
    </row>
    <row r="8" spans="1:5" ht="15.75" outlineLevel="1">
      <c r="A8" s="31" t="s">
        <v>19</v>
      </c>
      <c r="B8" s="32" t="s">
        <v>55</v>
      </c>
      <c r="C8" s="31">
        <v>5.27</v>
      </c>
      <c r="D8" s="92"/>
    </row>
    <row r="9" spans="1:5" ht="15.75" outlineLevel="1">
      <c r="A9" s="31" t="s">
        <v>19</v>
      </c>
      <c r="B9" s="32" t="s">
        <v>56</v>
      </c>
      <c r="C9" s="31">
        <v>5.36</v>
      </c>
      <c r="D9" s="92"/>
    </row>
    <row r="10" spans="1:5" ht="15.75" outlineLevel="1">
      <c r="A10" s="31" t="s">
        <v>19</v>
      </c>
      <c r="B10" s="32" t="s">
        <v>57</v>
      </c>
      <c r="C10" s="33">
        <v>5.5</v>
      </c>
      <c r="D10" s="92"/>
    </row>
    <row r="11" spans="1:5" ht="15.75" outlineLevel="1">
      <c r="A11" s="31" t="s">
        <v>19</v>
      </c>
      <c r="B11" s="32" t="s">
        <v>58</v>
      </c>
      <c r="C11" s="31">
        <v>5.51</v>
      </c>
      <c r="D11" s="92"/>
    </row>
    <row r="12" spans="1:5" ht="15.75" outlineLevel="1">
      <c r="A12" s="31" t="s">
        <v>19</v>
      </c>
      <c r="B12" s="32" t="s">
        <v>59</v>
      </c>
      <c r="C12" s="31">
        <v>5.53</v>
      </c>
      <c r="D12" s="92"/>
    </row>
    <row r="13" spans="1:5" ht="15.75" outlineLevel="1">
      <c r="A13" s="31" t="s">
        <v>19</v>
      </c>
      <c r="B13" s="32" t="s">
        <v>60</v>
      </c>
      <c r="C13" s="31">
        <v>5.59</v>
      </c>
      <c r="D13" s="92"/>
    </row>
    <row r="14" spans="1:5" ht="15.75" outlineLevel="1">
      <c r="A14" s="31" t="s">
        <v>19</v>
      </c>
      <c r="B14" s="32" t="s">
        <v>61</v>
      </c>
      <c r="C14" s="31">
        <v>5.54</v>
      </c>
      <c r="D14" s="92"/>
    </row>
    <row r="15" spans="1:5" ht="15.75" outlineLevel="1">
      <c r="A15" s="31" t="s">
        <v>19</v>
      </c>
      <c r="B15" s="32" t="s">
        <v>62</v>
      </c>
      <c r="C15" s="33">
        <v>5.7</v>
      </c>
      <c r="D15" s="91" t="s">
        <v>1080</v>
      </c>
    </row>
    <row r="16" spans="1:5" ht="15.75" outlineLevel="1">
      <c r="A16" s="31" t="s">
        <v>19</v>
      </c>
      <c r="B16" s="32" t="s">
        <v>63</v>
      </c>
      <c r="C16" s="31">
        <v>5.63</v>
      </c>
      <c r="D16" s="92"/>
    </row>
    <row r="17" spans="1:4" ht="15.75" outlineLevel="1">
      <c r="A17" s="31" t="s">
        <v>19</v>
      </c>
      <c r="B17" s="32" t="s">
        <v>64</v>
      </c>
      <c r="C17" s="31">
        <v>5.47</v>
      </c>
      <c r="D17" s="92"/>
    </row>
    <row r="18" spans="1:4" ht="15.75" outlineLevel="1">
      <c r="A18" s="31" t="s">
        <v>19</v>
      </c>
      <c r="B18" s="32" t="s">
        <v>65</v>
      </c>
      <c r="C18" s="31">
        <v>5.48</v>
      </c>
      <c r="D18" s="92"/>
    </row>
    <row r="19" spans="1:4" ht="15.75">
      <c r="A19" s="36" t="s">
        <v>19</v>
      </c>
      <c r="B19" s="32"/>
      <c r="C19" s="31"/>
      <c r="D19" s="92"/>
    </row>
    <row r="20" spans="1:4" ht="15.75" outlineLevel="1">
      <c r="A20" s="31" t="s">
        <v>20</v>
      </c>
      <c r="B20" s="32" t="s">
        <v>49</v>
      </c>
      <c r="C20" s="31">
        <v>5.0999999999999996</v>
      </c>
      <c r="D20" s="92"/>
    </row>
    <row r="21" spans="1:4" ht="15.75" outlineLevel="1">
      <c r="A21" s="31" t="s">
        <v>20</v>
      </c>
      <c r="B21" s="32" t="s">
        <v>50</v>
      </c>
      <c r="C21" s="31">
        <v>5.2</v>
      </c>
      <c r="D21" s="92"/>
    </row>
    <row r="22" spans="1:4" ht="15.75" outlineLevel="1">
      <c r="A22" s="31" t="s">
        <v>20</v>
      </c>
      <c r="B22" s="32" t="s">
        <v>66</v>
      </c>
      <c r="C22" s="31">
        <v>5.3</v>
      </c>
      <c r="D22" s="92"/>
    </row>
    <row r="23" spans="1:4" ht="15.75" outlineLevel="1">
      <c r="A23" s="31" t="s">
        <v>20</v>
      </c>
      <c r="B23" s="32" t="s">
        <v>91</v>
      </c>
      <c r="C23" s="31">
        <v>5.14</v>
      </c>
      <c r="D23" s="92"/>
    </row>
    <row r="24" spans="1:4" ht="15.75" outlineLevel="1">
      <c r="A24" s="31" t="s">
        <v>20</v>
      </c>
      <c r="B24" s="32" t="s">
        <v>68</v>
      </c>
      <c r="C24" s="31">
        <v>5.19</v>
      </c>
      <c r="D24" s="92"/>
    </row>
    <row r="25" spans="1:4" ht="15.75" outlineLevel="1">
      <c r="A25" s="31" t="s">
        <v>20</v>
      </c>
      <c r="B25" s="32" t="s">
        <v>54</v>
      </c>
      <c r="C25" s="31">
        <v>5.26</v>
      </c>
      <c r="D25" s="92"/>
    </row>
    <row r="26" spans="1:4" ht="15.75" outlineLevel="1">
      <c r="A26" s="31" t="s">
        <v>20</v>
      </c>
      <c r="B26" s="32" t="s">
        <v>55</v>
      </c>
      <c r="C26" s="31">
        <v>5.27</v>
      </c>
      <c r="D26" s="92"/>
    </row>
    <row r="27" spans="1:4" ht="15.75" outlineLevel="1">
      <c r="A27" s="31" t="s">
        <v>20</v>
      </c>
      <c r="B27" s="32" t="s">
        <v>69</v>
      </c>
      <c r="C27" s="31">
        <v>5.28</v>
      </c>
      <c r="D27" s="92"/>
    </row>
    <row r="28" spans="1:4" ht="15.75" outlineLevel="1">
      <c r="A28" s="31" t="s">
        <v>20</v>
      </c>
      <c r="B28" s="32" t="s">
        <v>70</v>
      </c>
      <c r="C28" s="33">
        <v>5.3</v>
      </c>
      <c r="D28" s="92"/>
    </row>
    <row r="29" spans="1:4" ht="15.75" outlineLevel="1">
      <c r="A29" s="31" t="s">
        <v>20</v>
      </c>
      <c r="B29" s="32" t="s">
        <v>71</v>
      </c>
      <c r="C29" s="31">
        <v>5.49</v>
      </c>
      <c r="D29" s="92"/>
    </row>
    <row r="30" spans="1:4" ht="15.75" outlineLevel="1">
      <c r="A30" s="31" t="s">
        <v>20</v>
      </c>
      <c r="B30" s="32" t="s">
        <v>58</v>
      </c>
      <c r="C30" s="31">
        <v>5.51</v>
      </c>
      <c r="D30" s="92"/>
    </row>
    <row r="31" spans="1:4" ht="15.75" outlineLevel="1">
      <c r="A31" s="31" t="s">
        <v>20</v>
      </c>
      <c r="B31" s="32" t="s">
        <v>59</v>
      </c>
      <c r="C31" s="31">
        <v>5.53</v>
      </c>
      <c r="D31" s="92"/>
    </row>
    <row r="32" spans="1:4" ht="15.75" outlineLevel="1">
      <c r="A32" s="31" t="s">
        <v>20</v>
      </c>
      <c r="B32" s="32" t="s">
        <v>72</v>
      </c>
      <c r="C32" s="31">
        <v>5.69</v>
      </c>
      <c r="D32" s="92"/>
    </row>
    <row r="33" spans="1:4" ht="15.75" outlineLevel="1">
      <c r="A33" s="31" t="s">
        <v>20</v>
      </c>
      <c r="B33" s="32" t="s">
        <v>73</v>
      </c>
      <c r="C33" s="31">
        <v>5.75</v>
      </c>
      <c r="D33" s="92"/>
    </row>
    <row r="34" spans="1:4" ht="15.75" outlineLevel="1">
      <c r="A34" s="31" t="s">
        <v>20</v>
      </c>
      <c r="B34" s="32" t="s">
        <v>62</v>
      </c>
      <c r="C34" s="33">
        <v>5.7</v>
      </c>
      <c r="D34" s="92"/>
    </row>
    <row r="35" spans="1:4" ht="15.75" outlineLevel="1">
      <c r="A35" s="31" t="s">
        <v>20</v>
      </c>
      <c r="B35" s="32" t="s">
        <v>74</v>
      </c>
      <c r="C35" s="31">
        <v>5.74</v>
      </c>
      <c r="D35" s="92"/>
    </row>
    <row r="36" spans="1:4" ht="15.75" outlineLevel="1">
      <c r="A36" s="31" t="s">
        <v>20</v>
      </c>
      <c r="B36" s="32" t="s">
        <v>75</v>
      </c>
      <c r="C36" s="31">
        <v>5.62</v>
      </c>
      <c r="D36" s="92"/>
    </row>
    <row r="37" spans="1:4" ht="15.75" outlineLevel="1">
      <c r="A37" s="31" t="s">
        <v>20</v>
      </c>
      <c r="B37" s="32" t="s">
        <v>76</v>
      </c>
      <c r="C37" s="31">
        <v>5.58</v>
      </c>
      <c r="D37" s="92"/>
    </row>
    <row r="38" spans="1:4" ht="15.75" outlineLevel="1">
      <c r="A38" s="31" t="s">
        <v>20</v>
      </c>
      <c r="B38" s="32" t="s">
        <v>61</v>
      </c>
      <c r="C38" s="31">
        <v>5.54</v>
      </c>
      <c r="D38" s="92"/>
    </row>
    <row r="39" spans="1:4" ht="15.75" outlineLevel="1">
      <c r="A39" s="31" t="s">
        <v>20</v>
      </c>
      <c r="B39" s="32" t="s">
        <v>77</v>
      </c>
      <c r="C39" s="31">
        <v>5.55</v>
      </c>
      <c r="D39" s="92"/>
    </row>
    <row r="40" spans="1:4" ht="15.75" outlineLevel="1">
      <c r="A40" s="31" t="s">
        <v>20</v>
      </c>
      <c r="B40" s="32" t="s">
        <v>63</v>
      </c>
      <c r="C40" s="31">
        <v>5.63</v>
      </c>
      <c r="D40" s="92"/>
    </row>
    <row r="41" spans="1:4" ht="15.75" outlineLevel="1">
      <c r="A41" s="31" t="s">
        <v>20</v>
      </c>
      <c r="B41" s="32" t="s">
        <v>78</v>
      </c>
      <c r="C41" s="31">
        <v>5.65</v>
      </c>
      <c r="D41" s="92"/>
    </row>
    <row r="42" spans="1:4" ht="15.75" outlineLevel="1">
      <c r="A42" s="31" t="s">
        <v>20</v>
      </c>
      <c r="B42" s="32" t="s">
        <v>17</v>
      </c>
      <c r="C42" s="31">
        <v>5.68</v>
      </c>
      <c r="D42" s="92"/>
    </row>
    <row r="43" spans="1:4" ht="15.75" outlineLevel="1">
      <c r="A43" s="31" t="s">
        <v>20</v>
      </c>
      <c r="B43" s="32" t="s">
        <v>79</v>
      </c>
      <c r="C43" s="31">
        <v>5.45</v>
      </c>
      <c r="D43" s="92"/>
    </row>
    <row r="44" spans="1:4" ht="15.75" outlineLevel="1">
      <c r="A44" s="31" t="s">
        <v>20</v>
      </c>
      <c r="B44" s="32" t="s">
        <v>64</v>
      </c>
      <c r="C44" s="31">
        <v>5.47</v>
      </c>
      <c r="D44" s="92"/>
    </row>
    <row r="45" spans="1:4" ht="15.75" outlineLevel="1">
      <c r="A45" s="31" t="s">
        <v>20</v>
      </c>
      <c r="B45" s="32" t="s">
        <v>65</v>
      </c>
      <c r="C45" s="31">
        <v>5.48</v>
      </c>
      <c r="D45" s="92"/>
    </row>
    <row r="46" spans="1:4" ht="15.75">
      <c r="A46" s="36" t="s">
        <v>20</v>
      </c>
      <c r="B46" s="32"/>
      <c r="C46" s="31"/>
      <c r="D46" s="92"/>
    </row>
    <row r="47" spans="1:4" ht="15.75" outlineLevel="1">
      <c r="A47" s="31" t="s">
        <v>21</v>
      </c>
      <c r="B47" s="32" t="s">
        <v>49</v>
      </c>
      <c r="C47" s="31">
        <v>5.0999999999999996</v>
      </c>
      <c r="D47" s="92"/>
    </row>
    <row r="48" spans="1:4" ht="15.75" outlineLevel="1">
      <c r="A48" s="31" t="s">
        <v>21</v>
      </c>
      <c r="B48" s="32" t="s">
        <v>50</v>
      </c>
      <c r="C48" s="31">
        <v>5.2</v>
      </c>
      <c r="D48" s="92"/>
    </row>
    <row r="49" spans="1:4" ht="15.75" outlineLevel="1">
      <c r="A49" s="31" t="s">
        <v>21</v>
      </c>
      <c r="B49" s="32" t="s">
        <v>66</v>
      </c>
      <c r="C49" s="31">
        <v>5.3</v>
      </c>
      <c r="D49" s="92"/>
    </row>
    <row r="50" spans="1:4" ht="15.75" outlineLevel="1">
      <c r="A50" s="31" t="s">
        <v>21</v>
      </c>
      <c r="B50" s="32" t="s">
        <v>80</v>
      </c>
      <c r="C50" s="31">
        <v>5.6</v>
      </c>
      <c r="D50" s="92"/>
    </row>
    <row r="51" spans="1:4" ht="15.75" outlineLevel="1">
      <c r="A51" s="31" t="s">
        <v>21</v>
      </c>
      <c r="B51" s="32" t="s">
        <v>1081</v>
      </c>
      <c r="C51" s="33">
        <v>5.0999999999999996</v>
      </c>
      <c r="D51" s="92"/>
    </row>
    <row r="52" spans="1:4" ht="15.75" outlineLevel="1">
      <c r="A52" s="31" t="s">
        <v>21</v>
      </c>
      <c r="B52" s="32" t="s">
        <v>91</v>
      </c>
      <c r="C52" s="31">
        <v>5.14</v>
      </c>
      <c r="D52" s="92"/>
    </row>
    <row r="53" spans="1:4" ht="15.75" outlineLevel="1">
      <c r="A53" s="31" t="s">
        <v>21</v>
      </c>
      <c r="B53" s="32" t="s">
        <v>68</v>
      </c>
      <c r="C53" s="31">
        <v>5.19</v>
      </c>
      <c r="D53" s="92"/>
    </row>
    <row r="54" spans="1:4" ht="15.75" outlineLevel="1">
      <c r="A54" s="31" t="s">
        <v>21</v>
      </c>
      <c r="B54" s="32" t="s">
        <v>82</v>
      </c>
      <c r="C54" s="31">
        <v>5.24</v>
      </c>
      <c r="D54" s="92"/>
    </row>
    <row r="55" spans="1:4" ht="15.75" outlineLevel="1">
      <c r="A55" s="31" t="s">
        <v>21</v>
      </c>
      <c r="B55" s="32" t="s">
        <v>54</v>
      </c>
      <c r="C55" s="31">
        <v>5.26</v>
      </c>
      <c r="D55" s="92"/>
    </row>
    <row r="56" spans="1:4" ht="15.75" outlineLevel="1">
      <c r="A56" s="31" t="s">
        <v>21</v>
      </c>
      <c r="B56" s="32" t="s">
        <v>55</v>
      </c>
      <c r="C56" s="31">
        <v>5.27</v>
      </c>
      <c r="D56" s="92"/>
    </row>
    <row r="57" spans="1:4" ht="15.75" outlineLevel="1">
      <c r="A57" s="31" t="s">
        <v>21</v>
      </c>
      <c r="B57" s="32" t="s">
        <v>69</v>
      </c>
      <c r="C57" s="31">
        <v>5.28</v>
      </c>
      <c r="D57" s="92"/>
    </row>
    <row r="58" spans="1:4" ht="15.75" outlineLevel="1">
      <c r="A58" s="31" t="s">
        <v>21</v>
      </c>
      <c r="B58" s="32" t="s">
        <v>70</v>
      </c>
      <c r="C58" s="33">
        <v>5.3</v>
      </c>
      <c r="D58" s="92"/>
    </row>
    <row r="59" spans="1:4" ht="15.75" outlineLevel="1">
      <c r="A59" s="31" t="s">
        <v>21</v>
      </c>
      <c r="B59" s="32" t="s">
        <v>83</v>
      </c>
      <c r="C59" s="31">
        <v>5.31</v>
      </c>
      <c r="D59" s="92"/>
    </row>
    <row r="60" spans="1:4" ht="15.75" outlineLevel="1">
      <c r="A60" s="31" t="s">
        <v>21</v>
      </c>
      <c r="B60" s="32" t="s">
        <v>56</v>
      </c>
      <c r="C60" s="31">
        <v>5.36</v>
      </c>
      <c r="D60" s="92"/>
    </row>
    <row r="61" spans="1:4" ht="15.75" outlineLevel="1">
      <c r="A61" s="31" t="s">
        <v>21</v>
      </c>
      <c r="B61" s="32" t="s">
        <v>71</v>
      </c>
      <c r="C61" s="31">
        <v>5.49</v>
      </c>
      <c r="D61" s="92"/>
    </row>
    <row r="62" spans="1:4" ht="15.75" outlineLevel="1">
      <c r="A62" s="31" t="s">
        <v>21</v>
      </c>
      <c r="B62" s="32" t="s">
        <v>58</v>
      </c>
      <c r="C62" s="31">
        <v>5.51</v>
      </c>
      <c r="D62" s="92"/>
    </row>
    <row r="63" spans="1:4" ht="15.75" outlineLevel="1">
      <c r="A63" s="31" t="s">
        <v>21</v>
      </c>
      <c r="B63" s="32" t="s">
        <v>1082</v>
      </c>
      <c r="C63" s="31">
        <v>5.52</v>
      </c>
      <c r="D63" s="92"/>
    </row>
    <row r="64" spans="1:4" ht="15.75" outlineLevel="1">
      <c r="A64" s="31" t="s">
        <v>21</v>
      </c>
      <c r="B64" s="32" t="s">
        <v>59</v>
      </c>
      <c r="C64" s="31">
        <v>5.53</v>
      </c>
      <c r="D64" s="92"/>
    </row>
    <row r="65" spans="1:4" ht="15.75" outlineLevel="1">
      <c r="A65" s="31" t="s">
        <v>21</v>
      </c>
      <c r="B65" s="32" t="s">
        <v>72</v>
      </c>
      <c r="C65" s="31">
        <v>5.69</v>
      </c>
      <c r="D65" s="92"/>
    </row>
    <row r="66" spans="1:4" ht="15.75" outlineLevel="1">
      <c r="A66" s="31" t="s">
        <v>21</v>
      </c>
      <c r="B66" s="32" t="s">
        <v>85</v>
      </c>
      <c r="C66" s="33">
        <v>5.72</v>
      </c>
      <c r="D66" s="92"/>
    </row>
    <row r="67" spans="1:4" ht="15.75" outlineLevel="1">
      <c r="A67" s="31" t="s">
        <v>21</v>
      </c>
      <c r="B67" s="32" t="s">
        <v>73</v>
      </c>
      <c r="C67" s="31">
        <v>5.75</v>
      </c>
      <c r="D67" s="92"/>
    </row>
    <row r="68" spans="1:4" ht="15.75" outlineLevel="1">
      <c r="A68" s="31" t="s">
        <v>21</v>
      </c>
      <c r="B68" s="32" t="s">
        <v>62</v>
      </c>
      <c r="C68" s="33">
        <v>5.7</v>
      </c>
      <c r="D68" s="92"/>
    </row>
    <row r="69" spans="1:4" ht="15.75" outlineLevel="1">
      <c r="A69" s="31" t="s">
        <v>21</v>
      </c>
      <c r="B69" s="32" t="s">
        <v>74</v>
      </c>
      <c r="C69" s="31">
        <v>5.74</v>
      </c>
      <c r="D69" s="92"/>
    </row>
    <row r="70" spans="1:4" ht="15.75" outlineLevel="1">
      <c r="A70" s="31" t="s">
        <v>21</v>
      </c>
      <c r="B70" s="32" t="s">
        <v>86</v>
      </c>
      <c r="C70" s="31">
        <v>5.76</v>
      </c>
      <c r="D70" s="92"/>
    </row>
    <row r="71" spans="1:4" ht="15.75" outlineLevel="1">
      <c r="A71" s="31" t="s">
        <v>21</v>
      </c>
      <c r="B71" s="32" t="s">
        <v>87</v>
      </c>
      <c r="C71" s="31">
        <v>5.89</v>
      </c>
      <c r="D71" s="91" t="s">
        <v>1080</v>
      </c>
    </row>
    <row r="72" spans="1:4" ht="15.75" outlineLevel="1">
      <c r="A72" s="31" t="s">
        <v>21</v>
      </c>
      <c r="B72" s="32" t="s">
        <v>76</v>
      </c>
      <c r="C72" s="31">
        <v>5.58</v>
      </c>
      <c r="D72" s="92"/>
    </row>
    <row r="73" spans="1:4" ht="15.75" outlineLevel="1">
      <c r="A73" s="31" t="s">
        <v>21</v>
      </c>
      <c r="B73" s="32" t="s">
        <v>75</v>
      </c>
      <c r="C73" s="31">
        <v>5.62</v>
      </c>
      <c r="D73" s="92"/>
    </row>
    <row r="74" spans="1:4" ht="15.75" outlineLevel="1">
      <c r="A74" s="31" t="s">
        <v>21</v>
      </c>
      <c r="B74" s="32" t="s">
        <v>61</v>
      </c>
      <c r="C74" s="31">
        <v>5.54</v>
      </c>
      <c r="D74" s="92"/>
    </row>
    <row r="75" spans="1:4" ht="15.75" outlineLevel="1">
      <c r="A75" s="31" t="s">
        <v>21</v>
      </c>
      <c r="B75" s="32" t="s">
        <v>77</v>
      </c>
      <c r="C75" s="31">
        <v>5.55</v>
      </c>
      <c r="D75" s="92"/>
    </row>
    <row r="76" spans="1:4" ht="15.75" outlineLevel="1">
      <c r="A76" s="31" t="s">
        <v>21</v>
      </c>
      <c r="B76" s="32" t="s">
        <v>63</v>
      </c>
      <c r="C76" s="31">
        <v>5.63</v>
      </c>
      <c r="D76" s="92"/>
    </row>
    <row r="77" spans="1:4" ht="15.75" outlineLevel="1">
      <c r="A77" s="31" t="s">
        <v>21</v>
      </c>
      <c r="B77" s="32" t="s">
        <v>78</v>
      </c>
      <c r="C77" s="31">
        <v>5.65</v>
      </c>
      <c r="D77" s="92"/>
    </row>
    <row r="78" spans="1:4" ht="15.75" outlineLevel="1">
      <c r="A78" s="31" t="s">
        <v>21</v>
      </c>
      <c r="B78" s="32" t="s">
        <v>88</v>
      </c>
      <c r="C78" s="31">
        <v>5.66</v>
      </c>
      <c r="D78" s="92"/>
    </row>
    <row r="79" spans="1:4" ht="15.75" outlineLevel="1">
      <c r="A79" s="31" t="s">
        <v>21</v>
      </c>
      <c r="B79" s="32" t="s">
        <v>17</v>
      </c>
      <c r="C79" s="31">
        <v>5.68</v>
      </c>
      <c r="D79" s="92"/>
    </row>
    <row r="80" spans="1:4" ht="15.75" outlineLevel="1">
      <c r="A80" s="31" t="s">
        <v>21</v>
      </c>
      <c r="B80" s="32" t="s">
        <v>79</v>
      </c>
      <c r="C80" s="31">
        <v>5.45</v>
      </c>
      <c r="D80" s="92"/>
    </row>
    <row r="81" spans="1:4" ht="15.75" outlineLevel="1">
      <c r="A81" s="31" t="s">
        <v>21</v>
      </c>
      <c r="B81" s="32" t="s">
        <v>64</v>
      </c>
      <c r="C81" s="31">
        <v>5.47</v>
      </c>
      <c r="D81" s="92"/>
    </row>
    <row r="82" spans="1:4" ht="15.75" outlineLevel="1">
      <c r="A82" s="31" t="s">
        <v>21</v>
      </c>
      <c r="B82" s="32" t="s">
        <v>65</v>
      </c>
      <c r="C82" s="31">
        <v>5.48</v>
      </c>
      <c r="D82" s="92"/>
    </row>
    <row r="83" spans="1:4" ht="15.75">
      <c r="A83" s="36" t="s">
        <v>21</v>
      </c>
      <c r="B83" s="32"/>
      <c r="C83" s="31"/>
      <c r="D83" s="92"/>
    </row>
    <row r="84" spans="1:4" ht="15.75" outlineLevel="1">
      <c r="A84" s="31" t="s">
        <v>22</v>
      </c>
      <c r="B84" s="32" t="s">
        <v>49</v>
      </c>
      <c r="C84" s="31">
        <v>5.0999999999999996</v>
      </c>
      <c r="D84" s="92"/>
    </row>
    <row r="85" spans="1:4" ht="15.75" outlineLevel="1">
      <c r="A85" s="31" t="s">
        <v>22</v>
      </c>
      <c r="B85" s="32" t="s">
        <v>50</v>
      </c>
      <c r="C85" s="31">
        <v>5.2</v>
      </c>
      <c r="D85" s="92"/>
    </row>
    <row r="86" spans="1:4" ht="15.75" outlineLevel="1">
      <c r="A86" s="31" t="s">
        <v>22</v>
      </c>
      <c r="B86" s="32" t="s">
        <v>66</v>
      </c>
      <c r="C86" s="31">
        <v>5.3</v>
      </c>
      <c r="D86" s="92"/>
    </row>
    <row r="87" spans="1:4" ht="15.75" outlineLevel="1">
      <c r="A87" s="31" t="s">
        <v>22</v>
      </c>
      <c r="B87" s="32" t="s">
        <v>80</v>
      </c>
      <c r="C87" s="31">
        <v>5.6</v>
      </c>
      <c r="D87" s="92"/>
    </row>
    <row r="88" spans="1:4" ht="15.75" outlineLevel="1">
      <c r="A88" s="31" t="s">
        <v>22</v>
      </c>
      <c r="B88" s="32" t="s">
        <v>1081</v>
      </c>
      <c r="C88" s="33">
        <v>5.0999999999999996</v>
      </c>
      <c r="D88" s="92"/>
    </row>
    <row r="89" spans="1:4" ht="15.75" outlineLevel="1">
      <c r="A89" s="31" t="s">
        <v>22</v>
      </c>
      <c r="B89" s="32" t="s">
        <v>91</v>
      </c>
      <c r="C89" s="31">
        <v>5.14</v>
      </c>
      <c r="D89" s="92"/>
    </row>
    <row r="90" spans="1:4" ht="15.75" outlineLevel="1">
      <c r="A90" s="31" t="s">
        <v>22</v>
      </c>
      <c r="B90" s="32" t="s">
        <v>68</v>
      </c>
      <c r="C90" s="31">
        <v>5.19</v>
      </c>
      <c r="D90" s="92"/>
    </row>
    <row r="91" spans="1:4" ht="15.75" outlineLevel="1">
      <c r="A91" s="31" t="s">
        <v>22</v>
      </c>
      <c r="B91" s="32" t="s">
        <v>82</v>
      </c>
      <c r="C91" s="31">
        <v>5.24</v>
      </c>
      <c r="D91" s="92"/>
    </row>
    <row r="92" spans="1:4" ht="15.75" outlineLevel="1">
      <c r="A92" s="31" t="s">
        <v>22</v>
      </c>
      <c r="B92" s="32" t="s">
        <v>54</v>
      </c>
      <c r="C92" s="31">
        <v>5.26</v>
      </c>
      <c r="D92" s="92"/>
    </row>
    <row r="93" spans="1:4" ht="15.75" outlineLevel="1">
      <c r="A93" s="31" t="s">
        <v>22</v>
      </c>
      <c r="B93" s="32" t="s">
        <v>55</v>
      </c>
      <c r="C93" s="31">
        <v>5.27</v>
      </c>
      <c r="D93" s="92"/>
    </row>
    <row r="94" spans="1:4" ht="15.75" outlineLevel="1">
      <c r="A94" s="31" t="s">
        <v>22</v>
      </c>
      <c r="B94" s="32" t="s">
        <v>69</v>
      </c>
      <c r="C94" s="31">
        <v>5.28</v>
      </c>
      <c r="D94" s="92"/>
    </row>
    <row r="95" spans="1:4" ht="15.75" outlineLevel="1">
      <c r="A95" s="31" t="s">
        <v>22</v>
      </c>
      <c r="B95" s="32" t="s">
        <v>89</v>
      </c>
      <c r="C95" s="31">
        <v>5.29</v>
      </c>
      <c r="D95" s="92"/>
    </row>
    <row r="96" spans="1:4" ht="15.75" outlineLevel="1">
      <c r="A96" s="31" t="s">
        <v>22</v>
      </c>
      <c r="B96" s="32" t="s">
        <v>70</v>
      </c>
      <c r="C96" s="33">
        <v>5.3</v>
      </c>
      <c r="D96" s="92"/>
    </row>
    <row r="97" spans="1:4" ht="15.75" outlineLevel="1">
      <c r="A97" s="31" t="s">
        <v>22</v>
      </c>
      <c r="B97" s="32" t="s">
        <v>83</v>
      </c>
      <c r="C97" s="31">
        <v>5.31</v>
      </c>
      <c r="D97" s="92"/>
    </row>
    <row r="98" spans="1:4" ht="15.75" outlineLevel="1">
      <c r="A98" s="31" t="s">
        <v>22</v>
      </c>
      <c r="B98" s="32" t="s">
        <v>56</v>
      </c>
      <c r="C98" s="31">
        <v>5.36</v>
      </c>
      <c r="D98" s="92"/>
    </row>
    <row r="99" spans="1:4" ht="15.75" outlineLevel="1">
      <c r="A99" s="31" t="s">
        <v>22</v>
      </c>
      <c r="B99" s="32" t="s">
        <v>71</v>
      </c>
      <c r="C99" s="31">
        <v>5.49</v>
      </c>
      <c r="D99" s="92"/>
    </row>
    <row r="100" spans="1:4" ht="15.75" outlineLevel="1">
      <c r="A100" s="31" t="s">
        <v>22</v>
      </c>
      <c r="B100" s="32" t="s">
        <v>58</v>
      </c>
      <c r="C100" s="31">
        <v>5.51</v>
      </c>
      <c r="D100" s="92"/>
    </row>
    <row r="101" spans="1:4" ht="15.75" outlineLevel="1">
      <c r="A101" s="31" t="s">
        <v>22</v>
      </c>
      <c r="B101" s="32" t="s">
        <v>1082</v>
      </c>
      <c r="C101" s="31">
        <v>5.52</v>
      </c>
      <c r="D101" s="92"/>
    </row>
    <row r="102" spans="1:4" ht="15.75" outlineLevel="1">
      <c r="A102" s="31" t="s">
        <v>22</v>
      </c>
      <c r="B102" s="32" t="s">
        <v>59</v>
      </c>
      <c r="C102" s="31">
        <v>5.53</v>
      </c>
      <c r="D102" s="92"/>
    </row>
    <row r="103" spans="1:4" ht="15.75" outlineLevel="1">
      <c r="A103" s="31" t="s">
        <v>22</v>
      </c>
      <c r="B103" s="32" t="s">
        <v>72</v>
      </c>
      <c r="C103" s="31">
        <v>5.69</v>
      </c>
      <c r="D103" s="92"/>
    </row>
    <row r="104" spans="1:4" ht="15.75" outlineLevel="1">
      <c r="A104" s="31" t="s">
        <v>22</v>
      </c>
      <c r="B104" s="32" t="s">
        <v>73</v>
      </c>
      <c r="C104" s="31">
        <v>5.75</v>
      </c>
      <c r="D104" s="92"/>
    </row>
    <row r="105" spans="1:4" ht="15.75" outlineLevel="1">
      <c r="A105" s="31" t="s">
        <v>22</v>
      </c>
      <c r="B105" s="32" t="s">
        <v>62</v>
      </c>
      <c r="C105" s="33">
        <v>5.7</v>
      </c>
      <c r="D105" s="92"/>
    </row>
    <row r="106" spans="1:4" ht="15.75" outlineLevel="1">
      <c r="A106" s="31" t="s">
        <v>22</v>
      </c>
      <c r="B106" s="32" t="s">
        <v>74</v>
      </c>
      <c r="C106" s="31">
        <v>5.74</v>
      </c>
      <c r="D106" s="92"/>
    </row>
    <row r="107" spans="1:4" ht="15.75" outlineLevel="1">
      <c r="A107" s="31" t="s">
        <v>22</v>
      </c>
      <c r="B107" s="32" t="s">
        <v>86</v>
      </c>
      <c r="C107" s="31">
        <v>5.76</v>
      </c>
      <c r="D107" s="92"/>
    </row>
    <row r="108" spans="1:4" ht="15.75" outlineLevel="1">
      <c r="A108" s="31" t="s">
        <v>22</v>
      </c>
      <c r="B108" s="32" t="s">
        <v>87</v>
      </c>
      <c r="C108" s="31">
        <v>5.89</v>
      </c>
      <c r="D108" s="91" t="s">
        <v>1080</v>
      </c>
    </row>
    <row r="109" spans="1:4" ht="15.75" outlineLevel="1">
      <c r="A109" s="31" t="s">
        <v>22</v>
      </c>
      <c r="B109" s="32" t="s">
        <v>76</v>
      </c>
      <c r="C109" s="31">
        <v>5.58</v>
      </c>
      <c r="D109" s="92"/>
    </row>
    <row r="110" spans="1:4" ht="15.75" outlineLevel="1">
      <c r="A110" s="31" t="s">
        <v>22</v>
      </c>
      <c r="B110" s="32" t="s">
        <v>75</v>
      </c>
      <c r="C110" s="31">
        <v>5.62</v>
      </c>
      <c r="D110" s="92"/>
    </row>
    <row r="111" spans="1:4" ht="15.75" outlineLevel="1">
      <c r="A111" s="31" t="s">
        <v>22</v>
      </c>
      <c r="B111" s="32" t="s">
        <v>61</v>
      </c>
      <c r="C111" s="31">
        <v>5.54</v>
      </c>
      <c r="D111" s="92"/>
    </row>
    <row r="112" spans="1:4" ht="15.75" outlineLevel="1">
      <c r="A112" s="31" t="s">
        <v>22</v>
      </c>
      <c r="B112" s="32" t="s">
        <v>77</v>
      </c>
      <c r="C112" s="31">
        <v>5.55</v>
      </c>
      <c r="D112" s="92"/>
    </row>
    <row r="113" spans="1:4" ht="15.75" outlineLevel="1">
      <c r="A113" s="31" t="s">
        <v>22</v>
      </c>
      <c r="B113" s="32" t="s">
        <v>78</v>
      </c>
      <c r="C113" s="31">
        <v>5.65</v>
      </c>
      <c r="D113" s="92"/>
    </row>
    <row r="114" spans="1:4" ht="15.75" outlineLevel="1">
      <c r="A114" s="31" t="s">
        <v>22</v>
      </c>
      <c r="B114" s="32" t="s">
        <v>88</v>
      </c>
      <c r="C114" s="31">
        <v>5.66</v>
      </c>
      <c r="D114" s="92"/>
    </row>
    <row r="115" spans="1:4" ht="15.75" outlineLevel="1">
      <c r="A115" s="31" t="s">
        <v>22</v>
      </c>
      <c r="B115" s="32" t="s">
        <v>17</v>
      </c>
      <c r="C115" s="31">
        <v>5.68</v>
      </c>
      <c r="D115" s="92"/>
    </row>
    <row r="116" spans="1:4" ht="15.75" outlineLevel="1">
      <c r="A116" s="31" t="s">
        <v>22</v>
      </c>
      <c r="B116" s="32" t="s">
        <v>79</v>
      </c>
      <c r="C116" s="31">
        <v>5.45</v>
      </c>
      <c r="D116" s="92"/>
    </row>
    <row r="117" spans="1:4" ht="15.75" outlineLevel="1">
      <c r="A117" s="31" t="s">
        <v>22</v>
      </c>
      <c r="B117" s="32" t="s">
        <v>64</v>
      </c>
      <c r="C117" s="31">
        <v>5.47</v>
      </c>
      <c r="D117" s="92"/>
    </row>
    <row r="118" spans="1:4" ht="15.75" outlineLevel="1">
      <c r="A118" s="31" t="s">
        <v>22</v>
      </c>
      <c r="B118" s="32" t="s">
        <v>65</v>
      </c>
      <c r="C118" s="31">
        <v>5.48</v>
      </c>
      <c r="D118" s="92"/>
    </row>
    <row r="119" spans="1:4" ht="15.75">
      <c r="A119" s="36" t="s">
        <v>22</v>
      </c>
      <c r="B119" s="32"/>
      <c r="C119" s="31"/>
      <c r="D119" s="92"/>
    </row>
    <row r="120" spans="1:4" ht="15.75" outlineLevel="1">
      <c r="A120" s="31" t="s">
        <v>1083</v>
      </c>
      <c r="B120" s="32" t="s">
        <v>49</v>
      </c>
      <c r="C120" s="31">
        <v>5.0999999999999996</v>
      </c>
      <c r="D120" s="92"/>
    </row>
    <row r="121" spans="1:4" ht="15.75" outlineLevel="1">
      <c r="A121" s="31" t="s">
        <v>1083</v>
      </c>
      <c r="B121" s="32" t="s">
        <v>50</v>
      </c>
      <c r="C121" s="31">
        <v>5.2</v>
      </c>
      <c r="D121" s="92"/>
    </row>
    <row r="122" spans="1:4" ht="15.75" outlineLevel="1">
      <c r="A122" s="31" t="s">
        <v>1083</v>
      </c>
      <c r="B122" s="32" t="s">
        <v>66</v>
      </c>
      <c r="C122" s="31">
        <v>5.3</v>
      </c>
      <c r="D122" s="92"/>
    </row>
    <row r="123" spans="1:4" ht="15.75" outlineLevel="1">
      <c r="A123" s="31" t="s">
        <v>1083</v>
      </c>
      <c r="B123" s="32" t="s">
        <v>80</v>
      </c>
      <c r="C123" s="31">
        <v>5.6</v>
      </c>
      <c r="D123" s="92"/>
    </row>
    <row r="124" spans="1:4" ht="15.75" outlineLevel="1">
      <c r="A124" s="31" t="s">
        <v>1083</v>
      </c>
      <c r="B124" s="32" t="s">
        <v>1081</v>
      </c>
      <c r="C124" s="33">
        <v>5.0999999999999996</v>
      </c>
      <c r="D124" s="92"/>
    </row>
    <row r="125" spans="1:4" ht="15.75" outlineLevel="1">
      <c r="A125" s="31" t="s">
        <v>1083</v>
      </c>
      <c r="B125" s="32" t="s">
        <v>91</v>
      </c>
      <c r="C125" s="31">
        <v>5.14</v>
      </c>
      <c r="D125" s="92"/>
    </row>
    <row r="126" spans="1:4" ht="15.75" outlineLevel="1">
      <c r="A126" s="31" t="s">
        <v>1083</v>
      </c>
      <c r="B126" s="32" t="s">
        <v>68</v>
      </c>
      <c r="C126" s="31">
        <v>5.19</v>
      </c>
      <c r="D126" s="92"/>
    </row>
    <row r="127" spans="1:4" ht="15.75" outlineLevel="1">
      <c r="A127" s="31" t="s">
        <v>1083</v>
      </c>
      <c r="B127" s="32" t="s">
        <v>82</v>
      </c>
      <c r="C127" s="31">
        <v>5.24</v>
      </c>
      <c r="D127" s="92"/>
    </row>
    <row r="128" spans="1:4" ht="15.75" outlineLevel="1">
      <c r="A128" s="31" t="s">
        <v>1083</v>
      </c>
      <c r="B128" s="32" t="s">
        <v>54</v>
      </c>
      <c r="C128" s="31">
        <v>5.26</v>
      </c>
      <c r="D128" s="92"/>
    </row>
    <row r="129" spans="1:4" ht="15.75" outlineLevel="1">
      <c r="A129" s="31" t="s">
        <v>1083</v>
      </c>
      <c r="B129" s="32" t="s">
        <v>55</v>
      </c>
      <c r="C129" s="31">
        <v>5.27</v>
      </c>
      <c r="D129" s="92"/>
    </row>
    <row r="130" spans="1:4" ht="15.75" outlineLevel="1">
      <c r="A130" s="31" t="s">
        <v>1083</v>
      </c>
      <c r="B130" s="32" t="s">
        <v>69</v>
      </c>
      <c r="C130" s="31">
        <v>5.28</v>
      </c>
      <c r="D130" s="92"/>
    </row>
    <row r="131" spans="1:4" ht="15.75" outlineLevel="1">
      <c r="A131" s="31" t="s">
        <v>1083</v>
      </c>
      <c r="B131" s="32" t="s">
        <v>89</v>
      </c>
      <c r="C131" s="31">
        <v>5.29</v>
      </c>
      <c r="D131" s="92"/>
    </row>
    <row r="132" spans="1:4" ht="15.75" outlineLevel="1">
      <c r="A132" s="31" t="s">
        <v>1083</v>
      </c>
      <c r="B132" s="32" t="s">
        <v>70</v>
      </c>
      <c r="C132" s="33">
        <v>5.3</v>
      </c>
      <c r="D132" s="92"/>
    </row>
    <row r="133" spans="1:4" ht="15.75" outlineLevel="1">
      <c r="A133" s="31" t="s">
        <v>1083</v>
      </c>
      <c r="B133" s="32" t="s">
        <v>83</v>
      </c>
      <c r="C133" s="31">
        <v>5.31</v>
      </c>
      <c r="D133" s="92"/>
    </row>
    <row r="134" spans="1:4" ht="15.75" outlineLevel="1">
      <c r="A134" s="31" t="s">
        <v>1083</v>
      </c>
      <c r="B134" s="32" t="s">
        <v>56</v>
      </c>
      <c r="C134" s="31">
        <v>5.36</v>
      </c>
      <c r="D134" s="92"/>
    </row>
    <row r="135" spans="1:4" ht="15.75" outlineLevel="1">
      <c r="A135" s="31" t="s">
        <v>1083</v>
      </c>
      <c r="B135" s="32" t="s">
        <v>59</v>
      </c>
      <c r="C135" s="31">
        <v>5.53</v>
      </c>
      <c r="D135" s="92"/>
    </row>
    <row r="136" spans="1:4" ht="15.75" outlineLevel="1">
      <c r="A136" s="31" t="s">
        <v>1083</v>
      </c>
      <c r="B136" s="32" t="s">
        <v>76</v>
      </c>
      <c r="C136" s="31">
        <v>5.58</v>
      </c>
      <c r="D136" s="92"/>
    </row>
    <row r="137" spans="1:4" ht="15.75" outlineLevel="1">
      <c r="A137" s="31" t="s">
        <v>1083</v>
      </c>
      <c r="B137" s="32" t="s">
        <v>75</v>
      </c>
      <c r="C137" s="31">
        <v>5.62</v>
      </c>
      <c r="D137" s="92"/>
    </row>
    <row r="138" spans="1:4" ht="15.75" outlineLevel="1">
      <c r="A138" s="31" t="s">
        <v>1083</v>
      </c>
      <c r="B138" s="32" t="s">
        <v>61</v>
      </c>
      <c r="C138" s="31">
        <v>5.54</v>
      </c>
      <c r="D138" s="92"/>
    </row>
    <row r="139" spans="1:4" ht="15.75" outlineLevel="1">
      <c r="A139" s="31" t="s">
        <v>1083</v>
      </c>
      <c r="B139" s="32" t="s">
        <v>77</v>
      </c>
      <c r="C139" s="31">
        <v>5.55</v>
      </c>
      <c r="D139" s="92"/>
    </row>
    <row r="140" spans="1:4" ht="15.75" outlineLevel="1">
      <c r="A140" s="31" t="s">
        <v>1083</v>
      </c>
      <c r="B140" s="32" t="s">
        <v>63</v>
      </c>
      <c r="C140" s="31">
        <v>5.63</v>
      </c>
      <c r="D140" s="92"/>
    </row>
    <row r="141" spans="1:4" ht="15.75" outlineLevel="1">
      <c r="A141" s="31" t="s">
        <v>1083</v>
      </c>
      <c r="B141" s="32" t="s">
        <v>79</v>
      </c>
      <c r="C141" s="31">
        <v>5.45</v>
      </c>
      <c r="D141" s="92"/>
    </row>
    <row r="142" spans="1:4" ht="15.75" outlineLevel="1">
      <c r="A142" s="31" t="s">
        <v>1083</v>
      </c>
      <c r="B142" s="32" t="s">
        <v>64</v>
      </c>
      <c r="C142" s="31">
        <v>5.47</v>
      </c>
      <c r="D142" s="92"/>
    </row>
    <row r="143" spans="1:4" ht="15.75" outlineLevel="1">
      <c r="A143" s="31" t="s">
        <v>1083</v>
      </c>
      <c r="B143" s="32" t="s">
        <v>65</v>
      </c>
      <c r="C143" s="31">
        <v>5.48</v>
      </c>
      <c r="D143" s="92"/>
    </row>
    <row r="144" spans="1:4" ht="15.75">
      <c r="A144" s="36" t="s">
        <v>1083</v>
      </c>
      <c r="B144" s="32"/>
      <c r="C144" s="31"/>
      <c r="D144" s="92"/>
    </row>
    <row r="145" spans="1:4" ht="15.75" outlineLevel="1">
      <c r="A145" s="31" t="s">
        <v>24</v>
      </c>
      <c r="B145" s="32" t="s">
        <v>49</v>
      </c>
      <c r="C145" s="31">
        <v>5.0999999999999996</v>
      </c>
      <c r="D145" s="92"/>
    </row>
    <row r="146" spans="1:4" ht="15.75" outlineLevel="1">
      <c r="A146" s="31" t="s">
        <v>24</v>
      </c>
      <c r="B146" s="32" t="s">
        <v>50</v>
      </c>
      <c r="C146" s="31">
        <v>5.2</v>
      </c>
      <c r="D146" s="92"/>
    </row>
    <row r="147" spans="1:4" ht="15.75" outlineLevel="1">
      <c r="A147" s="31" t="s">
        <v>24</v>
      </c>
      <c r="B147" s="32" t="s">
        <v>66</v>
      </c>
      <c r="C147" s="31">
        <v>5.3</v>
      </c>
      <c r="D147" s="92"/>
    </row>
    <row r="148" spans="1:4" ht="15.75" outlineLevel="1">
      <c r="A148" s="31" t="s">
        <v>24</v>
      </c>
      <c r="B148" s="32" t="s">
        <v>80</v>
      </c>
      <c r="C148" s="31">
        <v>5.6</v>
      </c>
      <c r="D148" s="92"/>
    </row>
    <row r="149" spans="1:4" ht="15.75" outlineLevel="1">
      <c r="A149" s="31" t="s">
        <v>24</v>
      </c>
      <c r="B149" s="32" t="s">
        <v>1081</v>
      </c>
      <c r="C149" s="33">
        <v>5.0999999999999996</v>
      </c>
      <c r="D149" s="92"/>
    </row>
    <row r="150" spans="1:4" ht="15.75" outlineLevel="1">
      <c r="A150" s="31" t="s">
        <v>24</v>
      </c>
      <c r="B150" s="32" t="s">
        <v>91</v>
      </c>
      <c r="C150" s="31">
        <v>5.14</v>
      </c>
      <c r="D150" s="92"/>
    </row>
    <row r="151" spans="1:4" ht="15.75" outlineLevel="1">
      <c r="A151" s="31" t="s">
        <v>24</v>
      </c>
      <c r="B151" s="32" t="s">
        <v>68</v>
      </c>
      <c r="C151" s="31">
        <v>5.19</v>
      </c>
      <c r="D151" s="92"/>
    </row>
    <row r="152" spans="1:4" ht="15.75" outlineLevel="1">
      <c r="A152" s="31" t="s">
        <v>24</v>
      </c>
      <c r="B152" s="32" t="s">
        <v>82</v>
      </c>
      <c r="C152" s="31">
        <v>5.24</v>
      </c>
      <c r="D152" s="92"/>
    </row>
    <row r="153" spans="1:4" ht="15.75" outlineLevel="1">
      <c r="A153" s="31" t="s">
        <v>24</v>
      </c>
      <c r="B153" s="32" t="s">
        <v>54</v>
      </c>
      <c r="C153" s="31">
        <v>5.26</v>
      </c>
      <c r="D153" s="92"/>
    </row>
    <row r="154" spans="1:4" ht="15.75" outlineLevel="1">
      <c r="A154" s="31" t="s">
        <v>24</v>
      </c>
      <c r="B154" s="32" t="s">
        <v>55</v>
      </c>
      <c r="C154" s="31">
        <v>5.27</v>
      </c>
      <c r="D154" s="92"/>
    </row>
    <row r="155" spans="1:4" ht="15.75" outlineLevel="1">
      <c r="A155" s="31" t="s">
        <v>24</v>
      </c>
      <c r="B155" s="32" t="s">
        <v>69</v>
      </c>
      <c r="C155" s="31">
        <v>5.28</v>
      </c>
      <c r="D155" s="92"/>
    </row>
    <row r="156" spans="1:4" ht="15.75" outlineLevel="1">
      <c r="A156" s="31" t="s">
        <v>24</v>
      </c>
      <c r="B156" s="32" t="s">
        <v>70</v>
      </c>
      <c r="C156" s="33">
        <v>5.3</v>
      </c>
      <c r="D156" s="92"/>
    </row>
    <row r="157" spans="1:4" ht="15.75" outlineLevel="1">
      <c r="A157" s="31" t="s">
        <v>24</v>
      </c>
      <c r="B157" s="32" t="s">
        <v>90</v>
      </c>
      <c r="C157" s="31">
        <v>5.32</v>
      </c>
      <c r="D157" s="92"/>
    </row>
    <row r="158" spans="1:4" ht="15.75" outlineLevel="1">
      <c r="A158" s="31" t="s">
        <v>24</v>
      </c>
      <c r="B158" s="32" t="s">
        <v>56</v>
      </c>
      <c r="C158" s="31">
        <v>5.36</v>
      </c>
      <c r="D158" s="92"/>
    </row>
    <row r="159" spans="1:4" ht="15.75" outlineLevel="1">
      <c r="A159" s="31" t="s">
        <v>24</v>
      </c>
      <c r="B159" s="32" t="s">
        <v>59</v>
      </c>
      <c r="C159" s="31">
        <v>5.53</v>
      </c>
      <c r="D159" s="92"/>
    </row>
    <row r="160" spans="1:4" ht="15.75" outlineLevel="1">
      <c r="A160" s="31" t="s">
        <v>24</v>
      </c>
      <c r="B160" s="32" t="s">
        <v>76</v>
      </c>
      <c r="C160" s="31">
        <v>5.58</v>
      </c>
      <c r="D160" s="92"/>
    </row>
    <row r="161" spans="1:5" ht="15.75" outlineLevel="1">
      <c r="A161" s="31" t="s">
        <v>24</v>
      </c>
      <c r="B161" s="32" t="s">
        <v>61</v>
      </c>
      <c r="C161" s="31">
        <v>5.54</v>
      </c>
      <c r="D161" s="92"/>
    </row>
    <row r="162" spans="1:5" ht="15.75" outlineLevel="1">
      <c r="A162" s="31" t="s">
        <v>24</v>
      </c>
      <c r="B162" s="32" t="s">
        <v>77</v>
      </c>
      <c r="C162" s="31">
        <v>5.55</v>
      </c>
      <c r="D162" s="92"/>
    </row>
    <row r="163" spans="1:5" ht="15.75" outlineLevel="1">
      <c r="A163" s="31" t="s">
        <v>24</v>
      </c>
      <c r="B163" s="32" t="s">
        <v>75</v>
      </c>
      <c r="C163" s="31">
        <v>5.62</v>
      </c>
      <c r="D163" s="92"/>
      <c r="E163" t="s">
        <v>1084</v>
      </c>
    </row>
    <row r="164" spans="1:5" ht="15.75" outlineLevel="1">
      <c r="A164" s="31" t="s">
        <v>24</v>
      </c>
      <c r="B164" s="32" t="s">
        <v>63</v>
      </c>
      <c r="C164" s="31">
        <v>5.63</v>
      </c>
      <c r="D164" s="92"/>
    </row>
    <row r="165" spans="1:5" ht="15.75" outlineLevel="1">
      <c r="A165" s="31" t="s">
        <v>24</v>
      </c>
      <c r="B165" s="32" t="s">
        <v>79</v>
      </c>
      <c r="C165" s="31">
        <v>5.45</v>
      </c>
      <c r="D165" s="92"/>
    </row>
    <row r="166" spans="1:5" ht="15.75" outlineLevel="1">
      <c r="A166" s="31" t="s">
        <v>24</v>
      </c>
      <c r="B166" s="32" t="s">
        <v>64</v>
      </c>
      <c r="C166" s="31">
        <v>5.47</v>
      </c>
      <c r="D166" s="92"/>
    </row>
    <row r="167" spans="1:5" ht="15.75" outlineLevel="1">
      <c r="A167" s="31" t="s">
        <v>24</v>
      </c>
      <c r="B167" s="32" t="s">
        <v>65</v>
      </c>
      <c r="C167" s="31">
        <v>5.48</v>
      </c>
      <c r="D167" s="92"/>
    </row>
    <row r="168" spans="1:5" ht="15.75">
      <c r="A168" s="36" t="s">
        <v>24</v>
      </c>
      <c r="B168" s="32"/>
      <c r="C168" s="31"/>
      <c r="D168" s="92"/>
    </row>
    <row r="169" spans="1:5" ht="15.75" outlineLevel="1">
      <c r="A169" s="31" t="s">
        <v>25</v>
      </c>
      <c r="B169" s="32" t="s">
        <v>49</v>
      </c>
      <c r="C169" s="31">
        <v>5.0999999999999996</v>
      </c>
      <c r="D169" s="92"/>
    </row>
    <row r="170" spans="1:5" ht="15.75" outlineLevel="1">
      <c r="A170" s="31" t="s">
        <v>25</v>
      </c>
      <c r="B170" s="32" t="s">
        <v>50</v>
      </c>
      <c r="C170" s="31">
        <v>5.2</v>
      </c>
      <c r="D170" s="92"/>
    </row>
    <row r="171" spans="1:5" ht="15.75" outlineLevel="1">
      <c r="A171" s="31" t="s">
        <v>25</v>
      </c>
      <c r="B171" s="32" t="s">
        <v>66</v>
      </c>
      <c r="C171" s="31">
        <v>5.3</v>
      </c>
      <c r="D171" s="92"/>
    </row>
    <row r="172" spans="1:5" ht="15.75" outlineLevel="1">
      <c r="A172" s="31" t="s">
        <v>25</v>
      </c>
      <c r="B172" s="32" t="s">
        <v>80</v>
      </c>
      <c r="C172" s="31">
        <v>5.6</v>
      </c>
      <c r="D172" s="92"/>
    </row>
    <row r="173" spans="1:5" ht="15.75" outlineLevel="1">
      <c r="A173" s="31" t="s">
        <v>25</v>
      </c>
      <c r="B173" s="32" t="s">
        <v>1081</v>
      </c>
      <c r="C173" s="33">
        <v>5.0999999999999996</v>
      </c>
      <c r="D173" s="92"/>
    </row>
    <row r="174" spans="1:5" ht="15.75" outlineLevel="1">
      <c r="A174" s="31" t="s">
        <v>25</v>
      </c>
      <c r="B174" s="32" t="s">
        <v>91</v>
      </c>
      <c r="C174" s="31">
        <v>5.14</v>
      </c>
      <c r="D174" s="92"/>
    </row>
    <row r="175" spans="1:5" ht="15.75" outlineLevel="1">
      <c r="A175" s="31" t="s">
        <v>25</v>
      </c>
      <c r="B175" s="32" t="s">
        <v>68</v>
      </c>
      <c r="C175" s="31">
        <v>5.19</v>
      </c>
      <c r="D175" s="92"/>
    </row>
    <row r="176" spans="1:5" ht="15.75" outlineLevel="1">
      <c r="A176" s="31" t="s">
        <v>25</v>
      </c>
      <c r="B176" s="32" t="s">
        <v>82</v>
      </c>
      <c r="C176" s="31">
        <v>5.24</v>
      </c>
      <c r="D176" s="92"/>
    </row>
    <row r="177" spans="1:4" ht="15.75" outlineLevel="1">
      <c r="A177" s="31" t="s">
        <v>25</v>
      </c>
      <c r="B177" s="32" t="s">
        <v>54</v>
      </c>
      <c r="C177" s="31">
        <v>5.26</v>
      </c>
      <c r="D177" s="92"/>
    </row>
    <row r="178" spans="1:4" ht="15.75" outlineLevel="1">
      <c r="A178" s="31" t="s">
        <v>25</v>
      </c>
      <c r="B178" s="32" t="s">
        <v>55</v>
      </c>
      <c r="C178" s="31">
        <v>5.27</v>
      </c>
      <c r="D178" s="92"/>
    </row>
    <row r="179" spans="1:4" ht="15.75" outlineLevel="1">
      <c r="A179" s="31" t="s">
        <v>25</v>
      </c>
      <c r="B179" s="32" t="s">
        <v>69</v>
      </c>
      <c r="C179" s="31">
        <v>5.28</v>
      </c>
      <c r="D179" s="92"/>
    </row>
    <row r="180" spans="1:4" ht="15.75" outlineLevel="1">
      <c r="A180" s="31" t="s">
        <v>25</v>
      </c>
      <c r="B180" s="32" t="s">
        <v>89</v>
      </c>
      <c r="C180" s="31">
        <v>5.29</v>
      </c>
      <c r="D180" s="92"/>
    </row>
    <row r="181" spans="1:4" ht="15.75" outlineLevel="1">
      <c r="A181" s="31" t="s">
        <v>25</v>
      </c>
      <c r="B181" s="32" t="s">
        <v>70</v>
      </c>
      <c r="C181" s="33">
        <v>5.3</v>
      </c>
      <c r="D181" s="92"/>
    </row>
    <row r="182" spans="1:4" ht="15.75" outlineLevel="1">
      <c r="A182" s="31" t="s">
        <v>25</v>
      </c>
      <c r="B182" s="32" t="s">
        <v>90</v>
      </c>
      <c r="C182" s="31">
        <v>5.32</v>
      </c>
      <c r="D182" s="92"/>
    </row>
    <row r="183" spans="1:4" ht="15.75" outlineLevel="1">
      <c r="A183" s="31" t="s">
        <v>25</v>
      </c>
      <c r="B183" s="32" t="s">
        <v>56</v>
      </c>
      <c r="C183" s="31">
        <v>5.36</v>
      </c>
      <c r="D183" s="92"/>
    </row>
    <row r="184" spans="1:4" ht="15.75" outlineLevel="1">
      <c r="A184" s="31" t="s">
        <v>25</v>
      </c>
      <c r="B184" s="32" t="s">
        <v>59</v>
      </c>
      <c r="C184" s="31">
        <v>5.53</v>
      </c>
      <c r="D184" s="92"/>
    </row>
    <row r="185" spans="1:4" ht="15.75" outlineLevel="1">
      <c r="A185" s="31" t="s">
        <v>25</v>
      </c>
      <c r="B185" s="32" t="s">
        <v>76</v>
      </c>
      <c r="C185" s="31">
        <v>5.58</v>
      </c>
      <c r="D185" s="92"/>
    </row>
    <row r="186" spans="1:4" ht="15.75" outlineLevel="1">
      <c r="A186" s="31" t="s">
        <v>25</v>
      </c>
      <c r="B186" s="32" t="s">
        <v>61</v>
      </c>
      <c r="C186" s="31">
        <v>5.54</v>
      </c>
      <c r="D186" s="92"/>
    </row>
    <row r="187" spans="1:4" ht="15.75" outlineLevel="1">
      <c r="A187" s="31" t="s">
        <v>25</v>
      </c>
      <c r="B187" s="32" t="s">
        <v>77</v>
      </c>
      <c r="C187" s="31">
        <v>5.55</v>
      </c>
      <c r="D187" s="92"/>
    </row>
    <row r="188" spans="1:4" ht="15.75" outlineLevel="1">
      <c r="A188" s="31" t="s">
        <v>25</v>
      </c>
      <c r="B188" s="32" t="s">
        <v>63</v>
      </c>
      <c r="C188" s="31">
        <v>5.63</v>
      </c>
      <c r="D188" s="92"/>
    </row>
    <row r="189" spans="1:4" ht="15.75" outlineLevel="1">
      <c r="A189" s="31" t="s">
        <v>25</v>
      </c>
      <c r="B189" s="32" t="s">
        <v>79</v>
      </c>
      <c r="C189" s="31">
        <v>5.45</v>
      </c>
      <c r="D189" s="92"/>
    </row>
    <row r="190" spans="1:4" ht="15.75" outlineLevel="1">
      <c r="A190" s="31" t="s">
        <v>25</v>
      </c>
      <c r="B190" s="32" t="s">
        <v>64</v>
      </c>
      <c r="C190" s="31">
        <v>5.47</v>
      </c>
      <c r="D190" s="92"/>
    </row>
    <row r="191" spans="1:4" ht="15.75" outlineLevel="1">
      <c r="A191" s="31" t="s">
        <v>25</v>
      </c>
      <c r="B191" s="32" t="s">
        <v>65</v>
      </c>
      <c r="C191" s="31">
        <v>5.48</v>
      </c>
      <c r="D191" s="92"/>
    </row>
    <row r="192" spans="1:4" ht="15.75">
      <c r="A192" s="36" t="s">
        <v>25</v>
      </c>
      <c r="B192" s="32"/>
      <c r="C192" s="31"/>
      <c r="D192" s="92"/>
    </row>
    <row r="193" spans="1:4" ht="15.75" outlineLevel="1">
      <c r="A193" s="31" t="s">
        <v>26</v>
      </c>
      <c r="B193" s="32" t="s">
        <v>49</v>
      </c>
      <c r="C193" s="31">
        <v>5.0999999999999996</v>
      </c>
      <c r="D193" s="92"/>
    </row>
    <row r="194" spans="1:4" ht="15.75" outlineLevel="1">
      <c r="A194" s="31" t="s">
        <v>26</v>
      </c>
      <c r="B194" s="32" t="s">
        <v>50</v>
      </c>
      <c r="C194" s="31">
        <v>5.2</v>
      </c>
      <c r="D194" s="92"/>
    </row>
    <row r="195" spans="1:4" ht="15.75" outlineLevel="1">
      <c r="A195" s="31" t="s">
        <v>26</v>
      </c>
      <c r="B195" s="32" t="s">
        <v>66</v>
      </c>
      <c r="C195" s="31">
        <v>5.3</v>
      </c>
      <c r="D195" s="92"/>
    </row>
    <row r="196" spans="1:4" ht="15.75" outlineLevel="1">
      <c r="A196" s="31" t="s">
        <v>26</v>
      </c>
      <c r="B196" s="32" t="s">
        <v>80</v>
      </c>
      <c r="C196" s="31">
        <v>5.6</v>
      </c>
      <c r="D196" s="92"/>
    </row>
    <row r="197" spans="1:4" ht="15.75" outlineLevel="1">
      <c r="A197" s="31" t="s">
        <v>26</v>
      </c>
      <c r="B197" s="32" t="s">
        <v>1081</v>
      </c>
      <c r="C197" s="33">
        <v>5.0999999999999996</v>
      </c>
      <c r="D197" s="92"/>
    </row>
    <row r="198" spans="1:4" ht="15.75" outlineLevel="1">
      <c r="A198" s="31" t="s">
        <v>26</v>
      </c>
      <c r="B198" s="32" t="s">
        <v>91</v>
      </c>
      <c r="C198" s="31">
        <v>5.14</v>
      </c>
      <c r="D198" s="92"/>
    </row>
    <row r="199" spans="1:4" ht="15.75" outlineLevel="1">
      <c r="A199" s="31" t="s">
        <v>26</v>
      </c>
      <c r="B199" s="32" t="s">
        <v>68</v>
      </c>
      <c r="C199" s="31">
        <v>5.19</v>
      </c>
      <c r="D199" s="92"/>
    </row>
    <row r="200" spans="1:4" ht="15.75" outlineLevel="1">
      <c r="A200" s="31" t="s">
        <v>26</v>
      </c>
      <c r="B200" s="32" t="s">
        <v>82</v>
      </c>
      <c r="C200" s="31">
        <v>5.24</v>
      </c>
      <c r="D200" s="92"/>
    </row>
    <row r="201" spans="1:4" ht="15.75" outlineLevel="1">
      <c r="A201" s="31" t="s">
        <v>26</v>
      </c>
      <c r="B201" s="32" t="s">
        <v>55</v>
      </c>
      <c r="C201" s="31">
        <v>5.27</v>
      </c>
      <c r="D201" s="92"/>
    </row>
    <row r="202" spans="1:4" ht="15.75" outlineLevel="1">
      <c r="A202" s="31" t="s">
        <v>26</v>
      </c>
      <c r="B202" s="32" t="s">
        <v>69</v>
      </c>
      <c r="C202" s="31">
        <v>5.28</v>
      </c>
      <c r="D202" s="92"/>
    </row>
    <row r="203" spans="1:4" ht="15.75" outlineLevel="1">
      <c r="A203" s="31" t="s">
        <v>26</v>
      </c>
      <c r="B203" s="32" t="s">
        <v>89</v>
      </c>
      <c r="C203" s="31">
        <v>5.29</v>
      </c>
      <c r="D203" s="92"/>
    </row>
    <row r="204" spans="1:4" ht="15.75" outlineLevel="1">
      <c r="A204" s="31" t="s">
        <v>26</v>
      </c>
      <c r="B204" s="32" t="s">
        <v>70</v>
      </c>
      <c r="C204" s="33">
        <v>5.3</v>
      </c>
      <c r="D204" s="92"/>
    </row>
    <row r="205" spans="1:4" ht="15.75" outlineLevel="1">
      <c r="A205" s="31" t="s">
        <v>26</v>
      </c>
      <c r="B205" s="32" t="s">
        <v>92</v>
      </c>
      <c r="C205" s="31">
        <v>5.34</v>
      </c>
      <c r="D205" s="92"/>
    </row>
    <row r="206" spans="1:4" ht="15.75" outlineLevel="1">
      <c r="A206" s="31" t="s">
        <v>26</v>
      </c>
      <c r="B206" s="32" t="s">
        <v>83</v>
      </c>
      <c r="C206" s="31">
        <v>5.31</v>
      </c>
      <c r="D206" s="92"/>
    </row>
    <row r="207" spans="1:4" ht="15.75" outlineLevel="1">
      <c r="A207" s="31" t="s">
        <v>26</v>
      </c>
      <c r="B207" s="32" t="s">
        <v>93</v>
      </c>
      <c r="C207" s="31">
        <v>5.101</v>
      </c>
      <c r="D207" s="92"/>
    </row>
    <row r="208" spans="1:4" ht="15.75" outlineLevel="1">
      <c r="A208" s="31" t="s">
        <v>26</v>
      </c>
      <c r="B208" s="32" t="s">
        <v>56</v>
      </c>
      <c r="C208" s="31">
        <v>5.36</v>
      </c>
      <c r="D208" s="92"/>
    </row>
    <row r="209" spans="1:4" ht="15.75" outlineLevel="1">
      <c r="A209" s="31" t="s">
        <v>26</v>
      </c>
      <c r="B209" s="32" t="s">
        <v>59</v>
      </c>
      <c r="C209" s="31">
        <v>5.53</v>
      </c>
      <c r="D209" s="92"/>
    </row>
    <row r="210" spans="1:4" ht="15.75" outlineLevel="1">
      <c r="A210" s="31" t="s">
        <v>26</v>
      </c>
      <c r="B210" s="32" t="s">
        <v>94</v>
      </c>
      <c r="C210" s="31">
        <v>5.1020000000000003</v>
      </c>
      <c r="D210" s="92"/>
    </row>
    <row r="211" spans="1:4" ht="15.75" outlineLevel="1">
      <c r="A211" s="31" t="s">
        <v>26</v>
      </c>
      <c r="B211" s="32" t="s">
        <v>95</v>
      </c>
      <c r="C211" s="34">
        <v>5.0999999999999996</v>
      </c>
      <c r="D211" s="92"/>
    </row>
    <row r="212" spans="1:4" ht="15.75" outlineLevel="1">
      <c r="A212" s="31" t="s">
        <v>26</v>
      </c>
      <c r="B212" s="32" t="s">
        <v>76</v>
      </c>
      <c r="C212" s="31">
        <v>5.58</v>
      </c>
      <c r="D212" s="92"/>
    </row>
    <row r="213" spans="1:4" ht="15.75" outlineLevel="1">
      <c r="A213" s="31" t="s">
        <v>26</v>
      </c>
      <c r="B213" s="32" t="s">
        <v>61</v>
      </c>
      <c r="C213" s="31">
        <v>5.54</v>
      </c>
      <c r="D213" s="92"/>
    </row>
    <row r="214" spans="1:4" ht="15.75" outlineLevel="1">
      <c r="A214" s="31" t="s">
        <v>26</v>
      </c>
      <c r="B214" s="32" t="s">
        <v>77</v>
      </c>
      <c r="C214" s="31">
        <v>5.55</v>
      </c>
      <c r="D214" s="92"/>
    </row>
    <row r="215" spans="1:4" ht="15.75" outlineLevel="1">
      <c r="A215" s="31" t="s">
        <v>26</v>
      </c>
      <c r="B215" s="32" t="s">
        <v>63</v>
      </c>
      <c r="C215" s="31">
        <v>5.63</v>
      </c>
      <c r="D215" s="92"/>
    </row>
    <row r="216" spans="1:4" ht="15.75" outlineLevel="1">
      <c r="A216" s="31" t="s">
        <v>26</v>
      </c>
      <c r="B216" s="32" t="s">
        <v>64</v>
      </c>
      <c r="C216" s="31">
        <v>5.47</v>
      </c>
      <c r="D216" s="92"/>
    </row>
    <row r="217" spans="1:4" ht="15.75" outlineLevel="1">
      <c r="A217" s="31" t="s">
        <v>26</v>
      </c>
      <c r="B217" s="32" t="s">
        <v>65</v>
      </c>
      <c r="C217" s="31">
        <v>5.48</v>
      </c>
      <c r="D217" s="92"/>
    </row>
    <row r="218" spans="1:4" ht="15.75">
      <c r="A218" s="36" t="s">
        <v>26</v>
      </c>
      <c r="B218" s="32"/>
      <c r="C218" s="31"/>
      <c r="D218" s="92"/>
    </row>
    <row r="219" spans="1:4" ht="15.75" outlineLevel="1">
      <c r="A219" s="31" t="s">
        <v>27</v>
      </c>
      <c r="B219" s="32" t="s">
        <v>49</v>
      </c>
      <c r="C219" s="31">
        <v>5.0999999999999996</v>
      </c>
      <c r="D219" s="92"/>
    </row>
    <row r="220" spans="1:4" ht="15.75" outlineLevel="1">
      <c r="A220" s="31" t="s">
        <v>27</v>
      </c>
      <c r="B220" s="32" t="s">
        <v>50</v>
      </c>
      <c r="C220" s="31">
        <v>5.2</v>
      </c>
      <c r="D220" s="92"/>
    </row>
    <row r="221" spans="1:4" ht="15.75" outlineLevel="1">
      <c r="A221" s="31" t="s">
        <v>27</v>
      </c>
      <c r="B221" s="32" t="s">
        <v>66</v>
      </c>
      <c r="C221" s="31">
        <v>5.3</v>
      </c>
      <c r="D221" s="92"/>
    </row>
    <row r="222" spans="1:4" ht="15.75" outlineLevel="1">
      <c r="A222" s="31" t="s">
        <v>27</v>
      </c>
      <c r="B222" s="32" t="s">
        <v>80</v>
      </c>
      <c r="C222" s="31">
        <v>5.6</v>
      </c>
      <c r="D222" s="92"/>
    </row>
    <row r="223" spans="1:4" ht="15.75" outlineLevel="1">
      <c r="A223" s="31" t="s">
        <v>27</v>
      </c>
      <c r="B223" s="32" t="s">
        <v>1081</v>
      </c>
      <c r="C223" s="33">
        <v>5.0999999999999996</v>
      </c>
      <c r="D223" s="92"/>
    </row>
    <row r="224" spans="1:4" ht="15.75" outlineLevel="1">
      <c r="A224" s="31" t="s">
        <v>27</v>
      </c>
      <c r="B224" s="32" t="s">
        <v>91</v>
      </c>
      <c r="C224" s="31">
        <v>5.14</v>
      </c>
      <c r="D224" s="92"/>
    </row>
    <row r="225" spans="1:4" ht="15.75" outlineLevel="1">
      <c r="A225" s="31" t="s">
        <v>27</v>
      </c>
      <c r="B225" s="32" t="s">
        <v>68</v>
      </c>
      <c r="C225" s="31">
        <v>5.19</v>
      </c>
      <c r="D225" s="92"/>
    </row>
    <row r="226" spans="1:4" ht="15.75" outlineLevel="1">
      <c r="A226" s="31" t="s">
        <v>27</v>
      </c>
      <c r="B226" s="32" t="s">
        <v>82</v>
      </c>
      <c r="C226" s="31">
        <v>5.24</v>
      </c>
      <c r="D226" s="92"/>
    </row>
    <row r="227" spans="1:4" ht="15.75" outlineLevel="1">
      <c r="A227" s="31" t="s">
        <v>27</v>
      </c>
      <c r="B227" s="32" t="s">
        <v>54</v>
      </c>
      <c r="C227" s="31">
        <v>5.26</v>
      </c>
      <c r="D227" s="92"/>
    </row>
    <row r="228" spans="1:4" ht="15.75" outlineLevel="1">
      <c r="A228" s="31" t="s">
        <v>27</v>
      </c>
      <c r="B228" s="32" t="s">
        <v>55</v>
      </c>
      <c r="C228" s="31">
        <v>5.27</v>
      </c>
      <c r="D228" s="92"/>
    </row>
    <row r="229" spans="1:4" ht="15.75" outlineLevel="1">
      <c r="A229" s="31" t="s">
        <v>27</v>
      </c>
      <c r="B229" s="32" t="s">
        <v>69</v>
      </c>
      <c r="C229" s="31">
        <v>5.28</v>
      </c>
      <c r="D229" s="92"/>
    </row>
    <row r="230" spans="1:4" ht="15.75" outlineLevel="1">
      <c r="A230" s="31" t="s">
        <v>27</v>
      </c>
      <c r="B230" s="32" t="s">
        <v>89</v>
      </c>
      <c r="C230" s="31">
        <v>5.29</v>
      </c>
      <c r="D230" s="92"/>
    </row>
    <row r="231" spans="1:4" ht="15.75" outlineLevel="1">
      <c r="A231" s="31" t="s">
        <v>27</v>
      </c>
      <c r="B231" s="32" t="s">
        <v>70</v>
      </c>
      <c r="C231" s="33">
        <v>5.3</v>
      </c>
      <c r="D231" s="92"/>
    </row>
    <row r="232" spans="1:4" ht="15.75" outlineLevel="1">
      <c r="A232" s="31" t="s">
        <v>27</v>
      </c>
      <c r="B232" s="32" t="s">
        <v>83</v>
      </c>
      <c r="C232" s="31">
        <v>5.31</v>
      </c>
      <c r="D232" s="92"/>
    </row>
    <row r="233" spans="1:4" ht="15.75" outlineLevel="1">
      <c r="A233" s="31" t="s">
        <v>27</v>
      </c>
      <c r="B233" s="32" t="s">
        <v>96</v>
      </c>
      <c r="C233" s="31">
        <v>5.33</v>
      </c>
      <c r="D233" s="92"/>
    </row>
    <row r="234" spans="1:4" ht="15.75" outlineLevel="1">
      <c r="A234" s="31" t="s">
        <v>27</v>
      </c>
      <c r="B234" s="32" t="s">
        <v>93</v>
      </c>
      <c r="C234" s="31">
        <v>5.101</v>
      </c>
      <c r="D234" s="92"/>
    </row>
    <row r="235" spans="1:4" ht="15.75" outlineLevel="1">
      <c r="A235" s="31" t="s">
        <v>27</v>
      </c>
      <c r="B235" s="32" t="s">
        <v>56</v>
      </c>
      <c r="C235" s="31">
        <v>5.36</v>
      </c>
      <c r="D235" s="92"/>
    </row>
    <row r="236" spans="1:4" ht="15.75" outlineLevel="1">
      <c r="A236" s="31" t="s">
        <v>27</v>
      </c>
      <c r="B236" s="32" t="s">
        <v>59</v>
      </c>
      <c r="C236" s="31">
        <v>5.53</v>
      </c>
      <c r="D236" s="92"/>
    </row>
    <row r="237" spans="1:4" ht="15.75" outlineLevel="1">
      <c r="A237" s="31" t="s">
        <v>27</v>
      </c>
      <c r="B237" s="32" t="s">
        <v>94</v>
      </c>
      <c r="C237" s="31">
        <v>5.1020000000000003</v>
      </c>
      <c r="D237" s="92"/>
    </row>
    <row r="238" spans="1:4" ht="15.75" outlineLevel="1">
      <c r="A238" s="31" t="s">
        <v>27</v>
      </c>
      <c r="B238" s="32" t="s">
        <v>76</v>
      </c>
      <c r="C238" s="31">
        <v>5.58</v>
      </c>
      <c r="D238" s="92"/>
    </row>
    <row r="239" spans="1:4" ht="15.75" outlineLevel="1">
      <c r="A239" s="31" t="s">
        <v>27</v>
      </c>
      <c r="B239" s="32" t="s">
        <v>61</v>
      </c>
      <c r="C239" s="31">
        <v>5.54</v>
      </c>
      <c r="D239" s="92"/>
    </row>
    <row r="240" spans="1:4" ht="15.75" outlineLevel="1">
      <c r="A240" s="31" t="s">
        <v>27</v>
      </c>
      <c r="B240" s="32" t="s">
        <v>77</v>
      </c>
      <c r="C240" s="31">
        <v>5.55</v>
      </c>
      <c r="D240" s="92"/>
    </row>
    <row r="241" spans="1:4" ht="15.75" outlineLevel="1">
      <c r="A241" s="31" t="s">
        <v>27</v>
      </c>
      <c r="B241" s="32" t="s">
        <v>63</v>
      </c>
      <c r="C241" s="31">
        <v>5.63</v>
      </c>
      <c r="D241" s="92"/>
    </row>
    <row r="242" spans="1:4" ht="15.75" outlineLevel="1">
      <c r="A242" s="31" t="s">
        <v>27</v>
      </c>
      <c r="B242" s="32" t="s">
        <v>64</v>
      </c>
      <c r="C242" s="31">
        <v>5.47</v>
      </c>
      <c r="D242" s="92"/>
    </row>
    <row r="243" spans="1:4" ht="15.75" outlineLevel="1">
      <c r="A243" s="31" t="s">
        <v>27</v>
      </c>
      <c r="B243" s="32" t="s">
        <v>65</v>
      </c>
      <c r="C243" s="31">
        <v>5.48</v>
      </c>
      <c r="D243" s="92"/>
    </row>
    <row r="244" spans="1:4" ht="15.75">
      <c r="A244" s="36" t="s">
        <v>27</v>
      </c>
      <c r="B244" s="32"/>
      <c r="C244" s="31"/>
      <c r="D244" s="92"/>
    </row>
    <row r="245" spans="1:4" ht="15.75" outlineLevel="1">
      <c r="A245" s="31" t="s">
        <v>28</v>
      </c>
      <c r="B245" s="32" t="s">
        <v>49</v>
      </c>
      <c r="C245" s="31">
        <v>5.0999999999999996</v>
      </c>
      <c r="D245" s="92"/>
    </row>
    <row r="246" spans="1:4" ht="15.75" outlineLevel="1">
      <c r="A246" s="31" t="s">
        <v>28</v>
      </c>
      <c r="B246" s="32" t="s">
        <v>50</v>
      </c>
      <c r="C246" s="31">
        <v>5.2</v>
      </c>
      <c r="D246" s="92"/>
    </row>
    <row r="247" spans="1:4" ht="15.75" outlineLevel="1">
      <c r="A247" s="31" t="s">
        <v>28</v>
      </c>
      <c r="B247" s="32" t="s">
        <v>66</v>
      </c>
      <c r="C247" s="31">
        <v>5.3</v>
      </c>
      <c r="D247" s="92"/>
    </row>
    <row r="248" spans="1:4" ht="15.75" outlineLevel="1">
      <c r="A248" s="31" t="s">
        <v>28</v>
      </c>
      <c r="B248" s="32" t="s">
        <v>80</v>
      </c>
      <c r="C248" s="31">
        <v>5.6</v>
      </c>
      <c r="D248" s="92"/>
    </row>
    <row r="249" spans="1:4" ht="15.75" outlineLevel="1">
      <c r="A249" s="31" t="s">
        <v>28</v>
      </c>
      <c r="B249" s="32" t="s">
        <v>1081</v>
      </c>
      <c r="C249" s="33">
        <v>5.0999999999999996</v>
      </c>
      <c r="D249" s="92"/>
    </row>
    <row r="250" spans="1:4" ht="15.75" outlineLevel="1">
      <c r="A250" s="31" t="s">
        <v>28</v>
      </c>
      <c r="B250" s="32" t="s">
        <v>91</v>
      </c>
      <c r="C250" s="31">
        <v>5.14</v>
      </c>
      <c r="D250" s="92"/>
    </row>
    <row r="251" spans="1:4" ht="15.75" outlineLevel="1">
      <c r="A251" s="31" t="s">
        <v>28</v>
      </c>
      <c r="B251" s="32" t="s">
        <v>68</v>
      </c>
      <c r="C251" s="31">
        <v>5.19</v>
      </c>
      <c r="D251" s="92"/>
    </row>
    <row r="252" spans="1:4" ht="15.75" outlineLevel="1">
      <c r="A252" s="31" t="s">
        <v>28</v>
      </c>
      <c r="B252" s="32" t="s">
        <v>82</v>
      </c>
      <c r="C252" s="31">
        <v>5.24</v>
      </c>
      <c r="D252" s="92"/>
    </row>
    <row r="253" spans="1:4" ht="15.75" outlineLevel="1">
      <c r="A253" s="31" t="s">
        <v>28</v>
      </c>
      <c r="B253" s="32" t="s">
        <v>55</v>
      </c>
      <c r="C253" s="31">
        <v>5.27</v>
      </c>
      <c r="D253" s="92"/>
    </row>
    <row r="254" spans="1:4" ht="15.75" outlineLevel="1">
      <c r="A254" s="31" t="s">
        <v>28</v>
      </c>
      <c r="B254" s="32" t="s">
        <v>69</v>
      </c>
      <c r="C254" s="31">
        <v>5.28</v>
      </c>
      <c r="D254" s="92"/>
    </row>
    <row r="255" spans="1:4" ht="15.75" outlineLevel="1">
      <c r="A255" s="31" t="s">
        <v>28</v>
      </c>
      <c r="B255" s="32" t="s">
        <v>70</v>
      </c>
      <c r="C255" s="33">
        <v>5.3</v>
      </c>
      <c r="D255" s="92"/>
    </row>
    <row r="256" spans="1:4" ht="15.75" outlineLevel="1">
      <c r="A256" s="31" t="s">
        <v>28</v>
      </c>
      <c r="B256" s="32" t="s">
        <v>96</v>
      </c>
      <c r="C256" s="31">
        <v>5.33</v>
      </c>
      <c r="D256" s="92"/>
    </row>
    <row r="257" spans="1:4" ht="15.75" outlineLevel="1">
      <c r="A257" s="31" t="s">
        <v>28</v>
      </c>
      <c r="B257" s="32" t="s">
        <v>56</v>
      </c>
      <c r="C257" s="31">
        <v>5.36</v>
      </c>
      <c r="D257" s="92"/>
    </row>
    <row r="258" spans="1:4" ht="15.75" outlineLevel="1">
      <c r="A258" s="31" t="s">
        <v>28</v>
      </c>
      <c r="B258" s="32" t="s">
        <v>59</v>
      </c>
      <c r="C258" s="31">
        <v>5.53</v>
      </c>
      <c r="D258" s="92"/>
    </row>
    <row r="259" spans="1:4" ht="15.75" outlineLevel="1">
      <c r="A259" s="31" t="s">
        <v>28</v>
      </c>
      <c r="B259" s="32" t="s">
        <v>76</v>
      </c>
      <c r="C259" s="31">
        <v>5.58</v>
      </c>
      <c r="D259" s="92"/>
    </row>
    <row r="260" spans="1:4" ht="15.75" outlineLevel="1">
      <c r="A260" s="31" t="s">
        <v>28</v>
      </c>
      <c r="B260" s="32" t="s">
        <v>61</v>
      </c>
      <c r="C260" s="31">
        <v>5.54</v>
      </c>
      <c r="D260" s="92"/>
    </row>
    <row r="261" spans="1:4" ht="15.75" outlineLevel="1">
      <c r="A261" s="31" t="s">
        <v>28</v>
      </c>
      <c r="B261" s="32" t="s">
        <v>77</v>
      </c>
      <c r="C261" s="31">
        <v>5.55</v>
      </c>
      <c r="D261" s="92"/>
    </row>
    <row r="262" spans="1:4" ht="15.75" outlineLevel="1">
      <c r="A262" s="31" t="s">
        <v>28</v>
      </c>
      <c r="B262" s="32" t="s">
        <v>63</v>
      </c>
      <c r="C262" s="31">
        <v>5.63</v>
      </c>
      <c r="D262" s="92"/>
    </row>
    <row r="263" spans="1:4" ht="15.75" outlineLevel="1">
      <c r="A263" s="31" t="s">
        <v>28</v>
      </c>
      <c r="B263" s="32" t="s">
        <v>64</v>
      </c>
      <c r="C263" s="31">
        <v>5.47</v>
      </c>
      <c r="D263" s="92"/>
    </row>
    <row r="264" spans="1:4" ht="15.75" outlineLevel="1">
      <c r="A264" s="31" t="s">
        <v>28</v>
      </c>
      <c r="B264" s="32" t="s">
        <v>65</v>
      </c>
      <c r="C264" s="31">
        <v>5.48</v>
      </c>
      <c r="D264" s="92"/>
    </row>
    <row r="265" spans="1:4" ht="15.75">
      <c r="A265" s="36" t="s">
        <v>28</v>
      </c>
      <c r="B265" s="32"/>
      <c r="C265" s="31"/>
      <c r="D265" s="92"/>
    </row>
    <row r="266" spans="1:4" ht="15.75" outlineLevel="1">
      <c r="A266" s="31" t="s">
        <v>29</v>
      </c>
      <c r="B266" s="32" t="s">
        <v>49</v>
      </c>
      <c r="C266" s="31">
        <v>5.0999999999999996</v>
      </c>
      <c r="D266" s="92"/>
    </row>
    <row r="267" spans="1:4" ht="15.75" outlineLevel="1">
      <c r="A267" s="31" t="s">
        <v>29</v>
      </c>
      <c r="B267" s="32" t="s">
        <v>50</v>
      </c>
      <c r="C267" s="31">
        <v>5.2</v>
      </c>
      <c r="D267" s="92"/>
    </row>
    <row r="268" spans="1:4" ht="15.75" outlineLevel="1">
      <c r="A268" s="31" t="s">
        <v>29</v>
      </c>
      <c r="B268" s="32" t="s">
        <v>66</v>
      </c>
      <c r="C268" s="31">
        <v>5.3</v>
      </c>
      <c r="D268" s="92"/>
    </row>
    <row r="269" spans="1:4" ht="15.75" outlineLevel="1">
      <c r="A269" s="31" t="s">
        <v>29</v>
      </c>
      <c r="B269" s="32" t="s">
        <v>80</v>
      </c>
      <c r="C269" s="31">
        <v>5.6</v>
      </c>
      <c r="D269" s="92"/>
    </row>
    <row r="270" spans="1:4" ht="15.75" outlineLevel="1">
      <c r="A270" s="31" t="s">
        <v>29</v>
      </c>
      <c r="B270" s="32" t="s">
        <v>1081</v>
      </c>
      <c r="C270" s="33">
        <v>5.0999999999999996</v>
      </c>
      <c r="D270" s="92"/>
    </row>
    <row r="271" spans="1:4" ht="15.75" outlineLevel="1">
      <c r="A271" s="31" t="s">
        <v>29</v>
      </c>
      <c r="B271" s="32" t="s">
        <v>91</v>
      </c>
      <c r="C271" s="31">
        <v>5.14</v>
      </c>
      <c r="D271" s="92"/>
    </row>
    <row r="272" spans="1:4" ht="15.75" outlineLevel="1">
      <c r="A272" s="31" t="s">
        <v>29</v>
      </c>
      <c r="B272" s="32" t="s">
        <v>68</v>
      </c>
      <c r="C272" s="31">
        <v>5.19</v>
      </c>
      <c r="D272" s="92"/>
    </row>
    <row r="273" spans="1:4" ht="15.75" outlineLevel="1">
      <c r="A273" s="31" t="s">
        <v>29</v>
      </c>
      <c r="B273" s="32" t="s">
        <v>82</v>
      </c>
      <c r="C273" s="31">
        <v>5.24</v>
      </c>
      <c r="D273" s="92"/>
    </row>
    <row r="274" spans="1:4" ht="15.75" outlineLevel="1">
      <c r="A274" s="31" t="s">
        <v>29</v>
      </c>
      <c r="B274" s="32" t="s">
        <v>54</v>
      </c>
      <c r="C274" s="31">
        <v>5.26</v>
      </c>
      <c r="D274" s="92"/>
    </row>
    <row r="275" spans="1:4" ht="15.75" outlineLevel="1">
      <c r="A275" s="31" t="s">
        <v>29</v>
      </c>
      <c r="B275" s="32" t="s">
        <v>55</v>
      </c>
      <c r="C275" s="31">
        <v>5.27</v>
      </c>
      <c r="D275" s="92"/>
    </row>
    <row r="276" spans="1:4" ht="15.75" outlineLevel="1">
      <c r="A276" s="31" t="s">
        <v>29</v>
      </c>
      <c r="B276" s="32" t="s">
        <v>69</v>
      </c>
      <c r="C276" s="31">
        <v>5.28</v>
      </c>
      <c r="D276" s="92"/>
    </row>
    <row r="277" spans="1:4" ht="15.75" outlineLevel="1">
      <c r="A277" s="31" t="s">
        <v>29</v>
      </c>
      <c r="B277" s="32" t="s">
        <v>89</v>
      </c>
      <c r="C277" s="31">
        <v>5.29</v>
      </c>
      <c r="D277" s="92"/>
    </row>
    <row r="278" spans="1:4" ht="15.75" outlineLevel="1">
      <c r="A278" s="31" t="s">
        <v>29</v>
      </c>
      <c r="B278" s="32" t="s">
        <v>70</v>
      </c>
      <c r="C278" s="33">
        <v>5.3</v>
      </c>
      <c r="D278" s="92"/>
    </row>
    <row r="279" spans="1:4" ht="15.75" outlineLevel="1">
      <c r="A279" s="31" t="s">
        <v>29</v>
      </c>
      <c r="B279" s="32" t="s">
        <v>96</v>
      </c>
      <c r="C279" s="31">
        <v>5.33</v>
      </c>
      <c r="D279" s="92"/>
    </row>
    <row r="280" spans="1:4" ht="15.75" outlineLevel="1">
      <c r="A280" s="31" t="s">
        <v>29</v>
      </c>
      <c r="B280" s="32" t="s">
        <v>56</v>
      </c>
      <c r="C280" s="31">
        <v>5.36</v>
      </c>
      <c r="D280" s="92"/>
    </row>
    <row r="281" spans="1:4" ht="15.75" outlineLevel="1">
      <c r="A281" s="31" t="s">
        <v>29</v>
      </c>
      <c r="B281" s="32" t="s">
        <v>72</v>
      </c>
      <c r="C281" s="31">
        <v>5.69</v>
      </c>
      <c r="D281" s="92"/>
    </row>
    <row r="282" spans="1:4" ht="15.75" outlineLevel="1">
      <c r="A282" s="31" t="s">
        <v>29</v>
      </c>
      <c r="B282" s="32" t="s">
        <v>62</v>
      </c>
      <c r="C282" s="33">
        <v>5.7</v>
      </c>
      <c r="D282" s="92"/>
    </row>
    <row r="283" spans="1:4" ht="15.75" outlineLevel="1">
      <c r="A283" s="31" t="s">
        <v>29</v>
      </c>
      <c r="B283" s="32" t="s">
        <v>74</v>
      </c>
      <c r="C283" s="31">
        <v>5.74</v>
      </c>
      <c r="D283" s="92"/>
    </row>
    <row r="284" spans="1:4" ht="15.75" outlineLevel="1">
      <c r="A284" s="31" t="s">
        <v>29</v>
      </c>
      <c r="B284" s="32" t="s">
        <v>71</v>
      </c>
      <c r="C284" s="31">
        <v>5.49</v>
      </c>
      <c r="D284" s="92"/>
    </row>
    <row r="285" spans="1:4" ht="15.75" outlineLevel="1">
      <c r="A285" s="31" t="s">
        <v>29</v>
      </c>
      <c r="B285" s="32" t="s">
        <v>58</v>
      </c>
      <c r="C285" s="31">
        <v>5.51</v>
      </c>
      <c r="D285" s="92"/>
    </row>
    <row r="286" spans="1:4" ht="15.75" outlineLevel="1">
      <c r="A286" s="31" t="s">
        <v>29</v>
      </c>
      <c r="B286" s="32" t="s">
        <v>1082</v>
      </c>
      <c r="C286" s="31">
        <v>5.52</v>
      </c>
      <c r="D286" s="92"/>
    </row>
    <row r="287" spans="1:4" ht="15.75" outlineLevel="1">
      <c r="A287" s="31" t="s">
        <v>29</v>
      </c>
      <c r="B287" s="32" t="s">
        <v>59</v>
      </c>
      <c r="C287" s="31">
        <v>5.53</v>
      </c>
      <c r="D287" s="92"/>
    </row>
    <row r="288" spans="1:4" ht="15.75" outlineLevel="1">
      <c r="A288" s="31" t="s">
        <v>29</v>
      </c>
      <c r="B288" s="32" t="s">
        <v>76</v>
      </c>
      <c r="C288" s="31">
        <v>5.58</v>
      </c>
      <c r="D288" s="92"/>
    </row>
    <row r="289" spans="1:4" ht="15.75" outlineLevel="1">
      <c r="A289" s="31" t="s">
        <v>29</v>
      </c>
      <c r="B289" s="32" t="s">
        <v>61</v>
      </c>
      <c r="C289" s="31">
        <v>5.54</v>
      </c>
      <c r="D289" s="92"/>
    </row>
    <row r="290" spans="1:4" ht="15.75" outlineLevel="1">
      <c r="A290" s="31" t="s">
        <v>29</v>
      </c>
      <c r="B290" s="32" t="s">
        <v>77</v>
      </c>
      <c r="C290" s="31">
        <v>5.55</v>
      </c>
      <c r="D290" s="92"/>
    </row>
    <row r="291" spans="1:4" ht="15.75" outlineLevel="1">
      <c r="A291" s="31" t="s">
        <v>29</v>
      </c>
      <c r="B291" s="32" t="s">
        <v>63</v>
      </c>
      <c r="C291" s="31">
        <v>5.63</v>
      </c>
      <c r="D291" s="92"/>
    </row>
    <row r="292" spans="1:4" ht="15.75" outlineLevel="1">
      <c r="A292" s="31" t="s">
        <v>29</v>
      </c>
      <c r="B292" s="32" t="s">
        <v>64</v>
      </c>
      <c r="C292" s="31">
        <v>5.47</v>
      </c>
      <c r="D292" s="92"/>
    </row>
    <row r="293" spans="1:4" ht="15.75" outlineLevel="1">
      <c r="A293" s="31" t="s">
        <v>29</v>
      </c>
      <c r="B293" s="32" t="s">
        <v>65</v>
      </c>
      <c r="C293" s="31">
        <v>5.48</v>
      </c>
      <c r="D293" s="92"/>
    </row>
    <row r="294" spans="1:4" ht="15.75">
      <c r="A294" s="36" t="s">
        <v>29</v>
      </c>
      <c r="B294" s="32"/>
      <c r="C294" s="31"/>
      <c r="D294" s="92"/>
    </row>
    <row r="295" spans="1:4" ht="15.75" outlineLevel="1">
      <c r="A295" s="31" t="s">
        <v>30</v>
      </c>
      <c r="B295" s="32" t="s">
        <v>49</v>
      </c>
      <c r="C295" s="31">
        <v>5.0999999999999996</v>
      </c>
      <c r="D295" s="92"/>
    </row>
    <row r="296" spans="1:4" ht="15.75" outlineLevel="1">
      <c r="A296" s="31" t="s">
        <v>30</v>
      </c>
      <c r="B296" s="32" t="s">
        <v>50</v>
      </c>
      <c r="C296" s="31">
        <v>5.2</v>
      </c>
      <c r="D296" s="92"/>
    </row>
    <row r="297" spans="1:4" ht="15.75" outlineLevel="1">
      <c r="A297" s="31" t="s">
        <v>30</v>
      </c>
      <c r="B297" s="32" t="s">
        <v>66</v>
      </c>
      <c r="C297" s="31">
        <v>5.3</v>
      </c>
      <c r="D297" s="92"/>
    </row>
    <row r="298" spans="1:4" ht="15.75" outlineLevel="1">
      <c r="A298" s="31" t="s">
        <v>30</v>
      </c>
      <c r="B298" s="32" t="s">
        <v>91</v>
      </c>
      <c r="C298" s="31">
        <v>5.14</v>
      </c>
      <c r="D298" s="92"/>
    </row>
    <row r="299" spans="1:4" ht="15.75" outlineLevel="1">
      <c r="A299" s="31" t="s">
        <v>30</v>
      </c>
      <c r="B299" s="32" t="s">
        <v>68</v>
      </c>
      <c r="C299" s="31">
        <v>5.19</v>
      </c>
      <c r="D299" s="92"/>
    </row>
    <row r="300" spans="1:4" ht="15.75" outlineLevel="1">
      <c r="A300" s="31" t="s">
        <v>30</v>
      </c>
      <c r="B300" s="32" t="s">
        <v>82</v>
      </c>
      <c r="C300" s="31">
        <v>5.24</v>
      </c>
      <c r="D300" s="92"/>
    </row>
    <row r="301" spans="1:4" ht="15.75" outlineLevel="1">
      <c r="A301" s="31" t="s">
        <v>30</v>
      </c>
      <c r="B301" s="32" t="s">
        <v>54</v>
      </c>
      <c r="C301" s="31">
        <v>5.26</v>
      </c>
      <c r="D301" s="92"/>
    </row>
    <row r="302" spans="1:4" ht="15.75" outlineLevel="1">
      <c r="A302" s="31" t="s">
        <v>30</v>
      </c>
      <c r="B302" s="32" t="s">
        <v>55</v>
      </c>
      <c r="C302" s="31">
        <v>5.27</v>
      </c>
      <c r="D302" s="92"/>
    </row>
    <row r="303" spans="1:4" ht="15.75" outlineLevel="1">
      <c r="A303" s="31" t="s">
        <v>30</v>
      </c>
      <c r="B303" s="32" t="s">
        <v>69</v>
      </c>
      <c r="C303" s="31">
        <v>5.28</v>
      </c>
      <c r="D303" s="92"/>
    </row>
    <row r="304" spans="1:4" ht="15.75" outlineLevel="1">
      <c r="A304" s="31" t="s">
        <v>30</v>
      </c>
      <c r="B304" s="32" t="s">
        <v>97</v>
      </c>
      <c r="C304" s="31">
        <v>5.37</v>
      </c>
      <c r="D304" s="92"/>
    </row>
    <row r="305" spans="1:4" ht="15.75" outlineLevel="1">
      <c r="A305" s="31" t="s">
        <v>30</v>
      </c>
      <c r="B305" s="32" t="s">
        <v>71</v>
      </c>
      <c r="C305" s="31">
        <v>5.49</v>
      </c>
      <c r="D305" s="92"/>
    </row>
    <row r="306" spans="1:4" ht="15.75" outlineLevel="1">
      <c r="A306" s="31" t="s">
        <v>30</v>
      </c>
      <c r="B306" s="32" t="s">
        <v>58</v>
      </c>
      <c r="C306" s="31">
        <v>5.51</v>
      </c>
      <c r="D306" s="92"/>
    </row>
    <row r="307" spans="1:4" ht="15.75" outlineLevel="1">
      <c r="A307" s="31" t="s">
        <v>30</v>
      </c>
      <c r="B307" s="32" t="s">
        <v>59</v>
      </c>
      <c r="C307" s="31">
        <v>5.53</v>
      </c>
      <c r="D307" s="92"/>
    </row>
    <row r="308" spans="1:4" ht="15.75" outlineLevel="1">
      <c r="A308" s="31" t="s">
        <v>30</v>
      </c>
      <c r="B308" s="32" t="s">
        <v>72</v>
      </c>
      <c r="C308" s="31">
        <v>5.69</v>
      </c>
      <c r="D308" s="92"/>
    </row>
    <row r="309" spans="1:4" ht="15.75" outlineLevel="1">
      <c r="A309" s="31" t="s">
        <v>30</v>
      </c>
      <c r="B309" s="32" t="s">
        <v>73</v>
      </c>
      <c r="C309" s="31">
        <v>5.75</v>
      </c>
      <c r="D309" s="92"/>
    </row>
    <row r="310" spans="1:4" ht="15.75" outlineLevel="1">
      <c r="A310" s="31" t="s">
        <v>30</v>
      </c>
      <c r="B310" s="32" t="s">
        <v>62</v>
      </c>
      <c r="C310" s="33">
        <v>5.7</v>
      </c>
      <c r="D310" s="92"/>
    </row>
    <row r="311" spans="1:4" ht="15.75" outlineLevel="1">
      <c r="A311" s="31" t="s">
        <v>30</v>
      </c>
      <c r="B311" s="32" t="s">
        <v>74</v>
      </c>
      <c r="C311" s="31">
        <v>5.74</v>
      </c>
      <c r="D311" s="92"/>
    </row>
    <row r="312" spans="1:4" ht="15.75" outlineLevel="1">
      <c r="A312" s="31" t="s">
        <v>30</v>
      </c>
      <c r="B312" s="32" t="s">
        <v>76</v>
      </c>
      <c r="C312" s="31">
        <v>5.58</v>
      </c>
      <c r="D312" s="92"/>
    </row>
    <row r="313" spans="1:4" ht="15.75" outlineLevel="1">
      <c r="A313" s="31" t="s">
        <v>30</v>
      </c>
      <c r="B313" s="32" t="s">
        <v>61</v>
      </c>
      <c r="C313" s="31">
        <v>5.54</v>
      </c>
      <c r="D313" s="92"/>
    </row>
    <row r="314" spans="1:4" ht="15.75" outlineLevel="1">
      <c r="A314" s="31" t="s">
        <v>30</v>
      </c>
      <c r="B314" s="32" t="s">
        <v>77</v>
      </c>
      <c r="C314" s="31">
        <v>5.55</v>
      </c>
      <c r="D314" s="92"/>
    </row>
    <row r="315" spans="1:4" ht="15.75" outlineLevel="1">
      <c r="A315" s="31" t="s">
        <v>30</v>
      </c>
      <c r="B315" s="32" t="s">
        <v>63</v>
      </c>
      <c r="C315" s="31">
        <v>5.63</v>
      </c>
      <c r="D315" s="92"/>
    </row>
    <row r="316" spans="1:4" ht="15.75" outlineLevel="1">
      <c r="A316" s="31" t="s">
        <v>30</v>
      </c>
      <c r="B316" s="32" t="s">
        <v>78</v>
      </c>
      <c r="C316" s="31">
        <v>5.65</v>
      </c>
      <c r="D316" s="92"/>
    </row>
    <row r="317" spans="1:4" ht="15.75" outlineLevel="1">
      <c r="A317" s="31" t="s">
        <v>30</v>
      </c>
      <c r="B317" s="32" t="s">
        <v>17</v>
      </c>
      <c r="C317" s="31">
        <v>5.68</v>
      </c>
      <c r="D317" s="92"/>
    </row>
    <row r="318" spans="1:4" ht="15.75" outlineLevel="1">
      <c r="A318" s="31" t="s">
        <v>30</v>
      </c>
      <c r="B318" s="32" t="s">
        <v>64</v>
      </c>
      <c r="C318" s="31">
        <v>5.47</v>
      </c>
      <c r="D318" s="92"/>
    </row>
    <row r="319" spans="1:4" ht="15.75" outlineLevel="1">
      <c r="A319" s="31" t="s">
        <v>30</v>
      </c>
      <c r="B319" s="32" t="s">
        <v>65</v>
      </c>
      <c r="C319" s="31">
        <v>5.48</v>
      </c>
      <c r="D319" s="92"/>
    </row>
    <row r="320" spans="1:4" ht="15.75">
      <c r="A320" s="36" t="s">
        <v>30</v>
      </c>
      <c r="B320" s="32"/>
      <c r="C320" s="31"/>
      <c r="D320" s="92"/>
    </row>
    <row r="321" spans="1:4" ht="15.75" outlineLevel="1">
      <c r="A321" s="31" t="s">
        <v>31</v>
      </c>
      <c r="B321" s="32" t="s">
        <v>49</v>
      </c>
      <c r="C321" s="31">
        <v>5.0999999999999996</v>
      </c>
      <c r="D321" s="92"/>
    </row>
    <row r="322" spans="1:4" ht="15.75" outlineLevel="1">
      <c r="A322" s="31" t="s">
        <v>31</v>
      </c>
      <c r="B322" s="32" t="s">
        <v>50</v>
      </c>
      <c r="C322" s="31">
        <v>5.2</v>
      </c>
      <c r="D322" s="92"/>
    </row>
    <row r="323" spans="1:4" ht="15.75" outlineLevel="1">
      <c r="A323" s="31" t="s">
        <v>31</v>
      </c>
      <c r="B323" s="32" t="s">
        <v>54</v>
      </c>
      <c r="C323" s="31">
        <v>5.26</v>
      </c>
      <c r="D323" s="92"/>
    </row>
    <row r="324" spans="1:4" ht="15.75" outlineLevel="1">
      <c r="A324" s="31" t="s">
        <v>31</v>
      </c>
      <c r="B324" s="32" t="s">
        <v>91</v>
      </c>
      <c r="C324" s="31">
        <v>5.14</v>
      </c>
      <c r="D324" s="92"/>
    </row>
    <row r="325" spans="1:4" ht="15.75" outlineLevel="1">
      <c r="A325" s="31" t="s">
        <v>31</v>
      </c>
      <c r="B325" s="32" t="s">
        <v>68</v>
      </c>
      <c r="C325" s="31">
        <v>5.19</v>
      </c>
      <c r="D325" s="92"/>
    </row>
    <row r="326" spans="1:4" ht="15.75" outlineLevel="1">
      <c r="A326" s="31" t="s">
        <v>31</v>
      </c>
      <c r="B326" s="32" t="s">
        <v>97</v>
      </c>
      <c r="C326" s="31">
        <v>5.37</v>
      </c>
      <c r="D326" s="92"/>
    </row>
    <row r="327" spans="1:4" ht="15.75" outlineLevel="1">
      <c r="A327" s="31" t="s">
        <v>31</v>
      </c>
      <c r="B327" s="32" t="s">
        <v>72</v>
      </c>
      <c r="C327" s="31">
        <v>5.69</v>
      </c>
      <c r="D327" s="92"/>
    </row>
    <row r="328" spans="1:4" ht="15.75" outlineLevel="1">
      <c r="A328" s="31" t="s">
        <v>31</v>
      </c>
      <c r="B328" s="32" t="s">
        <v>98</v>
      </c>
      <c r="C328" s="33">
        <v>5.8</v>
      </c>
      <c r="D328" s="92"/>
    </row>
    <row r="329" spans="1:4" ht="15.75" outlineLevel="1">
      <c r="A329" s="31" t="s">
        <v>31</v>
      </c>
      <c r="B329" s="32" t="s">
        <v>73</v>
      </c>
      <c r="C329" s="31">
        <v>5.75</v>
      </c>
      <c r="D329" s="92"/>
    </row>
    <row r="330" spans="1:4" ht="15.75" outlineLevel="1">
      <c r="A330" s="31" t="s">
        <v>31</v>
      </c>
      <c r="B330" s="32" t="s">
        <v>62</v>
      </c>
      <c r="C330" s="33">
        <v>5.7</v>
      </c>
      <c r="D330" s="92"/>
    </row>
    <row r="331" spans="1:4" ht="15.75" outlineLevel="1">
      <c r="A331" s="31" t="s">
        <v>31</v>
      </c>
      <c r="B331" s="32" t="s">
        <v>74</v>
      </c>
      <c r="C331" s="31">
        <v>5.74</v>
      </c>
      <c r="D331" s="92"/>
    </row>
    <row r="332" spans="1:4" ht="15.75" outlineLevel="1">
      <c r="A332" s="31" t="s">
        <v>31</v>
      </c>
      <c r="B332" s="32" t="s">
        <v>76</v>
      </c>
      <c r="C332" s="31">
        <v>5.58</v>
      </c>
      <c r="D332" s="92"/>
    </row>
    <row r="333" spans="1:4" ht="15.75" outlineLevel="1">
      <c r="A333" s="31" t="s">
        <v>31</v>
      </c>
      <c r="B333" s="32" t="s">
        <v>77</v>
      </c>
      <c r="C333" s="31">
        <v>5.55</v>
      </c>
      <c r="D333" s="92"/>
    </row>
    <row r="334" spans="1:4" ht="15.75" outlineLevel="1">
      <c r="A334" s="31" t="s">
        <v>31</v>
      </c>
      <c r="B334" s="32" t="s">
        <v>63</v>
      </c>
      <c r="C334" s="31">
        <v>5.63</v>
      </c>
      <c r="D334" s="92"/>
    </row>
    <row r="335" spans="1:4" ht="15.75" outlineLevel="1">
      <c r="A335" s="31" t="s">
        <v>31</v>
      </c>
      <c r="B335" s="32" t="s">
        <v>78</v>
      </c>
      <c r="C335" s="31">
        <v>5.65</v>
      </c>
      <c r="D335" s="92"/>
    </row>
    <row r="336" spans="1:4" ht="15.75" outlineLevel="1">
      <c r="A336" s="31" t="s">
        <v>31</v>
      </c>
      <c r="B336" s="32" t="s">
        <v>17</v>
      </c>
      <c r="C336" s="31">
        <v>5.68</v>
      </c>
      <c r="D336" s="92"/>
    </row>
    <row r="337" spans="1:4" ht="15.75" outlineLevel="1">
      <c r="A337" s="31" t="s">
        <v>31</v>
      </c>
      <c r="B337" s="32" t="s">
        <v>64</v>
      </c>
      <c r="C337" s="31">
        <v>5.47</v>
      </c>
      <c r="D337" s="92"/>
    </row>
    <row r="338" spans="1:4" ht="15.75" outlineLevel="1">
      <c r="A338" s="31" t="s">
        <v>31</v>
      </c>
      <c r="B338" s="32" t="s">
        <v>65</v>
      </c>
      <c r="C338" s="31">
        <v>5.48</v>
      </c>
      <c r="D338" s="92"/>
    </row>
    <row r="339" spans="1:4" ht="15.75">
      <c r="A339" s="36" t="s">
        <v>31</v>
      </c>
      <c r="B339" s="32"/>
      <c r="C339" s="31"/>
      <c r="D339" s="92"/>
    </row>
    <row r="340" spans="1:4" ht="15.75" outlineLevel="1">
      <c r="A340" s="31" t="s">
        <v>32</v>
      </c>
      <c r="B340" s="32" t="s">
        <v>99</v>
      </c>
      <c r="C340" s="31">
        <v>5.0999999999999996</v>
      </c>
      <c r="D340" s="92"/>
    </row>
    <row r="341" spans="1:4" ht="15.75" outlineLevel="1">
      <c r="A341" s="31" t="s">
        <v>32</v>
      </c>
      <c r="B341" s="32" t="s">
        <v>50</v>
      </c>
      <c r="C341" s="31">
        <v>5.2</v>
      </c>
      <c r="D341" s="92"/>
    </row>
    <row r="342" spans="1:4" ht="15.75" outlineLevel="1">
      <c r="A342" s="31" t="s">
        <v>32</v>
      </c>
      <c r="B342" s="32" t="s">
        <v>54</v>
      </c>
      <c r="C342" s="31">
        <v>5.26</v>
      </c>
      <c r="D342" s="92"/>
    </row>
    <row r="343" spans="1:4" ht="15.75" outlineLevel="1">
      <c r="A343" s="31" t="s">
        <v>32</v>
      </c>
      <c r="B343" s="32" t="s">
        <v>100</v>
      </c>
      <c r="C343" s="31">
        <v>5.38</v>
      </c>
      <c r="D343" s="92"/>
    </row>
    <row r="344" spans="1:4" ht="15.75" outlineLevel="1">
      <c r="A344" s="31" t="s">
        <v>32</v>
      </c>
      <c r="B344" s="32" t="s">
        <v>101</v>
      </c>
      <c r="C344" s="31">
        <v>5.39</v>
      </c>
      <c r="D344" s="92"/>
    </row>
    <row r="345" spans="1:4" ht="15.75" outlineLevel="1">
      <c r="A345" s="31" t="s">
        <v>32</v>
      </c>
      <c r="B345" s="32" t="s">
        <v>102</v>
      </c>
      <c r="C345" s="33">
        <v>5.6</v>
      </c>
      <c r="D345" s="92"/>
    </row>
    <row r="346" spans="1:4" ht="15.75" outlineLevel="1">
      <c r="A346" s="31" t="s">
        <v>32</v>
      </c>
      <c r="B346" s="32" t="s">
        <v>65</v>
      </c>
      <c r="C346" s="31">
        <v>5.48</v>
      </c>
      <c r="D346" s="92"/>
    </row>
    <row r="347" spans="1:4" ht="15.75">
      <c r="A347" s="36" t="s">
        <v>32</v>
      </c>
      <c r="B347" s="32"/>
      <c r="C347" s="31"/>
      <c r="D347" s="92"/>
    </row>
    <row r="348" spans="1:4" ht="15.75" outlineLevel="1">
      <c r="A348" s="31" t="s">
        <v>33</v>
      </c>
      <c r="B348" s="32" t="s">
        <v>49</v>
      </c>
      <c r="C348" s="31">
        <v>5.0999999999999996</v>
      </c>
      <c r="D348" s="92"/>
    </row>
    <row r="349" spans="1:4" ht="15.75" outlineLevel="1">
      <c r="A349" s="31" t="s">
        <v>33</v>
      </c>
      <c r="B349" s="32" t="s">
        <v>50</v>
      </c>
      <c r="C349" s="31">
        <v>5.2</v>
      </c>
      <c r="D349" s="92"/>
    </row>
    <row r="350" spans="1:4" ht="15.75" outlineLevel="1">
      <c r="A350" s="31" t="s">
        <v>33</v>
      </c>
      <c r="B350" s="32" t="s">
        <v>66</v>
      </c>
      <c r="C350" s="31">
        <v>5.3</v>
      </c>
      <c r="D350" s="92"/>
    </row>
    <row r="351" spans="1:4" ht="15.75" outlineLevel="1">
      <c r="A351" s="31" t="s">
        <v>33</v>
      </c>
      <c r="B351" s="32" t="s">
        <v>80</v>
      </c>
      <c r="C351" s="31">
        <v>5.6</v>
      </c>
      <c r="D351" s="92"/>
    </row>
    <row r="352" spans="1:4" ht="15.75" outlineLevel="1">
      <c r="A352" s="31" t="s">
        <v>33</v>
      </c>
      <c r="B352" s="32" t="s">
        <v>1081</v>
      </c>
      <c r="C352" s="33">
        <v>5.0999999999999996</v>
      </c>
      <c r="D352" s="92"/>
    </row>
    <row r="353" spans="1:4" ht="15.75" outlineLevel="1">
      <c r="A353" s="31" t="s">
        <v>33</v>
      </c>
      <c r="B353" s="32" t="s">
        <v>91</v>
      </c>
      <c r="C353" s="31">
        <v>5.14</v>
      </c>
      <c r="D353" s="92"/>
    </row>
    <row r="354" spans="1:4" ht="15.75" outlineLevel="1">
      <c r="A354" s="31" t="s">
        <v>33</v>
      </c>
      <c r="B354" s="32" t="s">
        <v>68</v>
      </c>
      <c r="C354" s="31">
        <v>5.19</v>
      </c>
      <c r="D354" s="92"/>
    </row>
    <row r="355" spans="1:4" ht="15.75" outlineLevel="1">
      <c r="A355" s="31" t="s">
        <v>33</v>
      </c>
      <c r="B355" s="32" t="s">
        <v>82</v>
      </c>
      <c r="C355" s="31">
        <v>5.24</v>
      </c>
      <c r="D355" s="92"/>
    </row>
    <row r="356" spans="1:4" ht="15.75" outlineLevel="1">
      <c r="A356" s="31" t="s">
        <v>33</v>
      </c>
      <c r="B356" s="32" t="s">
        <v>54</v>
      </c>
      <c r="C356" s="31">
        <v>5.26</v>
      </c>
      <c r="D356" s="92"/>
    </row>
    <row r="357" spans="1:4" ht="15.75" outlineLevel="1">
      <c r="A357" s="31" t="s">
        <v>33</v>
      </c>
      <c r="B357" s="32" t="s">
        <v>55</v>
      </c>
      <c r="C357" s="31">
        <v>5.27</v>
      </c>
      <c r="D357" s="92"/>
    </row>
    <row r="358" spans="1:4" ht="15.75" outlineLevel="1">
      <c r="A358" s="31" t="s">
        <v>33</v>
      </c>
      <c r="B358" s="32" t="s">
        <v>69</v>
      </c>
      <c r="C358" s="31">
        <v>5.28</v>
      </c>
      <c r="D358" s="92"/>
    </row>
    <row r="359" spans="1:4" ht="15.75" outlineLevel="1">
      <c r="A359" s="31" t="s">
        <v>33</v>
      </c>
      <c r="B359" s="32" t="s">
        <v>83</v>
      </c>
      <c r="C359" s="31">
        <v>5.31</v>
      </c>
      <c r="D359" s="92"/>
    </row>
    <row r="360" spans="1:4" ht="15.75" outlineLevel="1">
      <c r="A360" s="31" t="s">
        <v>33</v>
      </c>
      <c r="B360" s="32" t="s">
        <v>56</v>
      </c>
      <c r="C360" s="31">
        <v>5.36</v>
      </c>
      <c r="D360" s="92"/>
    </row>
    <row r="361" spans="1:4" ht="15.75" outlineLevel="1">
      <c r="A361" s="31" t="s">
        <v>33</v>
      </c>
      <c r="B361" s="32" t="s">
        <v>97</v>
      </c>
      <c r="C361" s="31">
        <v>5.37</v>
      </c>
      <c r="D361" s="92"/>
    </row>
    <row r="362" spans="1:4" ht="15.75" outlineLevel="1">
      <c r="A362" s="31" t="s">
        <v>33</v>
      </c>
      <c r="B362" s="32" t="s">
        <v>71</v>
      </c>
      <c r="C362" s="31">
        <v>5.49</v>
      </c>
      <c r="D362" s="92"/>
    </row>
    <row r="363" spans="1:4" ht="15.75" outlineLevel="1">
      <c r="A363" s="31" t="s">
        <v>33</v>
      </c>
      <c r="B363" s="32" t="s">
        <v>58</v>
      </c>
      <c r="C363" s="31">
        <v>5.51</v>
      </c>
      <c r="D363" s="92"/>
    </row>
    <row r="364" spans="1:4" ht="15.75" outlineLevel="1">
      <c r="A364" s="31" t="s">
        <v>33</v>
      </c>
      <c r="B364" s="32" t="s">
        <v>1082</v>
      </c>
      <c r="C364" s="31">
        <v>5.52</v>
      </c>
      <c r="D364" s="92"/>
    </row>
    <row r="365" spans="1:4" ht="15.75" outlineLevel="1">
      <c r="A365" s="31" t="s">
        <v>33</v>
      </c>
      <c r="B365" s="32" t="s">
        <v>59</v>
      </c>
      <c r="C365" s="31">
        <v>5.53</v>
      </c>
      <c r="D365" s="92"/>
    </row>
    <row r="366" spans="1:4" ht="15.75" outlineLevel="1">
      <c r="A366" s="31" t="s">
        <v>33</v>
      </c>
      <c r="B366" s="32" t="s">
        <v>72</v>
      </c>
      <c r="C366" s="31">
        <v>5.69</v>
      </c>
      <c r="D366" s="92"/>
    </row>
    <row r="367" spans="1:4" ht="15.75" outlineLevel="1">
      <c r="A367" s="31" t="s">
        <v>33</v>
      </c>
      <c r="B367" s="32" t="s">
        <v>98</v>
      </c>
      <c r="C367" s="33">
        <v>5.8</v>
      </c>
      <c r="D367" s="92"/>
    </row>
    <row r="368" spans="1:4" ht="15.75" outlineLevel="1">
      <c r="A368" s="31" t="s">
        <v>33</v>
      </c>
      <c r="B368" s="32" t="s">
        <v>85</v>
      </c>
      <c r="C368" s="33">
        <v>5.72</v>
      </c>
      <c r="D368" s="92"/>
    </row>
    <row r="369" spans="1:4" ht="15.75" outlineLevel="1">
      <c r="A369" s="31" t="s">
        <v>33</v>
      </c>
      <c r="B369" s="32" t="s">
        <v>73</v>
      </c>
      <c r="C369" s="31">
        <v>5.75</v>
      </c>
      <c r="D369" s="92"/>
    </row>
    <row r="370" spans="1:4" ht="15.75" outlineLevel="1">
      <c r="A370" s="31" t="s">
        <v>33</v>
      </c>
      <c r="B370" s="32" t="s">
        <v>62</v>
      </c>
      <c r="C370" s="33">
        <v>5.7</v>
      </c>
      <c r="D370" s="92"/>
    </row>
    <row r="371" spans="1:4" ht="15.75" outlineLevel="1">
      <c r="A371" s="31" t="s">
        <v>33</v>
      </c>
      <c r="B371" s="32" t="s">
        <v>74</v>
      </c>
      <c r="C371" s="31">
        <v>5.74</v>
      </c>
      <c r="D371" s="92"/>
    </row>
    <row r="372" spans="1:4" ht="15.75" outlineLevel="1">
      <c r="A372" s="31" t="s">
        <v>33</v>
      </c>
      <c r="B372" s="32" t="s">
        <v>86</v>
      </c>
      <c r="C372" s="31">
        <v>5.76</v>
      </c>
      <c r="D372" s="92"/>
    </row>
    <row r="373" spans="1:4" ht="15.75" outlineLevel="1">
      <c r="A373" s="31" t="s">
        <v>33</v>
      </c>
      <c r="B373" s="32" t="s">
        <v>87</v>
      </c>
      <c r="C373" s="31">
        <v>5.89</v>
      </c>
      <c r="D373" s="91" t="s">
        <v>1080</v>
      </c>
    </row>
    <row r="374" spans="1:4" ht="15.75" outlineLevel="1">
      <c r="A374" s="31" t="s">
        <v>33</v>
      </c>
      <c r="B374" s="32" t="s">
        <v>103</v>
      </c>
      <c r="C374" s="31">
        <v>5.109</v>
      </c>
      <c r="D374" s="91"/>
    </row>
    <row r="375" spans="1:4" ht="15.75" outlineLevel="1">
      <c r="A375" s="31" t="s">
        <v>33</v>
      </c>
      <c r="B375" s="32" t="s">
        <v>104</v>
      </c>
      <c r="C375" s="31">
        <v>5.1109999999999998</v>
      </c>
      <c r="D375" s="92"/>
    </row>
    <row r="376" spans="1:4" ht="15.75" outlineLevel="1">
      <c r="A376" s="31" t="s">
        <v>33</v>
      </c>
      <c r="B376" s="32" t="s">
        <v>106</v>
      </c>
      <c r="C376" s="31">
        <v>5.1120000000000001</v>
      </c>
      <c r="D376" s="92"/>
    </row>
    <row r="377" spans="1:4" ht="15.75" outlineLevel="1">
      <c r="A377" s="31" t="s">
        <v>33</v>
      </c>
      <c r="B377" s="32" t="s">
        <v>1085</v>
      </c>
      <c r="C377" s="31">
        <v>5.1130000000000004</v>
      </c>
      <c r="D377" s="92"/>
    </row>
    <row r="378" spans="1:4" ht="15.75" outlineLevel="1">
      <c r="A378" s="31" t="s">
        <v>33</v>
      </c>
      <c r="B378" s="32" t="s">
        <v>76</v>
      </c>
      <c r="C378" s="31">
        <v>5.58</v>
      </c>
      <c r="D378" s="92"/>
    </row>
    <row r="379" spans="1:4" ht="15.75" outlineLevel="1">
      <c r="A379" s="31" t="s">
        <v>33</v>
      </c>
      <c r="B379" s="32" t="s">
        <v>61</v>
      </c>
      <c r="C379" s="31">
        <v>5.54</v>
      </c>
      <c r="D379" s="92"/>
    </row>
    <row r="380" spans="1:4" ht="15.75" outlineLevel="1">
      <c r="A380" s="31" t="s">
        <v>33</v>
      </c>
      <c r="B380" s="32" t="s">
        <v>77</v>
      </c>
      <c r="C380" s="31">
        <v>5.55</v>
      </c>
      <c r="D380" s="92"/>
    </row>
    <row r="381" spans="1:4" ht="15.75" outlineLevel="1">
      <c r="A381" s="31" t="s">
        <v>33</v>
      </c>
      <c r="B381" s="32" t="s">
        <v>63</v>
      </c>
      <c r="C381" s="31">
        <v>5.63</v>
      </c>
      <c r="D381" s="92"/>
    </row>
    <row r="382" spans="1:4" ht="15.75" outlineLevel="1">
      <c r="A382" s="31" t="s">
        <v>33</v>
      </c>
      <c r="B382" s="32" t="s">
        <v>78</v>
      </c>
      <c r="C382" s="31">
        <v>5.65</v>
      </c>
      <c r="D382" s="92"/>
    </row>
    <row r="383" spans="1:4" ht="15.75" outlineLevel="1">
      <c r="A383" s="31" t="s">
        <v>33</v>
      </c>
      <c r="B383" s="32" t="s">
        <v>88</v>
      </c>
      <c r="C383" s="31">
        <v>5.66</v>
      </c>
      <c r="D383" s="92"/>
    </row>
    <row r="384" spans="1:4" ht="15.75" outlineLevel="1">
      <c r="A384" s="31" t="s">
        <v>33</v>
      </c>
      <c r="B384" s="32" t="s">
        <v>17</v>
      </c>
      <c r="C384" s="31">
        <v>5.68</v>
      </c>
      <c r="D384" s="92"/>
    </row>
    <row r="385" spans="1:4" ht="15.75" outlineLevel="1">
      <c r="A385" s="31" t="s">
        <v>33</v>
      </c>
      <c r="B385" s="32" t="s">
        <v>64</v>
      </c>
      <c r="C385" s="31">
        <v>5.47</v>
      </c>
      <c r="D385" s="92"/>
    </row>
    <row r="386" spans="1:4" ht="15.75" outlineLevel="1">
      <c r="A386" s="31" t="s">
        <v>33</v>
      </c>
      <c r="B386" s="32" t="s">
        <v>65</v>
      </c>
      <c r="C386" s="31">
        <v>5.48</v>
      </c>
      <c r="D386" s="92"/>
    </row>
    <row r="387" spans="1:4" ht="15.75">
      <c r="A387" s="36" t="s">
        <v>33</v>
      </c>
      <c r="B387" s="32"/>
      <c r="C387" s="31"/>
      <c r="D387" s="92"/>
    </row>
    <row r="388" spans="1:4" ht="15.75" outlineLevel="1">
      <c r="A388" s="31" t="s">
        <v>34</v>
      </c>
      <c r="B388" s="32" t="s">
        <v>49</v>
      </c>
      <c r="C388" s="31">
        <v>5.0999999999999996</v>
      </c>
      <c r="D388" s="92"/>
    </row>
    <row r="389" spans="1:4" ht="15.75" outlineLevel="1">
      <c r="A389" s="31" t="s">
        <v>34</v>
      </c>
      <c r="B389" s="32" t="s">
        <v>50</v>
      </c>
      <c r="C389" s="31">
        <v>5.2</v>
      </c>
      <c r="D389" s="92"/>
    </row>
    <row r="390" spans="1:4" ht="15.75" outlineLevel="1">
      <c r="A390" s="31" t="s">
        <v>34</v>
      </c>
      <c r="B390" s="32" t="s">
        <v>66</v>
      </c>
      <c r="C390" s="31">
        <v>5.3</v>
      </c>
      <c r="D390" s="92"/>
    </row>
    <row r="391" spans="1:4" ht="15.75" outlineLevel="1">
      <c r="A391" s="31" t="s">
        <v>34</v>
      </c>
      <c r="B391" s="32" t="s">
        <v>80</v>
      </c>
      <c r="C391" s="31">
        <v>5.6</v>
      </c>
      <c r="D391" s="92"/>
    </row>
    <row r="392" spans="1:4" ht="15.75" outlineLevel="1">
      <c r="A392" s="31" t="s">
        <v>34</v>
      </c>
      <c r="B392" s="32" t="s">
        <v>1081</v>
      </c>
      <c r="C392" s="33">
        <v>5.0999999999999996</v>
      </c>
      <c r="D392" s="92"/>
    </row>
    <row r="393" spans="1:4" ht="15.75" outlineLevel="1">
      <c r="A393" s="31" t="s">
        <v>34</v>
      </c>
      <c r="B393" s="32" t="s">
        <v>91</v>
      </c>
      <c r="C393" s="31">
        <v>5.14</v>
      </c>
      <c r="D393" s="92"/>
    </row>
    <row r="394" spans="1:4" ht="15.75" outlineLevel="1">
      <c r="A394" s="31" t="s">
        <v>34</v>
      </c>
      <c r="B394" s="32" t="s">
        <v>68</v>
      </c>
      <c r="C394" s="31">
        <v>5.19</v>
      </c>
      <c r="D394" s="92"/>
    </row>
    <row r="395" spans="1:4" ht="15.75" outlineLevel="1">
      <c r="A395" s="31" t="s">
        <v>34</v>
      </c>
      <c r="B395" s="32" t="s">
        <v>82</v>
      </c>
      <c r="C395" s="31">
        <v>5.24</v>
      </c>
      <c r="D395" s="92"/>
    </row>
    <row r="396" spans="1:4" ht="15.75" outlineLevel="1">
      <c r="A396" s="31" t="s">
        <v>34</v>
      </c>
      <c r="B396" s="32" t="s">
        <v>54</v>
      </c>
      <c r="C396" s="31">
        <v>5.26</v>
      </c>
      <c r="D396" s="92"/>
    </row>
    <row r="397" spans="1:4" ht="15.75" outlineLevel="1">
      <c r="A397" s="31" t="s">
        <v>34</v>
      </c>
      <c r="B397" s="32" t="s">
        <v>55</v>
      </c>
      <c r="C397" s="31">
        <v>5.27</v>
      </c>
      <c r="D397" s="92"/>
    </row>
    <row r="398" spans="1:4" ht="15.75" outlineLevel="1">
      <c r="A398" s="31" t="s">
        <v>34</v>
      </c>
      <c r="B398" s="32" t="s">
        <v>69</v>
      </c>
      <c r="C398" s="31">
        <v>5.28</v>
      </c>
      <c r="D398" s="92"/>
    </row>
    <row r="399" spans="1:4" ht="15.75" outlineLevel="1">
      <c r="A399" s="31" t="s">
        <v>34</v>
      </c>
      <c r="B399" s="32" t="s">
        <v>89</v>
      </c>
      <c r="C399" s="31">
        <v>5.29</v>
      </c>
      <c r="D399" s="92"/>
    </row>
    <row r="400" spans="1:4" ht="15.75" outlineLevel="1">
      <c r="A400" s="31" t="s">
        <v>34</v>
      </c>
      <c r="B400" s="32" t="s">
        <v>83</v>
      </c>
      <c r="C400" s="31">
        <v>5.31</v>
      </c>
      <c r="D400" s="92"/>
    </row>
    <row r="401" spans="1:4" ht="15.75" outlineLevel="1">
      <c r="A401" s="31" t="s">
        <v>34</v>
      </c>
      <c r="B401" s="32" t="s">
        <v>56</v>
      </c>
      <c r="C401" s="31">
        <v>5.36</v>
      </c>
      <c r="D401" s="92"/>
    </row>
    <row r="402" spans="1:4" ht="15.75" outlineLevel="1">
      <c r="A402" s="31" t="s">
        <v>34</v>
      </c>
      <c r="B402" s="32" t="s">
        <v>97</v>
      </c>
      <c r="C402" s="31">
        <v>5.37</v>
      </c>
      <c r="D402" s="92"/>
    </row>
    <row r="403" spans="1:4" ht="15.75" outlineLevel="1">
      <c r="A403" s="31" t="s">
        <v>34</v>
      </c>
      <c r="B403" s="32" t="s">
        <v>71</v>
      </c>
      <c r="C403" s="31">
        <v>5.49</v>
      </c>
      <c r="D403" s="92"/>
    </row>
    <row r="404" spans="1:4" ht="15.75" outlineLevel="1">
      <c r="A404" s="31" t="s">
        <v>34</v>
      </c>
      <c r="B404" s="32" t="s">
        <v>58</v>
      </c>
      <c r="C404" s="31">
        <v>5.51</v>
      </c>
      <c r="D404" s="92"/>
    </row>
    <row r="405" spans="1:4" ht="15.75" outlineLevel="1">
      <c r="A405" s="31" t="s">
        <v>34</v>
      </c>
      <c r="B405" s="32" t="s">
        <v>1082</v>
      </c>
      <c r="C405" s="31">
        <v>5.52</v>
      </c>
      <c r="D405" s="92"/>
    </row>
    <row r="406" spans="1:4" ht="15.75" outlineLevel="1">
      <c r="A406" s="31" t="s">
        <v>34</v>
      </c>
      <c r="B406" s="32" t="s">
        <v>59</v>
      </c>
      <c r="C406" s="31">
        <v>5.53</v>
      </c>
      <c r="D406" s="92"/>
    </row>
    <row r="407" spans="1:4" ht="15.75" outlineLevel="1">
      <c r="A407" s="31" t="s">
        <v>34</v>
      </c>
      <c r="B407" s="32" t="s">
        <v>72</v>
      </c>
      <c r="C407" s="31">
        <v>5.69</v>
      </c>
      <c r="D407" s="92"/>
    </row>
    <row r="408" spans="1:4" ht="15.75" outlineLevel="1">
      <c r="A408" s="31" t="s">
        <v>34</v>
      </c>
      <c r="B408" s="32" t="s">
        <v>73</v>
      </c>
      <c r="C408" s="31">
        <v>5.75</v>
      </c>
      <c r="D408" s="92"/>
    </row>
    <row r="409" spans="1:4" ht="15.75" outlineLevel="1">
      <c r="A409" s="31" t="s">
        <v>34</v>
      </c>
      <c r="B409" s="32" t="s">
        <v>74</v>
      </c>
      <c r="C409" s="31">
        <v>5.74</v>
      </c>
      <c r="D409" s="92"/>
    </row>
    <row r="410" spans="1:4" ht="15.75" outlineLevel="1">
      <c r="A410" s="31" t="s">
        <v>34</v>
      </c>
      <c r="B410" s="32" t="s">
        <v>62</v>
      </c>
      <c r="C410" s="33">
        <v>5.7</v>
      </c>
      <c r="D410" s="92"/>
    </row>
    <row r="411" spans="1:4" ht="15.75" outlineLevel="1">
      <c r="A411" s="31" t="s">
        <v>34</v>
      </c>
      <c r="B411" s="32" t="s">
        <v>86</v>
      </c>
      <c r="C411" s="31">
        <v>5.76</v>
      </c>
      <c r="D411" s="92"/>
    </row>
    <row r="412" spans="1:4" ht="15.75" outlineLevel="1">
      <c r="A412" s="31" t="s">
        <v>34</v>
      </c>
      <c r="B412" s="32" t="s">
        <v>87</v>
      </c>
      <c r="C412" s="31">
        <v>5.89</v>
      </c>
      <c r="D412" s="91" t="s">
        <v>1080</v>
      </c>
    </row>
    <row r="413" spans="1:4" ht="15.75" outlineLevel="1">
      <c r="A413" s="31" t="s">
        <v>34</v>
      </c>
      <c r="B413" s="32" t="s">
        <v>103</v>
      </c>
      <c r="C413" s="31">
        <v>5.109</v>
      </c>
      <c r="D413" s="92"/>
    </row>
    <row r="414" spans="1:4" ht="15.75" outlineLevel="1">
      <c r="A414" s="31" t="s">
        <v>34</v>
      </c>
      <c r="B414" s="32" t="s">
        <v>104</v>
      </c>
      <c r="C414" s="31">
        <v>5.1109999999999998</v>
      </c>
      <c r="D414" s="92"/>
    </row>
    <row r="415" spans="1:4" ht="15.75" outlineLevel="1">
      <c r="A415" s="31" t="s">
        <v>34</v>
      </c>
      <c r="B415" s="32" t="s">
        <v>106</v>
      </c>
      <c r="C415" s="31">
        <v>5.1120000000000001</v>
      </c>
      <c r="D415" s="92"/>
    </row>
    <row r="416" spans="1:4" ht="15.75" outlineLevel="1">
      <c r="A416" s="31" t="s">
        <v>34</v>
      </c>
      <c r="B416" s="32" t="s">
        <v>1085</v>
      </c>
      <c r="C416" s="31">
        <v>5.1130000000000004</v>
      </c>
      <c r="D416" s="92"/>
    </row>
    <row r="417" spans="1:4" ht="15.75" outlineLevel="1">
      <c r="A417" s="31" t="s">
        <v>34</v>
      </c>
      <c r="B417" s="32" t="s">
        <v>76</v>
      </c>
      <c r="C417" s="31">
        <v>5.58</v>
      </c>
      <c r="D417" s="92"/>
    </row>
    <row r="418" spans="1:4" ht="15.75" outlineLevel="1">
      <c r="A418" s="31" t="s">
        <v>34</v>
      </c>
      <c r="B418" s="32" t="s">
        <v>61</v>
      </c>
      <c r="C418" s="31">
        <v>5.54</v>
      </c>
      <c r="D418" s="92"/>
    </row>
    <row r="419" spans="1:4" ht="15.75" outlineLevel="1">
      <c r="A419" s="31" t="s">
        <v>34</v>
      </c>
      <c r="B419" s="32" t="s">
        <v>77</v>
      </c>
      <c r="C419" s="31">
        <v>5.55</v>
      </c>
      <c r="D419" s="92"/>
    </row>
    <row r="420" spans="1:4" ht="15.75" outlineLevel="1">
      <c r="A420" s="31" t="s">
        <v>34</v>
      </c>
      <c r="B420" s="32" t="s">
        <v>63</v>
      </c>
      <c r="C420" s="31">
        <v>5.63</v>
      </c>
      <c r="D420" s="92"/>
    </row>
    <row r="421" spans="1:4" ht="15.75" outlineLevel="1">
      <c r="A421" s="31" t="s">
        <v>34</v>
      </c>
      <c r="B421" s="32" t="s">
        <v>78</v>
      </c>
      <c r="C421" s="31">
        <v>5.65</v>
      </c>
      <c r="D421" s="92"/>
    </row>
    <row r="422" spans="1:4" ht="15.75" outlineLevel="1">
      <c r="A422" s="31" t="s">
        <v>34</v>
      </c>
      <c r="B422" s="32" t="s">
        <v>88</v>
      </c>
      <c r="C422" s="31">
        <v>5.66</v>
      </c>
      <c r="D422" s="92"/>
    </row>
    <row r="423" spans="1:4" ht="15.75" outlineLevel="1">
      <c r="A423" s="31" t="s">
        <v>34</v>
      </c>
      <c r="B423" s="32" t="s">
        <v>17</v>
      </c>
      <c r="C423" s="31">
        <v>5.68</v>
      </c>
      <c r="D423" s="92"/>
    </row>
    <row r="424" spans="1:4" ht="15.75" outlineLevel="1">
      <c r="A424" s="31" t="s">
        <v>34</v>
      </c>
      <c r="B424" s="32" t="s">
        <v>64</v>
      </c>
      <c r="C424" s="31">
        <v>5.47</v>
      </c>
      <c r="D424" s="92"/>
    </row>
    <row r="425" spans="1:4" ht="15.75" outlineLevel="1">
      <c r="A425" s="31" t="s">
        <v>34</v>
      </c>
      <c r="B425" s="32" t="s">
        <v>65</v>
      </c>
      <c r="C425" s="31">
        <v>5.48</v>
      </c>
      <c r="D425" s="92"/>
    </row>
    <row r="426" spans="1:4" ht="15.75">
      <c r="A426" s="36" t="s">
        <v>34</v>
      </c>
      <c r="B426" s="32"/>
      <c r="C426" s="31"/>
      <c r="D426" s="92"/>
    </row>
    <row r="427" spans="1:4" ht="15.75" outlineLevel="1">
      <c r="A427" s="31" t="s">
        <v>1086</v>
      </c>
      <c r="B427" s="32" t="s">
        <v>49</v>
      </c>
      <c r="C427" s="31">
        <v>5.0999999999999996</v>
      </c>
      <c r="D427" s="92"/>
    </row>
    <row r="428" spans="1:4" ht="15.75" outlineLevel="1">
      <c r="A428" s="31" t="s">
        <v>1086</v>
      </c>
      <c r="B428" s="32" t="s">
        <v>50</v>
      </c>
      <c r="C428" s="31">
        <v>5.2</v>
      </c>
      <c r="D428" s="92"/>
    </row>
    <row r="429" spans="1:4" ht="15.75" outlineLevel="1">
      <c r="A429" s="31" t="s">
        <v>1086</v>
      </c>
      <c r="B429" s="32" t="s">
        <v>66</v>
      </c>
      <c r="C429" s="31">
        <v>5.3</v>
      </c>
      <c r="D429" s="92"/>
    </row>
    <row r="430" spans="1:4" ht="15.75" outlineLevel="1">
      <c r="A430" s="31" t="s">
        <v>1086</v>
      </c>
      <c r="B430" s="32" t="s">
        <v>80</v>
      </c>
      <c r="C430" s="31">
        <v>5.6</v>
      </c>
      <c r="D430" s="92"/>
    </row>
    <row r="431" spans="1:4" ht="15.75" outlineLevel="1">
      <c r="A431" s="31" t="s">
        <v>1086</v>
      </c>
      <c r="B431" s="32" t="s">
        <v>1081</v>
      </c>
      <c r="C431" s="33">
        <v>5.0999999999999996</v>
      </c>
      <c r="D431" s="92"/>
    </row>
    <row r="432" spans="1:4" ht="15.75" outlineLevel="1">
      <c r="A432" s="31" t="s">
        <v>1086</v>
      </c>
      <c r="B432" s="32" t="s">
        <v>91</v>
      </c>
      <c r="C432" s="31">
        <v>5.14</v>
      </c>
      <c r="D432" s="92"/>
    </row>
    <row r="433" spans="1:4" ht="15.75" outlineLevel="1">
      <c r="A433" s="31" t="s">
        <v>1086</v>
      </c>
      <c r="B433" s="32" t="s">
        <v>68</v>
      </c>
      <c r="C433" s="31">
        <v>5.19</v>
      </c>
      <c r="D433" s="92"/>
    </row>
    <row r="434" spans="1:4" ht="15.75" outlineLevel="1">
      <c r="A434" s="31" t="s">
        <v>1086</v>
      </c>
      <c r="B434" s="32" t="s">
        <v>82</v>
      </c>
      <c r="C434" s="31">
        <v>5.24</v>
      </c>
      <c r="D434" s="92"/>
    </row>
    <row r="435" spans="1:4" ht="15.75" outlineLevel="1">
      <c r="A435" s="31" t="s">
        <v>1086</v>
      </c>
      <c r="B435" s="32" t="s">
        <v>54</v>
      </c>
      <c r="C435" s="31">
        <v>5.26</v>
      </c>
      <c r="D435" s="92"/>
    </row>
    <row r="436" spans="1:4" ht="15.75" outlineLevel="1">
      <c r="A436" s="31" t="s">
        <v>1086</v>
      </c>
      <c r="B436" s="32" t="s">
        <v>55</v>
      </c>
      <c r="C436" s="31">
        <v>5.27</v>
      </c>
      <c r="D436" s="92"/>
    </row>
    <row r="437" spans="1:4" ht="15.75" outlineLevel="1">
      <c r="A437" s="31" t="s">
        <v>1086</v>
      </c>
      <c r="B437" s="32" t="s">
        <v>69</v>
      </c>
      <c r="C437" s="31">
        <v>5.28</v>
      </c>
      <c r="D437" s="92"/>
    </row>
    <row r="438" spans="1:4" ht="15.75" outlineLevel="1">
      <c r="A438" s="31" t="s">
        <v>1086</v>
      </c>
      <c r="B438" s="32" t="s">
        <v>89</v>
      </c>
      <c r="C438" s="31">
        <v>5.29</v>
      </c>
      <c r="D438" s="92"/>
    </row>
    <row r="439" spans="1:4" ht="15.75" outlineLevel="1">
      <c r="A439" s="31" t="s">
        <v>1086</v>
      </c>
      <c r="B439" s="32" t="s">
        <v>83</v>
      </c>
      <c r="C439" s="31">
        <v>5.31</v>
      </c>
      <c r="D439" s="92"/>
    </row>
    <row r="440" spans="1:4" ht="15.75" outlineLevel="1">
      <c r="A440" s="31" t="s">
        <v>1086</v>
      </c>
      <c r="B440" s="32" t="s">
        <v>56</v>
      </c>
      <c r="C440" s="31">
        <v>5.36</v>
      </c>
      <c r="D440" s="92"/>
    </row>
    <row r="441" spans="1:4" ht="15.75" outlineLevel="1">
      <c r="A441" s="31" t="s">
        <v>1086</v>
      </c>
      <c r="B441" s="32" t="s">
        <v>97</v>
      </c>
      <c r="C441" s="31">
        <v>5.37</v>
      </c>
      <c r="D441" s="92"/>
    </row>
    <row r="442" spans="1:4" ht="15.75" outlineLevel="1">
      <c r="A442" s="31" t="s">
        <v>1086</v>
      </c>
      <c r="B442" s="32" t="s">
        <v>59</v>
      </c>
      <c r="C442" s="31">
        <v>5.53</v>
      </c>
      <c r="D442" s="92"/>
    </row>
    <row r="443" spans="1:4" ht="15.75" outlineLevel="1">
      <c r="A443" s="31" t="s">
        <v>1086</v>
      </c>
      <c r="B443" s="32" t="s">
        <v>103</v>
      </c>
      <c r="C443" s="31">
        <v>5.109</v>
      </c>
      <c r="D443" s="92"/>
    </row>
    <row r="444" spans="1:4" ht="15.75" outlineLevel="1">
      <c r="A444" s="31" t="s">
        <v>1086</v>
      </c>
      <c r="B444" s="32" t="s">
        <v>104</v>
      </c>
      <c r="C444" s="31">
        <v>5.1109999999999998</v>
      </c>
      <c r="D444" s="92"/>
    </row>
    <row r="445" spans="1:4" ht="15.75" outlineLevel="1">
      <c r="A445" s="31" t="s">
        <v>1086</v>
      </c>
      <c r="B445" s="32" t="s">
        <v>106</v>
      </c>
      <c r="C445" s="31">
        <v>5.1120000000000001</v>
      </c>
      <c r="D445" s="92"/>
    </row>
    <row r="446" spans="1:4" ht="15.75" outlineLevel="1">
      <c r="A446" s="31" t="s">
        <v>1086</v>
      </c>
      <c r="B446" s="32" t="s">
        <v>1085</v>
      </c>
      <c r="C446" s="31">
        <v>5.1130000000000004</v>
      </c>
      <c r="D446" s="92"/>
    </row>
    <row r="447" spans="1:4" ht="15.75" outlineLevel="1">
      <c r="A447" s="31" t="s">
        <v>1086</v>
      </c>
      <c r="B447" s="32" t="s">
        <v>76</v>
      </c>
      <c r="C447" s="31">
        <v>5.58</v>
      </c>
      <c r="D447" s="92"/>
    </row>
    <row r="448" spans="1:4" ht="15.75" outlineLevel="1">
      <c r="A448" s="31" t="s">
        <v>1086</v>
      </c>
      <c r="B448" s="32" t="s">
        <v>61</v>
      </c>
      <c r="C448" s="31">
        <v>5.54</v>
      </c>
      <c r="D448" s="92"/>
    </row>
    <row r="449" spans="1:4" ht="15.75" outlineLevel="1">
      <c r="A449" s="31" t="s">
        <v>1086</v>
      </c>
      <c r="B449" s="32" t="s">
        <v>77</v>
      </c>
      <c r="C449" s="31">
        <v>5.55</v>
      </c>
      <c r="D449" s="92"/>
    </row>
    <row r="450" spans="1:4" ht="15.75" outlineLevel="1">
      <c r="A450" s="31" t="s">
        <v>1086</v>
      </c>
      <c r="B450" s="32" t="s">
        <v>63</v>
      </c>
      <c r="C450" s="31">
        <v>5.63</v>
      </c>
      <c r="D450" s="92"/>
    </row>
    <row r="451" spans="1:4" ht="15.75" outlineLevel="1">
      <c r="A451" s="31" t="s">
        <v>1086</v>
      </c>
      <c r="B451" s="32" t="s">
        <v>64</v>
      </c>
      <c r="C451" s="31">
        <v>5.47</v>
      </c>
      <c r="D451" s="92"/>
    </row>
    <row r="452" spans="1:4" ht="15.75" outlineLevel="1">
      <c r="A452" s="31" t="s">
        <v>1086</v>
      </c>
      <c r="B452" s="32" t="s">
        <v>65</v>
      </c>
      <c r="C452" s="31">
        <v>5.48</v>
      </c>
      <c r="D452" s="92"/>
    </row>
    <row r="453" spans="1:4" ht="15.75">
      <c r="A453" s="36" t="s">
        <v>1086</v>
      </c>
      <c r="B453" s="32"/>
      <c r="C453" s="31"/>
      <c r="D453" s="92"/>
    </row>
    <row r="454" spans="1:4" ht="15.75" outlineLevel="1">
      <c r="A454" s="31" t="s">
        <v>36</v>
      </c>
      <c r="B454" s="32" t="s">
        <v>49</v>
      </c>
      <c r="C454" s="31">
        <v>5.0999999999999996</v>
      </c>
      <c r="D454" s="92"/>
    </row>
    <row r="455" spans="1:4" ht="15.75" outlineLevel="1">
      <c r="A455" s="31" t="s">
        <v>36</v>
      </c>
      <c r="B455" s="32" t="s">
        <v>50</v>
      </c>
      <c r="C455" s="31">
        <v>5.2</v>
      </c>
      <c r="D455" s="92"/>
    </row>
    <row r="456" spans="1:4" ht="15.75" outlineLevel="1">
      <c r="A456" s="31" t="s">
        <v>36</v>
      </c>
      <c r="B456" s="32" t="s">
        <v>108</v>
      </c>
      <c r="C456" s="31">
        <v>5.5</v>
      </c>
      <c r="D456" s="92"/>
    </row>
    <row r="457" spans="1:4" ht="15.75" outlineLevel="1">
      <c r="A457" s="31" t="s">
        <v>36</v>
      </c>
      <c r="B457" s="32" t="s">
        <v>109</v>
      </c>
      <c r="C457" s="31">
        <v>5.8</v>
      </c>
      <c r="D457" s="91" t="s">
        <v>1080</v>
      </c>
    </row>
    <row r="458" spans="1:4" ht="15.75" outlineLevel="1">
      <c r="A458" s="31" t="s">
        <v>36</v>
      </c>
      <c r="B458" s="32" t="s">
        <v>110</v>
      </c>
      <c r="C458" s="31">
        <v>5.12</v>
      </c>
      <c r="D458" s="91" t="s">
        <v>1080</v>
      </c>
    </row>
    <row r="459" spans="1:4" ht="15.75" outlineLevel="1">
      <c r="A459" s="31" t="s">
        <v>36</v>
      </c>
      <c r="B459" s="32" t="s">
        <v>111</v>
      </c>
      <c r="C459" s="31">
        <v>5.15</v>
      </c>
      <c r="D459" s="92"/>
    </row>
    <row r="460" spans="1:4" ht="15.75" outlineLevel="1">
      <c r="A460" s="31" t="s">
        <v>36</v>
      </c>
      <c r="B460" s="32" t="s">
        <v>112</v>
      </c>
      <c r="C460" s="33">
        <v>5.2</v>
      </c>
      <c r="D460" s="91"/>
    </row>
    <row r="461" spans="1:4" ht="15.75" outlineLevel="1">
      <c r="A461" s="31" t="s">
        <v>36</v>
      </c>
      <c r="B461" s="32" t="s">
        <v>113</v>
      </c>
      <c r="C461" s="31">
        <v>5.25</v>
      </c>
      <c r="D461" s="92"/>
    </row>
    <row r="462" spans="1:4" ht="15.75" outlineLevel="1">
      <c r="A462" s="31" t="s">
        <v>36</v>
      </c>
      <c r="B462" s="32" t="s">
        <v>54</v>
      </c>
      <c r="C462" s="31">
        <v>5.26</v>
      </c>
      <c r="D462" s="92"/>
    </row>
    <row r="463" spans="1:4" ht="15.75" outlineLevel="1">
      <c r="A463" s="31" t="s">
        <v>36</v>
      </c>
      <c r="B463" s="32" t="s">
        <v>114</v>
      </c>
      <c r="C463" s="31">
        <v>5.1139999999999999</v>
      </c>
      <c r="D463" s="91" t="s">
        <v>1080</v>
      </c>
    </row>
    <row r="464" spans="1:4" ht="15.75" outlineLevel="1">
      <c r="A464" s="31" t="s">
        <v>36</v>
      </c>
      <c r="B464" s="32" t="s">
        <v>55</v>
      </c>
      <c r="C464" s="31">
        <v>5.27</v>
      </c>
      <c r="D464" s="92"/>
    </row>
    <row r="465" spans="1:4" ht="15.75" outlineLevel="1">
      <c r="A465" s="31" t="s">
        <v>36</v>
      </c>
      <c r="B465" s="32" t="s">
        <v>115</v>
      </c>
      <c r="C465" s="31">
        <v>5.1150000000000002</v>
      </c>
      <c r="D465" s="91" t="s">
        <v>1080</v>
      </c>
    </row>
    <row r="466" spans="1:4" ht="15.75" outlineLevel="1">
      <c r="A466" s="31" t="s">
        <v>36</v>
      </c>
      <c r="B466" s="32" t="s">
        <v>116</v>
      </c>
      <c r="C466" s="31">
        <v>5.1159999999999997</v>
      </c>
      <c r="D466" s="91" t="s">
        <v>1080</v>
      </c>
    </row>
    <row r="467" spans="1:4" ht="15.75" outlineLevel="1">
      <c r="A467" s="31" t="s">
        <v>36</v>
      </c>
      <c r="B467" s="32" t="s">
        <v>69</v>
      </c>
      <c r="C467" s="31">
        <v>5.28</v>
      </c>
      <c r="D467" s="92"/>
    </row>
    <row r="468" spans="1:4" ht="15.75" outlineLevel="1">
      <c r="A468" s="31" t="s">
        <v>36</v>
      </c>
      <c r="B468" s="32" t="s">
        <v>56</v>
      </c>
      <c r="C468" s="31">
        <v>5.36</v>
      </c>
      <c r="D468" s="92"/>
    </row>
    <row r="469" spans="1:4" ht="15.75" outlineLevel="1">
      <c r="A469" s="31" t="s">
        <v>36</v>
      </c>
      <c r="B469" s="32" t="s">
        <v>97</v>
      </c>
      <c r="C469" s="31">
        <v>5.37</v>
      </c>
      <c r="D469" s="92"/>
    </row>
    <row r="470" spans="1:4" ht="15.75" outlineLevel="1">
      <c r="A470" s="31" t="s">
        <v>36</v>
      </c>
      <c r="B470" s="32" t="s">
        <v>59</v>
      </c>
      <c r="C470" s="31">
        <v>5.53</v>
      </c>
      <c r="D470" s="92"/>
    </row>
    <row r="471" spans="1:4" ht="15.75" outlineLevel="1">
      <c r="A471" s="31" t="s">
        <v>36</v>
      </c>
      <c r="B471" s="32" t="s">
        <v>103</v>
      </c>
      <c r="C471" s="31">
        <v>5.109</v>
      </c>
      <c r="D471" s="92"/>
    </row>
    <row r="472" spans="1:4" ht="15.75" outlineLevel="1">
      <c r="A472" s="31" t="s">
        <v>36</v>
      </c>
      <c r="B472" s="32" t="s">
        <v>104</v>
      </c>
      <c r="C472" s="31">
        <v>5.1109999999999998</v>
      </c>
      <c r="D472" s="92"/>
    </row>
    <row r="473" spans="1:4" ht="15.75" outlineLevel="1">
      <c r="A473" s="31" t="s">
        <v>36</v>
      </c>
      <c r="B473" s="32" t="s">
        <v>106</v>
      </c>
      <c r="C473" s="31">
        <v>5.1120000000000001</v>
      </c>
      <c r="D473" s="92"/>
    </row>
    <row r="474" spans="1:4" ht="15.75" outlineLevel="1">
      <c r="A474" s="31" t="s">
        <v>36</v>
      </c>
      <c r="B474" s="32" t="s">
        <v>61</v>
      </c>
      <c r="C474" s="31">
        <v>5.54</v>
      </c>
      <c r="D474" s="92"/>
    </row>
    <row r="475" spans="1:4" ht="15.75" outlineLevel="1">
      <c r="A475" s="31" t="s">
        <v>36</v>
      </c>
      <c r="B475" s="32" t="s">
        <v>1087</v>
      </c>
      <c r="C475" s="31">
        <v>5.61</v>
      </c>
      <c r="D475" s="92"/>
    </row>
    <row r="476" spans="1:4" ht="15.75" outlineLevel="1">
      <c r="A476" s="31" t="s">
        <v>36</v>
      </c>
      <c r="B476" s="32" t="s">
        <v>63</v>
      </c>
      <c r="C476" s="31">
        <v>5.63</v>
      </c>
      <c r="D476" s="92"/>
    </row>
    <row r="477" spans="1:4" ht="15.75" outlineLevel="1">
      <c r="A477" s="31" t="s">
        <v>36</v>
      </c>
      <c r="B477" s="32" t="s">
        <v>118</v>
      </c>
      <c r="C477" s="31">
        <v>5.46</v>
      </c>
      <c r="D477" s="92"/>
    </row>
    <row r="478" spans="1:4" ht="15.75" outlineLevel="1">
      <c r="A478" s="31" t="s">
        <v>36</v>
      </c>
      <c r="B478" s="32" t="s">
        <v>64</v>
      </c>
      <c r="C478" s="31">
        <v>5.47</v>
      </c>
      <c r="D478" s="92"/>
    </row>
    <row r="479" spans="1:4" ht="15.75" outlineLevel="1">
      <c r="A479" s="31" t="s">
        <v>36</v>
      </c>
      <c r="B479" s="32" t="s">
        <v>65</v>
      </c>
      <c r="C479" s="31">
        <v>5.48</v>
      </c>
      <c r="D479" s="92"/>
    </row>
    <row r="480" spans="1:4" ht="15.75">
      <c r="A480" s="36" t="s">
        <v>36</v>
      </c>
      <c r="B480" s="32"/>
      <c r="C480" s="31"/>
      <c r="D480" s="92"/>
    </row>
    <row r="481" spans="1:4" ht="15.75" outlineLevel="1">
      <c r="A481" s="31" t="s">
        <v>37</v>
      </c>
      <c r="B481" s="32" t="s">
        <v>49</v>
      </c>
      <c r="C481" s="31">
        <v>5.0999999999999996</v>
      </c>
      <c r="D481" s="92"/>
    </row>
    <row r="482" spans="1:4" ht="15.75" outlineLevel="1">
      <c r="A482" s="31" t="s">
        <v>37</v>
      </c>
      <c r="B482" s="32" t="s">
        <v>50</v>
      </c>
      <c r="C482" s="31">
        <v>5.2</v>
      </c>
      <c r="D482" s="92"/>
    </row>
    <row r="483" spans="1:4" ht="15.75" outlineLevel="1">
      <c r="A483" s="31" t="s">
        <v>37</v>
      </c>
      <c r="B483" s="32" t="s">
        <v>66</v>
      </c>
      <c r="C483" s="31">
        <v>5.3</v>
      </c>
      <c r="D483" s="92"/>
    </row>
    <row r="484" spans="1:4" ht="15.75" outlineLevel="1">
      <c r="A484" s="31" t="s">
        <v>37</v>
      </c>
      <c r="B484" s="32" t="s">
        <v>80</v>
      </c>
      <c r="C484" s="31">
        <v>5.6</v>
      </c>
      <c r="D484" s="92"/>
    </row>
    <row r="485" spans="1:4" ht="15.75" outlineLevel="1">
      <c r="A485" s="31" t="s">
        <v>37</v>
      </c>
      <c r="B485" s="32" t="s">
        <v>1081</v>
      </c>
      <c r="C485" s="33">
        <v>5.0999999999999996</v>
      </c>
      <c r="D485" s="92"/>
    </row>
    <row r="486" spans="1:4" ht="15.75" outlineLevel="1">
      <c r="A486" s="31" t="s">
        <v>37</v>
      </c>
      <c r="B486" s="32" t="s">
        <v>91</v>
      </c>
      <c r="C486" s="31">
        <v>5.14</v>
      </c>
      <c r="D486" s="92"/>
    </row>
    <row r="487" spans="1:4" ht="15.75" outlineLevel="1">
      <c r="A487" s="31" t="s">
        <v>37</v>
      </c>
      <c r="B487" s="32" t="s">
        <v>68</v>
      </c>
      <c r="C487" s="31">
        <v>5.19</v>
      </c>
      <c r="D487" s="92"/>
    </row>
    <row r="488" spans="1:4" ht="15.75" outlineLevel="1">
      <c r="A488" s="31" t="s">
        <v>37</v>
      </c>
      <c r="B488" s="32" t="s">
        <v>82</v>
      </c>
      <c r="C488" s="31">
        <v>5.24</v>
      </c>
      <c r="D488" s="92"/>
    </row>
    <row r="489" spans="1:4" ht="15.75" outlineLevel="1">
      <c r="A489" s="31" t="s">
        <v>37</v>
      </c>
      <c r="B489" s="32" t="s">
        <v>55</v>
      </c>
      <c r="C489" s="31">
        <v>5.27</v>
      </c>
      <c r="D489" s="92"/>
    </row>
    <row r="490" spans="1:4" ht="15.75" outlineLevel="1">
      <c r="A490" s="31" t="s">
        <v>37</v>
      </c>
      <c r="B490" s="32" t="s">
        <v>69</v>
      </c>
      <c r="C490" s="31">
        <v>5.28</v>
      </c>
      <c r="D490" s="92"/>
    </row>
    <row r="491" spans="1:4" ht="15.75" outlineLevel="1">
      <c r="A491" s="31" t="s">
        <v>37</v>
      </c>
      <c r="B491" s="32" t="s">
        <v>89</v>
      </c>
      <c r="C491" s="31">
        <v>5.29</v>
      </c>
      <c r="D491" s="92"/>
    </row>
    <row r="492" spans="1:4" ht="15.75" outlineLevel="1">
      <c r="A492" s="31" t="s">
        <v>37</v>
      </c>
      <c r="B492" s="32" t="s">
        <v>92</v>
      </c>
      <c r="C492" s="31">
        <v>5.34</v>
      </c>
      <c r="D492" s="92"/>
    </row>
    <row r="493" spans="1:4" ht="15.75" outlineLevel="1">
      <c r="A493" s="31" t="s">
        <v>37</v>
      </c>
      <c r="B493" s="32" t="s">
        <v>83</v>
      </c>
      <c r="C493" s="31">
        <v>5.31</v>
      </c>
      <c r="D493" s="92"/>
    </row>
    <row r="494" spans="1:4" ht="15.75" outlineLevel="1">
      <c r="A494" s="31" t="s">
        <v>37</v>
      </c>
      <c r="B494" s="32" t="s">
        <v>93</v>
      </c>
      <c r="C494" s="31">
        <v>5.101</v>
      </c>
      <c r="D494" s="92"/>
    </row>
    <row r="495" spans="1:4" ht="15.75" outlineLevel="1">
      <c r="A495" s="31" t="s">
        <v>37</v>
      </c>
      <c r="B495" s="32" t="s">
        <v>56</v>
      </c>
      <c r="C495" s="31">
        <v>5.36</v>
      </c>
      <c r="D495" s="92"/>
    </row>
    <row r="496" spans="1:4" ht="15.75" outlineLevel="1">
      <c r="A496" s="31" t="s">
        <v>37</v>
      </c>
      <c r="B496" s="32" t="s">
        <v>97</v>
      </c>
      <c r="C496" s="31">
        <v>5.37</v>
      </c>
      <c r="D496" s="92"/>
    </row>
    <row r="497" spans="1:4" ht="15.75" outlineLevel="1">
      <c r="A497" s="31" t="s">
        <v>37</v>
      </c>
      <c r="B497" s="32" t="s">
        <v>59</v>
      </c>
      <c r="C497" s="31">
        <v>5.53</v>
      </c>
      <c r="D497" s="92"/>
    </row>
    <row r="498" spans="1:4" ht="15.75" outlineLevel="1">
      <c r="A498" s="31" t="s">
        <v>37</v>
      </c>
      <c r="B498" s="32" t="s">
        <v>103</v>
      </c>
      <c r="C498" s="31">
        <v>5.109</v>
      </c>
      <c r="D498" s="92"/>
    </row>
    <row r="499" spans="1:4" ht="15.75" outlineLevel="1">
      <c r="A499" s="31" t="s">
        <v>37</v>
      </c>
      <c r="B499" s="32" t="s">
        <v>104</v>
      </c>
      <c r="C499" s="31">
        <v>5.1109999999999998</v>
      </c>
      <c r="D499" s="92"/>
    </row>
    <row r="500" spans="1:4" ht="15.75" outlineLevel="1">
      <c r="A500" s="31" t="s">
        <v>37</v>
      </c>
      <c r="B500" s="32" t="s">
        <v>106</v>
      </c>
      <c r="C500" s="31">
        <v>5.1120000000000001</v>
      </c>
      <c r="D500" s="92"/>
    </row>
    <row r="501" spans="1:4" ht="15.75" outlineLevel="1">
      <c r="A501" s="31" t="s">
        <v>37</v>
      </c>
      <c r="B501" s="32" t="s">
        <v>94</v>
      </c>
      <c r="C501" s="31">
        <v>5.1020000000000003</v>
      </c>
      <c r="D501" s="92"/>
    </row>
    <row r="502" spans="1:4" ht="15.75" outlineLevel="1">
      <c r="A502" s="31" t="s">
        <v>37</v>
      </c>
      <c r="B502" s="32" t="s">
        <v>95</v>
      </c>
      <c r="C502" s="34">
        <v>5.0999999999999996</v>
      </c>
      <c r="D502" s="92"/>
    </row>
    <row r="503" spans="1:4" ht="15.75" outlineLevel="1">
      <c r="A503" s="31" t="s">
        <v>37</v>
      </c>
      <c r="B503" s="32" t="s">
        <v>76</v>
      </c>
      <c r="C503" s="31">
        <v>5.58</v>
      </c>
      <c r="D503" s="92"/>
    </row>
    <row r="504" spans="1:4" ht="15.75" outlineLevel="1">
      <c r="A504" s="31" t="s">
        <v>37</v>
      </c>
      <c r="B504" s="32" t="s">
        <v>77</v>
      </c>
      <c r="C504" s="31">
        <v>5.55</v>
      </c>
      <c r="D504" s="92"/>
    </row>
    <row r="505" spans="1:4" ht="15.75" outlineLevel="1">
      <c r="A505" s="31" t="s">
        <v>37</v>
      </c>
      <c r="B505" s="32" t="s">
        <v>61</v>
      </c>
      <c r="C505" s="31">
        <v>5.54</v>
      </c>
      <c r="D505" s="92"/>
    </row>
    <row r="506" spans="1:4" ht="15.75" outlineLevel="1">
      <c r="A506" s="31" t="s">
        <v>37</v>
      </c>
      <c r="B506" s="32" t="s">
        <v>63</v>
      </c>
      <c r="C506" s="31">
        <v>5.63</v>
      </c>
      <c r="D506" s="92"/>
    </row>
    <row r="507" spans="1:4" ht="15.75" outlineLevel="1">
      <c r="A507" s="31" t="s">
        <v>37</v>
      </c>
      <c r="B507" s="32" t="s">
        <v>64</v>
      </c>
      <c r="C507" s="31">
        <v>5.47</v>
      </c>
      <c r="D507" s="92"/>
    </row>
    <row r="508" spans="1:4" ht="15.75" outlineLevel="1">
      <c r="A508" s="31" t="s">
        <v>37</v>
      </c>
      <c r="B508" s="32" t="s">
        <v>65</v>
      </c>
      <c r="C508" s="31">
        <v>5.48</v>
      </c>
      <c r="D508" s="92"/>
    </row>
    <row r="509" spans="1:4" ht="15.75">
      <c r="A509" s="36" t="s">
        <v>37</v>
      </c>
      <c r="B509" s="32"/>
      <c r="C509" s="31"/>
      <c r="D509" s="92"/>
    </row>
    <row r="510" spans="1:4" ht="15.75" outlineLevel="1">
      <c r="A510" s="31" t="s">
        <v>38</v>
      </c>
      <c r="B510" s="32" t="s">
        <v>49</v>
      </c>
      <c r="C510" s="31">
        <v>5.0999999999999996</v>
      </c>
      <c r="D510" s="92"/>
    </row>
    <row r="511" spans="1:4" ht="15.75" outlineLevel="1">
      <c r="A511" s="31" t="s">
        <v>38</v>
      </c>
      <c r="B511" s="32" t="s">
        <v>50</v>
      </c>
      <c r="C511" s="31">
        <v>5.2</v>
      </c>
      <c r="D511" s="92"/>
    </row>
    <row r="512" spans="1:4" ht="15.75" outlineLevel="1">
      <c r="A512" s="31" t="s">
        <v>38</v>
      </c>
      <c r="B512" s="32" t="s">
        <v>66</v>
      </c>
      <c r="C512" s="31">
        <v>5.3</v>
      </c>
      <c r="D512" s="92"/>
    </row>
    <row r="513" spans="1:4" ht="15.75" outlineLevel="1">
      <c r="A513" s="31" t="s">
        <v>38</v>
      </c>
      <c r="B513" s="32" t="s">
        <v>80</v>
      </c>
      <c r="C513" s="31">
        <v>5.6</v>
      </c>
      <c r="D513" s="92"/>
    </row>
    <row r="514" spans="1:4" ht="15.75" outlineLevel="1">
      <c r="A514" s="31" t="s">
        <v>38</v>
      </c>
      <c r="B514" s="32" t="s">
        <v>1081</v>
      </c>
      <c r="C514" s="33">
        <v>5.0999999999999996</v>
      </c>
      <c r="D514" s="92"/>
    </row>
    <row r="515" spans="1:4" ht="15.75" outlineLevel="1">
      <c r="A515" s="31" t="s">
        <v>38</v>
      </c>
      <c r="B515" s="32" t="s">
        <v>91</v>
      </c>
      <c r="C515" s="31">
        <v>5.14</v>
      </c>
      <c r="D515" s="92"/>
    </row>
    <row r="516" spans="1:4" ht="15.75" outlineLevel="1">
      <c r="A516" s="31" t="s">
        <v>38</v>
      </c>
      <c r="B516" s="32" t="s">
        <v>68</v>
      </c>
      <c r="C516" s="31">
        <v>5.19</v>
      </c>
      <c r="D516" s="92"/>
    </row>
    <row r="517" spans="1:4" ht="15.75" outlineLevel="1">
      <c r="A517" s="31" t="s">
        <v>38</v>
      </c>
      <c r="B517" s="32" t="s">
        <v>82</v>
      </c>
      <c r="C517" s="31">
        <v>5.24</v>
      </c>
      <c r="D517" s="92"/>
    </row>
    <row r="518" spans="1:4" ht="15.75" outlineLevel="1">
      <c r="A518" s="31" t="s">
        <v>38</v>
      </c>
      <c r="B518" s="32" t="s">
        <v>54</v>
      </c>
      <c r="C518" s="31">
        <v>5.26</v>
      </c>
      <c r="D518" s="92"/>
    </row>
    <row r="519" spans="1:4" ht="15.75" outlineLevel="1">
      <c r="A519" s="31" t="s">
        <v>38</v>
      </c>
      <c r="B519" s="32" t="s">
        <v>55</v>
      </c>
      <c r="C519" s="31">
        <v>5.27</v>
      </c>
      <c r="D519" s="92"/>
    </row>
    <row r="520" spans="1:4" ht="15.75" outlineLevel="1">
      <c r="A520" s="31" t="s">
        <v>38</v>
      </c>
      <c r="B520" s="32" t="s">
        <v>69</v>
      </c>
      <c r="C520" s="31">
        <v>5.28</v>
      </c>
      <c r="D520" s="92"/>
    </row>
    <row r="521" spans="1:4" ht="15.75" outlineLevel="1">
      <c r="A521" s="31" t="s">
        <v>38</v>
      </c>
      <c r="B521" s="32" t="s">
        <v>83</v>
      </c>
      <c r="C521" s="31">
        <v>5.31</v>
      </c>
      <c r="D521" s="92"/>
    </row>
    <row r="522" spans="1:4" ht="15.75" outlineLevel="1">
      <c r="A522" s="31" t="s">
        <v>38</v>
      </c>
      <c r="B522" s="32" t="s">
        <v>96</v>
      </c>
      <c r="C522" s="31">
        <v>5.33</v>
      </c>
      <c r="D522" s="92"/>
    </row>
    <row r="523" spans="1:4" ht="15.75" outlineLevel="1">
      <c r="A523" s="31" t="s">
        <v>38</v>
      </c>
      <c r="B523" s="32" t="s">
        <v>93</v>
      </c>
      <c r="C523" s="31">
        <v>5.101</v>
      </c>
      <c r="D523" s="92"/>
    </row>
    <row r="524" spans="1:4" ht="15.75" outlineLevel="1">
      <c r="A524" s="31" t="s">
        <v>38</v>
      </c>
      <c r="B524" s="32" t="s">
        <v>56</v>
      </c>
      <c r="C524" s="31">
        <v>5.36</v>
      </c>
      <c r="D524" s="92"/>
    </row>
    <row r="525" spans="1:4" ht="15.75" outlineLevel="1">
      <c r="A525" s="31" t="s">
        <v>38</v>
      </c>
      <c r="B525" s="32" t="s">
        <v>97</v>
      </c>
      <c r="C525" s="31">
        <v>5.37</v>
      </c>
      <c r="D525" s="92"/>
    </row>
    <row r="526" spans="1:4" ht="15.75" outlineLevel="1">
      <c r="A526" s="31" t="s">
        <v>38</v>
      </c>
      <c r="B526" s="32" t="s">
        <v>59</v>
      </c>
      <c r="C526" s="31">
        <v>5.53</v>
      </c>
      <c r="D526" s="92"/>
    </row>
    <row r="527" spans="1:4" ht="15.75" outlineLevel="1">
      <c r="A527" s="31" t="s">
        <v>38</v>
      </c>
      <c r="B527" s="32" t="s">
        <v>103</v>
      </c>
      <c r="C527" s="31">
        <v>5.109</v>
      </c>
      <c r="D527" s="92"/>
    </row>
    <row r="528" spans="1:4" ht="15.75" outlineLevel="1">
      <c r="A528" s="31" t="s">
        <v>38</v>
      </c>
      <c r="B528" s="32" t="s">
        <v>104</v>
      </c>
      <c r="C528" s="31">
        <v>5.1109999999999998</v>
      </c>
      <c r="D528" s="92"/>
    </row>
    <row r="529" spans="1:4" ht="15.75" outlineLevel="1">
      <c r="A529" s="31" t="s">
        <v>38</v>
      </c>
      <c r="B529" s="32" t="s">
        <v>106</v>
      </c>
      <c r="C529" s="31">
        <v>5.1120000000000001</v>
      </c>
      <c r="D529" s="92"/>
    </row>
    <row r="530" spans="1:4" ht="15.75" outlineLevel="1">
      <c r="A530" s="31" t="s">
        <v>38</v>
      </c>
      <c r="B530" s="32" t="s">
        <v>94</v>
      </c>
      <c r="C530" s="31">
        <v>5.1020000000000003</v>
      </c>
      <c r="D530" s="92"/>
    </row>
    <row r="531" spans="1:4" ht="15.75" outlineLevel="1">
      <c r="A531" s="31" t="s">
        <v>38</v>
      </c>
      <c r="B531" s="32" t="s">
        <v>95</v>
      </c>
      <c r="C531" s="34">
        <v>5.0999999999999996</v>
      </c>
      <c r="D531" s="92"/>
    </row>
    <row r="532" spans="1:4" ht="15.75" outlineLevel="1">
      <c r="A532" s="31" t="s">
        <v>38</v>
      </c>
      <c r="B532" s="32" t="s">
        <v>76</v>
      </c>
      <c r="C532" s="31">
        <v>5.58</v>
      </c>
      <c r="D532" s="92"/>
    </row>
    <row r="533" spans="1:4" ht="15.75" outlineLevel="1">
      <c r="A533" s="31" t="s">
        <v>38</v>
      </c>
      <c r="B533" s="32" t="s">
        <v>77</v>
      </c>
      <c r="C533" s="31">
        <v>5.55</v>
      </c>
      <c r="D533" s="92"/>
    </row>
    <row r="534" spans="1:4" ht="15.75" outlineLevel="1">
      <c r="A534" s="31" t="s">
        <v>38</v>
      </c>
      <c r="B534" s="32" t="s">
        <v>61</v>
      </c>
      <c r="C534" s="31">
        <v>5.54</v>
      </c>
      <c r="D534" s="92"/>
    </row>
    <row r="535" spans="1:4" ht="15.75" outlineLevel="1">
      <c r="A535" s="31" t="s">
        <v>38</v>
      </c>
      <c r="B535" s="32" t="s">
        <v>63</v>
      </c>
      <c r="C535" s="31">
        <v>5.63</v>
      </c>
      <c r="D535" s="92"/>
    </row>
    <row r="536" spans="1:4" ht="15.75" outlineLevel="1">
      <c r="A536" s="31" t="s">
        <v>38</v>
      </c>
      <c r="B536" s="32" t="s">
        <v>64</v>
      </c>
      <c r="C536" s="31">
        <v>5.47</v>
      </c>
      <c r="D536" s="92"/>
    </row>
    <row r="537" spans="1:4" ht="15.75" outlineLevel="1">
      <c r="A537" s="31" t="s">
        <v>38</v>
      </c>
      <c r="B537" s="32" t="s">
        <v>65</v>
      </c>
      <c r="C537" s="31">
        <v>5.48</v>
      </c>
      <c r="D537" s="92"/>
    </row>
    <row r="538" spans="1:4" ht="15.75">
      <c r="A538" s="36" t="s">
        <v>38</v>
      </c>
      <c r="B538" s="32"/>
      <c r="C538" s="31"/>
      <c r="D538" s="92"/>
    </row>
    <row r="539" spans="1:4" ht="15.75" outlineLevel="1">
      <c r="A539" s="31" t="s">
        <v>39</v>
      </c>
      <c r="B539" s="32" t="s">
        <v>49</v>
      </c>
      <c r="C539" s="31">
        <v>5.0999999999999996</v>
      </c>
      <c r="D539" s="92"/>
    </row>
    <row r="540" spans="1:4" ht="15.75" outlineLevel="1">
      <c r="A540" s="31" t="s">
        <v>39</v>
      </c>
      <c r="B540" s="32" t="s">
        <v>50</v>
      </c>
      <c r="C540" s="31">
        <v>5.2</v>
      </c>
      <c r="D540" s="92"/>
    </row>
    <row r="541" spans="1:4" ht="15.75" outlineLevel="1">
      <c r="A541" s="31" t="s">
        <v>39</v>
      </c>
      <c r="B541" s="32" t="s">
        <v>54</v>
      </c>
      <c r="C541" s="31">
        <v>5.26</v>
      </c>
      <c r="D541" s="92"/>
    </row>
    <row r="542" spans="1:4" ht="15.75" outlineLevel="1">
      <c r="A542" s="31" t="s">
        <v>39</v>
      </c>
      <c r="B542" s="32" t="s">
        <v>120</v>
      </c>
      <c r="C542" s="31">
        <v>5.21</v>
      </c>
      <c r="D542" s="92"/>
    </row>
    <row r="543" spans="1:4" ht="15.75" outlineLevel="1">
      <c r="A543" s="31" t="s">
        <v>39</v>
      </c>
      <c r="B543" s="32" t="s">
        <v>121</v>
      </c>
      <c r="C543" s="31">
        <v>5.53</v>
      </c>
      <c r="D543" s="92"/>
    </row>
    <row r="544" spans="1:4" ht="15.75" outlineLevel="1">
      <c r="A544" s="31" t="s">
        <v>39</v>
      </c>
      <c r="B544" s="32" t="s">
        <v>61</v>
      </c>
      <c r="C544" s="31">
        <v>5.54</v>
      </c>
      <c r="D544" s="92"/>
    </row>
    <row r="545" spans="1:4" ht="15.75" outlineLevel="1">
      <c r="A545" s="31" t="s">
        <v>39</v>
      </c>
      <c r="B545" s="32" t="s">
        <v>122</v>
      </c>
      <c r="C545" s="31">
        <v>5.58</v>
      </c>
      <c r="D545" s="92"/>
    </row>
    <row r="546" spans="1:4" ht="15.75" outlineLevel="1">
      <c r="A546" s="31" t="s">
        <v>39</v>
      </c>
      <c r="B546" s="32" t="s">
        <v>123</v>
      </c>
      <c r="C546" s="31">
        <v>5.1180000000000003</v>
      </c>
      <c r="D546" s="92"/>
    </row>
    <row r="547" spans="1:4" ht="15.75" outlineLevel="1">
      <c r="A547" s="31" t="s">
        <v>39</v>
      </c>
      <c r="B547" s="32" t="s">
        <v>124</v>
      </c>
      <c r="C547" s="31">
        <v>5.47</v>
      </c>
      <c r="D547" s="92"/>
    </row>
    <row r="548" spans="1:4" ht="15.75" outlineLevel="1">
      <c r="A548" s="31" t="s">
        <v>39</v>
      </c>
      <c r="B548" s="32" t="s">
        <v>125</v>
      </c>
      <c r="C548" s="31">
        <v>5.48</v>
      </c>
      <c r="D548" s="92"/>
    </row>
    <row r="549" spans="1:4" ht="15.75" outlineLevel="1">
      <c r="A549" s="31" t="s">
        <v>39</v>
      </c>
      <c r="B549" s="32" t="s">
        <v>126</v>
      </c>
      <c r="C549" s="31">
        <v>5.21</v>
      </c>
      <c r="D549" s="92"/>
    </row>
    <row r="550" spans="1:4" ht="15.75" outlineLevel="1">
      <c r="A550" s="31" t="s">
        <v>39</v>
      </c>
      <c r="B550" s="32" t="s">
        <v>127</v>
      </c>
      <c r="C550" s="31">
        <v>5.53</v>
      </c>
      <c r="D550" s="92"/>
    </row>
    <row r="551" spans="1:4" ht="15.75" outlineLevel="1">
      <c r="A551" s="31" t="s">
        <v>39</v>
      </c>
      <c r="B551" s="32" t="s">
        <v>61</v>
      </c>
      <c r="C551" s="31">
        <v>5.54</v>
      </c>
      <c r="D551" s="92"/>
    </row>
    <row r="552" spans="1:4" ht="15.75" outlineLevel="1">
      <c r="A552" s="31" t="s">
        <v>39</v>
      </c>
      <c r="B552" s="32" t="s">
        <v>128</v>
      </c>
      <c r="C552" s="31">
        <v>5.58</v>
      </c>
      <c r="D552" s="92"/>
    </row>
    <row r="553" spans="1:4" ht="15.75" outlineLevel="1">
      <c r="A553" s="31" t="s">
        <v>39</v>
      </c>
      <c r="B553" s="32" t="s">
        <v>129</v>
      </c>
      <c r="C553" s="31">
        <v>5.1180000000000003</v>
      </c>
      <c r="D553" s="92"/>
    </row>
    <row r="554" spans="1:4" ht="15.75" outlineLevel="1">
      <c r="A554" s="31" t="s">
        <v>39</v>
      </c>
      <c r="B554" s="32" t="s">
        <v>1088</v>
      </c>
      <c r="C554" s="31">
        <v>5.47</v>
      </c>
      <c r="D554" s="92"/>
    </row>
    <row r="555" spans="1:4" ht="15.75" outlineLevel="1">
      <c r="A555" s="31" t="s">
        <v>39</v>
      </c>
      <c r="B555" s="32" t="s">
        <v>1089</v>
      </c>
      <c r="C555" s="31">
        <v>5.48</v>
      </c>
      <c r="D555" s="92"/>
    </row>
    <row r="556" spans="1:4" ht="15.75" outlineLevel="1">
      <c r="A556" s="31" t="s">
        <v>39</v>
      </c>
      <c r="B556" s="32" t="s">
        <v>1090</v>
      </c>
      <c r="C556" s="31">
        <v>5.63</v>
      </c>
      <c r="D556" s="92"/>
    </row>
    <row r="557" spans="1:4" ht="15.75" outlineLevel="1">
      <c r="A557" s="31" t="s">
        <v>39</v>
      </c>
      <c r="B557" s="32" t="s">
        <v>55</v>
      </c>
      <c r="C557" s="31">
        <v>5.27</v>
      </c>
      <c r="D557" s="92"/>
    </row>
    <row r="558" spans="1:4" ht="15.75" outlineLevel="1">
      <c r="A558" s="31" t="s">
        <v>39</v>
      </c>
      <c r="B558" s="32" t="s">
        <v>69</v>
      </c>
      <c r="C558" s="31">
        <v>5.28</v>
      </c>
      <c r="D558" s="92"/>
    </row>
    <row r="559" spans="1:4" ht="15.75" outlineLevel="1">
      <c r="A559" s="31" t="s">
        <v>39</v>
      </c>
      <c r="B559" s="32" t="s">
        <v>133</v>
      </c>
      <c r="C559" s="31">
        <v>5.35</v>
      </c>
      <c r="D559" s="92"/>
    </row>
    <row r="560" spans="1:4" ht="15.75" outlineLevel="1">
      <c r="A560" s="31" t="s">
        <v>39</v>
      </c>
      <c r="B560" s="32" t="s">
        <v>134</v>
      </c>
      <c r="C560" s="31">
        <v>5.1189999999999998</v>
      </c>
      <c r="D560" s="92"/>
    </row>
    <row r="561" spans="1:4" ht="15.75" outlineLevel="1">
      <c r="A561" s="31" t="s">
        <v>39</v>
      </c>
      <c r="B561" s="32" t="s">
        <v>135</v>
      </c>
      <c r="C561" s="34">
        <v>5.12</v>
      </c>
      <c r="D561" s="92"/>
    </row>
    <row r="562" spans="1:4" ht="15.75" outlineLevel="1">
      <c r="A562" s="31" t="s">
        <v>39</v>
      </c>
      <c r="B562" s="32" t="s">
        <v>136</v>
      </c>
      <c r="C562" s="31">
        <v>5.1210000000000004</v>
      </c>
      <c r="D562" s="92"/>
    </row>
    <row r="563" spans="1:4" ht="15.75" outlineLevel="1">
      <c r="A563" s="31" t="s">
        <v>39</v>
      </c>
      <c r="B563" s="32" t="s">
        <v>56</v>
      </c>
      <c r="C563" s="31">
        <v>5.36</v>
      </c>
      <c r="D563" s="92"/>
    </row>
    <row r="564" spans="1:4" ht="15.75" outlineLevel="1">
      <c r="A564" s="31" t="s">
        <v>39</v>
      </c>
      <c r="B564" s="32" t="s">
        <v>137</v>
      </c>
      <c r="C564" s="31">
        <v>5.1219999999999999</v>
      </c>
      <c r="D564" s="92"/>
    </row>
    <row r="565" spans="1:4" ht="15.75" outlineLevel="1">
      <c r="A565" s="31" t="s">
        <v>39</v>
      </c>
      <c r="B565" s="32" t="s">
        <v>138</v>
      </c>
      <c r="C565" s="31">
        <v>5.1230000000000002</v>
      </c>
      <c r="D565" s="92"/>
    </row>
    <row r="566" spans="1:4" ht="15.75" outlineLevel="1">
      <c r="A566" s="31" t="s">
        <v>39</v>
      </c>
      <c r="B566" s="32" t="s">
        <v>139</v>
      </c>
      <c r="C566" s="31">
        <v>5.1239999999999997</v>
      </c>
      <c r="D566" s="92"/>
    </row>
    <row r="567" spans="1:4" ht="15.75" outlineLevel="1">
      <c r="A567" s="31" t="s">
        <v>39</v>
      </c>
      <c r="B567" s="32" t="s">
        <v>140</v>
      </c>
      <c r="C567" s="31">
        <v>5.125</v>
      </c>
      <c r="D567" s="92"/>
    </row>
    <row r="568" spans="1:4" ht="15.75" outlineLevel="1">
      <c r="A568" s="31" t="s">
        <v>39</v>
      </c>
      <c r="B568" s="32" t="s">
        <v>141</v>
      </c>
      <c r="C568" s="31">
        <v>5.1260000000000003</v>
      </c>
      <c r="D568" s="92"/>
    </row>
    <row r="569" spans="1:4" ht="15.75" outlineLevel="1">
      <c r="A569" s="31" t="s">
        <v>39</v>
      </c>
      <c r="B569" s="32" t="s">
        <v>142</v>
      </c>
      <c r="C569" s="31">
        <v>5.1269999999999998</v>
      </c>
      <c r="D569" s="92"/>
    </row>
    <row r="570" spans="1:4" ht="15.75" outlineLevel="1">
      <c r="A570" s="31" t="s">
        <v>39</v>
      </c>
      <c r="B570" s="32" t="s">
        <v>85</v>
      </c>
      <c r="C570" s="33">
        <v>5.72</v>
      </c>
      <c r="D570" s="92"/>
    </row>
    <row r="571" spans="1:4" ht="15.75" outlineLevel="1">
      <c r="A571" s="31" t="s">
        <v>39</v>
      </c>
      <c r="B571" s="32" t="s">
        <v>143</v>
      </c>
      <c r="C571" s="31">
        <v>5.1280000000000001</v>
      </c>
      <c r="D571" s="92"/>
    </row>
    <row r="572" spans="1:4" ht="15.75" outlineLevel="1">
      <c r="A572" s="31" t="s">
        <v>39</v>
      </c>
      <c r="B572" s="32" t="s">
        <v>144</v>
      </c>
      <c r="C572" s="31">
        <v>5.1289999999999996</v>
      </c>
      <c r="D572" s="91" t="s">
        <v>1080</v>
      </c>
    </row>
    <row r="573" spans="1:4" ht="15.75" outlineLevel="1">
      <c r="A573" s="31" t="s">
        <v>39</v>
      </c>
      <c r="B573" s="32" t="s">
        <v>145</v>
      </c>
      <c r="C573" s="31">
        <v>5.1310000000000002</v>
      </c>
      <c r="D573" s="92"/>
    </row>
    <row r="574" spans="1:4" ht="15.75" outlineLevel="1">
      <c r="A574" s="31" t="s">
        <v>39</v>
      </c>
      <c r="B574" s="32" t="s">
        <v>146</v>
      </c>
      <c r="C574" s="31">
        <v>5.1319999999999997</v>
      </c>
      <c r="D574" s="91" t="s">
        <v>1080</v>
      </c>
    </row>
    <row r="575" spans="1:4" ht="15.75" outlineLevel="1">
      <c r="A575" s="31" t="s">
        <v>39</v>
      </c>
      <c r="B575" s="32" t="s">
        <v>147</v>
      </c>
      <c r="C575" s="31">
        <v>5.133</v>
      </c>
      <c r="D575" s="91" t="s">
        <v>1080</v>
      </c>
    </row>
    <row r="576" spans="1:4" ht="15.75" outlineLevel="1">
      <c r="A576" s="31" t="s">
        <v>39</v>
      </c>
      <c r="B576" s="32" t="s">
        <v>148</v>
      </c>
      <c r="C576" s="31">
        <v>5.1340000000000003</v>
      </c>
      <c r="D576" s="91" t="s">
        <v>1080</v>
      </c>
    </row>
    <row r="577" spans="1:4" ht="15.75" outlineLevel="1">
      <c r="A577" s="31" t="s">
        <v>39</v>
      </c>
      <c r="B577" s="32" t="s">
        <v>149</v>
      </c>
      <c r="C577" s="34">
        <v>5.13</v>
      </c>
      <c r="D577" s="92"/>
    </row>
    <row r="578" spans="1:4" ht="15.75" outlineLevel="1">
      <c r="A578" s="31" t="s">
        <v>39</v>
      </c>
      <c r="B578" s="32" t="s">
        <v>64</v>
      </c>
      <c r="C578" s="31">
        <v>5.47</v>
      </c>
      <c r="D578" s="92"/>
    </row>
    <row r="579" spans="1:4" ht="15.75" outlineLevel="1">
      <c r="A579" s="31" t="s">
        <v>39</v>
      </c>
      <c r="B579" s="32" t="s">
        <v>65</v>
      </c>
      <c r="C579" s="31">
        <v>5.48</v>
      </c>
      <c r="D579" s="92"/>
    </row>
    <row r="580" spans="1:4" ht="15.75">
      <c r="A580" s="36" t="s">
        <v>39</v>
      </c>
      <c r="B580" s="32"/>
      <c r="C580" s="31"/>
      <c r="D580" s="92"/>
    </row>
    <row r="581" spans="1:4" ht="15.75" outlineLevel="1">
      <c r="A581" s="31" t="s">
        <v>40</v>
      </c>
      <c r="B581" s="32" t="s">
        <v>49</v>
      </c>
      <c r="C581" s="31">
        <v>5.0999999999999996</v>
      </c>
      <c r="D581" s="92"/>
    </row>
    <row r="582" spans="1:4" ht="15.75" outlineLevel="1">
      <c r="A582" s="31" t="s">
        <v>40</v>
      </c>
      <c r="B582" s="32" t="s">
        <v>50</v>
      </c>
      <c r="C582" s="31">
        <v>5.2</v>
      </c>
      <c r="D582" s="92"/>
    </row>
    <row r="583" spans="1:4" ht="15.75" outlineLevel="1">
      <c r="A583" s="31" t="s">
        <v>40</v>
      </c>
      <c r="B583" s="32" t="s">
        <v>150</v>
      </c>
      <c r="C583" s="31">
        <v>5.9</v>
      </c>
      <c r="D583" s="91" t="s">
        <v>1080</v>
      </c>
    </row>
    <row r="584" spans="1:4" ht="15.75" outlineLevel="1">
      <c r="A584" s="31" t="s">
        <v>40</v>
      </c>
      <c r="B584" s="32" t="s">
        <v>151</v>
      </c>
      <c r="C584" s="31">
        <v>5.13</v>
      </c>
      <c r="D584" s="91" t="s">
        <v>1080</v>
      </c>
    </row>
    <row r="585" spans="1:4" ht="15.75" outlineLevel="1">
      <c r="A585" s="31" t="s">
        <v>40</v>
      </c>
      <c r="B585" s="32" t="s">
        <v>152</v>
      </c>
      <c r="C585" s="31">
        <v>5.16</v>
      </c>
      <c r="D585" s="91" t="s">
        <v>1080</v>
      </c>
    </row>
    <row r="586" spans="1:4" ht="15.75" outlineLevel="1">
      <c r="A586" s="31" t="s">
        <v>40</v>
      </c>
      <c r="B586" s="32" t="s">
        <v>153</v>
      </c>
      <c r="C586" s="31">
        <v>5.22</v>
      </c>
      <c r="D586" s="91"/>
    </row>
    <row r="587" spans="1:4" ht="15.75" outlineLevel="1">
      <c r="A587" s="31" t="s">
        <v>40</v>
      </c>
      <c r="B587" s="32" t="s">
        <v>54</v>
      </c>
      <c r="C587" s="31">
        <v>5.26</v>
      </c>
      <c r="D587" s="92"/>
    </row>
    <row r="588" spans="1:4" ht="15.75" outlineLevel="1">
      <c r="A588" s="31" t="s">
        <v>40</v>
      </c>
      <c r="B588" s="32" t="s">
        <v>154</v>
      </c>
      <c r="C588" s="31">
        <v>5.77</v>
      </c>
      <c r="D588" s="92"/>
    </row>
    <row r="589" spans="1:4" ht="15.75" outlineLevel="1">
      <c r="A589" s="31" t="s">
        <v>40</v>
      </c>
      <c r="B589" s="32" t="s">
        <v>55</v>
      </c>
      <c r="C589" s="31">
        <v>5.27</v>
      </c>
      <c r="D589" s="92"/>
    </row>
    <row r="590" spans="1:4" ht="15.75" outlineLevel="1">
      <c r="A590" s="31" t="s">
        <v>40</v>
      </c>
      <c r="B590" s="32" t="s">
        <v>69</v>
      </c>
      <c r="C590" s="31">
        <v>5.28</v>
      </c>
      <c r="D590" s="91" t="s">
        <v>1080</v>
      </c>
    </row>
    <row r="591" spans="1:4" ht="15.75" outlineLevel="1">
      <c r="A591" s="31" t="s">
        <v>40</v>
      </c>
      <c r="B591" s="32" t="s">
        <v>83</v>
      </c>
      <c r="C591" s="31">
        <v>5.31</v>
      </c>
      <c r="D591" s="92"/>
    </row>
    <row r="592" spans="1:4" ht="15.75" outlineLevel="1">
      <c r="A592" s="31" t="s">
        <v>40</v>
      </c>
      <c r="B592" s="32" t="s">
        <v>56</v>
      </c>
      <c r="C592" s="31">
        <v>5.36</v>
      </c>
      <c r="D592" s="92"/>
    </row>
    <row r="593" spans="1:4" ht="15.75" outlineLevel="1">
      <c r="A593" s="31" t="s">
        <v>40</v>
      </c>
      <c r="B593" s="32" t="s">
        <v>155</v>
      </c>
      <c r="C593" s="31">
        <v>5.78</v>
      </c>
      <c r="D593" s="92"/>
    </row>
    <row r="594" spans="1:4" ht="15.75" outlineLevel="1">
      <c r="A594" s="31" t="s">
        <v>40</v>
      </c>
      <c r="B594" s="32" t="s">
        <v>156</v>
      </c>
      <c r="C594" s="31">
        <v>5.79</v>
      </c>
      <c r="D594" s="91" t="s">
        <v>1080</v>
      </c>
    </row>
    <row r="595" spans="1:4" ht="15.75" outlineLevel="1">
      <c r="A595" s="31" t="s">
        <v>40</v>
      </c>
      <c r="B595" s="32" t="s">
        <v>157</v>
      </c>
      <c r="C595" s="31">
        <v>5.41</v>
      </c>
      <c r="D595" s="92"/>
    </row>
    <row r="596" spans="1:4" ht="15.75" outlineLevel="1">
      <c r="A596" s="31" t="s">
        <v>40</v>
      </c>
      <c r="B596" s="32" t="s">
        <v>71</v>
      </c>
      <c r="C596" s="31">
        <v>5.49</v>
      </c>
      <c r="D596" s="92"/>
    </row>
    <row r="597" spans="1:4" ht="15.75" outlineLevel="1">
      <c r="A597" s="31" t="s">
        <v>40</v>
      </c>
      <c r="B597" s="32" t="s">
        <v>58</v>
      </c>
      <c r="C597" s="31">
        <v>5.51</v>
      </c>
      <c r="D597" s="92"/>
    </row>
    <row r="598" spans="1:4" ht="15.75" outlineLevel="1">
      <c r="A598" s="31" t="s">
        <v>40</v>
      </c>
      <c r="B598" s="32" t="s">
        <v>1091</v>
      </c>
      <c r="C598" s="31">
        <v>5.52</v>
      </c>
      <c r="D598" s="92"/>
    </row>
    <row r="599" spans="1:4" ht="15.75" outlineLevel="1">
      <c r="A599" s="31" t="s">
        <v>40</v>
      </c>
      <c r="B599" s="32" t="s">
        <v>59</v>
      </c>
      <c r="C599" s="31">
        <v>5.53</v>
      </c>
      <c r="D599" s="92"/>
    </row>
    <row r="600" spans="1:4" ht="15.75" outlineLevel="1">
      <c r="A600" s="31" t="s">
        <v>40</v>
      </c>
      <c r="B600" s="32" t="s">
        <v>72</v>
      </c>
      <c r="C600" s="31">
        <v>5.69</v>
      </c>
      <c r="D600" s="92"/>
    </row>
    <row r="601" spans="1:4" ht="15.75" outlineLevel="1">
      <c r="A601" s="31" t="s">
        <v>40</v>
      </c>
      <c r="B601" s="32" t="s">
        <v>159</v>
      </c>
      <c r="C601" s="31">
        <v>5.71</v>
      </c>
      <c r="D601" s="92"/>
    </row>
    <row r="602" spans="1:4" ht="15.75" outlineLevel="1">
      <c r="A602" s="31" t="s">
        <v>40</v>
      </c>
      <c r="B602" s="32" t="s">
        <v>62</v>
      </c>
      <c r="C602" s="33">
        <v>5.7</v>
      </c>
      <c r="D602" s="92"/>
    </row>
    <row r="603" spans="1:4" ht="15.75" outlineLevel="1">
      <c r="A603" s="31" t="s">
        <v>40</v>
      </c>
      <c r="B603" s="32" t="s">
        <v>98</v>
      </c>
      <c r="C603" s="33">
        <v>5.8</v>
      </c>
      <c r="D603" s="91" t="s">
        <v>1080</v>
      </c>
    </row>
    <row r="604" spans="1:4" ht="15.75" outlineLevel="1">
      <c r="A604" s="31" t="s">
        <v>40</v>
      </c>
      <c r="B604" s="32" t="s">
        <v>85</v>
      </c>
      <c r="C604" s="33">
        <v>5.72</v>
      </c>
      <c r="D604" s="91" t="s">
        <v>1080</v>
      </c>
    </row>
    <row r="605" spans="1:4" ht="15.75" outlineLevel="1">
      <c r="A605" s="31" t="s">
        <v>40</v>
      </c>
      <c r="B605" s="32" t="s">
        <v>160</v>
      </c>
      <c r="C605" s="31">
        <v>5.73</v>
      </c>
      <c r="D605" s="91" t="s">
        <v>1080</v>
      </c>
    </row>
    <row r="606" spans="1:4" ht="15.75" outlineLevel="1">
      <c r="A606" s="31" t="s">
        <v>40</v>
      </c>
      <c r="B606" s="32" t="s">
        <v>74</v>
      </c>
      <c r="C606" s="31">
        <v>5.74</v>
      </c>
      <c r="D606" s="92"/>
    </row>
    <row r="607" spans="1:4" ht="15.75" outlineLevel="1">
      <c r="A607" s="31" t="s">
        <v>40</v>
      </c>
      <c r="B607" s="32" t="s">
        <v>73</v>
      </c>
      <c r="C607" s="31">
        <v>5.75</v>
      </c>
      <c r="D607" s="92"/>
    </row>
    <row r="608" spans="1:4" ht="15.75" outlineLevel="1">
      <c r="A608" s="31" t="s">
        <v>40</v>
      </c>
      <c r="B608" s="32" t="s">
        <v>86</v>
      </c>
      <c r="C608" s="31">
        <v>5.76</v>
      </c>
      <c r="D608" s="92"/>
    </row>
    <row r="609" spans="1:4" ht="15.75" outlineLevel="1">
      <c r="A609" s="31" t="s">
        <v>40</v>
      </c>
      <c r="B609" s="32" t="s">
        <v>161</v>
      </c>
      <c r="C609" s="31">
        <v>5.81</v>
      </c>
      <c r="D609" s="91" t="s">
        <v>1080</v>
      </c>
    </row>
    <row r="610" spans="1:4" ht="15.75" outlineLevel="1">
      <c r="A610" s="31" t="s">
        <v>40</v>
      </c>
      <c r="B610" s="32" t="s">
        <v>162</v>
      </c>
      <c r="C610" s="31">
        <v>5.82</v>
      </c>
      <c r="D610" s="91" t="s">
        <v>1080</v>
      </c>
    </row>
    <row r="611" spans="1:4" ht="15.75" outlineLevel="1">
      <c r="A611" s="31" t="s">
        <v>40</v>
      </c>
      <c r="B611" s="32" t="s">
        <v>163</v>
      </c>
      <c r="C611" s="31">
        <v>5.83</v>
      </c>
      <c r="D611" s="91" t="s">
        <v>1080</v>
      </c>
    </row>
    <row r="612" spans="1:4" ht="15.75" outlineLevel="1">
      <c r="A612" s="31" t="s">
        <v>40</v>
      </c>
      <c r="B612" s="32" t="s">
        <v>164</v>
      </c>
      <c r="C612" s="31">
        <v>5.84</v>
      </c>
      <c r="D612" s="92"/>
    </row>
    <row r="613" spans="1:4" ht="15.75" outlineLevel="1">
      <c r="A613" s="31" t="s">
        <v>40</v>
      </c>
      <c r="B613" s="32" t="s">
        <v>165</v>
      </c>
      <c r="C613" s="31">
        <v>5.85</v>
      </c>
      <c r="D613" s="91" t="s">
        <v>1080</v>
      </c>
    </row>
    <row r="614" spans="1:4" ht="15.75" outlineLevel="1">
      <c r="A614" s="31" t="s">
        <v>40</v>
      </c>
      <c r="B614" s="32" t="s">
        <v>166</v>
      </c>
      <c r="C614" s="31">
        <v>5.86</v>
      </c>
      <c r="D614" s="91" t="s">
        <v>1080</v>
      </c>
    </row>
    <row r="615" spans="1:4" ht="15.75" outlineLevel="1">
      <c r="A615" s="31" t="s">
        <v>40</v>
      </c>
      <c r="B615" s="32" t="s">
        <v>167</v>
      </c>
      <c r="C615" s="31">
        <v>5.88</v>
      </c>
      <c r="D615" s="91" t="s">
        <v>1080</v>
      </c>
    </row>
    <row r="616" spans="1:4" ht="15.75" outlineLevel="1">
      <c r="A616" s="31" t="s">
        <v>40</v>
      </c>
      <c r="B616" s="32" t="s">
        <v>168</v>
      </c>
      <c r="C616" s="31">
        <v>5.87</v>
      </c>
      <c r="D616" s="92"/>
    </row>
    <row r="617" spans="1:4" ht="15.75" outlineLevel="1">
      <c r="A617" s="31" t="s">
        <v>40</v>
      </c>
      <c r="B617" s="32" t="s">
        <v>103</v>
      </c>
      <c r="C617" s="31">
        <v>5.109</v>
      </c>
      <c r="D617" s="92"/>
    </row>
    <row r="618" spans="1:4" ht="15.75" outlineLevel="1">
      <c r="A618" s="31" t="s">
        <v>40</v>
      </c>
      <c r="B618" s="32" t="s">
        <v>105</v>
      </c>
      <c r="C618" s="34">
        <v>5.1100000000000003</v>
      </c>
      <c r="D618" s="91" t="s">
        <v>1080</v>
      </c>
    </row>
    <row r="619" spans="1:4" ht="15.75" outlineLevel="1">
      <c r="A619" s="31" t="s">
        <v>40</v>
      </c>
      <c r="B619" s="32" t="s">
        <v>104</v>
      </c>
      <c r="C619" s="31">
        <v>5.1109999999999998</v>
      </c>
      <c r="D619" s="92"/>
    </row>
    <row r="620" spans="1:4" ht="15.75" outlineLevel="1">
      <c r="A620" s="31" t="s">
        <v>40</v>
      </c>
      <c r="B620" s="32" t="s">
        <v>106</v>
      </c>
      <c r="C620" s="31">
        <v>5.1120000000000001</v>
      </c>
      <c r="D620" s="92"/>
    </row>
    <row r="621" spans="1:4" ht="15.75" outlineLevel="1">
      <c r="A621" s="31" t="s">
        <v>40</v>
      </c>
      <c r="B621" s="32" t="s">
        <v>1085</v>
      </c>
      <c r="C621" s="31">
        <v>5.1130000000000004</v>
      </c>
      <c r="D621" s="92"/>
    </row>
    <row r="622" spans="1:4" ht="15.75" outlineLevel="1">
      <c r="A622" s="31" t="s">
        <v>40</v>
      </c>
      <c r="B622" s="32" t="s">
        <v>169</v>
      </c>
      <c r="C622" s="31">
        <v>5.99</v>
      </c>
      <c r="D622" s="91" t="s">
        <v>1080</v>
      </c>
    </row>
    <row r="623" spans="1:4" ht="15.75" outlineLevel="1">
      <c r="A623" s="31" t="s">
        <v>40</v>
      </c>
      <c r="B623" s="32" t="s">
        <v>170</v>
      </c>
      <c r="C623" s="31">
        <v>5.58</v>
      </c>
      <c r="D623" s="91"/>
    </row>
    <row r="624" spans="1:4" ht="15.75" outlineLevel="1">
      <c r="A624" s="31" t="s">
        <v>40</v>
      </c>
      <c r="B624" s="32" t="s">
        <v>61</v>
      </c>
      <c r="C624" s="31">
        <v>5.54</v>
      </c>
      <c r="D624" s="92"/>
    </row>
    <row r="625" spans="1:4" ht="15.75" outlineLevel="1">
      <c r="A625" s="31" t="s">
        <v>40</v>
      </c>
      <c r="B625" s="32" t="s">
        <v>171</v>
      </c>
      <c r="C625" s="31">
        <v>5.56</v>
      </c>
      <c r="D625" s="92"/>
    </row>
    <row r="626" spans="1:4" ht="15.75" outlineLevel="1">
      <c r="A626" s="31" t="s">
        <v>40</v>
      </c>
      <c r="B626" s="32" t="s">
        <v>63</v>
      </c>
      <c r="C626" s="31">
        <v>5.63</v>
      </c>
      <c r="D626" s="92"/>
    </row>
    <row r="627" spans="1:4" ht="15.75" outlineLevel="1">
      <c r="A627" s="31" t="s">
        <v>40</v>
      </c>
      <c r="B627" s="32" t="s">
        <v>172</v>
      </c>
      <c r="C627" s="31">
        <v>5.64</v>
      </c>
      <c r="D627" s="92"/>
    </row>
    <row r="628" spans="1:4" ht="15.75" outlineLevel="1">
      <c r="A628" s="31" t="s">
        <v>40</v>
      </c>
      <c r="B628" s="32" t="s">
        <v>78</v>
      </c>
      <c r="C628" s="31">
        <v>5.65</v>
      </c>
      <c r="D628" s="92"/>
    </row>
    <row r="629" spans="1:4" ht="15.75" outlineLevel="1">
      <c r="A629" s="31" t="s">
        <v>40</v>
      </c>
      <c r="B629" s="32" t="s">
        <v>88</v>
      </c>
      <c r="C629" s="31">
        <v>5.66</v>
      </c>
      <c r="D629" s="92"/>
    </row>
    <row r="630" spans="1:4" ht="15.75" outlineLevel="1">
      <c r="A630" s="31" t="s">
        <v>40</v>
      </c>
      <c r="B630" s="32" t="s">
        <v>87</v>
      </c>
      <c r="C630" s="31">
        <v>5.89</v>
      </c>
      <c r="D630" s="91" t="s">
        <v>1080</v>
      </c>
    </row>
    <row r="631" spans="1:4" ht="15.75" outlineLevel="1">
      <c r="A631" s="31" t="s">
        <v>40</v>
      </c>
      <c r="B631" s="32" t="s">
        <v>17</v>
      </c>
      <c r="C631" s="31">
        <v>5.68</v>
      </c>
      <c r="D631" s="92"/>
    </row>
    <row r="632" spans="1:4" ht="15.75" outlineLevel="1">
      <c r="A632" s="31" t="s">
        <v>40</v>
      </c>
      <c r="B632" s="32" t="s">
        <v>64</v>
      </c>
      <c r="C632" s="31">
        <v>5.47</v>
      </c>
      <c r="D632" s="92"/>
    </row>
    <row r="633" spans="1:4" ht="15.75" outlineLevel="1">
      <c r="A633" s="31" t="s">
        <v>40</v>
      </c>
      <c r="B633" s="32" t="s">
        <v>65</v>
      </c>
      <c r="C633" s="31">
        <v>5.48</v>
      </c>
      <c r="D633" s="92"/>
    </row>
    <row r="634" spans="1:4" ht="15.75">
      <c r="A634" s="36" t="s">
        <v>40</v>
      </c>
      <c r="B634" s="32"/>
      <c r="C634" s="31"/>
      <c r="D634" s="92"/>
    </row>
    <row r="635" spans="1:4" ht="15.75" outlineLevel="1">
      <c r="A635" s="31" t="s">
        <v>41</v>
      </c>
      <c r="B635" s="32" t="s">
        <v>49</v>
      </c>
      <c r="C635" s="31">
        <v>5.0999999999999996</v>
      </c>
      <c r="D635" s="92"/>
    </row>
    <row r="636" spans="1:4" ht="15.75" outlineLevel="1">
      <c r="A636" s="31" t="s">
        <v>41</v>
      </c>
      <c r="B636" s="32" t="s">
        <v>50</v>
      </c>
      <c r="C636" s="31">
        <v>5.2</v>
      </c>
      <c r="D636" s="92"/>
    </row>
    <row r="637" spans="1:4" ht="15.75" outlineLevel="1">
      <c r="A637" s="31" t="s">
        <v>41</v>
      </c>
      <c r="B637" s="32" t="s">
        <v>66</v>
      </c>
      <c r="C637" s="31">
        <v>5.3</v>
      </c>
      <c r="D637" s="92"/>
    </row>
    <row r="638" spans="1:4" ht="15.75" outlineLevel="1">
      <c r="A638" s="31" t="s">
        <v>41</v>
      </c>
      <c r="B638" s="32" t="s">
        <v>80</v>
      </c>
      <c r="C638" s="31">
        <v>5.6</v>
      </c>
      <c r="D638" s="92"/>
    </row>
    <row r="639" spans="1:4" ht="15.75" outlineLevel="1">
      <c r="A639" s="31" t="s">
        <v>41</v>
      </c>
      <c r="B639" s="32" t="s">
        <v>1081</v>
      </c>
      <c r="C639" s="33">
        <v>5.0999999999999996</v>
      </c>
      <c r="D639" s="92"/>
    </row>
    <row r="640" spans="1:4" ht="15.75" outlineLevel="1">
      <c r="A640" s="31" t="s">
        <v>41</v>
      </c>
      <c r="B640" s="32" t="s">
        <v>91</v>
      </c>
      <c r="C640" s="31">
        <v>5.14</v>
      </c>
      <c r="D640" s="92"/>
    </row>
    <row r="641" spans="1:4" ht="15.75" outlineLevel="1">
      <c r="A641" s="31" t="s">
        <v>41</v>
      </c>
      <c r="B641" s="32" t="s">
        <v>68</v>
      </c>
      <c r="C641" s="31">
        <v>5.19</v>
      </c>
      <c r="D641" s="92"/>
    </row>
    <row r="642" spans="1:4" ht="15.75" outlineLevel="1">
      <c r="A642" s="31" t="s">
        <v>41</v>
      </c>
      <c r="B642" s="32" t="s">
        <v>82</v>
      </c>
      <c r="C642" s="31">
        <v>5.24</v>
      </c>
      <c r="D642" s="92"/>
    </row>
    <row r="643" spans="1:4" ht="15.75" outlineLevel="1">
      <c r="A643" s="31" t="s">
        <v>41</v>
      </c>
      <c r="B643" s="32" t="s">
        <v>54</v>
      </c>
      <c r="C643" s="31">
        <v>5.26</v>
      </c>
      <c r="D643" s="92"/>
    </row>
    <row r="644" spans="1:4" ht="15.75" outlineLevel="1">
      <c r="A644" s="31" t="s">
        <v>41</v>
      </c>
      <c r="B644" s="32" t="s">
        <v>55</v>
      </c>
      <c r="C644" s="31">
        <v>5.27</v>
      </c>
      <c r="D644" s="92"/>
    </row>
    <row r="645" spans="1:4" ht="15.75" outlineLevel="1">
      <c r="A645" s="31" t="s">
        <v>41</v>
      </c>
      <c r="B645" s="32" t="s">
        <v>69</v>
      </c>
      <c r="C645" s="31">
        <v>5.28</v>
      </c>
      <c r="D645" s="92"/>
    </row>
    <row r="646" spans="1:4" ht="15.75" outlineLevel="1">
      <c r="A646" s="31" t="s">
        <v>41</v>
      </c>
      <c r="B646" s="32" t="s">
        <v>56</v>
      </c>
      <c r="C646" s="31">
        <v>5.36</v>
      </c>
      <c r="D646" s="92"/>
    </row>
    <row r="647" spans="1:4" ht="15.75" outlineLevel="1">
      <c r="A647" s="31" t="s">
        <v>41</v>
      </c>
      <c r="B647" s="32" t="s">
        <v>96</v>
      </c>
      <c r="C647" s="31">
        <v>5.33</v>
      </c>
      <c r="D647" s="92"/>
    </row>
    <row r="648" spans="1:4" ht="15.75" outlineLevel="1">
      <c r="A648" s="31" t="s">
        <v>41</v>
      </c>
      <c r="B648" s="32" t="s">
        <v>97</v>
      </c>
      <c r="C648" s="31">
        <v>5.37</v>
      </c>
      <c r="D648" s="92"/>
    </row>
    <row r="649" spans="1:4" ht="15.75" outlineLevel="1">
      <c r="A649" s="31" t="s">
        <v>41</v>
      </c>
      <c r="B649" s="32" t="s">
        <v>71</v>
      </c>
      <c r="C649" s="31">
        <v>5.49</v>
      </c>
      <c r="D649" s="92"/>
    </row>
    <row r="650" spans="1:4" ht="15.75" outlineLevel="1">
      <c r="A650" s="31" t="s">
        <v>41</v>
      </c>
      <c r="B650" s="32" t="s">
        <v>58</v>
      </c>
      <c r="C650" s="31">
        <v>5.51</v>
      </c>
      <c r="D650" s="92"/>
    </row>
    <row r="651" spans="1:4" ht="15.75" outlineLevel="1">
      <c r="A651" s="31" t="s">
        <v>41</v>
      </c>
      <c r="B651" s="32" t="s">
        <v>1082</v>
      </c>
      <c r="C651" s="31">
        <v>5.52</v>
      </c>
      <c r="D651" s="92"/>
    </row>
    <row r="652" spans="1:4" ht="15.75" outlineLevel="1">
      <c r="A652" s="31" t="s">
        <v>41</v>
      </c>
      <c r="B652" s="32" t="s">
        <v>59</v>
      </c>
      <c r="C652" s="31">
        <v>5.53</v>
      </c>
      <c r="D652" s="92"/>
    </row>
    <row r="653" spans="1:4" ht="15.75" outlineLevel="1">
      <c r="A653" s="31" t="s">
        <v>41</v>
      </c>
      <c r="B653" s="32" t="s">
        <v>72</v>
      </c>
      <c r="C653" s="31">
        <v>5.69</v>
      </c>
      <c r="D653" s="92"/>
    </row>
    <row r="654" spans="1:4" ht="15.75" outlineLevel="1">
      <c r="A654" s="31" t="s">
        <v>41</v>
      </c>
      <c r="B654" s="32" t="s">
        <v>62</v>
      </c>
      <c r="C654" s="33">
        <v>5.7</v>
      </c>
      <c r="D654" s="92"/>
    </row>
    <row r="655" spans="1:4" ht="15.75" outlineLevel="1">
      <c r="A655" s="31" t="s">
        <v>41</v>
      </c>
      <c r="B655" s="32" t="s">
        <v>74</v>
      </c>
      <c r="C655" s="31">
        <v>5.74</v>
      </c>
      <c r="D655" s="92"/>
    </row>
    <row r="656" spans="1:4" ht="15.75" outlineLevel="1">
      <c r="A656" s="31" t="s">
        <v>41</v>
      </c>
      <c r="B656" s="32" t="s">
        <v>103</v>
      </c>
      <c r="C656" s="31">
        <v>5.109</v>
      </c>
      <c r="D656" s="92"/>
    </row>
    <row r="657" spans="1:4" ht="15.75" outlineLevel="1">
      <c r="A657" s="31" t="s">
        <v>41</v>
      </c>
      <c r="B657" s="32" t="s">
        <v>104</v>
      </c>
      <c r="C657" s="31">
        <v>5.1109999999999998</v>
      </c>
      <c r="D657" s="92"/>
    </row>
    <row r="658" spans="1:4" ht="15.75" outlineLevel="1">
      <c r="A658" s="31" t="s">
        <v>41</v>
      </c>
      <c r="B658" s="32" t="s">
        <v>106</v>
      </c>
      <c r="C658" s="31">
        <v>5.1120000000000001</v>
      </c>
      <c r="D658" s="92"/>
    </row>
    <row r="659" spans="1:4" ht="15.75" outlineLevel="1">
      <c r="A659" s="31" t="s">
        <v>41</v>
      </c>
      <c r="B659" s="32" t="s">
        <v>76</v>
      </c>
      <c r="C659" s="31">
        <v>5.58</v>
      </c>
      <c r="D659" s="92"/>
    </row>
    <row r="660" spans="1:4" ht="15.75" outlineLevel="1">
      <c r="A660" s="31" t="s">
        <v>41</v>
      </c>
      <c r="B660" s="32" t="s">
        <v>61</v>
      </c>
      <c r="C660" s="31">
        <v>5.54</v>
      </c>
      <c r="D660" s="92"/>
    </row>
    <row r="661" spans="1:4" ht="15.75" outlineLevel="1">
      <c r="A661" s="31" t="s">
        <v>41</v>
      </c>
      <c r="B661" s="32" t="s">
        <v>77</v>
      </c>
      <c r="C661" s="31">
        <v>5.55</v>
      </c>
      <c r="D661" s="92"/>
    </row>
    <row r="662" spans="1:4" ht="15.75" outlineLevel="1">
      <c r="A662" s="31" t="s">
        <v>41</v>
      </c>
      <c r="B662" s="32" t="s">
        <v>63</v>
      </c>
      <c r="C662" s="31">
        <v>5.63</v>
      </c>
      <c r="D662" s="92"/>
    </row>
    <row r="663" spans="1:4" ht="15.75" outlineLevel="1">
      <c r="A663" s="31" t="s">
        <v>41</v>
      </c>
      <c r="B663" s="32" t="s">
        <v>64</v>
      </c>
      <c r="C663" s="31">
        <v>5.47</v>
      </c>
      <c r="D663" s="92"/>
    </row>
    <row r="664" spans="1:4" ht="15.75" outlineLevel="1">
      <c r="A664" s="31" t="s">
        <v>41</v>
      </c>
      <c r="B664" s="32" t="s">
        <v>65</v>
      </c>
      <c r="C664" s="31">
        <v>5.48</v>
      </c>
      <c r="D664" s="92"/>
    </row>
    <row r="665" spans="1:4" ht="15.75">
      <c r="A665" s="36" t="s">
        <v>41</v>
      </c>
      <c r="B665" s="32"/>
      <c r="C665" s="31"/>
      <c r="D665" s="92"/>
    </row>
    <row r="666" spans="1:4" ht="15.75" outlineLevel="1">
      <c r="A666" s="31" t="s">
        <v>42</v>
      </c>
      <c r="B666" s="32" t="s">
        <v>49</v>
      </c>
      <c r="C666" s="31">
        <v>5.0999999999999996</v>
      </c>
      <c r="D666" s="92"/>
    </row>
    <row r="667" spans="1:4" ht="15.75" outlineLevel="1">
      <c r="A667" s="31" t="s">
        <v>42</v>
      </c>
      <c r="B667" s="32" t="s">
        <v>50</v>
      </c>
      <c r="C667" s="31">
        <v>5.2</v>
      </c>
      <c r="D667" s="92"/>
    </row>
    <row r="668" spans="1:4" ht="15.75" outlineLevel="1">
      <c r="A668" s="31" t="s">
        <v>42</v>
      </c>
      <c r="B668" s="32" t="s">
        <v>51</v>
      </c>
      <c r="C668" s="31">
        <v>5.4</v>
      </c>
      <c r="D668" s="92"/>
    </row>
    <row r="669" spans="1:4" ht="15.75" outlineLevel="1">
      <c r="A669" s="31" t="s">
        <v>42</v>
      </c>
      <c r="B669" s="32" t="s">
        <v>52</v>
      </c>
      <c r="C669" s="31">
        <v>5.7</v>
      </c>
      <c r="D669" s="92"/>
    </row>
    <row r="670" spans="1:4" ht="15.75" outlineLevel="1">
      <c r="A670" s="31" t="s">
        <v>42</v>
      </c>
      <c r="B670" s="32" t="s">
        <v>53</v>
      </c>
      <c r="C670" s="31">
        <v>5.1100000000000003</v>
      </c>
      <c r="D670" s="92"/>
    </row>
    <row r="671" spans="1:4" ht="15.75" outlineLevel="1">
      <c r="A671" s="31" t="s">
        <v>42</v>
      </c>
      <c r="B671" s="32" t="s">
        <v>54</v>
      </c>
      <c r="C671" s="31">
        <v>5.26</v>
      </c>
      <c r="D671" s="92"/>
    </row>
    <row r="672" spans="1:4" ht="15.75" outlineLevel="1">
      <c r="A672" s="31" t="s">
        <v>42</v>
      </c>
      <c r="B672" s="32" t="s">
        <v>173</v>
      </c>
      <c r="C672" s="31">
        <v>5.43</v>
      </c>
      <c r="D672" s="92"/>
    </row>
    <row r="673" spans="1:4" ht="15.75" outlineLevel="1">
      <c r="A673" s="31" t="s">
        <v>42</v>
      </c>
      <c r="B673" s="32" t="s">
        <v>55</v>
      </c>
      <c r="C673" s="31">
        <v>5.27</v>
      </c>
      <c r="D673" s="92"/>
    </row>
    <row r="674" spans="1:4" ht="15.75" outlineLevel="1">
      <c r="A674" s="31" t="s">
        <v>42</v>
      </c>
      <c r="B674" s="32" t="s">
        <v>69</v>
      </c>
      <c r="C674" s="31">
        <v>5.28</v>
      </c>
      <c r="D674" s="92"/>
    </row>
    <row r="675" spans="1:4" ht="15.75" outlineLevel="1">
      <c r="A675" s="31" t="s">
        <v>42</v>
      </c>
      <c r="B675" s="32" t="s">
        <v>56</v>
      </c>
      <c r="C675" s="31">
        <v>5.36</v>
      </c>
      <c r="D675" s="92"/>
    </row>
    <row r="676" spans="1:4" ht="15.75" outlineLevel="1">
      <c r="A676" s="31" t="s">
        <v>42</v>
      </c>
      <c r="B676" s="32" t="s">
        <v>57</v>
      </c>
      <c r="C676" s="33">
        <v>5.5</v>
      </c>
      <c r="D676" s="92"/>
    </row>
    <row r="677" spans="1:4" ht="15.75" outlineLevel="1">
      <c r="A677" s="31" t="s">
        <v>42</v>
      </c>
      <c r="B677" s="32" t="s">
        <v>58</v>
      </c>
      <c r="C677" s="31">
        <v>5.51</v>
      </c>
      <c r="D677" s="92"/>
    </row>
    <row r="678" spans="1:4" ht="15.75" outlineLevel="1">
      <c r="A678" s="31" t="s">
        <v>42</v>
      </c>
      <c r="B678" s="32" t="s">
        <v>59</v>
      </c>
      <c r="C678" s="31">
        <v>5.53</v>
      </c>
      <c r="D678" s="92"/>
    </row>
    <row r="679" spans="1:4" ht="15.75" outlineLevel="1">
      <c r="A679" s="31" t="s">
        <v>42</v>
      </c>
      <c r="B679" s="32" t="s">
        <v>72</v>
      </c>
      <c r="C679" s="31">
        <v>5.69</v>
      </c>
      <c r="D679" s="92"/>
    </row>
    <row r="680" spans="1:4" ht="15.75" outlineLevel="1">
      <c r="A680" s="31" t="s">
        <v>42</v>
      </c>
      <c r="B680" s="32" t="s">
        <v>62</v>
      </c>
      <c r="C680" s="33">
        <v>5.7</v>
      </c>
      <c r="D680" s="91" t="s">
        <v>1080</v>
      </c>
    </row>
    <row r="681" spans="1:4" ht="15.75" outlineLevel="1">
      <c r="A681" s="31" t="s">
        <v>42</v>
      </c>
      <c r="B681" s="32" t="s">
        <v>74</v>
      </c>
      <c r="C681" s="31">
        <v>5.74</v>
      </c>
      <c r="D681" s="92"/>
    </row>
    <row r="682" spans="1:4" ht="15.75" outlineLevel="1">
      <c r="A682" s="31" t="s">
        <v>42</v>
      </c>
      <c r="B682" s="32" t="s">
        <v>60</v>
      </c>
      <c r="C682" s="31">
        <v>5.59</v>
      </c>
      <c r="D682" s="92"/>
    </row>
    <row r="683" spans="1:4" ht="15.75" outlineLevel="1">
      <c r="A683" s="31" t="s">
        <v>42</v>
      </c>
      <c r="B683" s="32" t="s">
        <v>61</v>
      </c>
      <c r="C683" s="31">
        <v>5.54</v>
      </c>
      <c r="D683" s="92"/>
    </row>
    <row r="684" spans="1:4" ht="15.75" outlineLevel="1">
      <c r="A684" s="31" t="s">
        <v>42</v>
      </c>
      <c r="B684" s="32" t="s">
        <v>174</v>
      </c>
      <c r="C684" s="31">
        <v>5.57</v>
      </c>
      <c r="D684" s="92"/>
    </row>
    <row r="685" spans="1:4" ht="15.75" outlineLevel="1">
      <c r="A685" s="31" t="s">
        <v>42</v>
      </c>
      <c r="B685" s="32" t="s">
        <v>63</v>
      </c>
      <c r="C685" s="31">
        <v>5.63</v>
      </c>
      <c r="D685" s="92"/>
    </row>
    <row r="686" spans="1:4" ht="15.75" outlineLevel="1">
      <c r="A686" s="31" t="s">
        <v>42</v>
      </c>
      <c r="B686" s="32" t="s">
        <v>64</v>
      </c>
      <c r="C686" s="31">
        <v>5.47</v>
      </c>
      <c r="D686" s="92"/>
    </row>
    <row r="687" spans="1:4" ht="15.75" outlineLevel="1">
      <c r="A687" s="31" t="s">
        <v>42</v>
      </c>
      <c r="B687" s="32" t="s">
        <v>65</v>
      </c>
      <c r="C687" s="31">
        <v>5.48</v>
      </c>
      <c r="D687" s="92"/>
    </row>
    <row r="688" spans="1:4" ht="15.75">
      <c r="A688" s="36" t="s">
        <v>42</v>
      </c>
      <c r="B688" s="32"/>
      <c r="C688" s="31"/>
      <c r="D688" s="92"/>
    </row>
    <row r="689" spans="1:4" ht="15.75" outlineLevel="1">
      <c r="A689" s="31" t="s">
        <v>43</v>
      </c>
      <c r="B689" s="32" t="s">
        <v>49</v>
      </c>
      <c r="C689" s="31">
        <v>5.0999999999999996</v>
      </c>
      <c r="D689" s="92"/>
    </row>
    <row r="690" spans="1:4" ht="15.75" outlineLevel="1">
      <c r="A690" s="31" t="s">
        <v>43</v>
      </c>
      <c r="B690" s="32" t="s">
        <v>50</v>
      </c>
      <c r="C690" s="31">
        <v>5.2</v>
      </c>
      <c r="D690" s="92"/>
    </row>
    <row r="691" spans="1:4" ht="15.75" outlineLevel="1">
      <c r="A691" s="31" t="s">
        <v>43</v>
      </c>
      <c r="B691" s="32" t="s">
        <v>175</v>
      </c>
      <c r="C691" s="31">
        <v>5.17</v>
      </c>
      <c r="D691" s="92"/>
    </row>
    <row r="692" spans="1:4" ht="15.75" outlineLevel="1">
      <c r="A692" s="31" t="s">
        <v>43</v>
      </c>
      <c r="B692" s="32" t="s">
        <v>54</v>
      </c>
      <c r="C692" s="31">
        <v>5.26</v>
      </c>
      <c r="D692" s="92"/>
    </row>
    <row r="693" spans="1:4" ht="15.75" outlineLevel="1">
      <c r="A693" s="31" t="s">
        <v>43</v>
      </c>
      <c r="B693" s="32" t="s">
        <v>176</v>
      </c>
      <c r="C693" s="31">
        <v>5.1029999999999998</v>
      </c>
      <c r="D693" s="92"/>
    </row>
    <row r="694" spans="1:4" ht="15.75" outlineLevel="1">
      <c r="A694" s="31" t="s">
        <v>43</v>
      </c>
      <c r="B694" s="32" t="s">
        <v>56</v>
      </c>
      <c r="C694" s="31">
        <v>5.36</v>
      </c>
      <c r="D694" s="92"/>
    </row>
    <row r="695" spans="1:4" ht="15.75" outlineLevel="1">
      <c r="A695" s="31" t="s">
        <v>43</v>
      </c>
      <c r="B695" s="32" t="s">
        <v>97</v>
      </c>
      <c r="C695" s="31">
        <v>5.37</v>
      </c>
      <c r="D695" s="92"/>
    </row>
    <row r="696" spans="1:4" ht="15.75" outlineLevel="1">
      <c r="A696" s="31" t="s">
        <v>43</v>
      </c>
      <c r="B696" s="32" t="s">
        <v>177</v>
      </c>
      <c r="C696" s="31">
        <v>5.1040000000000001</v>
      </c>
      <c r="D696" s="92"/>
    </row>
    <row r="697" spans="1:4" ht="15.75" outlineLevel="1">
      <c r="A697" s="31" t="s">
        <v>43</v>
      </c>
      <c r="B697" s="32" t="s">
        <v>178</v>
      </c>
      <c r="C697" s="31">
        <v>5.1050000000000004</v>
      </c>
      <c r="D697" s="92"/>
    </row>
    <row r="698" spans="1:4" ht="15.75" outlineLevel="1">
      <c r="A698" s="31" t="s">
        <v>43</v>
      </c>
      <c r="B698" s="32" t="s">
        <v>179</v>
      </c>
      <c r="C698" s="31">
        <v>5.1059999999999999</v>
      </c>
      <c r="D698" s="92"/>
    </row>
    <row r="699" spans="1:4" ht="15.75" outlineLevel="1">
      <c r="A699" s="31" t="s">
        <v>43</v>
      </c>
      <c r="B699" s="32" t="s">
        <v>180</v>
      </c>
      <c r="C699" s="31">
        <v>5.1070000000000002</v>
      </c>
      <c r="D699" s="92"/>
    </row>
    <row r="700" spans="1:4" ht="15.75" outlineLevel="1">
      <c r="A700" s="31" t="s">
        <v>43</v>
      </c>
      <c r="B700" s="32" t="s">
        <v>874</v>
      </c>
      <c r="C700" s="31">
        <v>5.1079999999999997</v>
      </c>
      <c r="D700" s="91" t="s">
        <v>1080</v>
      </c>
    </row>
    <row r="701" spans="1:4" ht="15.75" outlineLevel="1">
      <c r="A701" s="31" t="s">
        <v>43</v>
      </c>
      <c r="B701" s="32" t="s">
        <v>103</v>
      </c>
      <c r="C701" s="31">
        <v>5.109</v>
      </c>
      <c r="D701" s="92"/>
    </row>
    <row r="702" spans="1:4" ht="15.75" outlineLevel="1">
      <c r="A702" s="31" t="s">
        <v>43</v>
      </c>
      <c r="B702" s="32" t="s">
        <v>105</v>
      </c>
      <c r="C702" s="34">
        <v>5.1100000000000003</v>
      </c>
      <c r="D702" s="91" t="s">
        <v>1080</v>
      </c>
    </row>
    <row r="703" spans="1:4" ht="15.75" outlineLevel="1">
      <c r="A703" s="31" t="s">
        <v>43</v>
      </c>
      <c r="B703" s="32" t="s">
        <v>104</v>
      </c>
      <c r="C703" s="31">
        <v>5.1109999999999998</v>
      </c>
      <c r="D703" s="92"/>
    </row>
    <row r="704" spans="1:4" ht="15.75" outlineLevel="1">
      <c r="A704" s="31" t="s">
        <v>43</v>
      </c>
      <c r="B704" s="32" t="s">
        <v>106</v>
      </c>
      <c r="C704" s="31">
        <v>5.1120000000000001</v>
      </c>
      <c r="D704" s="92"/>
    </row>
    <row r="705" spans="1:4" ht="15.75" outlineLevel="1">
      <c r="A705" s="31" t="s">
        <v>43</v>
      </c>
      <c r="B705" s="32" t="s">
        <v>59</v>
      </c>
      <c r="C705" s="31">
        <v>5.53</v>
      </c>
      <c r="D705" s="92"/>
    </row>
    <row r="706" spans="1:4" ht="15.75" outlineLevel="1">
      <c r="A706" s="31" t="s">
        <v>43</v>
      </c>
      <c r="B706" s="32" t="s">
        <v>172</v>
      </c>
      <c r="C706" s="31">
        <v>5.64</v>
      </c>
      <c r="D706" s="92"/>
    </row>
    <row r="707" spans="1:4" ht="15.75" outlineLevel="1">
      <c r="A707" s="31" t="s">
        <v>43</v>
      </c>
      <c r="B707" s="32" t="s">
        <v>63</v>
      </c>
      <c r="C707" s="31">
        <v>5.63</v>
      </c>
      <c r="D707" s="92"/>
    </row>
    <row r="708" spans="1:4" ht="15.75" outlineLevel="1">
      <c r="A708" s="31" t="s">
        <v>43</v>
      </c>
      <c r="B708" s="32" t="s">
        <v>78</v>
      </c>
      <c r="C708" s="31">
        <v>5.65</v>
      </c>
      <c r="D708" s="92"/>
    </row>
    <row r="709" spans="1:4" ht="15.75" outlineLevel="1">
      <c r="A709" s="31" t="s">
        <v>43</v>
      </c>
      <c r="B709" s="32" t="s">
        <v>88</v>
      </c>
      <c r="C709" s="31">
        <v>5.66</v>
      </c>
      <c r="D709" s="92"/>
    </row>
    <row r="710" spans="1:4" ht="15.75" outlineLevel="1">
      <c r="A710" s="31" t="s">
        <v>43</v>
      </c>
      <c r="B710" s="32" t="s">
        <v>17</v>
      </c>
      <c r="C710" s="31">
        <v>5.68</v>
      </c>
      <c r="D710" s="92"/>
    </row>
    <row r="711" spans="1:4" ht="15.75" outlineLevel="1">
      <c r="A711" s="31" t="s">
        <v>43</v>
      </c>
      <c r="B711" s="32" t="s">
        <v>64</v>
      </c>
      <c r="C711" s="31">
        <v>5.47</v>
      </c>
      <c r="D711" s="92"/>
    </row>
    <row r="712" spans="1:4" ht="15.75" outlineLevel="1">
      <c r="A712" s="31" t="s">
        <v>43</v>
      </c>
      <c r="B712" s="32" t="s">
        <v>65</v>
      </c>
      <c r="C712" s="31">
        <v>5.48</v>
      </c>
      <c r="D712" s="92"/>
    </row>
    <row r="713" spans="1:4" ht="15.75">
      <c r="A713" s="36" t="s">
        <v>43</v>
      </c>
      <c r="B713" s="32"/>
      <c r="C713" s="31"/>
      <c r="D713" s="92"/>
    </row>
    <row r="714" spans="1:4" ht="15.75" outlineLevel="1">
      <c r="A714" s="31" t="s">
        <v>1092</v>
      </c>
      <c r="B714" s="32" t="s">
        <v>49</v>
      </c>
      <c r="C714" s="31">
        <v>5.0999999999999996</v>
      </c>
      <c r="D714" s="92"/>
    </row>
    <row r="715" spans="1:4" ht="15.75" outlineLevel="1">
      <c r="A715" s="31" t="s">
        <v>1092</v>
      </c>
      <c r="B715" s="32" t="s">
        <v>50</v>
      </c>
      <c r="C715" s="31">
        <v>5.2</v>
      </c>
      <c r="D715" s="92"/>
    </row>
    <row r="716" spans="1:4" ht="15.75" outlineLevel="1">
      <c r="A716" s="31" t="s">
        <v>1092</v>
      </c>
      <c r="B716" s="32" t="s">
        <v>66</v>
      </c>
      <c r="C716" s="31">
        <v>5.3</v>
      </c>
      <c r="D716" s="92"/>
    </row>
    <row r="717" spans="1:4" ht="15.75" outlineLevel="1">
      <c r="A717" s="31" t="s">
        <v>1092</v>
      </c>
      <c r="B717" s="32" t="s">
        <v>80</v>
      </c>
      <c r="C717" s="31">
        <v>5.6</v>
      </c>
      <c r="D717" s="92"/>
    </row>
    <row r="718" spans="1:4" ht="15.75" outlineLevel="1">
      <c r="A718" s="31" t="s">
        <v>1092</v>
      </c>
      <c r="B718" s="32" t="s">
        <v>1081</v>
      </c>
      <c r="C718" s="33">
        <v>5.0999999999999996</v>
      </c>
      <c r="D718" s="92"/>
    </row>
    <row r="719" spans="1:4" ht="15.75" outlineLevel="1">
      <c r="A719" s="31" t="s">
        <v>1092</v>
      </c>
      <c r="B719" s="32" t="s">
        <v>91</v>
      </c>
      <c r="C719" s="31">
        <v>5.14</v>
      </c>
      <c r="D719" s="92"/>
    </row>
    <row r="720" spans="1:4" ht="15.75" outlineLevel="1">
      <c r="A720" s="31" t="s">
        <v>1092</v>
      </c>
      <c r="B720" s="32" t="s">
        <v>68</v>
      </c>
      <c r="C720" s="31">
        <v>5.19</v>
      </c>
      <c r="D720" s="92"/>
    </row>
    <row r="721" spans="1:4" ht="15.75" outlineLevel="1">
      <c r="A721" s="31" t="s">
        <v>1092</v>
      </c>
      <c r="B721" s="32" t="s">
        <v>82</v>
      </c>
      <c r="C721" s="31">
        <v>5.24</v>
      </c>
      <c r="D721" s="92"/>
    </row>
    <row r="722" spans="1:4" ht="15.75" outlineLevel="1">
      <c r="A722" s="31" t="s">
        <v>1092</v>
      </c>
      <c r="B722" s="32" t="s">
        <v>54</v>
      </c>
      <c r="C722" s="31">
        <v>5.26</v>
      </c>
      <c r="D722" s="92"/>
    </row>
    <row r="723" spans="1:4" ht="15.75" outlineLevel="1">
      <c r="A723" s="31" t="s">
        <v>1092</v>
      </c>
      <c r="B723" s="32" t="s">
        <v>55</v>
      </c>
      <c r="C723" s="31">
        <v>5.27</v>
      </c>
      <c r="D723" s="92"/>
    </row>
    <row r="724" spans="1:4" ht="15.75" outlineLevel="1">
      <c r="A724" s="31" t="s">
        <v>1092</v>
      </c>
      <c r="B724" s="32" t="s">
        <v>69</v>
      </c>
      <c r="C724" s="31">
        <v>5.28</v>
      </c>
      <c r="D724" s="92"/>
    </row>
    <row r="725" spans="1:4" ht="15.75" outlineLevel="1">
      <c r="A725" s="31" t="s">
        <v>1092</v>
      </c>
      <c r="B725" s="32" t="s">
        <v>83</v>
      </c>
      <c r="C725" s="31">
        <v>5.31</v>
      </c>
      <c r="D725" s="92"/>
    </row>
    <row r="726" spans="1:4" ht="15.75" outlineLevel="1">
      <c r="A726" s="31" t="s">
        <v>1092</v>
      </c>
      <c r="B726" s="32" t="s">
        <v>56</v>
      </c>
      <c r="C726" s="31">
        <v>5.36</v>
      </c>
      <c r="D726" s="92"/>
    </row>
    <row r="727" spans="1:4" ht="15.75" outlineLevel="1">
      <c r="A727" s="31" t="s">
        <v>1092</v>
      </c>
      <c r="B727" s="32" t="s">
        <v>59</v>
      </c>
      <c r="C727" s="31">
        <v>5.53</v>
      </c>
      <c r="D727" s="92"/>
    </row>
    <row r="728" spans="1:4" ht="15.75" outlineLevel="1">
      <c r="A728" s="31" t="s">
        <v>1092</v>
      </c>
      <c r="B728" s="32" t="s">
        <v>103</v>
      </c>
      <c r="C728" s="31">
        <v>5.109</v>
      </c>
      <c r="D728" s="92"/>
    </row>
    <row r="729" spans="1:4" ht="15.75" outlineLevel="1">
      <c r="A729" s="31" t="s">
        <v>1092</v>
      </c>
      <c r="B729" s="32" t="s">
        <v>104</v>
      </c>
      <c r="C729" s="31">
        <v>5.1109999999999998</v>
      </c>
      <c r="D729" s="92"/>
    </row>
    <row r="730" spans="1:4" ht="15.75" outlineLevel="1">
      <c r="A730" s="31" t="s">
        <v>1092</v>
      </c>
      <c r="B730" s="32" t="s">
        <v>106</v>
      </c>
      <c r="C730" s="31">
        <v>5.1120000000000001</v>
      </c>
      <c r="D730" s="92"/>
    </row>
    <row r="731" spans="1:4" ht="15.75" outlineLevel="1">
      <c r="A731" s="31" t="s">
        <v>1092</v>
      </c>
      <c r="B731" s="32" t="s">
        <v>1085</v>
      </c>
      <c r="C731" s="31">
        <v>5.1130000000000004</v>
      </c>
      <c r="D731" s="92"/>
    </row>
    <row r="732" spans="1:4" ht="15.75" outlineLevel="1">
      <c r="A732" s="31" t="s">
        <v>1092</v>
      </c>
      <c r="B732" s="32" t="s">
        <v>182</v>
      </c>
      <c r="C732" s="31">
        <v>5.117</v>
      </c>
      <c r="D732" s="92"/>
    </row>
    <row r="733" spans="1:4" ht="15.75" outlineLevel="1">
      <c r="A733" s="31" t="s">
        <v>1092</v>
      </c>
      <c r="B733" s="32" t="s">
        <v>183</v>
      </c>
      <c r="C733" s="31">
        <v>5.67</v>
      </c>
      <c r="D733" s="92"/>
    </row>
    <row r="734" spans="1:4" ht="15.75" outlineLevel="1">
      <c r="A734" s="31" t="s">
        <v>1092</v>
      </c>
      <c r="B734" s="32" t="s">
        <v>63</v>
      </c>
      <c r="C734" s="31">
        <v>5.63</v>
      </c>
      <c r="D734" s="92"/>
    </row>
    <row r="735" spans="1:4" ht="15.75" outlineLevel="1">
      <c r="A735" s="31" t="s">
        <v>1092</v>
      </c>
      <c r="B735" s="32" t="s">
        <v>64</v>
      </c>
      <c r="C735" s="31">
        <v>5.47</v>
      </c>
      <c r="D735" s="92"/>
    </row>
    <row r="736" spans="1:4" ht="15.75" outlineLevel="1">
      <c r="A736" s="31" t="s">
        <v>1092</v>
      </c>
      <c r="B736" s="32" t="s">
        <v>65</v>
      </c>
      <c r="C736" s="31">
        <v>5.48</v>
      </c>
      <c r="D736" s="92"/>
    </row>
    <row r="737" spans="1:4" ht="15.75">
      <c r="A737" s="36" t="s">
        <v>1093</v>
      </c>
      <c r="B737" s="32"/>
      <c r="C737" s="31"/>
      <c r="D737" s="92"/>
    </row>
    <row r="738" spans="1:4" ht="15.75" outlineLevel="1">
      <c r="A738" s="31" t="s">
        <v>45</v>
      </c>
      <c r="B738" s="32" t="s">
        <v>49</v>
      </c>
      <c r="C738" s="31">
        <v>5.0999999999999996</v>
      </c>
      <c r="D738" s="92"/>
    </row>
    <row r="739" spans="1:4" ht="15.75" outlineLevel="1">
      <c r="A739" s="31" t="s">
        <v>45</v>
      </c>
      <c r="B739" s="32" t="s">
        <v>50</v>
      </c>
      <c r="C739" s="31">
        <v>5.2</v>
      </c>
      <c r="D739" s="92"/>
    </row>
    <row r="740" spans="1:4" ht="15.75" outlineLevel="1">
      <c r="A740" s="31" t="s">
        <v>45</v>
      </c>
      <c r="B740" s="32" t="s">
        <v>184</v>
      </c>
      <c r="C740" s="31">
        <v>5.18</v>
      </c>
      <c r="D740" s="92"/>
    </row>
    <row r="741" spans="1:4" ht="15.75" outlineLevel="1">
      <c r="A741" s="31" t="s">
        <v>45</v>
      </c>
      <c r="B741" s="32" t="s">
        <v>185</v>
      </c>
      <c r="C741" s="31">
        <v>5.23</v>
      </c>
      <c r="D741" s="92"/>
    </row>
    <row r="742" spans="1:4" ht="15.75" outlineLevel="1">
      <c r="A742" s="31" t="s">
        <v>45</v>
      </c>
      <c r="B742" s="32" t="s">
        <v>54</v>
      </c>
      <c r="C742" s="31">
        <v>5.26</v>
      </c>
      <c r="D742" s="92"/>
    </row>
    <row r="743" spans="1:4" ht="15.75" outlineLevel="1">
      <c r="A743" s="31" t="s">
        <v>45</v>
      </c>
      <c r="B743" s="32" t="s">
        <v>55</v>
      </c>
      <c r="C743" s="31">
        <v>5.27</v>
      </c>
      <c r="D743" s="92"/>
    </row>
    <row r="744" spans="1:4" ht="15.75" outlineLevel="1">
      <c r="A744" s="31" t="s">
        <v>45</v>
      </c>
      <c r="B744" s="32" t="s">
        <v>69</v>
      </c>
      <c r="C744" s="31">
        <v>5.28</v>
      </c>
      <c r="D744" s="92"/>
    </row>
    <row r="745" spans="1:4" ht="15.75" outlineLevel="1">
      <c r="A745" s="31" t="s">
        <v>45</v>
      </c>
      <c r="B745" s="32" t="s">
        <v>56</v>
      </c>
      <c r="C745" s="31">
        <v>5.36</v>
      </c>
      <c r="D745" s="92"/>
    </row>
    <row r="746" spans="1:4" ht="15.75" outlineLevel="1">
      <c r="A746" s="31" t="s">
        <v>45</v>
      </c>
      <c r="B746" s="32" t="s">
        <v>186</v>
      </c>
      <c r="C746" s="31">
        <v>5.44</v>
      </c>
      <c r="D746" s="92"/>
    </row>
    <row r="747" spans="1:4" ht="15.75" outlineLevel="1">
      <c r="A747" s="31" t="s">
        <v>45</v>
      </c>
      <c r="B747" s="32" t="s">
        <v>59</v>
      </c>
      <c r="C747" s="31">
        <v>5.53</v>
      </c>
      <c r="D747" s="92"/>
    </row>
    <row r="748" spans="1:4" ht="15.75" outlineLevel="1">
      <c r="A748" s="31" t="s">
        <v>45</v>
      </c>
      <c r="B748" s="32" t="s">
        <v>106</v>
      </c>
      <c r="C748" s="31">
        <v>5.1120000000000001</v>
      </c>
      <c r="D748" s="92"/>
    </row>
    <row r="749" spans="1:4" ht="15.75" outlineLevel="1">
      <c r="A749" s="31" t="s">
        <v>45</v>
      </c>
      <c r="B749" s="32" t="s">
        <v>60</v>
      </c>
      <c r="C749" s="31">
        <v>5.59</v>
      </c>
      <c r="D749" s="92"/>
    </row>
    <row r="750" spans="1:4" ht="15.75" outlineLevel="1">
      <c r="A750" s="31" t="s">
        <v>45</v>
      </c>
      <c r="B750" s="32" t="s">
        <v>61</v>
      </c>
      <c r="C750" s="31">
        <v>5.54</v>
      </c>
      <c r="D750" s="92"/>
    </row>
    <row r="751" spans="1:4" ht="15.75" outlineLevel="1">
      <c r="A751" s="31" t="s">
        <v>45</v>
      </c>
      <c r="B751" s="32" t="s">
        <v>63</v>
      </c>
      <c r="C751" s="31">
        <v>5.63</v>
      </c>
      <c r="D751" s="92"/>
    </row>
    <row r="752" spans="1:4" ht="15.75" outlineLevel="1">
      <c r="A752" s="31" t="s">
        <v>45</v>
      </c>
      <c r="B752" s="32" t="s">
        <v>78</v>
      </c>
      <c r="C752" s="31">
        <v>5.65</v>
      </c>
      <c r="D752" s="92"/>
    </row>
    <row r="753" spans="1:4" ht="15.75" outlineLevel="1">
      <c r="A753" s="31" t="s">
        <v>45</v>
      </c>
      <c r="B753" s="32" t="s">
        <v>17</v>
      </c>
      <c r="C753" s="31">
        <v>5.68</v>
      </c>
      <c r="D753" s="92"/>
    </row>
    <row r="754" spans="1:4" ht="15.75" outlineLevel="1">
      <c r="A754" s="31" t="s">
        <v>45</v>
      </c>
      <c r="B754" s="32" t="s">
        <v>64</v>
      </c>
      <c r="C754" s="31">
        <v>5.47</v>
      </c>
      <c r="D754" s="92"/>
    </row>
    <row r="755" spans="1:4" ht="15.75" outlineLevel="1">
      <c r="A755" s="31" t="s">
        <v>45</v>
      </c>
      <c r="B755" s="32" t="s">
        <v>65</v>
      </c>
      <c r="C755" s="31">
        <v>5.48</v>
      </c>
      <c r="D755" s="92"/>
    </row>
    <row r="756" spans="1:4" ht="15.75">
      <c r="A756" s="36" t="s">
        <v>45</v>
      </c>
      <c r="B756" s="32"/>
      <c r="C756" s="31"/>
      <c r="D756" s="92"/>
    </row>
    <row r="757" spans="1:4" ht="15.75" outlineLevel="1">
      <c r="A757" s="31" t="s">
        <v>47</v>
      </c>
      <c r="B757" s="32" t="s">
        <v>49</v>
      </c>
      <c r="C757" s="31">
        <v>5.0999999999999996</v>
      </c>
      <c r="D757" s="92"/>
    </row>
    <row r="758" spans="1:4" ht="15.75" outlineLevel="1">
      <c r="A758" s="31" t="s">
        <v>47</v>
      </c>
      <c r="B758" s="32" t="s">
        <v>50</v>
      </c>
      <c r="C758" s="31">
        <v>5.2</v>
      </c>
      <c r="D758" s="92"/>
    </row>
    <row r="759" spans="1:4" ht="15.75" outlineLevel="1">
      <c r="A759" s="31" t="s">
        <v>47</v>
      </c>
      <c r="B759" s="32" t="s">
        <v>150</v>
      </c>
      <c r="C759" s="31">
        <v>5.9</v>
      </c>
      <c r="D759" s="91" t="s">
        <v>1080</v>
      </c>
    </row>
    <row r="760" spans="1:4" ht="15.75" outlineLevel="1">
      <c r="A760" s="31" t="s">
        <v>47</v>
      </c>
      <c r="B760" s="32" t="s">
        <v>151</v>
      </c>
      <c r="C760" s="31">
        <v>5.13</v>
      </c>
      <c r="D760" s="92"/>
    </row>
    <row r="761" spans="1:4" ht="15.75" outlineLevel="1">
      <c r="A761" s="31" t="s">
        <v>47</v>
      </c>
      <c r="B761" s="32" t="s">
        <v>152</v>
      </c>
      <c r="C761" s="31">
        <v>5.16</v>
      </c>
      <c r="D761" s="91" t="s">
        <v>1080</v>
      </c>
    </row>
    <row r="762" spans="1:4" ht="15.75" outlineLevel="1">
      <c r="A762" s="31" t="s">
        <v>47</v>
      </c>
      <c r="B762" s="32" t="s">
        <v>153</v>
      </c>
      <c r="C762" s="31">
        <v>5.22</v>
      </c>
      <c r="D762" s="91"/>
    </row>
    <row r="763" spans="1:4" ht="15.75" outlineLevel="1">
      <c r="A763" s="31" t="s">
        <v>47</v>
      </c>
      <c r="B763" s="32" t="s">
        <v>187</v>
      </c>
      <c r="C763" s="31">
        <v>5.42</v>
      </c>
      <c r="D763" s="92"/>
    </row>
    <row r="764" spans="1:4" ht="15.75" outlineLevel="1">
      <c r="A764" s="31" t="s">
        <v>47</v>
      </c>
      <c r="B764" s="32" t="s">
        <v>55</v>
      </c>
      <c r="C764" s="31">
        <v>5.27</v>
      </c>
      <c r="D764" s="92"/>
    </row>
    <row r="765" spans="1:4" ht="15.75" outlineLevel="1">
      <c r="A765" s="31" t="s">
        <v>47</v>
      </c>
      <c r="B765" s="32" t="s">
        <v>69</v>
      </c>
      <c r="C765" s="31">
        <v>5.28</v>
      </c>
      <c r="D765" s="91" t="s">
        <v>1080</v>
      </c>
    </row>
    <row r="766" spans="1:4" ht="15.75" outlineLevel="1">
      <c r="A766" s="31" t="s">
        <v>47</v>
      </c>
      <c r="B766" s="32" t="s">
        <v>56</v>
      </c>
      <c r="C766" s="31">
        <v>5.36</v>
      </c>
      <c r="D766" s="92"/>
    </row>
    <row r="767" spans="1:4" ht="15.75" outlineLevel="1">
      <c r="A767" s="31" t="s">
        <v>47</v>
      </c>
      <c r="B767" s="32" t="s">
        <v>71</v>
      </c>
      <c r="C767" s="31">
        <v>5.49</v>
      </c>
      <c r="D767" s="92"/>
    </row>
    <row r="768" spans="1:4" ht="15.75" outlineLevel="1">
      <c r="A768" s="31" t="s">
        <v>47</v>
      </c>
      <c r="B768" s="32" t="s">
        <v>58</v>
      </c>
      <c r="C768" s="31">
        <v>5.51</v>
      </c>
      <c r="D768" s="92"/>
    </row>
    <row r="769" spans="1:4" ht="15.75" outlineLevel="1">
      <c r="A769" s="31" t="s">
        <v>47</v>
      </c>
      <c r="B769" s="32" t="s">
        <v>1091</v>
      </c>
      <c r="C769" s="31">
        <v>5.52</v>
      </c>
      <c r="D769" s="92"/>
    </row>
    <row r="770" spans="1:4" ht="15.75" outlineLevel="1">
      <c r="A770" s="31" t="s">
        <v>47</v>
      </c>
      <c r="B770" s="32" t="s">
        <v>59</v>
      </c>
      <c r="C770" s="31">
        <v>5.53</v>
      </c>
      <c r="D770" s="92"/>
    </row>
    <row r="771" spans="1:4" ht="15.75" outlineLevel="1">
      <c r="A771" s="31" t="s">
        <v>47</v>
      </c>
      <c r="B771" s="32" t="s">
        <v>61</v>
      </c>
      <c r="C771" s="31">
        <v>5.54</v>
      </c>
      <c r="D771" s="92"/>
    </row>
    <row r="772" spans="1:4" ht="15.75" outlineLevel="1">
      <c r="A772" s="31" t="s">
        <v>47</v>
      </c>
      <c r="B772" s="32" t="s">
        <v>62</v>
      </c>
      <c r="C772" s="33">
        <v>5.7</v>
      </c>
      <c r="D772" s="92"/>
    </row>
    <row r="773" spans="1:4" ht="15.75" outlineLevel="1">
      <c r="A773" s="31" t="s">
        <v>47</v>
      </c>
      <c r="B773" s="32" t="s">
        <v>159</v>
      </c>
      <c r="C773" s="31">
        <v>5.71</v>
      </c>
      <c r="D773" s="92"/>
    </row>
    <row r="774" spans="1:4" ht="15.75" outlineLevel="1">
      <c r="A774" s="31" t="s">
        <v>47</v>
      </c>
      <c r="B774" s="32" t="s">
        <v>188</v>
      </c>
      <c r="C774" s="33">
        <v>5.9</v>
      </c>
      <c r="D774" s="92"/>
    </row>
    <row r="775" spans="1:4" ht="15.75" outlineLevel="1">
      <c r="A775" s="31" t="s">
        <v>47</v>
      </c>
      <c r="B775" s="32" t="s">
        <v>189</v>
      </c>
      <c r="C775" s="31">
        <v>5.91</v>
      </c>
      <c r="D775" s="92"/>
    </row>
    <row r="776" spans="1:4" ht="15.75" outlineLevel="1">
      <c r="A776" s="31" t="s">
        <v>47</v>
      </c>
      <c r="B776" s="32" t="s">
        <v>190</v>
      </c>
      <c r="C776" s="31">
        <v>5.97</v>
      </c>
      <c r="D776" s="92"/>
    </row>
    <row r="777" spans="1:4" ht="15.75">
      <c r="A777" s="36" t="s">
        <v>47</v>
      </c>
      <c r="B777" s="32"/>
      <c r="C777" s="31"/>
      <c r="D777" s="92"/>
    </row>
    <row r="778" spans="1:4" ht="15.75" outlineLevel="1">
      <c r="A778" s="31" t="s">
        <v>1067</v>
      </c>
      <c r="B778" s="32" t="s">
        <v>49</v>
      </c>
      <c r="C778" s="31">
        <v>5.0999999999999996</v>
      </c>
      <c r="D778" s="92"/>
    </row>
    <row r="779" spans="1:4" ht="15.75" outlineLevel="1">
      <c r="A779" s="31" t="s">
        <v>1067</v>
      </c>
      <c r="B779" s="32" t="s">
        <v>50</v>
      </c>
      <c r="C779" s="31">
        <v>5.2</v>
      </c>
      <c r="D779" s="92"/>
    </row>
    <row r="780" spans="1:4" ht="15.75" outlineLevel="1">
      <c r="A780" s="31" t="s">
        <v>1067</v>
      </c>
      <c r="B780" s="32" t="s">
        <v>54</v>
      </c>
      <c r="C780" s="31">
        <v>5.26</v>
      </c>
      <c r="D780" s="92"/>
    </row>
    <row r="781" spans="1:4" ht="15.75" outlineLevel="1">
      <c r="A781" s="31" t="s">
        <v>1067</v>
      </c>
      <c r="B781" s="32" t="s">
        <v>108</v>
      </c>
      <c r="C781" s="31">
        <v>5.5</v>
      </c>
      <c r="D781" s="92"/>
    </row>
    <row r="782" spans="1:4" ht="15.75" outlineLevel="1">
      <c r="A782" s="31" t="s">
        <v>1067</v>
      </c>
      <c r="B782" s="32" t="s">
        <v>109</v>
      </c>
      <c r="C782" s="31">
        <v>5.8</v>
      </c>
      <c r="D782" s="91" t="s">
        <v>1080</v>
      </c>
    </row>
    <row r="783" spans="1:4" ht="15.75" outlineLevel="1">
      <c r="A783" s="31" t="s">
        <v>1067</v>
      </c>
      <c r="B783" s="32" t="s">
        <v>110</v>
      </c>
      <c r="C783" s="31">
        <v>5.12</v>
      </c>
      <c r="D783" s="31"/>
    </row>
    <row r="784" spans="1:4" ht="15.75" outlineLevel="1">
      <c r="A784" s="31" t="s">
        <v>1067</v>
      </c>
      <c r="B784" s="32" t="s">
        <v>111</v>
      </c>
      <c r="C784" s="31">
        <v>5.15</v>
      </c>
      <c r="D784" s="31"/>
    </row>
    <row r="785" spans="1:4" ht="15.75" outlineLevel="1">
      <c r="A785" s="31" t="s">
        <v>1067</v>
      </c>
      <c r="B785" s="32" t="s">
        <v>112</v>
      </c>
      <c r="C785" s="33">
        <v>5.2</v>
      </c>
      <c r="D785" s="91"/>
    </row>
    <row r="786" spans="1:4" ht="15.75" outlineLevel="1">
      <c r="A786" s="31" t="s">
        <v>1067</v>
      </c>
      <c r="B786" s="32" t="s">
        <v>113</v>
      </c>
      <c r="C786" s="31">
        <v>5.25</v>
      </c>
      <c r="D786" s="31"/>
    </row>
    <row r="787" spans="1:4" ht="15.75" outlineLevel="1">
      <c r="A787" s="31" t="s">
        <v>1067</v>
      </c>
      <c r="B787" s="32" t="s">
        <v>59</v>
      </c>
      <c r="C787" s="31">
        <v>5.53</v>
      </c>
      <c r="D787" s="31"/>
    </row>
    <row r="788" spans="1:4" ht="15.75" outlineLevel="1">
      <c r="A788" s="31" t="s">
        <v>1067</v>
      </c>
      <c r="B788" s="32" t="s">
        <v>191</v>
      </c>
      <c r="C788" s="33">
        <v>5.4</v>
      </c>
      <c r="D788" s="31"/>
    </row>
    <row r="789" spans="1:4" ht="15.75" outlineLevel="1">
      <c r="A789" s="31" t="s">
        <v>1067</v>
      </c>
      <c r="B789" s="32" t="s">
        <v>192</v>
      </c>
      <c r="C789" s="31">
        <v>5.92</v>
      </c>
      <c r="D789" s="31"/>
    </row>
    <row r="790" spans="1:4" ht="15.75" outlineLevel="1">
      <c r="A790" s="31" t="s">
        <v>1067</v>
      </c>
      <c r="B790" s="32" t="s">
        <v>193</v>
      </c>
      <c r="C790" s="31">
        <v>5.93</v>
      </c>
      <c r="D790" s="31"/>
    </row>
    <row r="791" spans="1:4" ht="31.5" outlineLevel="1">
      <c r="A791" s="31" t="s">
        <v>1067</v>
      </c>
      <c r="B791" s="32" t="s">
        <v>194</v>
      </c>
      <c r="C791" s="31">
        <v>5.94</v>
      </c>
      <c r="D791" s="31"/>
    </row>
    <row r="792" spans="1:4" ht="15.75" outlineLevel="1">
      <c r="A792" s="31" t="s">
        <v>1067</v>
      </c>
      <c r="B792" s="32" t="s">
        <v>195</v>
      </c>
      <c r="C792" s="31">
        <v>5.95</v>
      </c>
      <c r="D792" s="31"/>
    </row>
    <row r="793" spans="1:4" ht="15.75" outlineLevel="1">
      <c r="A793" s="31" t="s">
        <v>1067</v>
      </c>
      <c r="B793" s="32" t="s">
        <v>196</v>
      </c>
      <c r="C793" s="31">
        <v>5.98</v>
      </c>
      <c r="D793" s="31"/>
    </row>
    <row r="794" spans="1:4" ht="15.75" outlineLevel="1">
      <c r="A794" s="31" t="s">
        <v>1067</v>
      </c>
      <c r="B794" s="32" t="s">
        <v>197</v>
      </c>
      <c r="C794" s="31">
        <v>5.96</v>
      </c>
      <c r="D794" s="31"/>
    </row>
    <row r="795" spans="1:4" ht="15.75">
      <c r="A795" s="36" t="s">
        <v>1067</v>
      </c>
      <c r="B795" s="32"/>
      <c r="C795" s="31"/>
      <c r="D795" s="31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0" t="s">
        <v>1094</v>
      </c>
    </row>
    <row r="3" spans="1:2">
      <c r="A3" t="s">
        <v>1095</v>
      </c>
      <c r="B3" t="s">
        <v>1096</v>
      </c>
    </row>
    <row r="4" spans="1:2">
      <c r="A4" t="s">
        <v>1097</v>
      </c>
      <c r="B4" t="s">
        <v>1098</v>
      </c>
    </row>
    <row r="5" spans="1:2">
      <c r="A5" t="s">
        <v>1099</v>
      </c>
      <c r="B5" t="s">
        <v>1100</v>
      </c>
    </row>
    <row r="6" spans="1:2">
      <c r="A6" t="s">
        <v>1101</v>
      </c>
      <c r="B6" t="s">
        <v>1102</v>
      </c>
    </row>
    <row r="7" spans="1:2">
      <c r="A7" t="s">
        <v>1103</v>
      </c>
      <c r="B7" t="s">
        <v>1104</v>
      </c>
    </row>
    <row r="8" spans="1:2">
      <c r="A8" t="s">
        <v>1105</v>
      </c>
      <c r="B8" t="s">
        <v>1106</v>
      </c>
    </row>
    <row r="10" spans="1:2" ht="15">
      <c r="A10" s="20" t="s">
        <v>1107</v>
      </c>
    </row>
    <row r="11" spans="1:2">
      <c r="A11" t="s">
        <v>1108</v>
      </c>
    </row>
    <row r="12" spans="1:2">
      <c r="A12" t="s">
        <v>1109</v>
      </c>
      <c r="B12" t="s">
        <v>1110</v>
      </c>
    </row>
    <row r="14" spans="1:2">
      <c r="A14" s="30"/>
    </row>
    <row r="15" spans="1:2" ht="15">
      <c r="A15" s="20" t="s">
        <v>1111</v>
      </c>
    </row>
    <row r="16" spans="1:2">
      <c r="A16" s="28" t="s">
        <v>1112</v>
      </c>
    </row>
    <row r="17" spans="1:2">
      <c r="A17" s="28" t="s">
        <v>1113</v>
      </c>
    </row>
    <row r="18" spans="1:2">
      <c r="A18" s="28" t="s">
        <v>1114</v>
      </c>
    </row>
    <row r="19" spans="1:2">
      <c r="A19" s="28" t="s">
        <v>1115</v>
      </c>
    </row>
    <row r="21" spans="1:2" ht="15">
      <c r="A21" s="29" t="s">
        <v>1116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0" t="s">
        <v>1117</v>
      </c>
      <c r="B34" s="20" t="s">
        <v>309</v>
      </c>
    </row>
    <row r="35" spans="1:2">
      <c r="A35" s="13" t="s">
        <v>1118</v>
      </c>
      <c r="B35" s="35">
        <v>512310509</v>
      </c>
    </row>
    <row r="36" spans="1:2">
      <c r="A36" t="s">
        <v>1119</v>
      </c>
      <c r="B36" s="35">
        <v>513910703</v>
      </c>
    </row>
    <row r="37" spans="1:2">
      <c r="A37" t="s">
        <v>1120</v>
      </c>
      <c r="B37" s="35">
        <v>512304882</v>
      </c>
    </row>
    <row r="38" spans="1:2">
      <c r="A38" t="s">
        <v>1121</v>
      </c>
      <c r="B38" s="35">
        <v>520030677</v>
      </c>
    </row>
    <row r="39" spans="1:2">
      <c r="A39" t="s">
        <v>1122</v>
      </c>
      <c r="B39" s="35">
        <v>513621110</v>
      </c>
    </row>
    <row r="40" spans="1:2">
      <c r="A40" t="s">
        <v>1123</v>
      </c>
      <c r="B40" s="13">
        <v>513173393</v>
      </c>
    </row>
    <row r="41" spans="1:2">
      <c r="A41" t="s">
        <v>1124</v>
      </c>
      <c r="B41" s="13">
        <v>511880460</v>
      </c>
    </row>
    <row r="42" spans="1:2">
      <c r="A42" t="s">
        <v>1125</v>
      </c>
      <c r="B42" s="13">
        <v>510773922</v>
      </c>
    </row>
    <row r="43" spans="1:2">
      <c r="A43" t="s">
        <v>1126</v>
      </c>
      <c r="B43">
        <v>520021916</v>
      </c>
    </row>
    <row r="44" spans="1:2">
      <c r="A44" t="s">
        <v>1127</v>
      </c>
      <c r="B44">
        <v>520044025</v>
      </c>
    </row>
    <row r="45" spans="1:2">
      <c r="A45" t="s">
        <v>1128</v>
      </c>
      <c r="B45">
        <v>570003152</v>
      </c>
    </row>
    <row r="46" spans="1:2">
      <c r="A46" t="s">
        <v>1129</v>
      </c>
      <c r="B46" s="13">
        <v>520023094</v>
      </c>
    </row>
    <row r="47" spans="1:2">
      <c r="A47" t="s">
        <v>1130</v>
      </c>
      <c r="B47" s="13">
        <v>512711409</v>
      </c>
    </row>
    <row r="48" spans="1:2">
      <c r="A48" t="s">
        <v>1131</v>
      </c>
      <c r="B48">
        <v>515859379</v>
      </c>
    </row>
    <row r="49" spans="1:2">
      <c r="A49" t="s">
        <v>1132</v>
      </c>
      <c r="B49" s="13">
        <v>520030990</v>
      </c>
    </row>
    <row r="50" spans="1:2">
      <c r="A50" t="s">
        <v>1133</v>
      </c>
      <c r="B50" s="13">
        <v>520028812</v>
      </c>
    </row>
    <row r="51" spans="1:2">
      <c r="A51" t="s">
        <v>1134</v>
      </c>
      <c r="B51" s="13">
        <v>520034968</v>
      </c>
    </row>
    <row r="52" spans="1:2">
      <c r="A52" t="s">
        <v>1135</v>
      </c>
      <c r="B52" s="13">
        <v>520031824</v>
      </c>
    </row>
    <row r="53" spans="1:2">
      <c r="A53" t="s">
        <v>1136</v>
      </c>
      <c r="B53" s="13">
        <v>520005497</v>
      </c>
    </row>
    <row r="54" spans="1:2">
      <c r="A54" t="s">
        <v>1137</v>
      </c>
      <c r="B54" s="13">
        <v>520022518</v>
      </c>
    </row>
    <row r="55" spans="1:2">
      <c r="A55" t="s">
        <v>1138</v>
      </c>
      <c r="B55" s="13">
        <v>520028556</v>
      </c>
    </row>
    <row r="56" spans="1:2">
      <c r="A56" t="s">
        <v>1139</v>
      </c>
      <c r="B56" s="13">
        <v>520032269</v>
      </c>
    </row>
    <row r="57" spans="1:2">
      <c r="A57" t="s">
        <v>1140</v>
      </c>
      <c r="B57" s="13">
        <v>520027954</v>
      </c>
    </row>
    <row r="58" spans="1:2">
      <c r="A58" t="s">
        <v>1141</v>
      </c>
      <c r="B58">
        <v>520029620</v>
      </c>
    </row>
    <row r="59" spans="1:2">
      <c r="A59" t="s">
        <v>1142</v>
      </c>
      <c r="B59" s="13">
        <v>520028861</v>
      </c>
    </row>
    <row r="60" spans="1:2">
      <c r="A60" t="s">
        <v>1143</v>
      </c>
      <c r="B60" s="13">
        <v>520030743</v>
      </c>
    </row>
    <row r="61" spans="1:2">
      <c r="A61" t="s">
        <v>1144</v>
      </c>
      <c r="B61">
        <v>520042177</v>
      </c>
    </row>
    <row r="62" spans="1:2">
      <c r="A62" t="s">
        <v>1145</v>
      </c>
      <c r="B62" s="13">
        <v>515447035</v>
      </c>
    </row>
    <row r="63" spans="1:2">
      <c r="A63" t="s">
        <v>1146</v>
      </c>
      <c r="B63" s="13">
        <v>520042607</v>
      </c>
    </row>
    <row r="64" spans="1:2">
      <c r="A64" t="s">
        <v>1147</v>
      </c>
      <c r="B64" s="13">
        <v>513026484</v>
      </c>
    </row>
    <row r="65" spans="1:2">
      <c r="A65" t="s">
        <v>1148</v>
      </c>
      <c r="B65">
        <v>520023185</v>
      </c>
    </row>
    <row r="66" spans="1:2">
      <c r="A66" t="s">
        <v>1149</v>
      </c>
      <c r="B66">
        <v>520004078</v>
      </c>
    </row>
    <row r="67" spans="1:2">
      <c r="A67" t="s">
        <v>1150</v>
      </c>
      <c r="B67" s="13">
        <v>512267592</v>
      </c>
    </row>
    <row r="68" spans="1:2">
      <c r="A68" t="s">
        <v>1151</v>
      </c>
      <c r="B68">
        <v>515764868</v>
      </c>
    </row>
    <row r="69" spans="1:2">
      <c r="A69" t="s">
        <v>1152</v>
      </c>
      <c r="B69" s="13">
        <v>513452003</v>
      </c>
    </row>
    <row r="70" spans="1:2">
      <c r="A70" t="s">
        <v>1153</v>
      </c>
      <c r="B70" s="13">
        <v>510142789</v>
      </c>
    </row>
    <row r="71" spans="1:2">
      <c r="A71" t="s">
        <v>1154</v>
      </c>
      <c r="B71" s="13">
        <v>510960586</v>
      </c>
    </row>
    <row r="72" spans="1:2">
      <c r="A72" t="s">
        <v>1155</v>
      </c>
      <c r="B72" s="13">
        <v>510930670</v>
      </c>
    </row>
    <row r="73" spans="1:2">
      <c r="A73" t="s">
        <v>1156</v>
      </c>
      <c r="B73" s="13">
        <v>510927536</v>
      </c>
    </row>
    <row r="74" spans="1:2">
      <c r="A74" t="s">
        <v>1157</v>
      </c>
      <c r="B74" s="13">
        <v>510930654</v>
      </c>
    </row>
    <row r="75" spans="1:2">
      <c r="A75" t="s">
        <v>1158</v>
      </c>
      <c r="B75" s="13">
        <v>520032566</v>
      </c>
    </row>
    <row r="76" spans="1:2">
      <c r="A76" t="s">
        <v>1159</v>
      </c>
      <c r="B76" s="13">
        <v>513611509</v>
      </c>
    </row>
    <row r="77" spans="1:2">
      <c r="A77" t="s">
        <v>1160</v>
      </c>
      <c r="B77">
        <v>510888985</v>
      </c>
    </row>
    <row r="78" spans="1:2">
      <c r="A78" t="s">
        <v>1161</v>
      </c>
      <c r="B78">
        <v>520024647</v>
      </c>
    </row>
    <row r="79" spans="1:2">
      <c r="A79" t="s">
        <v>1162</v>
      </c>
      <c r="B79" s="13">
        <v>512244146</v>
      </c>
    </row>
    <row r="80" spans="1:2">
      <c r="A80" t="s">
        <v>1163</v>
      </c>
      <c r="B80" s="13">
        <v>510694821</v>
      </c>
    </row>
    <row r="81" spans="1:2">
      <c r="A81" t="s">
        <v>1164</v>
      </c>
      <c r="B81">
        <v>515761625</v>
      </c>
    </row>
    <row r="82" spans="1:2">
      <c r="A82" t="s">
        <v>1165</v>
      </c>
      <c r="B82" s="13">
        <v>511423048</v>
      </c>
    </row>
    <row r="83" spans="1:2">
      <c r="A83" t="s">
        <v>1166</v>
      </c>
      <c r="B83" s="13">
        <v>520019688</v>
      </c>
    </row>
    <row r="84" spans="1:2">
      <c r="A84" t="s">
        <v>1167</v>
      </c>
      <c r="B84">
        <v>520004896</v>
      </c>
    </row>
    <row r="85" spans="1:2">
      <c r="A85" t="s">
        <v>1168</v>
      </c>
      <c r="B85" s="13">
        <v>512237744</v>
      </c>
    </row>
    <row r="86" spans="1:2">
      <c r="A86" t="s">
        <v>1169</v>
      </c>
      <c r="B86" s="13">
        <v>514956465</v>
      </c>
    </row>
    <row r="87" spans="1:2">
      <c r="A87" t="s">
        <v>1170</v>
      </c>
      <c r="B87" s="13">
        <v>512362914</v>
      </c>
    </row>
    <row r="88" spans="1:2">
      <c r="A88" t="s">
        <v>1171</v>
      </c>
      <c r="B88" s="13">
        <v>520042615</v>
      </c>
    </row>
    <row r="89" spans="1:2">
      <c r="A89" t="s">
        <v>1172</v>
      </c>
      <c r="B89" s="13">
        <v>512065202</v>
      </c>
    </row>
    <row r="90" spans="1:2">
      <c r="A90" t="s">
        <v>1173</v>
      </c>
      <c r="B90">
        <v>520042540</v>
      </c>
    </row>
    <row r="91" spans="1:2">
      <c r="A91" t="s">
        <v>1174</v>
      </c>
      <c r="B91" s="13">
        <v>520027715</v>
      </c>
    </row>
    <row r="92" spans="1:2">
      <c r="A92" t="s">
        <v>1175</v>
      </c>
      <c r="B92" s="13">
        <v>512245812</v>
      </c>
    </row>
    <row r="93" spans="1:2">
      <c r="A93" t="s">
        <v>1176</v>
      </c>
      <c r="B93" s="13">
        <v>520022351</v>
      </c>
    </row>
    <row r="94" spans="1:2">
      <c r="A94" t="s">
        <v>1177</v>
      </c>
      <c r="B94" s="13">
        <v>514767490</v>
      </c>
    </row>
    <row r="95" spans="1:2">
      <c r="A95" t="s">
        <v>1178</v>
      </c>
      <c r="B95" s="13">
        <v>520024985</v>
      </c>
    </row>
    <row r="96" spans="1:2">
      <c r="A96" t="s">
        <v>1179</v>
      </c>
      <c r="B96" s="13">
        <v>520042573</v>
      </c>
    </row>
    <row r="97" spans="1:2">
      <c r="A97" t="s">
        <v>1180</v>
      </c>
      <c r="B97" s="13">
        <v>570009449</v>
      </c>
    </row>
    <row r="98" spans="1:2">
      <c r="A98" t="s">
        <v>1181</v>
      </c>
      <c r="B98" s="13">
        <v>520031659</v>
      </c>
    </row>
    <row r="99" spans="1:2">
      <c r="A99" t="s">
        <v>1182</v>
      </c>
      <c r="B99" s="13">
        <v>520042581</v>
      </c>
    </row>
    <row r="100" spans="1:2">
      <c r="A100" t="s">
        <v>1183</v>
      </c>
      <c r="B100">
        <v>520031030</v>
      </c>
    </row>
    <row r="101" spans="1:2">
      <c r="A101" t="s">
        <v>1184</v>
      </c>
      <c r="B101" s="13">
        <v>520030941</v>
      </c>
    </row>
    <row r="102" spans="1:2">
      <c r="A102" t="s">
        <v>1185</v>
      </c>
      <c r="B102" s="13">
        <v>512008335</v>
      </c>
    </row>
    <row r="103" spans="1:2">
      <c r="A103" t="s">
        <v>1186</v>
      </c>
      <c r="B103" s="13">
        <v>520022963</v>
      </c>
    </row>
    <row r="104" spans="1:2">
      <c r="A104" t="s">
        <v>1187</v>
      </c>
      <c r="B104" s="13">
        <v>570011767</v>
      </c>
    </row>
    <row r="105" spans="1:2">
      <c r="A105" t="s">
        <v>1188</v>
      </c>
      <c r="B105" s="13">
        <v>570014928</v>
      </c>
    </row>
    <row r="106" spans="1:2">
      <c r="A106" t="s">
        <v>1189</v>
      </c>
      <c r="B106" s="13">
        <v>570005959</v>
      </c>
    </row>
    <row r="107" spans="1:2">
      <c r="A107" t="s">
        <v>1190</v>
      </c>
      <c r="B107" s="13">
        <v>510800402</v>
      </c>
    </row>
    <row r="108" spans="1:2">
      <c r="A108" t="s">
        <v>1191</v>
      </c>
      <c r="B108" s="13">
        <v>570007476</v>
      </c>
    </row>
    <row r="109" spans="1:2">
      <c r="A109" t="s">
        <v>1192</v>
      </c>
      <c r="B109" s="13">
        <v>570005850</v>
      </c>
    </row>
    <row r="110" spans="1:2">
      <c r="A110" t="s">
        <v>1193</v>
      </c>
      <c r="B110" s="13">
        <v>520020504</v>
      </c>
    </row>
    <row r="111" spans="1:2">
      <c r="A111" t="s">
        <v>1194</v>
      </c>
      <c r="B111" s="13">
        <v>520020447</v>
      </c>
    </row>
    <row r="112" spans="1:2">
      <c r="A112" t="s">
        <v>1195</v>
      </c>
      <c r="B112" s="13">
        <v>511033060</v>
      </c>
    </row>
    <row r="113" spans="1:2">
      <c r="A113" t="s">
        <v>1196</v>
      </c>
      <c r="B113">
        <v>520027848</v>
      </c>
    </row>
    <row r="114" spans="1:2">
      <c r="A114" t="s">
        <v>1197</v>
      </c>
      <c r="B114" s="13">
        <v>570009852</v>
      </c>
    </row>
    <row r="115" spans="1:2">
      <c r="A115" t="s">
        <v>1198</v>
      </c>
      <c r="B115" s="13">
        <v>520027251</v>
      </c>
    </row>
    <row r="116" spans="1:2">
      <c r="A116" t="s">
        <v>1199</v>
      </c>
      <c r="B116" s="13">
        <v>520028390</v>
      </c>
    </row>
    <row r="117" spans="1:2">
      <c r="A117" t="s">
        <v>1200</v>
      </c>
      <c r="B117" s="13">
        <v>510806870</v>
      </c>
    </row>
    <row r="118" spans="1:2">
      <c r="A118" t="s">
        <v>1201</v>
      </c>
      <c r="B118">
        <v>513879189</v>
      </c>
    </row>
    <row r="119" spans="1:2">
      <c r="A119" t="s">
        <v>1202</v>
      </c>
      <c r="B119">
        <v>510015951</v>
      </c>
    </row>
    <row r="120" spans="1:2">
      <c r="A120" t="s">
        <v>1203</v>
      </c>
      <c r="B120" s="13">
        <v>520030693</v>
      </c>
    </row>
    <row r="121" spans="1:2">
      <c r="A121" t="s">
        <v>1204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אינסה קלאוז</cp:lastModifiedBy>
  <cp:revision/>
  <dcterms:created xsi:type="dcterms:W3CDTF">2021-05-03T04:41:48Z</dcterms:created>
  <dcterms:modified xsi:type="dcterms:W3CDTF">2024-11-06T08:17:56Z</dcterms:modified>
  <cp:category/>
  <cp:contentStatus/>
</cp:coreProperties>
</file>